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ficação Simples Nacional" sheetId="1" r:id="rId4"/>
    <sheet state="visible" name="Precificação por Produto" sheetId="2" r:id="rId5"/>
    <sheet state="visible" name="Saldos e Devoluções Ju" sheetId="3" r:id="rId6"/>
    <sheet state="visible" name="Grupo Bora" sheetId="4" r:id="rId7"/>
    <sheet state="visible" name="Cópia de Precificação por Produ" sheetId="5" r:id="rId8"/>
    <sheet state="visible" name="Controle- Vendas e Comissões" sheetId="6" r:id="rId9"/>
    <sheet state="visible" name="Calculadora de Cotação" sheetId="7" r:id="rId10"/>
    <sheet state="visible" name="JU_Precificação por Produto" sheetId="8" r:id="rId11"/>
    <sheet state="visible" name="Alondra 2025" sheetId="9" r:id="rId12"/>
    <sheet state="visible" name="Tour Hernan  " sheetId="10" r:id="rId13"/>
    <sheet state="visible" name="Tour Andrés " sheetId="11" r:id="rId14"/>
    <sheet state="hidden" name="Transfers Cartagena " sheetId="12" r:id="rId15"/>
    <sheet state="hidden" name="Transfers Bogotá" sheetId="13" r:id="rId16"/>
    <sheet state="hidden" name="Reservas Sofitel" sheetId="14" r:id="rId17"/>
    <sheet state="hidden" name="Transfers Cartagena  2025" sheetId="15" r:id="rId18"/>
    <sheet state="visible" name="Passeios Diarios" sheetId="16" r:id="rId19"/>
    <sheet state="visible" name="Contas á Pagar e Receber " sheetId="17" r:id="rId20"/>
    <sheet state="visible" name="leads site" sheetId="18" r:id="rId21"/>
    <sheet state="visible" name="bogota " sheetId="19" r:id="rId22"/>
    <sheet state="visible" name="Medellín" sheetId="20" r:id="rId23"/>
    <sheet state="visible" name="Recebimentos Colômbia" sheetId="21" r:id="rId24"/>
    <sheet state="visible" name="Créditos e cortesias" sheetId="22" r:id="rId25"/>
    <sheet state="visible" name="Sofitel" sheetId="23" r:id="rId26"/>
    <sheet state="visible" name="Sabai" sheetId="24" r:id="rId27"/>
    <sheet state="visible" name=" Coralina" sheetId="25" r:id="rId28"/>
    <sheet state="visible" name="paue" sheetId="26" r:id="rId29"/>
    <sheet state="visible" name="Islabela" sheetId="27" r:id="rId30"/>
    <sheet state="visible" name="Rosario de mar" sheetId="28" r:id="rId31"/>
    <sheet state="visible" name="SIbarita" sheetId="29" r:id="rId32"/>
    <sheet state="visible" name="Isla palma" sheetId="30" r:id="rId33"/>
    <sheet state="visible" name="Fenix" sheetId="31" r:id="rId34"/>
    <sheet state="visible" name="bonavida" sheetId="32" r:id="rId35"/>
    <sheet state="visible" name="capri" sheetId="33" r:id="rId36"/>
    <sheet state="visible" name="Lunatico" sheetId="34" r:id="rId37"/>
    <sheet state="visible" name="makani" sheetId="35" r:id="rId38"/>
    <sheet state="visible" name="Walking Tour" sheetId="36" r:id="rId39"/>
    <sheet state="visible" name="corona" sheetId="37" r:id="rId40"/>
    <sheet state="visible" name="Creators" sheetId="38" r:id="rId41"/>
    <sheet state="visible" name="concorrencia " sheetId="39" r:id="rId42"/>
    <sheet state="visible" name="Site" sheetId="40" r:id="rId43"/>
    <sheet state="visible" name="Vendas Extras" sheetId="41" r:id="rId44"/>
  </sheets>
  <definedNames>
    <definedName hidden="1" localSheetId="1" name="_xlnm._FilterDatabase">'Precificação por Produto'!$A$3:$AI$255</definedName>
    <definedName hidden="1" localSheetId="2" name="_xlnm._FilterDatabase">'Saldos e Devoluções Ju'!$A$74:$F$88</definedName>
    <definedName hidden="1" localSheetId="4" name="_xlnm._FilterDatabase">'Cópia de Precificação por Produ'!$A$3:$AI$249</definedName>
    <definedName hidden="1" localSheetId="5" name="_xlnm._FilterDatabase">'Controle- Vendas e Comissões'!$A$1:$AW$963</definedName>
    <definedName hidden="1" localSheetId="10" name="_xlnm._FilterDatabase">'Tour Andrés '!$A$46:$E$53</definedName>
    <definedName hidden="1" localSheetId="11" name="_xlnm._FilterDatabase">'Transfers Cartagena '!$A$51:$F$67</definedName>
    <definedName hidden="1" localSheetId="21" name="_xlnm._FilterDatabase">'Créditos e cortesias'!$A$71:$G$85</definedName>
  </definedNames>
  <calcPr/>
  <extLst>
    <ext uri="GoogleSheetsCustomDataVersion2">
      <go:sheetsCustomData xmlns:go="http://customooxmlschemas.google.com/" r:id="rId45" roundtripDataChecksum="pm2J/nOOl4qWvaBM9AuYtkM98CL7xjnV+yC6CazRkH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Informe aqui o valor total do custo do produto que você está precificando.
======</t>
      </text>
    </comment>
    <comment authorId="0" ref="Q1">
      <text>
        <t xml:space="preserve">Solicite a aliquota do Simples Nacional para o contador.
======</t>
      </text>
    </comment>
    <comment authorId="0" ref="R1">
      <text>
        <t xml:space="preserve">Informe aqui outros custos diretos em R$, por exemplo, embalagem do produto.
======</t>
      </text>
    </comment>
    <comment authorId="0" ref="S1">
      <text>
        <t xml:space="preserve">Informe aqui outros custos diretos em R$, por exemplo, embalagem do produto.
======</t>
      </text>
    </comment>
    <comment authorId="0" ref="U1">
      <text>
        <t xml:space="preserve">MARKUP = (Preço de venda - Preço de custo) ÷ Preço de custo
======</t>
      </text>
    </comment>
    <comment authorId="0" ref="V1">
      <text>
        <t xml:space="preserve">MARKDOWN = (Preço de venda - Preço de custo) ÷ Preço de venda
======</t>
      </text>
    </comment>
    <comment authorId="0" ref="W1">
      <text>
        <t xml:space="preserve">CLD = Margem Bruta ÷ Preço de venda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Informe aqui o valor total do custo do produto que você está precificando.
======</t>
      </text>
    </comment>
    <comment authorId="0" ref="H3">
      <text>
        <t xml:space="preserve">Informe aqui o valor total do custo do produto que você está precificando.
======</t>
      </text>
    </comment>
    <comment authorId="0" ref="R3">
      <text>
        <t xml:space="preserve">Solicite a aliquota do Simples Nacional para o contador.
======</t>
      </text>
    </comment>
    <comment authorId="0" ref="S3">
      <text>
        <t xml:space="preserve">Informe aqui outros custos diretos em R$, por exemplo, embalagem do produto.
======</t>
      </text>
    </comment>
    <comment authorId="0" ref="V3">
      <text>
        <t xml:space="preserve">Informe aqui outros custos diretos em R$, por exemplo, embalagem do produto.
======</t>
      </text>
    </comment>
    <comment authorId="0" ref="X3">
      <text>
        <t xml:space="preserve">MARKUP = (Preço de venda - Preço de custo) ÷ Preço de custo
======</t>
      </text>
    </comment>
    <comment authorId="0" ref="Y3">
      <text>
        <t xml:space="preserve">MARKDOWN = (Preço de venda - Preço de custo) ÷ Preço de venda
======</t>
      </text>
    </comment>
    <comment authorId="0" ref="Z3">
      <text>
        <t xml:space="preserve">CLD = Margem Bruta ÷ Preço de venda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Informe aqui o valor total do custo do produto que você está precificando.
======</t>
      </text>
    </comment>
    <comment authorId="0" ref="H3">
      <text>
        <t xml:space="preserve">Informe aqui o valor total do custo do produto que você está precificando.
======</t>
      </text>
    </comment>
    <comment authorId="0" ref="R3">
      <text>
        <t xml:space="preserve">Solicite a aliquota do Simples Nacional para o contador.
======</t>
      </text>
    </comment>
    <comment authorId="0" ref="S3">
      <text>
        <t xml:space="preserve">Informe aqui outros custos diretos em R$, por exemplo, embalagem do produto.
======</t>
      </text>
    </comment>
    <comment authorId="0" ref="V3">
      <text>
        <t xml:space="preserve">Informe aqui outros custos diretos em R$, por exemplo, embalagem do produto.
======</t>
      </text>
    </comment>
    <comment authorId="0" ref="X3">
      <text>
        <t xml:space="preserve">MARKUP = (Preço de venda - Preço de custo) ÷ Preço de custo
======</t>
      </text>
    </comment>
    <comment authorId="0" ref="Y3">
      <text>
        <t xml:space="preserve">MARKDOWN = (Preço de venda - Preço de custo) ÷ Preço de venda
======</t>
      </text>
    </comment>
    <comment authorId="0" ref="Z3">
      <text>
        <t xml:space="preserve">CLD = Margem Bruta ÷ Preço de venda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">
      <text>
        <t xml:space="preserve">Informe aqui o valor total do custo do produto que você está precificando.
======</t>
      </text>
    </comment>
    <comment authorId="0" ref="T1">
      <text>
        <t xml:space="preserve">Solicite a aliquota do Simples Nacional para o contador.
======</t>
      </text>
    </comment>
    <comment authorId="0" ref="U1">
      <text>
        <t xml:space="preserve">Informe aqui outros custos diretos em R$, por exemplo, embalagem do produto.
======</t>
      </text>
    </comment>
    <comment authorId="0" ref="AC1">
      <text>
        <t xml:space="preserve">Informe aqui outros custos diretos em R$, por exemplo, embalagem do produto.
======</t>
      </text>
    </comment>
    <comment authorId="0" ref="AF1">
      <text>
        <t xml:space="preserve">Informe aqui outros custos diretos em R$, por exemplo, embalagem do produto.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Informe aqui o valor total do custo do produto que você está precificando.
======</t>
      </text>
    </comment>
    <comment authorId="0" ref="I2">
      <text>
        <t xml:space="preserve">Informe aqui o valor total do custo do produto que você está precificando.
======</t>
      </text>
    </comment>
    <comment authorId="0" ref="S2">
      <text>
        <t xml:space="preserve">Solicite a aliquota do Simples Nacional para o contador.
======</t>
      </text>
    </comment>
    <comment authorId="0" ref="T2">
      <text>
        <t xml:space="preserve">Informe aqui outros custos diretos em R$, por exemplo, embalagem do produto.
======</t>
      </text>
    </comment>
    <comment authorId="0" ref="U2">
      <text>
        <t xml:space="preserve">Informe aqui outros custos diretos em R$, por exemplo, embalagem do produto.
======</t>
      </text>
    </comment>
    <comment authorId="0" ref="W2">
      <text>
        <t xml:space="preserve">MARKUP = (Preço de venda - Preço de custo) ÷ Preço de custo
======</t>
      </text>
    </comment>
    <comment authorId="0" ref="X2">
      <text>
        <t xml:space="preserve">MARKDOWN = (Preço de venda - Preço de custo) ÷ Preço de venda
======</t>
      </text>
    </comment>
    <comment authorId="0" ref="Y2">
      <text>
        <t xml:space="preserve">CLD = Margem Bruta ÷ Preço de venda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ID#AAABhbCQBL0
The Experience Travel    (2025-04-03 01:10:07)
500.000 hernan + 240.000 van alondra</t>
      </text>
    </comment>
  </commentList>
  <extLst>
    <ext uri="GoogleSheetsCustomDataVersion2">
      <go:sheetsCustomData xmlns:go="http://customooxmlschemas.google.com/" r:id="rId1" roundtripDataSignature="AMtx7mi6d6gdQNl1Ed/zNKEz1mNbtXcDjQ=="/>
    </ext>
  </extLst>
</comments>
</file>

<file path=xl/sharedStrings.xml><?xml version="1.0" encoding="utf-8"?>
<sst xmlns="http://schemas.openxmlformats.org/spreadsheetml/2006/main" count="10022" uniqueCount="3606">
  <si>
    <t>Pedro Resende</t>
  </si>
  <si>
    <t>Código</t>
  </si>
  <si>
    <t>Descrição</t>
  </si>
  <si>
    <t>Preço custo (COP)</t>
  </si>
  <si>
    <t>Valor de venda (COP)</t>
  </si>
  <si>
    <t>Preço custo (BRL)</t>
  </si>
  <si>
    <t>IOF</t>
  </si>
  <si>
    <t>Valor após IOF</t>
  </si>
  <si>
    <t>Valor de IOF Bruto</t>
  </si>
  <si>
    <t>Cotação COP</t>
  </si>
  <si>
    <t>Spread</t>
  </si>
  <si>
    <t>Cotação Real</t>
  </si>
  <si>
    <t>Valor SPREAD BRUTO</t>
  </si>
  <si>
    <t>Custo Convertido (US)</t>
  </si>
  <si>
    <t xml:space="preserve">Preço de venda </t>
  </si>
  <si>
    <t>Simples Nacional (%)</t>
  </si>
  <si>
    <t>Outros custos diretos (%)</t>
  </si>
  <si>
    <t>Comissão (R$)</t>
  </si>
  <si>
    <t>Margem bruta</t>
  </si>
  <si>
    <t>MARKUP</t>
  </si>
  <si>
    <t>MARKDOWN</t>
  </si>
  <si>
    <t xml:space="preserve">CLD </t>
  </si>
  <si>
    <t>Lancha-001</t>
  </si>
  <si>
    <t>Veleiro 5 pessoas - Lancha</t>
  </si>
  <si>
    <t>Lancha-003</t>
  </si>
  <si>
    <t>Veleiro 5 pessoas - Regular</t>
  </si>
  <si>
    <t>DEBCAR-001</t>
  </si>
  <si>
    <t>8 pessoas - Debora Carvalho - Regular</t>
  </si>
  <si>
    <t>DEBCAR-003</t>
  </si>
  <si>
    <t>8 pessoas - Debora Carvalho - Lancha</t>
  </si>
  <si>
    <t>DEBCAR-005</t>
  </si>
  <si>
    <t>5 pessoas - Debora Carvalho - Lancha + Bogota</t>
  </si>
  <si>
    <t>DEBCAR-006</t>
  </si>
  <si>
    <t>DEBCAR-007</t>
  </si>
  <si>
    <t xml:space="preserve">4 pessoas - Debora Carvalho - ctg + bog </t>
  </si>
  <si>
    <t>DEBCAR-008</t>
  </si>
  <si>
    <t>4 pessoas - Debora Carvalho - ctg + bog</t>
  </si>
  <si>
    <t>CLULIV-001</t>
  </si>
  <si>
    <t>12 pessoas - Clube do Livro</t>
  </si>
  <si>
    <t>CLULIV-003</t>
  </si>
  <si>
    <t>12 pessoas - Clube do Livro - Sem Sibarita</t>
  </si>
  <si>
    <t>CLULIV-005</t>
  </si>
  <si>
    <t>12 pessoas - Clube do Livro - Sem Sibarita  E LANCHA TOP</t>
  </si>
  <si>
    <t>CLULIV-007</t>
  </si>
  <si>
    <t>12 pessoas - Clube do Livro - AZIMUT 55</t>
  </si>
  <si>
    <t>MURCRU-001</t>
  </si>
  <si>
    <t>murilo cRUZ</t>
  </si>
  <si>
    <t>PATRIG-001</t>
  </si>
  <si>
    <t>Patricia Rigotto - renovacao votos</t>
  </si>
  <si>
    <t>SENODA-001</t>
  </si>
  <si>
    <t>Senhor Odair</t>
  </si>
  <si>
    <t>ANETUR-001</t>
  </si>
  <si>
    <t>Anetur</t>
  </si>
  <si>
    <t>AMAANT-001</t>
  </si>
  <si>
    <t>Amanda Antunes</t>
  </si>
  <si>
    <t>ANAPIM-001</t>
  </si>
  <si>
    <t>Ana Pimentel</t>
  </si>
  <si>
    <t>FERMEN-001</t>
  </si>
  <si>
    <t>Fer Mendes</t>
  </si>
  <si>
    <t>FABCAS-001</t>
  </si>
  <si>
    <t>FABIANA CASTERO</t>
  </si>
  <si>
    <t>analuciacardoso001</t>
  </si>
  <si>
    <t>ana lucia black friday</t>
  </si>
  <si>
    <t>DINARY</t>
  </si>
  <si>
    <t>Dinary</t>
  </si>
  <si>
    <t>GIULIA001</t>
  </si>
  <si>
    <t>Giulia Morais</t>
  </si>
  <si>
    <t>cha revelacao</t>
  </si>
  <si>
    <t>FERMEN-002</t>
  </si>
  <si>
    <t>ana caludia</t>
  </si>
  <si>
    <t>12 pax</t>
  </si>
  <si>
    <t>brielly10</t>
  </si>
  <si>
    <t>alice</t>
  </si>
  <si>
    <t>Mínimo 15 e máximo 23 pagantes + 1 TC free</t>
  </si>
  <si>
    <t>giselerodrigues001</t>
  </si>
  <si>
    <t>2 pax</t>
  </si>
  <si>
    <t>Valor de Custo(COP)</t>
  </si>
  <si>
    <t>Valor de venda(COP)</t>
  </si>
  <si>
    <t>Markup</t>
  </si>
  <si>
    <t>comissao</t>
  </si>
  <si>
    <t>Transfer in</t>
  </si>
  <si>
    <t>Guia</t>
  </si>
  <si>
    <t>Castelo</t>
  </si>
  <si>
    <t>Carro 4 horas</t>
  </si>
  <si>
    <t>água</t>
  </si>
  <si>
    <t>Lancha</t>
  </si>
  <si>
    <t>sibarita</t>
  </si>
  <si>
    <t>Parada Capri</t>
  </si>
  <si>
    <t>Transfer out</t>
  </si>
  <si>
    <t>Total</t>
  </si>
  <si>
    <t>Veleiro 5 pessoas - capri regular</t>
  </si>
  <si>
    <t>Capri</t>
  </si>
  <si>
    <t>IOF+ Spread</t>
  </si>
  <si>
    <t>tarifa fixa por transação na Colômbia</t>
  </si>
  <si>
    <t>INTER&gt;&gt; ITAU&gt;&gt; WISE&gt;&gt; COLÔMBIA</t>
  </si>
  <si>
    <t>Transfer in e out</t>
  </si>
  <si>
    <t xml:space="preserve">van 14 pax </t>
  </si>
  <si>
    <t>Sibarita</t>
  </si>
  <si>
    <t>Rosário del mar</t>
  </si>
  <si>
    <t>Jantar Ilha</t>
  </si>
  <si>
    <t>Macani</t>
  </si>
  <si>
    <t>total</t>
  </si>
  <si>
    <t>Lancha Privada</t>
  </si>
  <si>
    <t>Parada em Capri</t>
  </si>
  <si>
    <t>comissao tet</t>
  </si>
  <si>
    <t>valor por pax</t>
  </si>
  <si>
    <t>Walking tour 1</t>
  </si>
  <si>
    <t xml:space="preserve">Walking tour 2 </t>
  </si>
  <si>
    <t>Walking tour 3</t>
  </si>
  <si>
    <t>Walking tour 4</t>
  </si>
  <si>
    <t>Walking tour 5</t>
  </si>
  <si>
    <t>Walking tour 6</t>
  </si>
  <si>
    <t>Walking tour 7</t>
  </si>
  <si>
    <t>Walking tour 8</t>
  </si>
  <si>
    <t>Walking tour 9</t>
  </si>
  <si>
    <t>Walking tour 10</t>
  </si>
  <si>
    <t>Walking tour 11</t>
  </si>
  <si>
    <t>Walking tour 12</t>
  </si>
  <si>
    <t>Clube do livro</t>
  </si>
  <si>
    <t>Passeio</t>
  </si>
  <si>
    <t>Coralina</t>
  </si>
  <si>
    <t>transfer out</t>
  </si>
  <si>
    <t>parada bora vip</t>
  </si>
  <si>
    <t>Lancha Juan c transporte</t>
  </si>
  <si>
    <t>Jantar Fênix</t>
  </si>
  <si>
    <t>Transfer in e out - Marina</t>
  </si>
  <si>
    <t>Degustação de Café</t>
  </si>
  <si>
    <t>Clube do livro - LANCHA BRAVO 410</t>
  </si>
  <si>
    <t xml:space="preserve">WT </t>
  </si>
  <si>
    <t>wt gabo</t>
  </si>
  <si>
    <t xml:space="preserve">Parada em Coralina </t>
  </si>
  <si>
    <t>Clube do livro 001</t>
  </si>
  <si>
    <t>WT +wt gaboi</t>
  </si>
  <si>
    <t>5 pessoas - Debora Carvalho - bog e ctg 2026</t>
  </si>
  <si>
    <t>Transfer in e out Bog</t>
  </si>
  <si>
    <t>tour candelaria + monserrate. com guia port</t>
  </si>
  <si>
    <t>catderal sal guia + transporte</t>
  </si>
  <si>
    <t>transfer in e out ctg</t>
  </si>
  <si>
    <t>sabai</t>
  </si>
  <si>
    <t>Makani</t>
  </si>
  <si>
    <t>19.01 - trnasfer in bogq</t>
  </si>
  <si>
    <t>20.01 - catedral de sal - motorista e guia</t>
  </si>
  <si>
    <t xml:space="preserve">21.01 - walking tour candelaria + museu </t>
  </si>
  <si>
    <t>21.01 - transfer aero Bogota</t>
  </si>
  <si>
    <t>21.01 - Transfer in Aero Ctg</t>
  </si>
  <si>
    <t>Walking tour + visita ao castelo San felipe as 09 am</t>
  </si>
  <si>
    <t>22.01 - sibarita</t>
  </si>
  <si>
    <t>custo</t>
  </si>
  <si>
    <t>entrada</t>
  </si>
  <si>
    <t>DEBCAR-008 - final</t>
  </si>
  <si>
    <t>20.01 - catedral de sal - somente motorista</t>
  </si>
  <si>
    <t>trasnfer hotel marina hotel</t>
  </si>
  <si>
    <t xml:space="preserve">trasnfer out </t>
  </si>
  <si>
    <t>01 pax</t>
  </si>
  <si>
    <t>Nathalia Silva - 02PAX REEVEILLON</t>
  </si>
  <si>
    <t>walking tour</t>
  </si>
  <si>
    <t>capri</t>
  </si>
  <si>
    <t>catamara</t>
  </si>
  <si>
    <t>isla palma</t>
  </si>
  <si>
    <t>Fabiana Castro - 01 PAX</t>
  </si>
  <si>
    <t>walking tour andres</t>
  </si>
  <si>
    <t>catarama sunset</t>
  </si>
  <si>
    <t>-</t>
  </si>
  <si>
    <t>Ana Pimentel. - 02 pax</t>
  </si>
  <si>
    <t>17.02 - walking tour candelaria + monserrate</t>
  </si>
  <si>
    <t>Catedral de Sal</t>
  </si>
  <si>
    <t>tour comuna 13</t>
  </si>
  <si>
    <t>fazenda de cafe</t>
  </si>
  <si>
    <t>Luisa Lima</t>
  </si>
  <si>
    <t>bora vip</t>
  </si>
  <si>
    <t>pao pao</t>
  </si>
  <si>
    <t>Hevellin</t>
  </si>
  <si>
    <t>neto</t>
  </si>
  <si>
    <t>%</t>
  </si>
  <si>
    <t>valor por pessoa</t>
  </si>
  <si>
    <t>Fer Mendes 16 pax</t>
  </si>
  <si>
    <t xml:space="preserve">walking tour </t>
  </si>
  <si>
    <t>sunset master</t>
  </si>
  <si>
    <t>daira guia dia 2</t>
  </si>
  <si>
    <t>bautizo cafe san alberto</t>
  </si>
  <si>
    <t>aula salsa</t>
  </si>
  <si>
    <t xml:space="preserve">cooking class </t>
  </si>
  <si>
    <t>jantar fenix</t>
  </si>
  <si>
    <t>Transfer in 26 pax</t>
  </si>
  <si>
    <t>Transfer in  26 pax</t>
  </si>
  <si>
    <t>trasnfer restaurante hotel</t>
  </si>
  <si>
    <t>trasnfer in out sibas</t>
  </si>
  <si>
    <t>diaria guia dia 2</t>
  </si>
  <si>
    <t>trasnfer in out salsa class</t>
  </si>
  <si>
    <t>lancha privada bravo 410</t>
  </si>
  <si>
    <t>parada en coralina</t>
  </si>
  <si>
    <t>trasnfer in out  cooking class</t>
  </si>
  <si>
    <t>MAKANI</t>
  </si>
  <si>
    <t>04 pax - Debora Carvalho - bog e ctg 2026</t>
  </si>
  <si>
    <t>16.01 -Transfer in e out Bog</t>
  </si>
  <si>
    <t>17.01 - tour candelaria + monserrate. com guia port</t>
  </si>
  <si>
    <t>catderal sal guia regular</t>
  </si>
  <si>
    <t>rosario de mar</t>
  </si>
  <si>
    <t>venda</t>
  </si>
  <si>
    <t>Liliana001</t>
  </si>
  <si>
    <t xml:space="preserve">29/10 Walking Tour as 09hs </t>
  </si>
  <si>
    <t xml:space="preserve">30/10 Catamarã </t>
  </si>
  <si>
    <t xml:space="preserve">31/10 tour do cafe </t>
  </si>
  <si>
    <t xml:space="preserve">01/11 Isla Palma </t>
  </si>
  <si>
    <t xml:space="preserve">02/11 Coralina VIP </t>
  </si>
  <si>
    <t xml:space="preserve">jantar na ilha </t>
  </si>
  <si>
    <t>NETO</t>
  </si>
  <si>
    <t>VENDA</t>
  </si>
  <si>
    <t>LETICIA VENANCI -1 PAX</t>
  </si>
  <si>
    <t>07.11 - comuna 13</t>
  </si>
  <si>
    <t>09.11 - walking tour hernan</t>
  </si>
  <si>
    <t>09.'' - siba mastwer</t>
  </si>
  <si>
    <t>10.11 - bora bc</t>
  </si>
  <si>
    <t>11.11- pao poa</t>
  </si>
  <si>
    <t>TOTAL</t>
  </si>
  <si>
    <t>ENTRADA</t>
  </si>
  <si>
    <t>Liliana002</t>
  </si>
  <si>
    <t>Sumaica001</t>
  </si>
  <si>
    <t>22.10 top3</t>
  </si>
  <si>
    <t xml:space="preserve">23.10 Isla Palma </t>
  </si>
  <si>
    <t>Akemi001</t>
  </si>
  <si>
    <t>bonavida sunset</t>
  </si>
  <si>
    <t>paue</t>
  </si>
  <si>
    <t>Por pessoa</t>
  </si>
  <si>
    <t>Gravida</t>
  </si>
  <si>
    <t>Gravida Reembolso</t>
  </si>
  <si>
    <t>Devolução Capri</t>
  </si>
  <si>
    <t>Adicional Sabai</t>
  </si>
  <si>
    <t>Devolução Total</t>
  </si>
  <si>
    <t xml:space="preserve"> Total sabai</t>
  </si>
  <si>
    <t>reembolso</t>
  </si>
  <si>
    <t>Sabai</t>
  </si>
  <si>
    <t>Capri 2 Pessoas</t>
  </si>
  <si>
    <t>Walking tour</t>
  </si>
  <si>
    <t xml:space="preserve">entrada </t>
  </si>
  <si>
    <t>17.11 - wt herna</t>
  </si>
  <si>
    <t>bonavida ilhas</t>
  </si>
  <si>
    <t xml:space="preserve">coralina vip </t>
  </si>
  <si>
    <t>palma</t>
  </si>
  <si>
    <t>elson001</t>
  </si>
  <si>
    <t>walking</t>
  </si>
  <si>
    <t>trnasfer</t>
  </si>
  <si>
    <t>Neila001</t>
  </si>
  <si>
    <t>saldo</t>
  </si>
  <si>
    <t>Magda001</t>
  </si>
  <si>
    <t xml:space="preserve">sunset </t>
  </si>
  <si>
    <t>Fermendes001</t>
  </si>
  <si>
    <t>walking tour dia 1</t>
  </si>
  <si>
    <t>van 18 pax - 4 hs</t>
  </si>
  <si>
    <t>16 pax</t>
  </si>
  <si>
    <t>23 pax</t>
  </si>
  <si>
    <t>danilo</t>
  </si>
  <si>
    <t>* 13/05 Transfer In voo chegando às 04h00 madrugada</t>
  </si>
  <si>
    <t>* 13/05 City tour Bogotá à tarde</t>
  </si>
  <si>
    <t>guai en port</t>
  </si>
  <si>
    <t>* 14/05 passeio catedral de sal</t>
  </si>
  <si>
    <t>* 15/05 transfer out - voo às 13h00</t>
  </si>
  <si>
    <t>- 18/05 Transfer In voo 21h00</t>
  </si>
  <si>
    <t>trasnporte castelo</t>
  </si>
  <si>
    <t xml:space="preserve">- 19/05 walking tour com Castello </t>
  </si>
  <si>
    <t>castelo e agua</t>
  </si>
  <si>
    <t>19.05. sibarita master</t>
  </si>
  <si>
    <t>- 22/05 Transfer as 17h00</t>
  </si>
  <si>
    <t>Fermendes002</t>
  </si>
  <si>
    <t>delpho001</t>
  </si>
  <si>
    <t>coralina</t>
  </si>
  <si>
    <t>5 pessoas - Debora Carvalho - ctg</t>
  </si>
  <si>
    <t>rosario</t>
  </si>
  <si>
    <t>erika001</t>
  </si>
  <si>
    <t>walking 4 pax sem carro</t>
  </si>
  <si>
    <t>temporada baixa</t>
  </si>
  <si>
    <t>combo black friday - Caribe Classico</t>
  </si>
  <si>
    <t xml:space="preserve">frete + embalagem tacinhas </t>
  </si>
  <si>
    <t>siba</t>
  </si>
  <si>
    <t>temporada alta</t>
  </si>
  <si>
    <t>desconto pax</t>
  </si>
  <si>
    <t>day &amp; night</t>
  </si>
  <si>
    <t>fenix cena</t>
  </si>
  <si>
    <t>alta</t>
  </si>
  <si>
    <t>DESCONTO PAX</t>
  </si>
  <si>
    <t>baixa</t>
  </si>
  <si>
    <t>alma caribenha</t>
  </si>
  <si>
    <t>makani</t>
  </si>
  <si>
    <t>Cartagena vibes</t>
  </si>
  <si>
    <t>corona</t>
  </si>
  <si>
    <t>siba master</t>
  </si>
  <si>
    <t>frete + embalagem</t>
  </si>
  <si>
    <t xml:space="preserve">total </t>
  </si>
  <si>
    <t>cupom desconto black friday</t>
  </si>
  <si>
    <t>CARRRO 3 PESSOAS</t>
  </si>
  <si>
    <t>VAN 8 PAX</t>
  </si>
  <si>
    <t>VAN 14 Pax</t>
  </si>
  <si>
    <t>SPRINTER 18 PAX</t>
  </si>
  <si>
    <t>MICROBUS 26 PAX</t>
  </si>
  <si>
    <t>BUS 40 PAX</t>
  </si>
  <si>
    <t>19.01 - transfer in Bog</t>
  </si>
  <si>
    <t>20.01 - catedral de sal com guia</t>
  </si>
  <si>
    <t>21.01 - tour candelaria + museo guia port</t>
  </si>
  <si>
    <t>21.01 - Transfer out Bog</t>
  </si>
  <si>
    <t>21.01 - transfer in - CTG</t>
  </si>
  <si>
    <t>22.01 - walking</t>
  </si>
  <si>
    <t>22.01 - siba master</t>
  </si>
  <si>
    <t>23.01 - capri</t>
  </si>
  <si>
    <t>24.01 - makani</t>
  </si>
  <si>
    <t>25.01 - livre</t>
  </si>
  <si>
    <t>26.01 - trsf out ctg</t>
  </si>
  <si>
    <t>hometravel001</t>
  </si>
  <si>
    <t>transfers in and out</t>
  </si>
  <si>
    <t>bora vip terraza</t>
  </si>
  <si>
    <t>lancha</t>
  </si>
  <si>
    <t>hometravel002</t>
  </si>
  <si>
    <t>coralina ou capri</t>
  </si>
  <si>
    <t xml:space="preserve">capri </t>
  </si>
  <si>
    <t xml:space="preserve">capri open </t>
  </si>
  <si>
    <t>capri 2026</t>
  </si>
  <si>
    <t>Leticia cha revelacao</t>
  </si>
  <si>
    <t>boats 4 u</t>
  </si>
  <si>
    <t>andre Camargo</t>
  </si>
  <si>
    <t>Bogotá La Candelaria + Museu + Monteserrat</t>
  </si>
  <si>
    <t>Catedral de Sal Zipaquirá</t>
  </si>
  <si>
    <t>Aviário de Cartagena</t>
  </si>
  <si>
    <t>Walking Tour + Castelo San Felipe (à tarde)</t>
  </si>
  <si>
    <t>Ilha Capri Open</t>
  </si>
  <si>
    <t>Sunset Sibarita Master (</t>
  </si>
  <si>
    <t>Michele França</t>
  </si>
  <si>
    <t>top 3</t>
  </si>
  <si>
    <t>Lorena Larissa de Souza</t>
  </si>
  <si>
    <t>roario de mar</t>
  </si>
  <si>
    <t>rosario nino 7 anos</t>
  </si>
  <si>
    <t>VENDA BAIXA</t>
  </si>
  <si>
    <t>elson day &amp; night</t>
  </si>
  <si>
    <t>desconto</t>
  </si>
  <si>
    <t>Dinary Reis 04 pax</t>
  </si>
  <si>
    <t>03.01 - tour escala Bogota</t>
  </si>
  <si>
    <t>03.01 - trasnfer in ctg</t>
  </si>
  <si>
    <t>04.01 - capri</t>
  </si>
  <si>
    <t>05.01 - coralina</t>
  </si>
  <si>
    <t>06.01 - bora vip</t>
  </si>
  <si>
    <t>07.01 - trsf out</t>
  </si>
  <si>
    <t>promo</t>
  </si>
  <si>
    <t>ericatannus001</t>
  </si>
  <si>
    <t>caribe clasico com corona</t>
  </si>
  <si>
    <t>Ana Lucia Cardoso001</t>
  </si>
  <si>
    <t>preco concorrencia</t>
  </si>
  <si>
    <t>Briely10pax</t>
  </si>
  <si>
    <t>bora bc</t>
  </si>
  <si>
    <t>origami001</t>
  </si>
  <si>
    <t>13/05 Transfer In voo chegando às 04h00 madrugada</t>
  </si>
  <si>
    <t>13/05 City tour Bogotá à tarde</t>
  </si>
  <si>
    <t>4/05 passeio catedral de sal</t>
  </si>
  <si>
    <t>15/05 transfer out - voo às 13h00</t>
  </si>
  <si>
    <t>18/05 Transfer In voo 21h00 - ctg</t>
  </si>
  <si>
    <t>19/05 walking tour com Castell</t>
  </si>
  <si>
    <t>Sibarita Master</t>
  </si>
  <si>
    <t>beach club</t>
  </si>
  <si>
    <t>transfers out</t>
  </si>
  <si>
    <t>alice assad</t>
  </si>
  <si>
    <t>Walking CTG 325.000</t>
  </si>
  <si>
    <t>Tour Bogotá 730.000</t>
  </si>
  <si>
    <t>Catedral 850.000</t>
  </si>
  <si>
    <t>roberta001</t>
  </si>
  <si>
    <t>transfer in</t>
  </si>
  <si>
    <t>rene001</t>
  </si>
  <si>
    <t>josefelix001</t>
  </si>
  <si>
    <t>aviario</t>
  </si>
  <si>
    <t>thamires001</t>
  </si>
  <si>
    <t>Mariana Sarubby Gonzalez</t>
  </si>
  <si>
    <t>ebntrada</t>
  </si>
  <si>
    <t>LETÍCIA RANALLE ELEUTERIO</t>
  </si>
  <si>
    <t>Patrícia Gaino</t>
  </si>
  <si>
    <t>mauricio001</t>
  </si>
  <si>
    <t>Baru - Sofitel 2</t>
  </si>
  <si>
    <t>trasnporte</t>
  </si>
  <si>
    <t xml:space="preserve">Rosário de Mar </t>
  </si>
  <si>
    <t>andrea duarte001</t>
  </si>
  <si>
    <t>Ana Claudia França</t>
  </si>
  <si>
    <t>lancha privada 13 pax</t>
  </si>
  <si>
    <t>snorkel</t>
  </si>
  <si>
    <t xml:space="preserve">parada en capri </t>
  </si>
  <si>
    <t>Angelica Bezerra - 2 pax</t>
  </si>
  <si>
    <t>Sibarita Master Sunse</t>
  </si>
  <si>
    <t xml:space="preserve">Bora Bora VIP </t>
  </si>
  <si>
    <t>23/11 Corona</t>
  </si>
  <si>
    <t>transfer in e out</t>
  </si>
  <si>
    <t>Angelica Bezerra - 2 pax s transfer</t>
  </si>
  <si>
    <t>entrda</t>
  </si>
  <si>
    <t>felipecordova001</t>
  </si>
  <si>
    <t>walking andres</t>
  </si>
  <si>
    <t>cena fenix + decoracao</t>
  </si>
  <si>
    <t>julianapena001</t>
  </si>
  <si>
    <t>felipecordova002</t>
  </si>
  <si>
    <t>rosario open</t>
  </si>
  <si>
    <t>capri premium</t>
  </si>
  <si>
    <t>ana webber</t>
  </si>
  <si>
    <t>alondra 4 hs 12 pax</t>
  </si>
  <si>
    <t>hernan gabo</t>
  </si>
  <si>
    <t>claudia bruce</t>
  </si>
  <si>
    <t>walikng andres</t>
  </si>
  <si>
    <t>alondra</t>
  </si>
  <si>
    <t>homero</t>
  </si>
  <si>
    <t>Corona - 850.000</t>
  </si>
  <si>
    <t>Palma - 530.000</t>
  </si>
  <si>
    <t>Paue - 490.00</t>
  </si>
  <si>
    <t>ana webber 12 pax</t>
  </si>
  <si>
    <t xml:space="preserve">lancha bravo 410 </t>
  </si>
  <si>
    <t xml:space="preserve">parada en coralina </t>
  </si>
  <si>
    <t>parada en capri</t>
  </si>
  <si>
    <t>sonego001</t>
  </si>
  <si>
    <t>bora bx</t>
  </si>
  <si>
    <t>felipecordova003</t>
  </si>
  <si>
    <t>felipe almeida</t>
  </si>
  <si>
    <t>Juliana Nozue001</t>
  </si>
  <si>
    <t>26/12 Capri</t>
  </si>
  <si>
    <t xml:space="preserve"> 28/12 Palma</t>
  </si>
  <si>
    <t xml:space="preserve"> 30/12 Rosário de Mar</t>
  </si>
  <si>
    <t>brielly10pax</t>
  </si>
  <si>
    <t>Luiza Chiarion 04 PAX</t>
  </si>
  <si>
    <t>30/12 Capri</t>
  </si>
  <si>
    <t xml:space="preserve"> 31/12 Pao Pao </t>
  </si>
  <si>
    <t xml:space="preserve">02/01 Palma </t>
  </si>
  <si>
    <t xml:space="preserve">03/01 Sibarita Master </t>
  </si>
  <si>
    <t>04/01 Paue</t>
  </si>
  <si>
    <t>matheus</t>
  </si>
  <si>
    <t xml:space="preserve">17/12 Transfer in as 08:41 Vôo CM 161 </t>
  </si>
  <si>
    <t xml:space="preserve">Sibarita Master Sunset </t>
  </si>
  <si>
    <t xml:space="preserve">18/12 Bora Bora Vip </t>
  </si>
  <si>
    <t>Walking Tour as 09hs</t>
  </si>
  <si>
    <t xml:space="preserve"> 20/12 Capri </t>
  </si>
  <si>
    <t xml:space="preserve">21/12 Coralina + oceanario </t>
  </si>
  <si>
    <t>22/12 Transfer out as 03:25 Vôo CM203</t>
  </si>
  <si>
    <t>ana webeer</t>
  </si>
  <si>
    <t>cooking class</t>
  </si>
  <si>
    <t>fritos</t>
  </si>
  <si>
    <t>cceviche</t>
  </si>
  <si>
    <t>marcela pirees</t>
  </si>
  <si>
    <t>mauricio002</t>
  </si>
  <si>
    <t>sofitel</t>
  </si>
  <si>
    <t>brielly002</t>
  </si>
  <si>
    <t>ju nozue 002</t>
  </si>
  <si>
    <t>fernanda colletti</t>
  </si>
  <si>
    <t>transfer in bog</t>
  </si>
  <si>
    <t>transfer restaurante</t>
  </si>
  <si>
    <t>tour candelaria+ monserrate</t>
  </si>
  <si>
    <t>guia em portugues</t>
  </si>
  <si>
    <t>transer restaurante</t>
  </si>
  <si>
    <t>catedral sal</t>
  </si>
  <si>
    <t>transfer restaurantes</t>
  </si>
  <si>
    <t>transfer out bog</t>
  </si>
  <si>
    <t>transfer in ctg</t>
  </si>
  <si>
    <t>walking tour + castelo</t>
  </si>
  <si>
    <t>carro walking tour</t>
  </si>
  <si>
    <t xml:space="preserve">  </t>
  </si>
  <si>
    <t>lancha privada</t>
  </si>
  <si>
    <t>parada coralina</t>
  </si>
  <si>
    <t>transfer out fenix</t>
  </si>
  <si>
    <t xml:space="preserve">   </t>
  </si>
  <si>
    <t>transfer</t>
  </si>
  <si>
    <t>Ingrid Monteiro</t>
  </si>
  <si>
    <t>COMBO CARIBE COM CAPRI PREMIUM</t>
  </si>
  <si>
    <t>feliepealmeida002</t>
  </si>
  <si>
    <t>Coralina bay side</t>
  </si>
  <si>
    <t>islabela</t>
  </si>
  <si>
    <t>isla del sol</t>
  </si>
  <si>
    <t>carlosaorares002</t>
  </si>
  <si>
    <t>transfer black</t>
  </si>
  <si>
    <t>bora vip´</t>
  </si>
  <si>
    <t>transfer out black</t>
  </si>
  <si>
    <t>marcelina</t>
  </si>
  <si>
    <t>bora</t>
  </si>
  <si>
    <t>clase fritos</t>
  </si>
  <si>
    <t>indira</t>
  </si>
  <si>
    <t>capri chd</t>
  </si>
  <si>
    <t>makani chd</t>
  </si>
  <si>
    <t>Bruno</t>
  </si>
  <si>
    <t>igor</t>
  </si>
  <si>
    <t>ilha bora bora comum</t>
  </si>
  <si>
    <t>Paue</t>
  </si>
  <si>
    <t>jantar em fênix</t>
  </si>
  <si>
    <t>Aviário</t>
  </si>
  <si>
    <t>City tour</t>
  </si>
  <si>
    <t>igor002</t>
  </si>
  <si>
    <t>igor003</t>
  </si>
  <si>
    <t>igor004</t>
  </si>
  <si>
    <t>fermendes</t>
  </si>
  <si>
    <t>city tour</t>
  </si>
  <si>
    <t>mayara urbano</t>
  </si>
  <si>
    <t xml:space="preserve">wt </t>
  </si>
  <si>
    <t>Damaris Ortolan</t>
  </si>
  <si>
    <t>31/12 Bora Bora</t>
  </si>
  <si>
    <t xml:space="preserve"> 01/01 Coralina </t>
  </si>
  <si>
    <t>02/01 Corona 0</t>
  </si>
  <si>
    <t xml:space="preserve">3/01 Walking Tour as 09 </t>
  </si>
  <si>
    <t>Sibarita master Sunset</t>
  </si>
  <si>
    <t>leonardo siano</t>
  </si>
  <si>
    <t>fernanda colletti002</t>
  </si>
  <si>
    <t>parada capri</t>
  </si>
  <si>
    <t>TRASNFER LUNATICO</t>
  </si>
  <si>
    <t>decoracao ninho</t>
  </si>
  <si>
    <t>aula de salsa</t>
  </si>
  <si>
    <t>fernanda colletti003</t>
  </si>
  <si>
    <t>Luciane Leal</t>
  </si>
  <si>
    <t>renata</t>
  </si>
  <si>
    <t xml:space="preserve"> Top 3 Islas</t>
  </si>
  <si>
    <t xml:space="preserve">Walking tour </t>
  </si>
  <si>
    <t>Capri CLASSIC</t>
  </si>
  <si>
    <t xml:space="preserve"> patricia gaino 002</t>
  </si>
  <si>
    <t>catedral com guia e carro</t>
  </si>
  <si>
    <t>Patrick Marques da Silva</t>
  </si>
  <si>
    <t>Carla Borges</t>
  </si>
  <si>
    <t>marcela zebra</t>
  </si>
  <si>
    <t>wt andres</t>
  </si>
  <si>
    <t>manuela grill 07adt +1 nino 5 anos</t>
  </si>
  <si>
    <t>trasnfer in bog</t>
  </si>
  <si>
    <t>candelaria + mnuseo bog</t>
  </si>
  <si>
    <t>trasner in ctg</t>
  </si>
  <si>
    <t>parada em capri</t>
  </si>
  <si>
    <t>Ana Flavia 06 pax crucero</t>
  </si>
  <si>
    <t>maria eduardo</t>
  </si>
  <si>
    <t>Josenilda Santos</t>
  </si>
  <si>
    <t>Thibis Rebellato</t>
  </si>
  <si>
    <t>30/12 Corona</t>
  </si>
  <si>
    <t>02/01 Palma</t>
  </si>
  <si>
    <t>priscilla ferreira</t>
  </si>
  <si>
    <t>capri clasic</t>
  </si>
  <si>
    <t>speradnio</t>
  </si>
  <si>
    <t>17/01 Sibarita Master Sunset - COP 250.000 - solicitado</t>
  </si>
  <si>
    <t>19/01 Sabai Beach Club - COP 520.000 - solicitado</t>
  </si>
  <si>
    <t>20/01 Corona - COP 800.000 - solicitado</t>
  </si>
  <si>
    <t>deborah dinelly</t>
  </si>
  <si>
    <t>CAPRI</t>
  </si>
  <si>
    <t xml:space="preserve">ENTRADA </t>
  </si>
  <si>
    <t>Bruno Coelho</t>
  </si>
  <si>
    <t>28/12 Capri</t>
  </si>
  <si>
    <t xml:space="preserve">29/12 Walking as 09 </t>
  </si>
  <si>
    <t>30/12 Bora Bora VIP</t>
  </si>
  <si>
    <t>sunset</t>
  </si>
  <si>
    <t>luciane leal 002</t>
  </si>
  <si>
    <t>layla mendes</t>
  </si>
  <si>
    <t>capri classic</t>
  </si>
  <si>
    <t>thaisa camargo001</t>
  </si>
  <si>
    <t>30/12 Top 3</t>
  </si>
  <si>
    <t>31/12 Walking Tour</t>
  </si>
  <si>
    <t>01/01 Capri</t>
  </si>
  <si>
    <t>02/01 hop on hop of</t>
  </si>
  <si>
    <t>thaisa camargo002 - desconto</t>
  </si>
  <si>
    <t>29/12 Transfer in Cartagena as 10:30</t>
  </si>
  <si>
    <t xml:space="preserve">02/01 Transfer out Cartagena </t>
  </si>
  <si>
    <t>Transfer in Bogot</t>
  </si>
  <si>
    <t>02/01 City tour Bogotá privado</t>
  </si>
  <si>
    <t>03/01 Transfer out Bogotá</t>
  </si>
  <si>
    <t>layla 002</t>
  </si>
  <si>
    <t>Patrícia Santos 001</t>
  </si>
  <si>
    <t xml:space="preserve">walking </t>
  </si>
  <si>
    <t xml:space="preserve">Palma </t>
  </si>
  <si>
    <t>Bora Bora VIP</t>
  </si>
  <si>
    <t>Transfers</t>
  </si>
  <si>
    <t>Isabella Lauar</t>
  </si>
  <si>
    <t>candelaria + monserrate</t>
  </si>
  <si>
    <t>tatiane zardo</t>
  </si>
  <si>
    <t>transfers</t>
  </si>
  <si>
    <t>douglas toroco</t>
  </si>
  <si>
    <t>dinary</t>
  </si>
  <si>
    <t>transfer bog</t>
  </si>
  <si>
    <t>noite de tejo e salsa</t>
  </si>
  <si>
    <t>walking tour candelaria</t>
  </si>
  <si>
    <t>trasnfer out</t>
  </si>
  <si>
    <t>eduardo alves 4 pax</t>
  </si>
  <si>
    <t>28/12 Chegada em Cartagena as 15:40 + Transfer in</t>
  </si>
  <si>
    <t>29/12 Walking Tour às 09hs</t>
  </si>
  <si>
    <t>01/01 Atardecer no iate</t>
  </si>
  <si>
    <t>02/01 Coralina</t>
  </si>
  <si>
    <t>04/01/2025 - transfer out alondra</t>
  </si>
  <si>
    <t>walink candelaria regular</t>
  </si>
  <si>
    <t>catedral compartilhado</t>
  </si>
  <si>
    <t>trasnfer walking tour</t>
  </si>
  <si>
    <t xml:space="preserve">transfer </t>
  </si>
  <si>
    <t>dinary final</t>
  </si>
  <si>
    <t>candelaria privadop</t>
  </si>
  <si>
    <t>tania</t>
  </si>
  <si>
    <t xml:space="preserve">Capri Premium </t>
  </si>
  <si>
    <t xml:space="preserve"> Bora Bora VIP </t>
  </si>
  <si>
    <t xml:space="preserve"> Rosario de Mar </t>
  </si>
  <si>
    <t xml:space="preserve"> Corona </t>
  </si>
  <si>
    <t>bora 2026</t>
  </si>
  <si>
    <t>AREA CLUB</t>
  </si>
  <si>
    <t>AREA VIP</t>
  </si>
  <si>
    <t>TOP 3</t>
  </si>
  <si>
    <t>micaela</t>
  </si>
  <si>
    <t>bora comum</t>
  </si>
  <si>
    <t xml:space="preserve">top 3 </t>
  </si>
  <si>
    <t>vip</t>
  </si>
  <si>
    <t>xorona</t>
  </si>
  <si>
    <t xml:space="preserve">amanda porfirio </t>
  </si>
  <si>
    <t>29/12 Coralina + oceanário</t>
  </si>
  <si>
    <t>31/12 Aviário</t>
  </si>
  <si>
    <t>01/01 Bora Bora</t>
  </si>
  <si>
    <t>milena vale</t>
  </si>
  <si>
    <t>05/01/2026 Transfer in as 14:02 Voo CM 304</t>
  </si>
  <si>
    <t>05/01/2026 Sunset Sibarita master  - solicitadpo</t>
  </si>
  <si>
    <t>07/01/2026 Top 3 ilhas</t>
  </si>
  <si>
    <t>10/01/2026 Transfer out as 03:24hs Voo CM203</t>
  </si>
  <si>
    <t>Wilian Saibel -</t>
  </si>
  <si>
    <t>30/12 Capri Premium</t>
  </si>
  <si>
    <t>31/12 Paue</t>
  </si>
  <si>
    <t>02/01 Catamarã Ilhas</t>
  </si>
  <si>
    <t>03/01 Bora Bora VIP</t>
  </si>
  <si>
    <t>05/01 Rosário de Mar</t>
  </si>
  <si>
    <t>06/01 Sibarita Master Sunset</t>
  </si>
  <si>
    <t>Luciana Donegate</t>
  </si>
  <si>
    <t>tortal</t>
  </si>
  <si>
    <t>fabio ambrosio 4 pax</t>
  </si>
  <si>
    <t xml:space="preserve">Coralina Bayside </t>
  </si>
  <si>
    <t>Isla Palma ⁠</t>
  </si>
  <si>
    <t>ANA BEATRIZ</t>
  </si>
  <si>
    <t>rosarii</t>
  </si>
  <si>
    <t>rodrigo machadao</t>
  </si>
  <si>
    <t>coralina viop</t>
  </si>
  <si>
    <t>marcela heitor</t>
  </si>
  <si>
    <t xml:space="preserve">13/01 - candelaria + museo com guia em portugues </t>
  </si>
  <si>
    <t xml:space="preserve">13/01 - candelaria + museo +monserrate com guia em portugues </t>
  </si>
  <si>
    <t>Juliana Guareschi</t>
  </si>
  <si>
    <t>— 12.01 seg bora bora vip</t>
  </si>
  <si>
    <t>— 13.01 ter 10h30 Culinária</t>
  </si>
  <si>
    <t>castelo SAN Felipe - Walk tour</t>
  </si>
  <si>
    <t>isabella marcuzzo</t>
  </si>
  <si>
    <t>lara lu</t>
  </si>
  <si>
    <t>capri prmeium</t>
  </si>
  <si>
    <t>sibartia</t>
  </si>
  <si>
    <t>vJuliana Guareschi</t>
  </si>
  <si>
    <t>mauricio pauleti</t>
  </si>
  <si>
    <t>árada em capri</t>
  </si>
  <si>
    <t>felipe samir</t>
  </si>
  <si>
    <t>PAUE</t>
  </si>
  <si>
    <t>marcia goiareb</t>
  </si>
  <si>
    <t>tota</t>
  </si>
  <si>
    <t>ebtrada</t>
  </si>
  <si>
    <t>juliana dnha</t>
  </si>
  <si>
    <t>kAUA FREITAS</t>
  </si>
  <si>
    <t>Capri premium</t>
  </si>
  <si>
    <t>Alexandre Nascimento</t>
  </si>
  <si>
    <t>02/03 Bora Bora VIP</t>
  </si>
  <si>
    <t xml:space="preserve">03/03 Walking Tour as 09  </t>
  </si>
  <si>
    <t>04/03 Palma</t>
  </si>
  <si>
    <t>05/03 Corona</t>
  </si>
  <si>
    <t>flavia viagens</t>
  </si>
  <si>
    <t>walking tour 30 pax</t>
  </si>
  <si>
    <t>bus 30 pax</t>
  </si>
  <si>
    <t xml:space="preserve">jooa guilherme </t>
  </si>
  <si>
    <t>16/02 (segunda) - Catedral de Sal</t>
  </si>
  <si>
    <t>20/02 (sexta) - Guatapé</t>
  </si>
  <si>
    <t>26/02 (quinta) - Isla Palma</t>
  </si>
  <si>
    <t>27/02 (sexta) - Capr</t>
  </si>
  <si>
    <t>02/03 Bora Bora comum</t>
  </si>
  <si>
    <t>Alexandre Lobo</t>
  </si>
  <si>
    <t/>
  </si>
  <si>
    <t>wr herna</t>
  </si>
  <si>
    <t>alexandre desconto</t>
  </si>
  <si>
    <t>hernan</t>
  </si>
  <si>
    <t>Fabiane Cristina Seniski</t>
  </si>
  <si>
    <t>Marcelo Polli</t>
  </si>
  <si>
    <t>wrt herna</t>
  </si>
  <si>
    <t>carro alondra 2 hs</t>
  </si>
  <si>
    <t>Daiana Bundchen</t>
  </si>
  <si>
    <t>wt herna</t>
  </si>
  <si>
    <t>carro alondra</t>
  </si>
  <si>
    <t>Edinar Andrada</t>
  </si>
  <si>
    <t>transf in out</t>
  </si>
  <si>
    <t>Talitha Aparecida Cândido</t>
  </si>
  <si>
    <t>wt hernan</t>
  </si>
  <si>
    <t>arine silva</t>
  </si>
  <si>
    <t>vinicus figueiredo</t>
  </si>
  <si>
    <t>leonardo falcao</t>
  </si>
  <si>
    <t>Catamarã islas</t>
  </si>
  <si>
    <t xml:space="preserve"> Top 3 </t>
  </si>
  <si>
    <t xml:space="preserve">Walking Tour </t>
  </si>
  <si>
    <t xml:space="preserve">isla Palma </t>
  </si>
  <si>
    <t>Catedral de Sal + Guatavita</t>
  </si>
  <si>
    <t>fabio ambrosio bog</t>
  </si>
  <si>
    <t>guatavita + zipa</t>
  </si>
  <si>
    <t>]</t>
  </si>
  <si>
    <t>ivana pedretti</t>
  </si>
  <si>
    <t>Jeniffer Rendoke</t>
  </si>
  <si>
    <t>corono</t>
  </si>
  <si>
    <t>desconto 10%</t>
  </si>
  <si>
    <t>Claudia Hervatin</t>
  </si>
  <si>
    <t>wt herna + alondra</t>
  </si>
  <si>
    <t>rafaela nascimento</t>
  </si>
  <si>
    <t>roario de maer</t>
  </si>
  <si>
    <t>fernando toledo</t>
  </si>
  <si>
    <t xml:space="preserve">emmily </t>
  </si>
  <si>
    <t>caroline zimmerman</t>
  </si>
  <si>
    <t xml:space="preserve">paue </t>
  </si>
  <si>
    <t>Bruna Curacao</t>
  </si>
  <si>
    <t>degustação de rum</t>
  </si>
  <si>
    <t>janaina 10 pax</t>
  </si>
  <si>
    <t>wt castelo single</t>
  </si>
  <si>
    <t>werlcome touur</t>
  </si>
  <si>
    <t>Tatiana Mansur</t>
  </si>
  <si>
    <t>13/02 Jantar em Fênix com ninho</t>
  </si>
  <si>
    <t>14/02 Coralina VIP</t>
  </si>
  <si>
    <t>16/02 Bora Bora VIP</t>
  </si>
  <si>
    <t>17/02 Capri</t>
  </si>
  <si>
    <t>Fernanda Truch</t>
  </si>
  <si>
    <t>Caroline Santos</t>
  </si>
  <si>
    <t>20/02 - Capri</t>
  </si>
  <si>
    <t xml:space="preserve">22/02 - Bora Bora </t>
  </si>
  <si>
    <t>24/02 - Makani</t>
  </si>
  <si>
    <t>Bruna Salvador</t>
  </si>
  <si>
    <t>mergulho iniciante</t>
  </si>
  <si>
    <t>Beatriz rOSA</t>
  </si>
  <si>
    <t>WT ANDRES</t>
  </si>
  <si>
    <t>Monniely Andrade</t>
  </si>
  <si>
    <t>lancha Firpol 33 - LM</t>
  </si>
  <si>
    <t>8 oax</t>
  </si>
  <si>
    <t xml:space="preserve">Bora Bora </t>
  </si>
  <si>
    <t xml:space="preserve">PAO PAO </t>
  </si>
  <si>
    <t>CORONA</t>
  </si>
  <si>
    <t>thayza</t>
  </si>
  <si>
    <t>SALDO</t>
  </si>
  <si>
    <t xml:space="preserve">Isabela </t>
  </si>
  <si>
    <t>totla</t>
  </si>
  <si>
    <t>Elis</t>
  </si>
  <si>
    <t>medellin con guia en port e transfers</t>
  </si>
  <si>
    <t>medellin en esp e transfer</t>
  </si>
  <si>
    <t>KARINA RODRIGUES 5 PAX</t>
  </si>
  <si>
    <t>ISLA PALMA</t>
  </si>
  <si>
    <t>ROSARIO</t>
  </si>
  <si>
    <t>Evaldo Oliveira</t>
  </si>
  <si>
    <t>6 pax</t>
  </si>
  <si>
    <t>mriana cardosos</t>
  </si>
  <si>
    <t>coraliona</t>
  </si>
  <si>
    <t>vitor lacerda</t>
  </si>
  <si>
    <t>wt andres sen castillo</t>
  </si>
  <si>
    <t>thayza final</t>
  </si>
  <si>
    <t>thayza 2 pax</t>
  </si>
  <si>
    <t>caio scorsi</t>
  </si>
  <si>
    <t>roasio</t>
  </si>
  <si>
    <t>fer mendes - 09 pax</t>
  </si>
  <si>
    <t>hernan full day</t>
  </si>
  <si>
    <t>hernan full day + castelo</t>
  </si>
  <si>
    <t>trasnfer in out siba</t>
  </si>
  <si>
    <t>sibarita master</t>
  </si>
  <si>
    <t xml:space="preserve">jsntar </t>
  </si>
  <si>
    <t xml:space="preserve">Ana </t>
  </si>
  <si>
    <t>transfer in sofitel 14 PAX</t>
  </si>
  <si>
    <t xml:space="preserve">aNA </t>
  </si>
  <si>
    <t xml:space="preserve">TRANSFER IN E OUT - 5 PAX  </t>
  </si>
  <si>
    <t>TRANSFER IN OUT - 4 PAX</t>
  </si>
  <si>
    <t>WALKING TOUR HERNA</t>
  </si>
  <si>
    <t>leila prado</t>
  </si>
  <si>
    <t>rosario mar chd</t>
  </si>
  <si>
    <t>Jéssica Lemela</t>
  </si>
  <si>
    <t xml:space="preserve">siba </t>
  </si>
  <si>
    <t>Claudia Correa</t>
  </si>
  <si>
    <t>carolina parreira</t>
  </si>
  <si>
    <t>evalodo</t>
  </si>
  <si>
    <t>caroline santos</t>
  </si>
  <si>
    <t>22/02 - Isla Palma (2 pax) 24/02 - Makani (1 pax)</t>
  </si>
  <si>
    <t xml:space="preserve">20/02 - Bora Bora (2 pax) </t>
  </si>
  <si>
    <t>Makani (1 pax)</t>
  </si>
  <si>
    <t>jaeuline sloma</t>
  </si>
  <si>
    <t>leandro</t>
  </si>
  <si>
    <t>capri premim</t>
  </si>
  <si>
    <t>felipe santana</t>
  </si>
  <si>
    <t>daniela mv friends</t>
  </si>
  <si>
    <t>transfer chegada em Bogotá para 4 pessoas</t>
  </si>
  <si>
    <t>2) tour guiado em Bogotá no dia 23/3 pela manhã para 6 pessoas</t>
  </si>
  <si>
    <t>3) transfer hotel - aeroporto em Bogotá para 6 pessoas</t>
  </si>
  <si>
    <t>4) tour guiado em Cartagena no dia 26/3 pela manhã para 6 pessoas</t>
  </si>
  <si>
    <t>5) passeio ilha capri</t>
  </si>
  <si>
    <t>6) passeio ilha Rosário del mar</t>
  </si>
  <si>
    <t>7) transferout</t>
  </si>
  <si>
    <t>totakl</t>
  </si>
  <si>
    <t>Fernanda Tadeu</t>
  </si>
  <si>
    <t>16/02 Atardecer em Catamaran ✔️</t>
  </si>
  <si>
    <t>17/02 Rosário de Mar + Oceanário ✔️</t>
  </si>
  <si>
    <t>18/02 Isla Palma ✔️</t>
  </si>
  <si>
    <t>19/02 Pauê</t>
  </si>
  <si>
    <t>Omar Zebian</t>
  </si>
  <si>
    <t xml:space="preserve">Capri premium </t>
  </si>
  <si>
    <t xml:space="preserve">Isla Palma </t>
  </si>
  <si>
    <t xml:space="preserve"> Bora Bora </t>
  </si>
  <si>
    <t>paula carreira</t>
  </si>
  <si>
    <t>08/03 Chegada as 08:41 + Walking tour as 14hs</t>
  </si>
  <si>
    <t xml:space="preserve">09/03 Aviário </t>
  </si>
  <si>
    <t>sunsete</t>
  </si>
  <si>
    <t>10/03 Top 3</t>
  </si>
  <si>
    <t>11/03 Palma</t>
  </si>
  <si>
    <t>12/03 Capri</t>
  </si>
  <si>
    <t>13/03 Rosário de Mar + oceanário</t>
  </si>
  <si>
    <t>Marcelo</t>
  </si>
  <si>
    <t>isla bela</t>
  </si>
  <si>
    <t>etrada</t>
  </si>
  <si>
    <t xml:space="preserve">karine </t>
  </si>
  <si>
    <t>coralina vip</t>
  </si>
  <si>
    <t>Jéssica Brayner</t>
  </si>
  <si>
    <t>top3</t>
  </si>
  <si>
    <t>Isla palma</t>
  </si>
  <si>
    <t>Capri Premium</t>
  </si>
  <si>
    <t>Entrada</t>
  </si>
  <si>
    <t>Carol Moura - 33 pax</t>
  </si>
  <si>
    <t>trasnfer</t>
  </si>
  <si>
    <t>almuerzo candé</t>
  </si>
  <si>
    <t>cooking class + bazurto</t>
  </si>
  <si>
    <t>guia</t>
  </si>
  <si>
    <t>transporte</t>
  </si>
  <si>
    <t>palenque</t>
  </si>
  <si>
    <t>danissa foz</t>
  </si>
  <si>
    <t xml:space="preserve">trasnfer in + out </t>
  </si>
  <si>
    <t xml:space="preserve"> CATARATAS LADO BRASILEIRO</t>
  </si>
  <si>
    <t xml:space="preserve"> CATARATAS LADO ARGENTINO</t>
  </si>
  <si>
    <t>MARCO DAS TRÊS FRONTEIRAS PÔR DO SO</t>
  </si>
  <si>
    <t>MADERO TANGO JANTAR SHOW MENU PREMIUM</t>
  </si>
  <si>
    <t xml:space="preserve"> PARQUE DAS AVES SEM INGRESSO</t>
  </si>
  <si>
    <t xml:space="preserve">fee </t>
  </si>
  <si>
    <t>total + fee</t>
  </si>
  <si>
    <t xml:space="preserve">Alice Assad </t>
  </si>
  <si>
    <t>ciudad bolivar</t>
  </si>
  <si>
    <t>Diego Blond</t>
  </si>
  <si>
    <t>Palma</t>
  </si>
  <si>
    <t>com 5%</t>
  </si>
  <si>
    <t>com 15%</t>
  </si>
  <si>
    <t>Precificação</t>
  </si>
  <si>
    <t>Formatos de visualização</t>
  </si>
  <si>
    <t>Pesquisa</t>
  </si>
  <si>
    <t xml:space="preserve">Histórico de vendas </t>
  </si>
  <si>
    <t>DATA da Cotação</t>
  </si>
  <si>
    <t>Quantidade de pessoas</t>
  </si>
  <si>
    <t>Comissão Jadhe (R$)</t>
  </si>
  <si>
    <t>Pesquisa 1</t>
  </si>
  <si>
    <t>Pesquisa 2</t>
  </si>
  <si>
    <t>Pesquisa 3</t>
  </si>
  <si>
    <t>Estabelecimento</t>
  </si>
  <si>
    <t>Custo 2025</t>
  </si>
  <si>
    <t>Mês 2</t>
  </si>
  <si>
    <t>Mês 3</t>
  </si>
  <si>
    <t>Média venda mensal</t>
  </si>
  <si>
    <t>Vendas acumuladas</t>
  </si>
  <si>
    <t>Bogotá BOG PASS</t>
  </si>
  <si>
    <t>city tour imperdíveis - manhã</t>
  </si>
  <si>
    <t>Regular</t>
  </si>
  <si>
    <t>city tour bairros inconicos - tarde</t>
  </si>
  <si>
    <t>Catedral de Sal  (BOG PASS)</t>
  </si>
  <si>
    <t>Catedral de Sal + Guatavita  (BOG PASS)</t>
  </si>
  <si>
    <t>Finca Cafeteira (Grupal) (BOG PASS)</t>
  </si>
  <si>
    <t>Transfer in - DIURNO - 06am -09pm (bog pass)</t>
  </si>
  <si>
    <t>Carro 3 Pessoas</t>
  </si>
  <si>
    <t>VAN 4-6 PAX</t>
  </si>
  <si>
    <t>Transfer in - DIURNO - 06am - 09pm (bog pass)</t>
  </si>
  <si>
    <t>VAN 7-10 Pax</t>
  </si>
  <si>
    <t>Transfer in - NOTURNO - 06am - 09pm (bog pass)</t>
  </si>
  <si>
    <t>Transfer in - NOTURNIO - 06am - 09pm (bog pass)</t>
  </si>
  <si>
    <t>Transfer OUT - DIURNO - 06am -09pm (bog pass)</t>
  </si>
  <si>
    <t>Transfer OUT - DIURNO - 06am - 09pm (bog pass)</t>
  </si>
  <si>
    <t>Transfer OUT - NOTURNO - 06am - 09pm (bog pass)</t>
  </si>
  <si>
    <t>Transfer OUT - NOTURNIO - 06am - 09pm (bog pass)</t>
  </si>
  <si>
    <t>Cartagena</t>
  </si>
  <si>
    <t xml:space="preserve">Jantar Fenix Beach </t>
  </si>
  <si>
    <t>Corona Island</t>
  </si>
  <si>
    <t>Capri Classic</t>
  </si>
  <si>
    <t>Isla Bela</t>
  </si>
  <si>
    <t>Isla Bela chd - 03 a 10 anos</t>
  </si>
  <si>
    <t>Mergulho iniciante</t>
  </si>
  <si>
    <t>Mergulho para certificados</t>
  </si>
  <si>
    <t>Bona Vida Sunset Adulto</t>
  </si>
  <si>
    <t>Bona Vida Sunset CHD - 7 a 14 anos</t>
  </si>
  <si>
    <t>Bona Vida Islas Adulto</t>
  </si>
  <si>
    <t>Bona Vida Islas CHD - 7 a 14 anos</t>
  </si>
  <si>
    <t>BORA BORA CLUB</t>
  </si>
  <si>
    <t>BORA VIP</t>
  </si>
  <si>
    <t>PAO PAO</t>
  </si>
  <si>
    <t>Paue CHD 04 A 07 ANOS</t>
  </si>
  <si>
    <t>Rosario de Mar plan arrecife</t>
  </si>
  <si>
    <t>rosario de mar CHD 04 a 07 anos plan arrecife</t>
  </si>
  <si>
    <t>Rosario de Mar plan abanico (open bar)</t>
  </si>
  <si>
    <t>sabai chd 5 a 09 anos</t>
  </si>
  <si>
    <t>alondra in</t>
  </si>
  <si>
    <t>alondra out</t>
  </si>
  <si>
    <t>alondra in out</t>
  </si>
  <si>
    <t>alondra in van 8 pax</t>
  </si>
  <si>
    <t>alondra out van 8 pax</t>
  </si>
  <si>
    <t>alondra in e out van 8 pax</t>
  </si>
  <si>
    <t>alondra in van 14pax</t>
  </si>
  <si>
    <t>alondra out van 14 pax</t>
  </si>
  <si>
    <t>alondra in e out van 14 pax</t>
  </si>
  <si>
    <t>alondra aviario ate 3 pax</t>
  </si>
  <si>
    <t>alondra aviario ate 8 pax</t>
  </si>
  <si>
    <t>alondra aviario ate 14 pax</t>
  </si>
  <si>
    <t>isla palma CHD 04 a 06 anos</t>
  </si>
  <si>
    <t>CTY102-BOG</t>
  </si>
  <si>
    <t>Candelaria + Museu (Básico) (BOG PASS)</t>
  </si>
  <si>
    <t>2 Pessoas</t>
  </si>
  <si>
    <t>CTY103-BOG</t>
  </si>
  <si>
    <t>3 Pessoas</t>
  </si>
  <si>
    <t>CTY104-BOG</t>
  </si>
  <si>
    <t>4 Pessoas</t>
  </si>
  <si>
    <t>CTY101-BOG</t>
  </si>
  <si>
    <t>1 Pessoa</t>
  </si>
  <si>
    <t>CTY105-BOG</t>
  </si>
  <si>
    <t>Candelaria + Museu + Monserrate (BOG PASS)</t>
  </si>
  <si>
    <t>CTY106-BOG</t>
  </si>
  <si>
    <t>CTY107-BOG</t>
  </si>
  <si>
    <t>CTY108-BOG</t>
  </si>
  <si>
    <t>CTY109-BOG</t>
  </si>
  <si>
    <t>5 Pessoas</t>
  </si>
  <si>
    <t>ESP110-BOG</t>
  </si>
  <si>
    <t>Candelaria walking tour (Grupal) (BOG PASS)</t>
  </si>
  <si>
    <t>ESP205-LUN</t>
  </si>
  <si>
    <t>Cata de Ron y Chocolate (Lunatico)</t>
  </si>
  <si>
    <t>Por Pessoa</t>
  </si>
  <si>
    <t>TUR101-BOG</t>
  </si>
  <si>
    <t>Catedral de Sal (Básico 8h) (BOG PASS)</t>
  </si>
  <si>
    <t>TUR102-BOG</t>
  </si>
  <si>
    <t>TUR103-BOG</t>
  </si>
  <si>
    <t>TUR104-BOG</t>
  </si>
  <si>
    <t>TUR105-BOG</t>
  </si>
  <si>
    <t>Catedral de Sal c/ Guia (8h) (BOG PASS)</t>
  </si>
  <si>
    <t>TUR106-BOG</t>
  </si>
  <si>
    <t>TUR107-BOG</t>
  </si>
  <si>
    <t>TUR108-BOG</t>
  </si>
  <si>
    <t>TUR109-BOG</t>
  </si>
  <si>
    <t>ESP002-GEN</t>
  </si>
  <si>
    <t>Cena</t>
  </si>
  <si>
    <t>ESP206-LUN</t>
  </si>
  <si>
    <t>Cervejas Artesanais (Lunatico)</t>
  </si>
  <si>
    <t>CTY001-ALO</t>
  </si>
  <si>
    <t>City Tour 2 horas (ALONDRA)</t>
  </si>
  <si>
    <t>CTY002-ALO</t>
  </si>
  <si>
    <t>CTY003-ALO</t>
  </si>
  <si>
    <t>CTY004-ALO</t>
  </si>
  <si>
    <t>CTY005-ALO</t>
  </si>
  <si>
    <t>CTY006-ALO</t>
  </si>
  <si>
    <t>CTY007-ALO</t>
  </si>
  <si>
    <t>City Tour 4 horas (ALONDRA)</t>
  </si>
  <si>
    <t>CTY008-ALO</t>
  </si>
  <si>
    <t>CTY009-ALO</t>
  </si>
  <si>
    <t>CTY010-ALO</t>
  </si>
  <si>
    <t>CTY011-ALO</t>
  </si>
  <si>
    <t>CTY012-ALO</t>
  </si>
  <si>
    <t>CTY110-BOG</t>
  </si>
  <si>
    <t>City Tour Panorâmico (Básico) (BOG PASS)</t>
  </si>
  <si>
    <t>CTY111-BOG</t>
  </si>
  <si>
    <t>CTY112-BOG</t>
  </si>
  <si>
    <t>CTY113-BOG</t>
  </si>
  <si>
    <t>MED002-BOG</t>
  </si>
  <si>
    <t>City Tour Panorâmico (Grupal) (BOG PASS)</t>
  </si>
  <si>
    <t>CTY114-BOG</t>
  </si>
  <si>
    <t>City Tour Panorâmico Usaquén (BOG PASS)</t>
  </si>
  <si>
    <t>CTY115-BOG</t>
  </si>
  <si>
    <t>CTY116-BOG</t>
  </si>
  <si>
    <t>CTY117-BOG</t>
  </si>
  <si>
    <t>ESP204-LUN</t>
  </si>
  <si>
    <t>Clase de Salsa em Grupo (Lunatico)</t>
  </si>
  <si>
    <t>ESP203-LUN</t>
  </si>
  <si>
    <t>Clase de Salsa Privada (Lunatico)</t>
  </si>
  <si>
    <t>ESP201-LUN</t>
  </si>
  <si>
    <t>Clases de Cocina (Lunatico)</t>
  </si>
  <si>
    <t>Por Pessoa (1-10)</t>
  </si>
  <si>
    <t>MED001-BOG</t>
  </si>
  <si>
    <t>Comuna 13 (Grupal) (BOG PASS)</t>
  </si>
  <si>
    <t>MED101-HR</t>
  </si>
  <si>
    <t>Comuna 13 (Privado)</t>
  </si>
  <si>
    <t>HOT005-MAK</t>
  </si>
  <si>
    <t>Day use Makani</t>
  </si>
  <si>
    <t>Adulto</t>
  </si>
  <si>
    <t>HOT006-MAK</t>
  </si>
  <si>
    <t>Criança</t>
  </si>
  <si>
    <t>HOT003-GEN</t>
  </si>
  <si>
    <t>Day use primeira linha</t>
  </si>
  <si>
    <t>HOT004-GEN</t>
  </si>
  <si>
    <t>ESP004-GEN</t>
  </si>
  <si>
    <t>Decoración Ninho</t>
  </si>
  <si>
    <t>ESP003-GEN</t>
  </si>
  <si>
    <t>Decoración Praia</t>
  </si>
  <si>
    <t>ESP001-GEN</t>
  </si>
  <si>
    <t>Degustacion de Ron</t>
  </si>
  <si>
    <t>ESP301-GEN</t>
  </si>
  <si>
    <t>Diária Guia (Genérico)</t>
  </si>
  <si>
    <t>Finca Cafeteira (BOG PASS)</t>
  </si>
  <si>
    <t>TUR115-BOG</t>
  </si>
  <si>
    <t>MED005-BOG</t>
  </si>
  <si>
    <t>Finca Cafeteira Medellin(Grupal) (TOP 10)</t>
  </si>
  <si>
    <t>MED105-HR</t>
  </si>
  <si>
    <t>Finca Cafetera (Privado)</t>
  </si>
  <si>
    <t>MED003-BOG</t>
  </si>
  <si>
    <t>Guatape (Grupal) (BOG PASS)</t>
  </si>
  <si>
    <t>MED103-HR</t>
  </si>
  <si>
    <t>Guatape (Privado)</t>
  </si>
  <si>
    <t>HOT001-SOF</t>
  </si>
  <si>
    <t>Hospedagem Sofitel Baru</t>
  </si>
  <si>
    <t>HOT002-SOF</t>
  </si>
  <si>
    <t>ESP302-FEN</t>
  </si>
  <si>
    <t>Jantar Fenix Beach (Genérico)</t>
  </si>
  <si>
    <t>PAS301-GEN</t>
  </si>
  <si>
    <t>Lancha Bravo 410 + Parada Coralina (Genérico)</t>
  </si>
  <si>
    <t>MED104-HR</t>
  </si>
  <si>
    <t>Pablo Escobar (Privado)</t>
  </si>
  <si>
    <t>MED102-HR</t>
  </si>
  <si>
    <t>Panoramico (Privado)</t>
  </si>
  <si>
    <t>PAS028-CRN</t>
  </si>
  <si>
    <t>Parada em Corona</t>
  </si>
  <si>
    <t>x</t>
  </si>
  <si>
    <t>PAS012-PAU</t>
  </si>
  <si>
    <t>Parada em Pa'ue</t>
  </si>
  <si>
    <t>PAS003-SAB</t>
  </si>
  <si>
    <t>Parada em Sabai</t>
  </si>
  <si>
    <t>PAS006-BOR</t>
  </si>
  <si>
    <t>Passeio Bora Bora</t>
  </si>
  <si>
    <t>BC</t>
  </si>
  <si>
    <t>PAS007-BOR</t>
  </si>
  <si>
    <t>VIP</t>
  </si>
  <si>
    <t>PAS025-ECO</t>
  </si>
  <si>
    <t>Passeio Capri</t>
  </si>
  <si>
    <t>PAS026-ECO</t>
  </si>
  <si>
    <t>PAS021-BON</t>
  </si>
  <si>
    <t>Passeio Catamaran Ilhas</t>
  </si>
  <si>
    <t>PAS022-BON</t>
  </si>
  <si>
    <t>PAS023-BON</t>
  </si>
  <si>
    <t>Passeio Catamaran Sunset</t>
  </si>
  <si>
    <t>PAS024-BON</t>
  </si>
  <si>
    <t>PAS004-COR</t>
  </si>
  <si>
    <t>Passeio Coralina</t>
  </si>
  <si>
    <t>Isleño</t>
  </si>
  <si>
    <t>PAS005-COR</t>
  </si>
  <si>
    <t>PAS027-CRN</t>
  </si>
  <si>
    <t>Passeio Corona</t>
  </si>
  <si>
    <t>PAS019-MAR</t>
  </si>
  <si>
    <t>Passeio Isla Palma</t>
  </si>
  <si>
    <t>PAS020-MAR</t>
  </si>
  <si>
    <t>PAS013-ISL</t>
  </si>
  <si>
    <t>Passeio Islabela</t>
  </si>
  <si>
    <t>PAS014-ISL</t>
  </si>
  <si>
    <t>PAS010-PAU</t>
  </si>
  <si>
    <t>Passeio Pa'ue</t>
  </si>
  <si>
    <t>PAS011-PAU</t>
  </si>
  <si>
    <t>PAS008-BOR</t>
  </si>
  <si>
    <t>Passeio Pao Pao</t>
  </si>
  <si>
    <t>PAS015-TEQ</t>
  </si>
  <si>
    <t>Passeio Rosario de Mar</t>
  </si>
  <si>
    <t>PAS016-TEQ</t>
  </si>
  <si>
    <t>PAS001-SAB</t>
  </si>
  <si>
    <t>Passeio Sabai</t>
  </si>
  <si>
    <t>PAS002-SAB</t>
  </si>
  <si>
    <t>PAS017-SIB</t>
  </si>
  <si>
    <t>Passeio Sibarita</t>
  </si>
  <si>
    <t>PAS018-SIB</t>
  </si>
  <si>
    <t>Passeio Sibarita (Sibarita)</t>
  </si>
  <si>
    <t>PAS009-BOR</t>
  </si>
  <si>
    <t>Passeio Top 3 Ilhas</t>
  </si>
  <si>
    <t>TUR001-ALO</t>
  </si>
  <si>
    <t>Tour a Baru (ALONDRA)</t>
  </si>
  <si>
    <t>TUR002-ALO</t>
  </si>
  <si>
    <t>Van 8 Pax</t>
  </si>
  <si>
    <t>TUR003-ALO</t>
  </si>
  <si>
    <t>Van 14 Pax</t>
  </si>
  <si>
    <t>TUR004-ALO</t>
  </si>
  <si>
    <t>Sprinter 18 Pax</t>
  </si>
  <si>
    <t>TUR005-ALO</t>
  </si>
  <si>
    <t>Microbus 26 Pax</t>
  </si>
  <si>
    <t>TUR006-ALO</t>
  </si>
  <si>
    <t>Bus 40 Pax</t>
  </si>
  <si>
    <t>ESP202-LUN</t>
  </si>
  <si>
    <t>Tour Bazurto + Clase Cocina (Lunatico)</t>
  </si>
  <si>
    <t>Por Pessoa (até 6)</t>
  </si>
  <si>
    <t>Tour de Escala</t>
  </si>
  <si>
    <t>ESP111-BOG</t>
  </si>
  <si>
    <t>regular</t>
  </si>
  <si>
    <t>ESP101-BOG</t>
  </si>
  <si>
    <t>Tour Gastronômico (Básico 4h) (BOG PASS)</t>
  </si>
  <si>
    <t>ESP102-BOG</t>
  </si>
  <si>
    <t>ESP103-BOG</t>
  </si>
  <si>
    <t>ESP104-BOG</t>
  </si>
  <si>
    <t>Tour Gastronômico (Grupal) (BOG PASS)</t>
  </si>
  <si>
    <t>ESP105-BOG</t>
  </si>
  <si>
    <t>Tour Gastronômico c/ Carro (7h) (BOG PASS)</t>
  </si>
  <si>
    <t>ESP106-BOG</t>
  </si>
  <si>
    <t>ESP107-BOG</t>
  </si>
  <si>
    <t>ESP108-BOG</t>
  </si>
  <si>
    <t>MED004-BOG</t>
  </si>
  <si>
    <t>Tour Pablo Escobar (Grupal) (BOG PASS)</t>
  </si>
  <si>
    <t>TRS007-ALO</t>
  </si>
  <si>
    <t>Transfer - Cala Blanca (ALONDRA)</t>
  </si>
  <si>
    <t>TRS008-ALO</t>
  </si>
  <si>
    <t>TRS009-ALO</t>
  </si>
  <si>
    <t>TRS010-ALO</t>
  </si>
  <si>
    <t>TRS011-ALO</t>
  </si>
  <si>
    <t>TRS012-ALO</t>
  </si>
  <si>
    <t>TRS001-ALO</t>
  </si>
  <si>
    <t>Transfer in/out (ALONDRA)</t>
  </si>
  <si>
    <t>TRS002-ALO</t>
  </si>
  <si>
    <t>TRS003-ALO</t>
  </si>
  <si>
    <t>TRS004-ALO</t>
  </si>
  <si>
    <t>TRS005-ALO</t>
  </si>
  <si>
    <t>TRS006-ALO</t>
  </si>
  <si>
    <t>Transfer in/out (Bogotá)</t>
  </si>
  <si>
    <t>VAN 5-6 PAX</t>
  </si>
  <si>
    <t>BUS 15 PAX</t>
  </si>
  <si>
    <t>BUS 25 PAX</t>
  </si>
  <si>
    <t>BUS 35 PAX</t>
  </si>
  <si>
    <t>TRS202-MAR</t>
  </si>
  <si>
    <t>Transfer In/Out Marina (Genérico)</t>
  </si>
  <si>
    <t>TRS201-SIB</t>
  </si>
  <si>
    <t>Transfer In/Out Sibarita (Genérico)</t>
  </si>
  <si>
    <t>TRS203-FEN</t>
  </si>
  <si>
    <t>Transfer Jantar Fenix Beach (Genérico)</t>
  </si>
  <si>
    <t>TUR007-ALO</t>
  </si>
  <si>
    <t>Transfer Manzanillo (ALONDRA)</t>
  </si>
  <si>
    <t>TUR008-ALO</t>
  </si>
  <si>
    <t>TUR009-ALO</t>
  </si>
  <si>
    <t>TUR010-ALO</t>
  </si>
  <si>
    <t>TUR011-ALO</t>
  </si>
  <si>
    <t>TUR012-ALO</t>
  </si>
  <si>
    <t>WTK001-HR</t>
  </si>
  <si>
    <t>WTK002-HR</t>
  </si>
  <si>
    <t>WTK003-HR</t>
  </si>
  <si>
    <t>WTK004-HR</t>
  </si>
  <si>
    <t>WTK005-HR</t>
  </si>
  <si>
    <t>WTK006-HR</t>
  </si>
  <si>
    <t>6 Pessoas</t>
  </si>
  <si>
    <t>WTK007-HR</t>
  </si>
  <si>
    <t>7 Pessoas</t>
  </si>
  <si>
    <t>WTK008-HR</t>
  </si>
  <si>
    <t>8 Pessoas</t>
  </si>
  <si>
    <t>WTK009-HR</t>
  </si>
  <si>
    <t>9 Pessoas</t>
  </si>
  <si>
    <t>WTK010-HR</t>
  </si>
  <si>
    <t>10 Pessoas</t>
  </si>
  <si>
    <t>WTK011-HR</t>
  </si>
  <si>
    <t>11 Pessoas</t>
  </si>
  <si>
    <t>WTK012-HR</t>
  </si>
  <si>
    <t>12 Pessoas</t>
  </si>
  <si>
    <t>Walking tour (Hernan Reales / Andrés)</t>
  </si>
  <si>
    <t>inte</t>
  </si>
  <si>
    <t>DEZEMBRO</t>
  </si>
  <si>
    <t xml:space="preserve">STATUS </t>
  </si>
  <si>
    <t xml:space="preserve">CONSULTORA </t>
  </si>
  <si>
    <t>camnbio dia venda</t>
  </si>
  <si>
    <t>camnbio dia pgto</t>
  </si>
  <si>
    <t>Data</t>
  </si>
  <si>
    <t xml:space="preserve">Nombre </t>
  </si>
  <si>
    <t xml:space="preserve">Valor Total em Pesos Colombianos TOTAL </t>
  </si>
  <si>
    <t>Pagamento</t>
  </si>
  <si>
    <t>Silvana Rigolino</t>
  </si>
  <si>
    <t xml:space="preserve">Walking Tour + Casti VIP 14:00 2PAX </t>
  </si>
  <si>
    <t>PAGO</t>
  </si>
  <si>
    <t xml:space="preserve">Jadhe/ Ju paga Saldo/ Pax Pagou por pix  </t>
  </si>
  <si>
    <t xml:space="preserve">PAO PAO (Con oceanario) 2 pax </t>
  </si>
  <si>
    <t>Tatiane Moura</t>
  </si>
  <si>
    <t xml:space="preserve">Welcome Tour  2 PAX  14:00 </t>
  </si>
  <si>
    <t>Mangata 2 pax</t>
  </si>
  <si>
    <t>Isabela Portilho</t>
  </si>
  <si>
    <t xml:space="preserve">Alessandra/ Ju paga Saldo /Pax pagou por pix </t>
  </si>
  <si>
    <t xml:space="preserve">Amanda Nobrega </t>
  </si>
  <si>
    <t>Walking Tour + Castillo  Andres 09:00 2 PAX</t>
  </si>
  <si>
    <t>Alessandra/ Só pago da diferença do saldo total</t>
  </si>
  <si>
    <t>João Neto</t>
  </si>
  <si>
    <t xml:space="preserve">Walking Tour + Casti VIP 14:00 8PAX </t>
  </si>
  <si>
    <t>Marcela Nogueira</t>
  </si>
  <si>
    <t xml:space="preserve">Paue 2 pax </t>
  </si>
  <si>
    <t xml:space="preserve">Tour Escala 5 pax </t>
  </si>
  <si>
    <t>Agencia/ Ju paga saldo</t>
  </si>
  <si>
    <t>Karla Bueno</t>
  </si>
  <si>
    <t xml:space="preserve">SABAI 10 pax adultos, 6 adult y 4 CHILD </t>
  </si>
  <si>
    <t>SI HIZO EL PAGO 2850 Y ERA 2560 - SALDO 290</t>
  </si>
  <si>
    <t>Anne Mello</t>
  </si>
  <si>
    <t>Bora Bora VIP 2 pax</t>
  </si>
  <si>
    <t>Jadhe/ Ju paga Saldo/ Pax Pagou por link</t>
  </si>
  <si>
    <t xml:space="preserve">Anita Varela </t>
  </si>
  <si>
    <t>Parada 4 asoleadoras</t>
  </si>
  <si>
    <t>12/24/2023</t>
  </si>
  <si>
    <t>Sandra Domenico</t>
  </si>
  <si>
    <t xml:space="preserve">Islabela 3 pax </t>
  </si>
  <si>
    <t>Jadhe/ Só pago da diferença do saldo total</t>
  </si>
  <si>
    <t>12/28/2023</t>
  </si>
  <si>
    <t>Diandra Ribas</t>
  </si>
  <si>
    <t>Walking Tour + Cast  1PAX - Andrés</t>
  </si>
  <si>
    <t>12/29/2023</t>
  </si>
  <si>
    <t>Daniela Fiori</t>
  </si>
  <si>
    <t>Walking Tour + Castillo San Felipe Andres 2024</t>
  </si>
  <si>
    <t xml:space="preserve">Jaqueline Ornellas </t>
  </si>
  <si>
    <t>12/30/2023</t>
  </si>
  <si>
    <t xml:space="preserve">Carmen Meneses </t>
  </si>
  <si>
    <t>Walking Tour + Cast  6 PAX - Andrés</t>
  </si>
  <si>
    <t>12/31/2023</t>
  </si>
  <si>
    <t>Aviario  6 PAX - Andrés</t>
  </si>
  <si>
    <t>Julia Castanheira</t>
  </si>
  <si>
    <t xml:space="preserve">Sabai 2 pax </t>
  </si>
  <si>
    <r>
      <rPr>
        <rFont val="Calibri"/>
        <color rgb="FF000000"/>
        <sz val="14.0"/>
      </rPr>
      <t xml:space="preserve">660000- 290.000= </t>
    </r>
    <r>
      <rPr>
        <rFont val="Calibri"/>
        <b/>
        <color rgb="FF000000"/>
        <sz val="14.0"/>
      </rPr>
      <t>370.000</t>
    </r>
  </si>
  <si>
    <t xml:space="preserve">SALDOS  PENDENTES JU </t>
  </si>
  <si>
    <t>JANEIRO</t>
  </si>
  <si>
    <t>Ana Tunher</t>
  </si>
  <si>
    <t>Walking Tour + Castillo San Felipe VIP 14:00 3PAX 2024</t>
  </si>
  <si>
    <t>355.000COP</t>
  </si>
  <si>
    <t>Iara Malan</t>
  </si>
  <si>
    <t>Walking Tour + Cast  3PAX - Hernán</t>
  </si>
  <si>
    <t>Camila Recoliano</t>
  </si>
  <si>
    <t>Walking Tour + Castillo San Felipe Andres 09:00 2PAX 2024</t>
  </si>
  <si>
    <t>Regina Sartore</t>
  </si>
  <si>
    <t>Walking Tour + Castillo San Felipe VIP 09:00 2PAX 2024</t>
  </si>
  <si>
    <t>Priscilla Bezerra</t>
  </si>
  <si>
    <t xml:space="preserve">Isla del sol 2 pax </t>
  </si>
  <si>
    <t xml:space="preserve">Marcos Ribeiro </t>
  </si>
  <si>
    <t xml:space="preserve">Walking + Cast 2 PAX 14:00hrs- Andrés  </t>
  </si>
  <si>
    <t xml:space="preserve">Boats 4 u  </t>
  </si>
  <si>
    <t>Jadhe/ Ju pagou 15% e incluimos transfers nos demais dias</t>
  </si>
  <si>
    <t>01/18/2024</t>
  </si>
  <si>
    <t>Ivanda Marques</t>
  </si>
  <si>
    <t>Mangata 4 pax</t>
  </si>
  <si>
    <t xml:space="preserve">Parada Paue </t>
  </si>
  <si>
    <t>Guilherme Schasiepen</t>
  </si>
  <si>
    <t>Walking Tour + Castillo San Felipe 09:00 7PAX 2024</t>
  </si>
  <si>
    <t>Gabriel de Souza</t>
  </si>
  <si>
    <t xml:space="preserve">Fenix jantar 2 pax </t>
  </si>
  <si>
    <t xml:space="preserve">Silvana Brito </t>
  </si>
  <si>
    <t>Walking Tour + Castillo San Felipe Andres 09:00 2 PAX</t>
  </si>
  <si>
    <t>Juliana Custodio</t>
  </si>
  <si>
    <t>Walking Tour + Castillo San Felipe Andres 14:00 2 PAX</t>
  </si>
  <si>
    <t xml:space="preserve">Bora vip 2 pax </t>
  </si>
  <si>
    <t>Gustavo Mestriner</t>
  </si>
  <si>
    <t>Walking Tour + Castillo San Felipe Andres 14:00 4 PAX 2024</t>
  </si>
  <si>
    <t>Isla Palma 2 pax</t>
  </si>
  <si>
    <t>Daniella Oliveira</t>
  </si>
  <si>
    <t xml:space="preserve">Walking + Cast y convento en la popa 5 PAX - Andrés  </t>
  </si>
  <si>
    <t>Marcos Ribeiro</t>
  </si>
  <si>
    <t xml:space="preserve">Bora Bora Vip 2 pax </t>
  </si>
  <si>
    <t>Juliana Nogueira</t>
  </si>
  <si>
    <t>Walking Tour + Castillo San Felipe 09:00 2PAX 2024</t>
  </si>
  <si>
    <t>Walking Tour + Castillo San Felipe VIP 09:00 3PAX/4PAX 2024</t>
  </si>
  <si>
    <t xml:space="preserve"> Heloísa Amaral</t>
  </si>
  <si>
    <t>City tour Panorâmico, regular 3 pax</t>
  </si>
  <si>
    <t>612.000COP</t>
  </si>
  <si>
    <t>Alessandra/ Passeio cancelado (No show)</t>
  </si>
  <si>
    <t>Tobias Lanb</t>
  </si>
  <si>
    <t xml:space="preserve">Paue 3 PAX </t>
  </si>
  <si>
    <t xml:space="preserve">930.000COP </t>
  </si>
  <si>
    <t xml:space="preserve">Renata Angelo </t>
  </si>
  <si>
    <t xml:space="preserve">Walking + Cast 3PAX - Andrés  </t>
  </si>
  <si>
    <t xml:space="preserve">385.000COP </t>
  </si>
  <si>
    <t xml:space="preserve">Giovanna Costa </t>
  </si>
  <si>
    <t>Walking Tour + Castillo San Felipe Andres 09:00 1PAX 2024</t>
  </si>
  <si>
    <t>Isla Palma 4 pax</t>
  </si>
  <si>
    <t>Sunset Sibarita Master 2024 1 pax</t>
  </si>
  <si>
    <t>Mariana Bhering</t>
  </si>
  <si>
    <t>Gabriella Lima</t>
  </si>
  <si>
    <t xml:space="preserve">Walking + Cast 2 PAX  14:00hrs- Andrés  </t>
  </si>
  <si>
    <t xml:space="preserve">Bora Bora Bc 2024 1 pax </t>
  </si>
  <si>
    <t xml:space="preserve">Bonavida 1 pax </t>
  </si>
  <si>
    <t xml:space="preserve">Luciana Morais </t>
  </si>
  <si>
    <t>Transfer Aeroporto/Hotel Bogotá até 02 pessoas 2024</t>
  </si>
  <si>
    <t>Mismo fornecedor (Deissy)</t>
  </si>
  <si>
    <t>Walking Tour Centro Historico Privativo + Monserrat Privativo</t>
  </si>
  <si>
    <t>Transfer Hotel/Aeroporto Bogotá até 02 pessoas 2024</t>
  </si>
  <si>
    <t xml:space="preserve">Isabela Gaspar </t>
  </si>
  <si>
    <t xml:space="preserve">Jantar fenix </t>
  </si>
  <si>
    <t>Experiência Culinária 2024</t>
  </si>
  <si>
    <t>Walking Tour + Cast  2PAX - Hernán</t>
  </si>
  <si>
    <t xml:space="preserve">Fevereiro </t>
  </si>
  <si>
    <t>Diego da Silva</t>
  </si>
  <si>
    <t xml:space="preserve">Mangata 2 pax </t>
  </si>
  <si>
    <t xml:space="preserve">Ana Ojeda </t>
  </si>
  <si>
    <t xml:space="preserve">Jadhe/ Ju paga diferença do saldo  /  pagou por pix </t>
  </si>
  <si>
    <t xml:space="preserve">Rosangela Rocha </t>
  </si>
  <si>
    <t xml:space="preserve">Paue  1 pax </t>
  </si>
  <si>
    <t xml:space="preserve">Danusa Silva </t>
  </si>
  <si>
    <t xml:space="preserve">Jadhe/ Ju paga diferença do saldo  / pax pagou </t>
  </si>
  <si>
    <t>Claudia Gregory</t>
  </si>
  <si>
    <t>Walking Tour + Castillo San Felipe 09:00 4 PAX 2024</t>
  </si>
  <si>
    <t>Camila Andrade</t>
  </si>
  <si>
    <t>Walking Tour + Castillo San Felipe 14:00 2PAX 2024</t>
  </si>
  <si>
    <t xml:space="preserve"> Robeiro Arruda</t>
  </si>
  <si>
    <t xml:space="preserve">Lancha boasta 4 u </t>
  </si>
  <si>
    <t xml:space="preserve">Alessandra/ Ju paga Saldo /Pax fiz pago por pix </t>
  </si>
  <si>
    <t xml:space="preserve">Bora Bora VIP 2 pax </t>
  </si>
  <si>
    <t>Pamela Silva</t>
  </si>
  <si>
    <t xml:space="preserve">Kelly Cristina </t>
  </si>
  <si>
    <t xml:space="preserve">Pao Pao 2 pax </t>
  </si>
  <si>
    <t xml:space="preserve">Gizely Lima </t>
  </si>
  <si>
    <t>Walking Tour + Castillo San Felipe 09:00 2PAX ANDRES</t>
  </si>
  <si>
    <t>195.000COP</t>
  </si>
  <si>
    <t xml:space="preserve">SALDO PENDIENTE </t>
  </si>
  <si>
    <t>Emerson Fraga</t>
  </si>
  <si>
    <t>Elaine Gonçalves</t>
  </si>
  <si>
    <t>Walking Tour + Castillo San Felipe Andres 14:00 3 PAX</t>
  </si>
  <si>
    <t>445.000COP</t>
  </si>
  <si>
    <t xml:space="preserve">Jadhe/ Ju paga saldo  / pax pagou </t>
  </si>
  <si>
    <t xml:space="preserve">Sunset sibarita master 2 Pax </t>
  </si>
  <si>
    <t xml:space="preserve">200.000COP </t>
  </si>
  <si>
    <t>MARÇO</t>
  </si>
  <si>
    <t>Paola Costa</t>
  </si>
  <si>
    <t>620.000COP</t>
  </si>
  <si>
    <t xml:space="preserve">Natalia Neves </t>
  </si>
  <si>
    <t>660.000COP</t>
  </si>
  <si>
    <t>Mônica Mandelli</t>
  </si>
  <si>
    <t>Walking Tour + Cast  2PAX - 09:00hrs</t>
  </si>
  <si>
    <r>
      <rPr>
        <rFont val="Calibri"/>
        <color rgb="FF000000"/>
        <sz val="14.0"/>
      </rPr>
      <t xml:space="preserve">466.000COP- 310.000= </t>
    </r>
    <r>
      <rPr>
        <rFont val="Calibri"/>
        <b/>
        <color rgb="FF000000"/>
        <sz val="14.0"/>
      </rPr>
      <t>156.000COP</t>
    </r>
  </si>
  <si>
    <r>
      <rPr>
        <rFont val="Calibri"/>
        <color theme="1"/>
        <sz val="14.0"/>
      </rPr>
      <t>Jadhe/ Ju paga Saldo/ Pax Pagou por pix -</t>
    </r>
    <r>
      <rPr>
        <rFont val="Calibri"/>
        <b/>
        <color theme="1"/>
        <sz val="14.0"/>
      </rPr>
      <t>SE PAGO 310.000COP</t>
    </r>
  </si>
  <si>
    <t>Erika Oliveira</t>
  </si>
  <si>
    <t xml:space="preserve">Paue 1 pax </t>
  </si>
  <si>
    <t>310.000COP</t>
  </si>
  <si>
    <t>Sofitel Baru Casablanca 2 pax</t>
  </si>
  <si>
    <t>520.000COP</t>
  </si>
  <si>
    <t>Tiago Farah</t>
  </si>
  <si>
    <t xml:space="preserve">Maria Lara </t>
  </si>
  <si>
    <t>Walking Tour + Castillo San Felipe VIP 09:00 3PAX 2024</t>
  </si>
  <si>
    <t>609.00COP</t>
  </si>
  <si>
    <t>Igor Magalhães</t>
  </si>
  <si>
    <t xml:space="preserve">Sunset Sibarita Master 2 pax </t>
  </si>
  <si>
    <t xml:space="preserve">Ju/ Pax pagou por pix </t>
  </si>
  <si>
    <t xml:space="preserve">Isla Bela 2 pax </t>
  </si>
  <si>
    <t>480.000COP</t>
  </si>
  <si>
    <t xml:space="preserve">Beatriz Miranda </t>
  </si>
  <si>
    <t>540.000COP</t>
  </si>
  <si>
    <t>ABRIL</t>
  </si>
  <si>
    <t xml:space="preserve">Augusto Lobo </t>
  </si>
  <si>
    <t>Paue 3 pax</t>
  </si>
  <si>
    <t>930.000COP</t>
  </si>
  <si>
    <t xml:space="preserve">Sabai 3 pax </t>
  </si>
  <si>
    <t xml:space="preserve">990.000COP </t>
  </si>
  <si>
    <t xml:space="preserve">Raquel Varela </t>
  </si>
  <si>
    <t xml:space="preserve">Bora Vip 2 pax </t>
  </si>
  <si>
    <t>Ana Paula Ceregato</t>
  </si>
  <si>
    <t>466.000COP</t>
  </si>
  <si>
    <t>Juliana Simoes</t>
  </si>
  <si>
    <t xml:space="preserve">Bora Bora Vip 1 pax </t>
  </si>
  <si>
    <t>330.000COP</t>
  </si>
  <si>
    <t xml:space="preserve">SABAI  2pax </t>
  </si>
  <si>
    <t>Geórgia Carvalho</t>
  </si>
  <si>
    <t>Danielle Oliveira</t>
  </si>
  <si>
    <t>Isla Bela 2 pax</t>
  </si>
  <si>
    <t xml:space="preserve">Ju/ Ju paga saldo a pax pagou por pix </t>
  </si>
  <si>
    <t>Sunset sibarita Master 2 pax</t>
  </si>
  <si>
    <t>200.000COP</t>
  </si>
  <si>
    <t xml:space="preserve">Ana Carolina Souza </t>
  </si>
  <si>
    <t xml:space="preserve">Isla Palma 2 pax </t>
  </si>
  <si>
    <t>Caroline de Oliveira</t>
  </si>
  <si>
    <t>Islabela 2 pax</t>
  </si>
  <si>
    <t>Carla Silva</t>
  </si>
  <si>
    <t xml:space="preserve">Giovanna Riquetto </t>
  </si>
  <si>
    <t xml:space="preserve">Ju paga saldo/ Pax pagou por link da gente </t>
  </si>
  <si>
    <t>Fenix com decoração ninhõ</t>
  </si>
  <si>
    <t xml:space="preserve">520.000COP </t>
  </si>
  <si>
    <t>MAYO</t>
  </si>
  <si>
    <t xml:space="preserve">Giovanna Santos </t>
  </si>
  <si>
    <t xml:space="preserve">Alessandra/ Ju paga saldo, Pax pagou por pix </t>
  </si>
  <si>
    <t>Gabriela Salomano</t>
  </si>
  <si>
    <t>Bora cm 2 PAX</t>
  </si>
  <si>
    <t>500.000COP</t>
  </si>
  <si>
    <t>23/052024</t>
  </si>
  <si>
    <t>JUNHO</t>
  </si>
  <si>
    <t>Nathalia Cosenza</t>
  </si>
  <si>
    <t>Paue 2 pax</t>
  </si>
  <si>
    <t>660.000 COP</t>
  </si>
  <si>
    <t>Juliana Perez</t>
  </si>
  <si>
    <t>Sunset sibarita Master 1 pax</t>
  </si>
  <si>
    <t>100.000COP</t>
  </si>
  <si>
    <t xml:space="preserve">Colaboradora, ja pagou pagou a entrada </t>
  </si>
  <si>
    <t>Top 3 ilhas 1 pax</t>
  </si>
  <si>
    <t>280.000COP</t>
  </si>
  <si>
    <t xml:space="preserve">Marcia Marilia </t>
  </si>
  <si>
    <t xml:space="preserve">Catedral de sal Privado 2 pax </t>
  </si>
  <si>
    <t>1.590.000COP</t>
  </si>
  <si>
    <t>Cassilene Nascimento</t>
  </si>
  <si>
    <t xml:space="preserve">Bora Bora 1 pax </t>
  </si>
  <si>
    <t>250.000COP</t>
  </si>
  <si>
    <t xml:space="preserve">Pao Pao 1 pax </t>
  </si>
  <si>
    <t>230.000COP</t>
  </si>
  <si>
    <t>Ju paga saldo/ Pax pagou por link da gente</t>
  </si>
  <si>
    <t xml:space="preserve">Rosario de mar </t>
  </si>
  <si>
    <t>JULIO</t>
  </si>
  <si>
    <t>Emmily Costa</t>
  </si>
  <si>
    <t>Isla bela 5 pax</t>
  </si>
  <si>
    <t>1.200.000COP</t>
  </si>
  <si>
    <t xml:space="preserve">Bora bora vip 5 pax </t>
  </si>
  <si>
    <t>1.650.000COP</t>
  </si>
  <si>
    <t>Cibeli Oliveira</t>
  </si>
  <si>
    <t xml:space="preserve">Isla palma 2 pax </t>
  </si>
  <si>
    <t xml:space="preserve">660.000COP </t>
  </si>
  <si>
    <t>Daniel Cerizza</t>
  </si>
  <si>
    <t>Isla del sol 5 pax</t>
  </si>
  <si>
    <t>83.000COP</t>
  </si>
  <si>
    <t xml:space="preserve">Jadhe/ Ju paga Saldo de diferença   </t>
  </si>
  <si>
    <t>Natalia Vilela</t>
  </si>
  <si>
    <t>Rosario de mar 5 pax</t>
  </si>
  <si>
    <t>1.250.000COP</t>
  </si>
  <si>
    <t>Natália Vilela</t>
  </si>
  <si>
    <t>Pao pao 5 pax</t>
  </si>
  <si>
    <t>1.150.000COP</t>
  </si>
  <si>
    <t xml:space="preserve">Paue 5 pax </t>
  </si>
  <si>
    <t>1.550.000COP</t>
  </si>
  <si>
    <t xml:space="preserve">Bora vip 5 pax </t>
  </si>
  <si>
    <t>AGOSTO</t>
  </si>
  <si>
    <t>Daniela Espíndola</t>
  </si>
  <si>
    <t xml:space="preserve">Pao pao 3 pax </t>
  </si>
  <si>
    <t>690.000COP</t>
  </si>
  <si>
    <t>Lindalva Mendes</t>
  </si>
  <si>
    <t xml:space="preserve">Walking tour 2 pax </t>
  </si>
  <si>
    <t xml:space="preserve">Sibarita Master 2 pax </t>
  </si>
  <si>
    <t xml:space="preserve">100.000COP </t>
  </si>
  <si>
    <t>Pao Pao 2 pax</t>
  </si>
  <si>
    <t>460.000COP</t>
  </si>
  <si>
    <t xml:space="preserve">Isla bela 2 pax </t>
  </si>
  <si>
    <t>Bora vip 2 pax</t>
  </si>
  <si>
    <t>SEPTIEMBRE</t>
  </si>
  <si>
    <t>outubro</t>
  </si>
  <si>
    <t>OCTUBRE</t>
  </si>
  <si>
    <t>Dinark Viana</t>
  </si>
  <si>
    <t>pago</t>
  </si>
  <si>
    <t xml:space="preserve">Feniz cena com decoração na praia </t>
  </si>
  <si>
    <t>teresa lima</t>
  </si>
  <si>
    <t>walging tour hernabn</t>
  </si>
  <si>
    <t>ligia marques</t>
  </si>
  <si>
    <t>coltro viagens</t>
  </si>
  <si>
    <t>walkin tour hernan</t>
  </si>
  <si>
    <t>novembro</t>
  </si>
  <si>
    <t>NOVIEMBRE</t>
  </si>
  <si>
    <t>bonavida</t>
  </si>
  <si>
    <t>viviane canto</t>
  </si>
  <si>
    <t>walking com andres</t>
  </si>
  <si>
    <t>Carlos PIgatto</t>
  </si>
  <si>
    <t xml:space="preserve">city tour + monserrate </t>
  </si>
  <si>
    <t xml:space="preserve">rosario </t>
  </si>
  <si>
    <t>carlos pigatto</t>
  </si>
  <si>
    <t>catedral sal + andres</t>
  </si>
  <si>
    <t>iris ferner</t>
  </si>
  <si>
    <t>walking tour Hernan</t>
  </si>
  <si>
    <t>Maga Roteiros</t>
  </si>
  <si>
    <r>
      <rPr>
        <rFont val="Docs-Calibri"/>
        <color rgb="FF000000"/>
        <sz val="13.0"/>
      </rPr>
      <t>Walking tour 2 pax</t>
    </r>
  </si>
  <si>
    <t>Ju paga saldo/ Pax pagou todos os passeios</t>
  </si>
  <si>
    <r>
      <rPr>
        <rFont val="Docs-Calibri"/>
        <color rgb="FF000000"/>
        <sz val="14.0"/>
      </rPr>
      <t>Maga Roteiros</t>
    </r>
  </si>
  <si>
    <r>
      <rPr>
        <rFont val="Docs-Calibri"/>
        <color rgb="FF000000"/>
        <sz val="14.0"/>
      </rPr>
      <t>Maga Roteiros</t>
    </r>
  </si>
  <si>
    <t>Rosario de mar 2 pax</t>
  </si>
  <si>
    <t xml:space="preserve">Ana Paula Garcia </t>
  </si>
  <si>
    <t xml:space="preserve">Isla Bela 3 pax </t>
  </si>
  <si>
    <t>dezembro</t>
  </si>
  <si>
    <t>DICIEMBRE</t>
  </si>
  <si>
    <t>Martha palmeira</t>
  </si>
  <si>
    <t>walking con andres</t>
  </si>
  <si>
    <t>guilherme bueno</t>
  </si>
  <si>
    <t xml:space="preserve">sibarita master </t>
  </si>
  <si>
    <t>martha pereria</t>
  </si>
  <si>
    <t>coral vip</t>
  </si>
  <si>
    <t>guilherme Bueno</t>
  </si>
  <si>
    <t>bora bora</t>
  </si>
  <si>
    <t>caroline de jesus</t>
  </si>
  <si>
    <t>Rodrigo Ruas</t>
  </si>
  <si>
    <t>Bora VIP</t>
  </si>
  <si>
    <t xml:space="preserve">Pagou 1 pax a mais </t>
  </si>
  <si>
    <t xml:space="preserve">Rodrigo Ruas </t>
  </si>
  <si>
    <t>Coralina VIP</t>
  </si>
  <si>
    <t>Pagou 1 pax a mais</t>
  </si>
  <si>
    <t>Rosário de Mar</t>
  </si>
  <si>
    <t>Pagou 1 pax a mais. - ja usamos credito</t>
  </si>
  <si>
    <t>Guilherme Mateus</t>
  </si>
  <si>
    <t>Isla Palma</t>
  </si>
  <si>
    <t xml:space="preserve">Bora Bora Vip </t>
  </si>
  <si>
    <t>vai pagar taxas na hora</t>
  </si>
  <si>
    <t>Janeiro</t>
  </si>
  <si>
    <t>FEBRERO</t>
  </si>
  <si>
    <t>Monique Silva  - 2 pax</t>
  </si>
  <si>
    <t xml:space="preserve">Sibarita </t>
  </si>
  <si>
    <t>Sibarita Master Sunset</t>
  </si>
  <si>
    <t>Sandra Moraes</t>
  </si>
  <si>
    <t>islabela 01 pax</t>
  </si>
  <si>
    <t>Elisabete Silvsa</t>
  </si>
  <si>
    <t xml:space="preserve">Demetrio </t>
  </si>
  <si>
    <t>ANA</t>
  </si>
  <si>
    <t>Jonas Agostini</t>
  </si>
  <si>
    <t>walking tour hernanr</t>
  </si>
  <si>
    <t>Bruno Nakano</t>
  </si>
  <si>
    <t>Isla del Sol</t>
  </si>
  <si>
    <t>jonas Agostini</t>
  </si>
  <si>
    <t>jonas agostini</t>
  </si>
  <si>
    <t>sibarita sunset</t>
  </si>
  <si>
    <t>claudia FAG Viagens</t>
  </si>
  <si>
    <t>claudia fag viagens</t>
  </si>
  <si>
    <t>degustação rum - stq clara</t>
  </si>
  <si>
    <t>Ana Lima</t>
  </si>
  <si>
    <t>Fátima Leal - 03 pax</t>
  </si>
  <si>
    <t>Walking Tour</t>
  </si>
  <si>
    <t xml:space="preserve">Fatima Leal </t>
  </si>
  <si>
    <t>monique silva</t>
  </si>
  <si>
    <t xml:space="preserve">Walking Tour - 2 pax </t>
  </si>
  <si>
    <t>Cleise Faustino 2 pax</t>
  </si>
  <si>
    <t>Walking Andres</t>
  </si>
  <si>
    <t>fevereiro</t>
  </si>
  <si>
    <t>lina brito</t>
  </si>
  <si>
    <t>walking tour + castelo Hernan</t>
  </si>
  <si>
    <t>lina brto</t>
  </si>
  <si>
    <t xml:space="preserve">bora vip </t>
  </si>
  <si>
    <t>Rudney Francisco - 2adt/1chd</t>
  </si>
  <si>
    <t xml:space="preserve">Bianca Telles - 4 pax </t>
  </si>
  <si>
    <t>LINA BRITO</t>
  </si>
  <si>
    <t>siba sunset</t>
  </si>
  <si>
    <t xml:space="preserve">Jecylene Vieira </t>
  </si>
  <si>
    <t>Jecylene Vieira</t>
  </si>
  <si>
    <t>Rosario de Mar</t>
  </si>
  <si>
    <t>Cristiane Ladeia</t>
  </si>
  <si>
    <t>city tour+ catedral</t>
  </si>
  <si>
    <t xml:space="preserve">Sarah Almeida </t>
  </si>
  <si>
    <t xml:space="preserve">Walking Hernan </t>
  </si>
  <si>
    <t>Adriano Uehara</t>
  </si>
  <si>
    <t>Aline Flamínio</t>
  </si>
  <si>
    <t>Fênix</t>
  </si>
  <si>
    <t>Sabine Tour</t>
  </si>
  <si>
    <t>Rita Ramos</t>
  </si>
  <si>
    <t xml:space="preserve">Paue </t>
  </si>
  <si>
    <t>Patricia Barbosa</t>
  </si>
  <si>
    <t>walking hernan</t>
  </si>
  <si>
    <t>março</t>
  </si>
  <si>
    <t>catedral sal privado</t>
  </si>
  <si>
    <t>Marília Sacramento</t>
  </si>
  <si>
    <t>André Stavrakas</t>
  </si>
  <si>
    <t>Walking com Andres</t>
  </si>
  <si>
    <t>Leia Santos</t>
  </si>
  <si>
    <t>lucia Bogado - 01 pax</t>
  </si>
  <si>
    <t>walking tour hernan</t>
  </si>
  <si>
    <t>Renato Mota 5 pax</t>
  </si>
  <si>
    <t>SABINE TOURQ</t>
  </si>
  <si>
    <t>SABAI</t>
  </si>
  <si>
    <t>Mayara Gama - 2 pax</t>
  </si>
  <si>
    <t>Sibarita master sunset</t>
  </si>
  <si>
    <t>Renato Mota - 07 adt - 1 chd</t>
  </si>
  <si>
    <t>Raphael Gonçalves</t>
  </si>
  <si>
    <t>Cena Fênix</t>
  </si>
  <si>
    <t>Bora Bora Privado</t>
  </si>
  <si>
    <t>Rafael Gonçalves</t>
  </si>
  <si>
    <t>Lancha boats 4 u</t>
  </si>
  <si>
    <t>Alondra</t>
  </si>
  <si>
    <t xml:space="preserve">  serviços de jan a março</t>
  </si>
  <si>
    <t>Carlos Zilig - 4 pax</t>
  </si>
  <si>
    <t xml:space="preserve">pax teve noshow e precisamos pagar 2 serviços </t>
  </si>
  <si>
    <t>Leticia Simoes</t>
  </si>
  <si>
    <t>Mateus Gonçalves</t>
  </si>
  <si>
    <t>Carlos Zillig - 4 pax</t>
  </si>
  <si>
    <t>Walking Hernan</t>
  </si>
  <si>
    <t>leticias simoes</t>
  </si>
  <si>
    <t>los pinos - palenque</t>
  </si>
  <si>
    <t>Luciana Dalcanale</t>
  </si>
  <si>
    <t>Transfer in e out + sofitel</t>
  </si>
  <si>
    <t>Rafael de Castro</t>
  </si>
  <si>
    <t>50% do valor do no show cobrado aqui</t>
  </si>
  <si>
    <t>jackeline sabino</t>
  </si>
  <si>
    <t xml:space="preserve">sofitel </t>
  </si>
  <si>
    <t>pendente</t>
  </si>
  <si>
    <t>Jackeline Sabino</t>
  </si>
  <si>
    <t xml:space="preserve">Alondra Sofitel </t>
  </si>
  <si>
    <t xml:space="preserve">Lucas Silva </t>
  </si>
  <si>
    <t xml:space="preserve">Jackeline Sabino </t>
  </si>
  <si>
    <t>Bonavida</t>
  </si>
  <si>
    <t>Walking com Hernan</t>
  </si>
  <si>
    <t xml:space="preserve">Sofitel </t>
  </si>
  <si>
    <t>abril</t>
  </si>
  <si>
    <t>Bernardo - agencia 2 pax</t>
  </si>
  <si>
    <t>agencia pagou tdo em reais ju deve pagar saldo</t>
  </si>
  <si>
    <t>Brenda Dall Belo - 2 pax</t>
  </si>
  <si>
    <t>Walking Tour com Hernan</t>
  </si>
  <si>
    <t>Jose Rebelo - sabinte tour</t>
  </si>
  <si>
    <t>gastronomico + salsa bog</t>
  </si>
  <si>
    <t>pagp</t>
  </si>
  <si>
    <t>Zilmara Costa 07 pax</t>
  </si>
  <si>
    <t>alondra in carro + van e  out van 8 lugares e e van city tour 4 hs</t>
  </si>
  <si>
    <t>zilmara costa 07 pax</t>
  </si>
  <si>
    <t>Cena fenix</t>
  </si>
  <si>
    <t xml:space="preserve">Rosário </t>
  </si>
  <si>
    <t xml:space="preserve">Sabai </t>
  </si>
  <si>
    <t>Luciene Alves</t>
  </si>
  <si>
    <t>Alondra in out e sofitel baru in out</t>
  </si>
  <si>
    <t>Tansny Madeleine CREATOR</t>
  </si>
  <si>
    <t>Indicação Melina Lobo</t>
  </si>
  <si>
    <t xml:space="preserve">Valor já está em reais </t>
  </si>
  <si>
    <t>Lizanes Pereira -2 pax</t>
  </si>
  <si>
    <t>Vinicius Carmo</t>
  </si>
  <si>
    <t>Alondra - transfer in e out</t>
  </si>
  <si>
    <t>Walking hernan</t>
  </si>
  <si>
    <t>Vinicius Carmo - 2 pax</t>
  </si>
  <si>
    <t xml:space="preserve">Aula de Salsa </t>
  </si>
  <si>
    <t>ju pagou saldo via bancolombia - pax pagou 556.865 en link bold - link era de 589.000</t>
  </si>
  <si>
    <t xml:space="preserve">Bruna Raquel </t>
  </si>
  <si>
    <t>Bora vip com cama vip</t>
  </si>
  <si>
    <t>Antônio Gireli</t>
  </si>
  <si>
    <t>Alondra in e out + alondra walking  10 am 2 horas</t>
  </si>
  <si>
    <t>Simone Chioman 2 pax</t>
  </si>
  <si>
    <t xml:space="preserve">Walking Tour - Andres </t>
  </si>
  <si>
    <t>ju pga saldo - pax pagou em reais de agencia</t>
  </si>
  <si>
    <t>Bruna Andrade 3 pax</t>
  </si>
  <si>
    <t xml:space="preserve">walking tour andres 09am </t>
  </si>
  <si>
    <t>guia+ castelo</t>
  </si>
  <si>
    <t>Lavinia Melo 02 pax</t>
  </si>
  <si>
    <t>walking hernan 15hs</t>
  </si>
  <si>
    <t>pagou via walkink via bold - ju deve pagar saldo</t>
  </si>
  <si>
    <t xml:space="preserve">Antonio Girelli </t>
  </si>
  <si>
    <t>ju pagou saldo</t>
  </si>
  <si>
    <t>Bruna Andrade - 3 pax</t>
  </si>
  <si>
    <t xml:space="preserve">rosario de mar </t>
  </si>
  <si>
    <t>ju deve pagar saldo</t>
  </si>
  <si>
    <t>Antonio Girelli</t>
  </si>
  <si>
    <t>Degustação Café San Alberto</t>
  </si>
  <si>
    <t xml:space="preserve">Jose rebelo - sabine </t>
  </si>
  <si>
    <t>tour gastronomico e aula salsa bogota</t>
  </si>
  <si>
    <t xml:space="preserve">Jose Rebelo - sabine tour </t>
  </si>
  <si>
    <t>catedral privativo port</t>
  </si>
  <si>
    <t>Welisson Almeida</t>
  </si>
  <si>
    <t>Walking Hernan 23 pax</t>
  </si>
  <si>
    <t xml:space="preserve">Welison Almeida </t>
  </si>
  <si>
    <t>Lancha Paue</t>
  </si>
  <si>
    <t>Isa Santos 02 pax</t>
  </si>
  <si>
    <t>bora beach club</t>
  </si>
  <si>
    <t>jose rebelo - sabine tour</t>
  </si>
  <si>
    <t>jose rebelo - sabie tour</t>
  </si>
  <si>
    <t>bora bora bc</t>
  </si>
  <si>
    <t xml:space="preserve">Jose rebelo - sabine tour </t>
  </si>
  <si>
    <t>denise leinz - 3 pax</t>
  </si>
  <si>
    <t>catedarl sal privativo port</t>
  </si>
  <si>
    <t>maio</t>
  </si>
  <si>
    <t xml:space="preserve">Gabriela Xavier - 3 pax </t>
  </si>
  <si>
    <t>Rosario</t>
  </si>
  <si>
    <t xml:space="preserve">pax pagou via wise saldo em pesos </t>
  </si>
  <si>
    <t>pax pagou saldo via wise</t>
  </si>
  <si>
    <t>Eduard souza - 02 pax</t>
  </si>
  <si>
    <t>valor promo isla bela - pax pagou link bold tet fixo</t>
  </si>
  <si>
    <t>Verana Regattieri - 1 pax</t>
  </si>
  <si>
    <t>pagou 500.000 via wise e ju oaga saldo para andres</t>
  </si>
  <si>
    <t>Junho</t>
  </si>
  <si>
    <t xml:space="preserve">Fernanda Lima - 03 pax </t>
  </si>
  <si>
    <t>Bora Bora comum</t>
  </si>
  <si>
    <t xml:space="preserve">Pagou via link tet </t>
  </si>
  <si>
    <t>sara marceli - 02 pax</t>
  </si>
  <si>
    <t>Fernanda Perisson - 03 pax</t>
  </si>
  <si>
    <t xml:space="preserve">Top 3 </t>
  </si>
  <si>
    <t>Pagou via wise</t>
  </si>
  <si>
    <t>Lelaine Oliveira - 4 pax</t>
  </si>
  <si>
    <t>Bora Bora</t>
  </si>
  <si>
    <t xml:space="preserve">Pax de agência, pagou no pix </t>
  </si>
  <si>
    <t>Pagou via wise. Trocar por Capri</t>
  </si>
  <si>
    <t>Fernanda Choma - allis viagens 2 pax</t>
  </si>
  <si>
    <t>candelaria + museo + monserrate</t>
  </si>
  <si>
    <t xml:space="preserve">Fernanda Choma - 2 pax </t>
  </si>
  <si>
    <t>Tour gastronômico BOG</t>
  </si>
  <si>
    <t>Pax de agência, pagou no pix</t>
  </si>
  <si>
    <t>Juliana Dutra - 4 pax</t>
  </si>
  <si>
    <t xml:space="preserve">Walking Tour com Hernan </t>
  </si>
  <si>
    <t>Juliana Dutra - 04 Pax</t>
  </si>
  <si>
    <t>Alondra 2 horas</t>
  </si>
  <si>
    <t>Catedral de sal</t>
  </si>
  <si>
    <t>transfer ponto de encontro in e out</t>
  </si>
  <si>
    <t>pax de agencia pagou no pix</t>
  </si>
  <si>
    <t>pax pagou via wise</t>
  </si>
  <si>
    <t xml:space="preserve">Jantar em Fenix </t>
  </si>
  <si>
    <t>Pago</t>
  </si>
  <si>
    <t xml:space="preserve">Fernanda Choma - 3 pax </t>
  </si>
  <si>
    <t xml:space="preserve"> pago</t>
  </si>
  <si>
    <t>Coralina em lancha privada</t>
  </si>
  <si>
    <t xml:space="preserve">Pago </t>
  </si>
  <si>
    <t xml:space="preserve"> lancha privada</t>
  </si>
  <si>
    <t>amanda romera - 02 pax</t>
  </si>
  <si>
    <t xml:space="preserve">pagou via link bold tet </t>
  </si>
  <si>
    <t>Amanda Romena - 2 pax</t>
  </si>
  <si>
    <t>pagou via wise 1113.000</t>
  </si>
  <si>
    <t>Wagner Leite - 1 pax</t>
  </si>
  <si>
    <t xml:space="preserve">Pagou via pix, pq não conseguiu pagar via link </t>
  </si>
  <si>
    <t>Vanessa Oliveira - 5 pax</t>
  </si>
  <si>
    <t xml:space="preserve">Pagou tudo via pix </t>
  </si>
  <si>
    <t>Vanessa Oliveria - 5 pazx</t>
  </si>
  <si>
    <t>alondra 2 hs</t>
  </si>
  <si>
    <t xml:space="preserve">checar reserva - nao tinha hotel. Nao pagou ainda </t>
  </si>
  <si>
    <t>gaby no canada</t>
  </si>
  <si>
    <t>andres</t>
  </si>
  <si>
    <t>diferenca da tarifa dele. + transporte e agua</t>
  </si>
  <si>
    <t>Vanessa Magalhães 03 pax</t>
  </si>
  <si>
    <t>pagou em reais br</t>
  </si>
  <si>
    <t>Julho</t>
  </si>
  <si>
    <t>Nathalia Oliveira - 2 pax</t>
  </si>
  <si>
    <t xml:space="preserve">Pax pagou no pix </t>
  </si>
  <si>
    <t>Rafaella Bittencourt - 2 pax</t>
  </si>
  <si>
    <t>Bora Bora VIp</t>
  </si>
  <si>
    <t>Pagou pela Wise</t>
  </si>
  <si>
    <t>vanessa magalhães - 03 pax</t>
  </si>
  <si>
    <t>Isabella Figueiredo - 2 pax</t>
  </si>
  <si>
    <t>Experiência em fazenda de café paraiso - impulse travel</t>
  </si>
  <si>
    <t>Nidelanne Santos. - 04 pax</t>
  </si>
  <si>
    <t>Pao Pao</t>
  </si>
  <si>
    <t xml:space="preserve">pagou em reais </t>
  </si>
  <si>
    <t>Isabella ferreira</t>
  </si>
  <si>
    <t>catedral regular bog pass</t>
  </si>
  <si>
    <t>Nidelanne Santos - 04 pax</t>
  </si>
  <si>
    <t>Bruna Nacarato - 03 pax</t>
  </si>
  <si>
    <t>Gabrielly Pelegrino - 2 pax</t>
  </si>
  <si>
    <t>Luciana Ferreira - 02 pax travel &amp; co</t>
  </si>
  <si>
    <t>bog pass - bog e medellin</t>
  </si>
  <si>
    <t>agencia pagou em reais</t>
  </si>
  <si>
    <t>Nelson Porfirio - 02 pax viajart</t>
  </si>
  <si>
    <t>bog pass - catedral y candelaria + monserrate</t>
  </si>
  <si>
    <t>Top 3</t>
  </si>
  <si>
    <t>Marcos Schimanski - 2 pax</t>
  </si>
  <si>
    <t>Pagou via pix</t>
  </si>
  <si>
    <t>Transfer inb alondra</t>
  </si>
  <si>
    <t>Nelson Porfirio</t>
  </si>
  <si>
    <t xml:space="preserve">walikng hernan </t>
  </si>
  <si>
    <t xml:space="preserve">Bruna Pereira - 3 pax </t>
  </si>
  <si>
    <t>transfer in e out lunatico</t>
  </si>
  <si>
    <t>cooking class lunatico</t>
  </si>
  <si>
    <t>nelson porfirio - 02 pax</t>
  </si>
  <si>
    <t xml:space="preserve">Ângela Rossi - 4 Pax </t>
  </si>
  <si>
    <t xml:space="preserve">Coralina VIP </t>
  </si>
  <si>
    <t xml:space="preserve">Pax de agência. Pagou tudo pela Wise </t>
  </si>
  <si>
    <t>luciana lorenzoni - 05 pax</t>
  </si>
  <si>
    <t>agencia - pagou tdo em reais -0 ju deve pagar saldo</t>
  </si>
  <si>
    <t>pendiente</t>
  </si>
  <si>
    <t xml:space="preserve">Gabrielly Pelegrino - 2 pax </t>
  </si>
  <si>
    <t>Agosto</t>
  </si>
  <si>
    <t>Renan Felix - 02 pax</t>
  </si>
  <si>
    <t xml:space="preserve">pagou via wise em reais </t>
  </si>
  <si>
    <t>Luiz Lopes - 05 pax</t>
  </si>
  <si>
    <t>pagou via pix</t>
  </si>
  <si>
    <t>Barbara Guimaraes - 02 pax</t>
  </si>
  <si>
    <t>pagou pela wise</t>
  </si>
  <si>
    <t>maite godoy - 3 pax</t>
  </si>
  <si>
    <t>transfer in alondra</t>
  </si>
  <si>
    <t>maite godoy - 2 pax</t>
  </si>
  <si>
    <t>pendiejte</t>
  </si>
  <si>
    <t>maite godoy - 05 pax</t>
  </si>
  <si>
    <t>van por 2 horas</t>
  </si>
  <si>
    <t>tour hernan</t>
  </si>
  <si>
    <t>flavia garcia - 03 pax</t>
  </si>
  <si>
    <t xml:space="preserve">Gustavo Loiola - 3 pax </t>
  </si>
  <si>
    <t>Walking Tour Hernan</t>
  </si>
  <si>
    <t xml:space="preserve">Gustavo Loiola - 2 pax </t>
  </si>
  <si>
    <t>vou usar credito do pgto da reserva de Nelson Porfirio</t>
  </si>
  <si>
    <t>nathalia duarte 02 pax</t>
  </si>
  <si>
    <t>nathalia duarte - 02 PAX</t>
  </si>
  <si>
    <t>Nathalia Duarte - 02 pax</t>
  </si>
  <si>
    <t>vou usar 260.000 de credito da reserva do gustavo loiola</t>
  </si>
  <si>
    <t>Cynthia Martins - 01 pax</t>
  </si>
  <si>
    <t>Roberta Lima - 02 pax</t>
  </si>
  <si>
    <t>usei 60 mil de credito da reserva da ariadne vasconcelos</t>
  </si>
  <si>
    <t xml:space="preserve">Débora Moura - 02 Pax </t>
  </si>
  <si>
    <t xml:space="preserve">Pagou via pix </t>
  </si>
  <si>
    <t>Luciano Pelícola - 1 pax</t>
  </si>
  <si>
    <t>Bora Vip</t>
  </si>
  <si>
    <t>Camila Freitas - 02 pax</t>
  </si>
  <si>
    <t>pagou em reais R$ 1420,00</t>
  </si>
  <si>
    <t>Fabiana Castro - 01 pax</t>
  </si>
  <si>
    <t>wt Andres</t>
  </si>
  <si>
    <t>pagou via pix na entrada</t>
  </si>
  <si>
    <t>wise transfer</t>
  </si>
  <si>
    <t>Matheus Heck - 2 pax</t>
  </si>
  <si>
    <t>Corona</t>
  </si>
  <si>
    <t>recebemos 3.106,60 e paguei com cartao tet wise 1332000 corona</t>
  </si>
  <si>
    <t>Marina Nunes</t>
  </si>
  <si>
    <t>Amanda Fagundes</t>
  </si>
  <si>
    <t>Transfers in e out</t>
  </si>
  <si>
    <t>Sibarita Master sunset</t>
  </si>
  <si>
    <t>michelle frança - 02 paxz</t>
  </si>
  <si>
    <t xml:space="preserve">walking herna </t>
  </si>
  <si>
    <t>pagou em reais na enrtradsa</t>
  </si>
  <si>
    <t>lorhan moraes</t>
  </si>
  <si>
    <t>pagou em reais no wise</t>
  </si>
  <si>
    <t xml:space="preserve">Leticia Venancio - 01 pax </t>
  </si>
  <si>
    <t>WALKING HERNAN</t>
  </si>
  <si>
    <t>pagou em reias na entrada</t>
  </si>
  <si>
    <t>Erika lima - 04 pax</t>
  </si>
  <si>
    <t>walikng hernan</t>
  </si>
  <si>
    <t>Valdineia Santos - 04 pax</t>
  </si>
  <si>
    <t xml:space="preserve">bora bc </t>
  </si>
  <si>
    <t>pagou em reais</t>
  </si>
  <si>
    <t>Ronaldo Lopes - 2 pax</t>
  </si>
  <si>
    <t>La Candelária + Museo privado guia port 02 pm</t>
  </si>
  <si>
    <t>Pagou pela wise</t>
  </si>
  <si>
    <t>Flávia Ribeiro - 2 pax GYG</t>
  </si>
  <si>
    <t>Pagou pel</t>
  </si>
  <si>
    <t>Elson Silva - 04 pax</t>
  </si>
  <si>
    <t>bORA vip</t>
  </si>
  <si>
    <t>pagouu em reias</t>
  </si>
  <si>
    <t>CapRi - 04 pax</t>
  </si>
  <si>
    <t>pagou em reais R$ 2.720,00</t>
  </si>
  <si>
    <t>aretha zarlenga</t>
  </si>
  <si>
    <t>Giulia Morais - 02 pax</t>
  </si>
  <si>
    <t>wt Hernan</t>
  </si>
  <si>
    <t>pagoi em reais</t>
  </si>
  <si>
    <t>Catedral de sal privado + transporte (sem guia port)</t>
  </si>
  <si>
    <t>akemi Kimura</t>
  </si>
  <si>
    <t>sabai 4 pax</t>
  </si>
  <si>
    <t>Tour Gastronomico de Comida de Rua com guia em port (sem transporte</t>
  </si>
  <si>
    <t>Bonavida Islas</t>
  </si>
  <si>
    <t>ANA WEBER - 12 PAX</t>
  </si>
  <si>
    <t>HERNAN 2 TOURS</t>
  </si>
  <si>
    <t>van alondra 4 hs</t>
  </si>
  <si>
    <t>pagiu em reais</t>
  </si>
  <si>
    <t>Jantar Fenix Beach</t>
  </si>
  <si>
    <t>thamires ferreira - 02 pax</t>
  </si>
  <si>
    <t>Coralina vIP</t>
  </si>
  <si>
    <t xml:space="preserve">pagou pela wise </t>
  </si>
  <si>
    <t>Coralina Island VIP</t>
  </si>
  <si>
    <t>Angelica bezerra</t>
  </si>
  <si>
    <t>marcelo pereira - 07 pax</t>
  </si>
  <si>
    <t xml:space="preserve">sofitel ida </t>
  </si>
  <si>
    <t>Mayara Urbano - 01 pax</t>
  </si>
  <si>
    <t>aqlondra out</t>
  </si>
  <si>
    <t xml:space="preserve">Aviario </t>
  </si>
  <si>
    <t>Flavia Ribeiro - 02 pax</t>
  </si>
  <si>
    <t>Rosario de mar</t>
  </si>
  <si>
    <t>pagaou pela GYG</t>
  </si>
  <si>
    <t>vivian carvalho - 01 pax</t>
  </si>
  <si>
    <t>Homero Michelli - 01 pax</t>
  </si>
  <si>
    <t>roberta serrano - 02 pax</t>
  </si>
  <si>
    <t>transfe in</t>
  </si>
  <si>
    <t>roberta serrano - 04 pax</t>
  </si>
  <si>
    <t>wt  hernan</t>
  </si>
  <si>
    <t>alondra van 2 horas</t>
  </si>
  <si>
    <t>Alice Assad - 02 pax</t>
  </si>
  <si>
    <t>Candelaria + Museo + Monserrate</t>
  </si>
  <si>
    <t>catedral sal com guia em port</t>
  </si>
  <si>
    <t xml:space="preserve">pago </t>
  </si>
  <si>
    <t>ingrid monteiro</t>
  </si>
  <si>
    <t>MARCELINA CORREA - 02 PAX</t>
  </si>
  <si>
    <t>WT HERNAN</t>
  </si>
  <si>
    <t>alondra transfer out</t>
  </si>
  <si>
    <t>ana flavia ribeiro - 06 pax</t>
  </si>
  <si>
    <t>ALONDRA IN OUT PUERTO</t>
  </si>
  <si>
    <t>walking Hernan</t>
  </si>
  <si>
    <t>ana claudia franca - 13 pax</t>
  </si>
  <si>
    <t>lancha boats for 4</t>
  </si>
  <si>
    <t>Dania Nascimento - 04 pax</t>
  </si>
  <si>
    <t>pagou tiudo em reais</t>
  </si>
  <si>
    <t>Alondra van 2 horas</t>
  </si>
  <si>
    <t>pagou tudo em reais</t>
  </si>
  <si>
    <t xml:space="preserve">Capri </t>
  </si>
  <si>
    <t>matheus vieira</t>
  </si>
  <si>
    <t>hernan wt</t>
  </si>
  <si>
    <t>felipe cordona</t>
  </si>
  <si>
    <t>trasf in Alondra</t>
  </si>
  <si>
    <t>felipe cordon - 02 pax</t>
  </si>
  <si>
    <t>aviario Alondra</t>
  </si>
  <si>
    <t>Danissa Martins - 02 pax</t>
  </si>
  <si>
    <t>walking tour aNDRES</t>
  </si>
  <si>
    <t>sandra da silva - 02 pax</t>
  </si>
  <si>
    <t xml:space="preserve">agencia </t>
  </si>
  <si>
    <t>Danissa Martins - 02 paz</t>
  </si>
  <si>
    <t xml:space="preserve">paqgo </t>
  </si>
  <si>
    <t>usei credito da reserva da Juiana nozue</t>
  </si>
  <si>
    <t>TATIANE ZARDO - 04 adts + 1 nino</t>
  </si>
  <si>
    <t>TRANSFER IN</t>
  </si>
  <si>
    <t>agencia</t>
  </si>
  <si>
    <t>aviario - alondra</t>
  </si>
  <si>
    <t>pagou em reais na entrada</t>
  </si>
  <si>
    <t xml:space="preserve">SIBARITA MASTER </t>
  </si>
  <si>
    <t>Manuela Grill</t>
  </si>
  <si>
    <t>patricia santos - 02 pax</t>
  </si>
  <si>
    <t>alondra trasnfer in e out</t>
  </si>
  <si>
    <t>Carlos de Augusto de Andrade - 04 pax</t>
  </si>
  <si>
    <t>wt 4 hs - alondra</t>
  </si>
  <si>
    <t xml:space="preserve">HERNAN </t>
  </si>
  <si>
    <t>Bruno coelho e patericia sandtos - 03 pa</t>
  </si>
  <si>
    <t>thaisa camarhgo</t>
  </si>
  <si>
    <t>e</t>
  </si>
  <si>
    <t>patricia santos</t>
  </si>
  <si>
    <t>nathalia Silva</t>
  </si>
  <si>
    <t xml:space="preserve">tgransfer in alondra </t>
  </si>
  <si>
    <t>van 4 hs</t>
  </si>
  <si>
    <t>PATRICIA SANTOS</t>
  </si>
  <si>
    <t xml:space="preserve">CORALINA </t>
  </si>
  <si>
    <t>juliana nozue - 02 pax</t>
  </si>
  <si>
    <t>pago via wise</t>
  </si>
  <si>
    <t>Nathalia Silva - 02 paz</t>
  </si>
  <si>
    <t>SIbarita masterr</t>
  </si>
  <si>
    <t>Natahalia Silva - 02 pax</t>
  </si>
  <si>
    <t>pahou em reais</t>
  </si>
  <si>
    <t>carlos andrade - 04 pax</t>
  </si>
  <si>
    <t>Dinary reis - 04 pax</t>
  </si>
  <si>
    <t xml:space="preserve">transfere in alondra </t>
  </si>
  <si>
    <t>damaria ortolan - 02 pax</t>
  </si>
  <si>
    <t>trasnfer out alondra</t>
  </si>
  <si>
    <t xml:space="preserve">Transfer in Bogotá as 13hs Voo LA4115 - solicitado </t>
  </si>
  <si>
    <t>milena vale - 02 pax</t>
  </si>
  <si>
    <t>tsfr in alondra</t>
  </si>
  <si>
    <t>bonvida sunset</t>
  </si>
  <si>
    <t>Walking tour Candelaria compartilhado</t>
  </si>
  <si>
    <t xml:space="preserve"> Catedral de Sal compartilhado</t>
  </si>
  <si>
    <t xml:space="preserve">transfere out alondra </t>
  </si>
  <si>
    <t xml:space="preserve"> Transfer out as 13:05 Bogotá </t>
  </si>
  <si>
    <t>Graziele Silva - 02 pax</t>
  </si>
  <si>
    <t>wise</t>
  </si>
  <si>
    <t>Nathalia Silva 02 pax</t>
  </si>
  <si>
    <t>Nathalia Silva - 02 pax</t>
  </si>
  <si>
    <t>bonavida islas</t>
  </si>
  <si>
    <t>pagou em reias</t>
  </si>
  <si>
    <t>Nathalia Silva</t>
  </si>
  <si>
    <t xml:space="preserve">paghou em reais </t>
  </si>
  <si>
    <t>Andre Camargo - 02 pax</t>
  </si>
  <si>
    <t>La Candelaria + Monserrate</t>
  </si>
  <si>
    <t>ppago</t>
  </si>
  <si>
    <t>catedral regular</t>
  </si>
  <si>
    <t>Juliana donha - 04 pax</t>
  </si>
  <si>
    <t xml:space="preserve">alondra wt 2 hs </t>
  </si>
  <si>
    <t>Eduarda Nunes - 02 pax</t>
  </si>
  <si>
    <t>trasf out alonda</t>
  </si>
  <si>
    <t xml:space="preserve">Juliana Guareschi - 02 pax </t>
  </si>
  <si>
    <t>AVIARIO</t>
  </si>
  <si>
    <t>oago</t>
  </si>
  <si>
    <t>Márcia Goraieb - 02 pax</t>
  </si>
  <si>
    <t>MARCELA HEITOR - 6 PAX</t>
  </si>
  <si>
    <t>CANDELARIA + MONSERRATE - BOG</t>
  </si>
  <si>
    <t>capri - premium</t>
  </si>
  <si>
    <t xml:space="preserve">      </t>
  </si>
  <si>
    <t>Silvana Pigato - 02 pax</t>
  </si>
  <si>
    <t>trasnfer in alondra</t>
  </si>
  <si>
    <t>págou em reais</t>
  </si>
  <si>
    <t>Silvana Pigato - 02 paz</t>
  </si>
  <si>
    <t>walking tour - hernan</t>
  </si>
  <si>
    <t>silvana pigato - 02 pax</t>
  </si>
  <si>
    <t>degustacao cerveja lunatico</t>
  </si>
  <si>
    <t>trasnfer in baru - alondra</t>
  </si>
  <si>
    <t>josenilda silva - 01 pax</t>
  </si>
  <si>
    <t>trasnfer out baru - alondra</t>
  </si>
  <si>
    <t>Gisele Barkensen - 02 pax</t>
  </si>
  <si>
    <t>pagop</t>
  </si>
  <si>
    <t>MARCELA HEITOR -  07 PAX</t>
  </si>
  <si>
    <t>pago em reais</t>
  </si>
  <si>
    <t>patricia binotto</t>
  </si>
  <si>
    <t>patricia Binotto - 04 pax</t>
  </si>
  <si>
    <t>catedral de sal com guia en port</t>
  </si>
  <si>
    <t>wt privado bog</t>
  </si>
  <si>
    <t>out bog</t>
  </si>
  <si>
    <t>GIOvana bonnini.- 02 pax</t>
  </si>
  <si>
    <t>van 2 horas - alondra</t>
  </si>
  <si>
    <t>Claudia Hervatin - 02 pax</t>
  </si>
  <si>
    <t>Aline Passos - 01 pax</t>
  </si>
  <si>
    <t>isla palam</t>
  </si>
  <si>
    <t>transfer OUT alondra</t>
  </si>
  <si>
    <t>Daiana Bundchen - 04 pax</t>
  </si>
  <si>
    <t>Ariane Silva - -2 pax</t>
  </si>
  <si>
    <t>sabai terrestre</t>
  </si>
  <si>
    <t>fevereir 2026</t>
  </si>
  <si>
    <t>Beatriz Camila - 02 pax</t>
  </si>
  <si>
    <t>fabio ambrosio - 04 pac</t>
  </si>
  <si>
    <t>fabio ambrosio</t>
  </si>
  <si>
    <t>Isabella Marcuzzo - 02 pax -</t>
  </si>
  <si>
    <t>Fernanda Rocha</t>
  </si>
  <si>
    <t>alondra  aviario</t>
  </si>
  <si>
    <t>pax pagou em reais na entrada</t>
  </si>
  <si>
    <t>evaldo oliveira - 06 pax</t>
  </si>
  <si>
    <t>pendete</t>
  </si>
  <si>
    <t>fABRIO aMBROSIO - 04 pax</t>
  </si>
  <si>
    <t>ALONDRA AVIARIO</t>
  </si>
  <si>
    <t>Claudia Bruce</t>
  </si>
  <si>
    <t>Alondra trasnfer in e out</t>
  </si>
  <si>
    <t>fabiane - 04 pax</t>
  </si>
  <si>
    <t>fabiane 4 pax</t>
  </si>
  <si>
    <t>alondra 2hs</t>
  </si>
  <si>
    <t>Claudia Bruce - 3 pax</t>
  </si>
  <si>
    <t>Walking Andres com carro</t>
  </si>
  <si>
    <t>Tânia Varpucankis 03 pax</t>
  </si>
  <si>
    <t>trasnfer in + out</t>
  </si>
  <si>
    <t>fernanda tadeu - 02 pax</t>
  </si>
  <si>
    <t>fernanda tadeu</t>
  </si>
  <si>
    <t>sunset catamaran</t>
  </si>
  <si>
    <t>Felipe Santana</t>
  </si>
  <si>
    <t>helen Santana - 02 pax</t>
  </si>
  <si>
    <t>bora bora bx</t>
  </si>
  <si>
    <t>fernadna tadeu - 02 pax</t>
  </si>
  <si>
    <t>jose felix - 2 pax</t>
  </si>
  <si>
    <t>alondra aviario</t>
  </si>
  <si>
    <t>Jacqueline Sloma - 3 pax</t>
  </si>
  <si>
    <t>Wt hernan</t>
  </si>
  <si>
    <t>Victor Lacerda</t>
  </si>
  <si>
    <t>wt andres sen castelo</t>
  </si>
  <si>
    <t>Flavia Viagens</t>
  </si>
  <si>
    <t>welcme tour cuzeiro</t>
  </si>
  <si>
    <t xml:space="preserve">alondra </t>
  </si>
  <si>
    <t>Larissa Oliveira - 01 paz</t>
  </si>
  <si>
    <t>Carlos Pagotto</t>
  </si>
  <si>
    <t>mariana cardoso - 02 pax</t>
  </si>
  <si>
    <t>Neusa Pedrosa - 02 pax</t>
  </si>
  <si>
    <t>GRUPO BORA BORA</t>
  </si>
  <si>
    <t>Bora Bora BC</t>
  </si>
  <si>
    <t>Precio venta</t>
  </si>
  <si>
    <t>Saldo</t>
  </si>
  <si>
    <t>Comision</t>
  </si>
  <si>
    <t>Top 3 Ilhas</t>
  </si>
  <si>
    <t>Data da Venda</t>
  </si>
  <si>
    <t>Data da Viagem</t>
  </si>
  <si>
    <t>Mês da Viagem</t>
  </si>
  <si>
    <t>Código da Cotação</t>
  </si>
  <si>
    <t>Cliente</t>
  </si>
  <si>
    <t>total entrada</t>
  </si>
  <si>
    <t>CUSTO (COP)</t>
  </si>
  <si>
    <t>TET (COP)</t>
  </si>
  <si>
    <t>TET (BRL)</t>
  </si>
  <si>
    <t>CUSTO (BRL)</t>
  </si>
  <si>
    <t>Devolução</t>
  </si>
  <si>
    <t>Antes de comision</t>
  </si>
  <si>
    <t>Desconto</t>
  </si>
  <si>
    <t>Lucro Bruto</t>
  </si>
  <si>
    <t>Cupom Afiliado</t>
  </si>
  <si>
    <t>Comissão Afiliado</t>
  </si>
  <si>
    <t>Lucro pós-comissão</t>
  </si>
  <si>
    <t>Comissão Jadhe?</t>
  </si>
  <si>
    <t>Lucro Liquido</t>
  </si>
  <si>
    <t>obs</t>
  </si>
  <si>
    <t>Status</t>
  </si>
  <si>
    <t>Nota Fiscal</t>
  </si>
  <si>
    <t>Imposto</t>
  </si>
  <si>
    <t>Heloísa Delgado</t>
  </si>
  <si>
    <t>Sim</t>
  </si>
  <si>
    <t>OK</t>
  </si>
  <si>
    <t>Comissão Por Mês</t>
  </si>
  <si>
    <t>Ana Oliveira</t>
  </si>
  <si>
    <t>out.</t>
  </si>
  <si>
    <t>Legenda</t>
  </si>
  <si>
    <t>Marcus Estrela</t>
  </si>
  <si>
    <t>nov.</t>
  </si>
  <si>
    <t>Fechado</t>
  </si>
  <si>
    <t>Fabiana Castro</t>
  </si>
  <si>
    <t>dez.</t>
  </si>
  <si>
    <t>Abater NETO</t>
  </si>
  <si>
    <t>Matheus Heck</t>
  </si>
  <si>
    <t>jan.</t>
  </si>
  <si>
    <t>PG tudo em COP</t>
  </si>
  <si>
    <t xml:space="preserve">Marina Nunes </t>
  </si>
  <si>
    <t>fev.</t>
  </si>
  <si>
    <t>Vamos receber da GYG</t>
  </si>
  <si>
    <t xml:space="preserve">Magda Helena </t>
  </si>
  <si>
    <t>mar.</t>
  </si>
  <si>
    <t>Pax da Ju</t>
  </si>
  <si>
    <t>Caroline Sneider</t>
  </si>
  <si>
    <t>abr.</t>
  </si>
  <si>
    <t>Pago à Jadhe</t>
  </si>
  <si>
    <t>Delpho Sobrinho</t>
  </si>
  <si>
    <t>mai.</t>
  </si>
  <si>
    <t>Solicitar reserva</t>
  </si>
  <si>
    <t xml:space="preserve">Mauro Ferreira </t>
  </si>
  <si>
    <t>jun.</t>
  </si>
  <si>
    <t>Reserva enviada</t>
  </si>
  <si>
    <t>Sumaica Holanda</t>
  </si>
  <si>
    <t>Danielle Sonego</t>
  </si>
  <si>
    <t>Empréstimo</t>
  </si>
  <si>
    <t>Liliana Coelho</t>
  </si>
  <si>
    <t>Parcela 1  - R$1000 - Dezembro ✅</t>
  </si>
  <si>
    <t>jan</t>
  </si>
  <si>
    <t>Michelle França</t>
  </si>
  <si>
    <t>Parcela 2 - R$1000 - Janeiro ✅</t>
  </si>
  <si>
    <t>comissoes</t>
  </si>
  <si>
    <t>Fabiana Soares</t>
  </si>
  <si>
    <t>Parcela 3 - R$1000 - Fevereiro ✅</t>
  </si>
  <si>
    <t>extras</t>
  </si>
  <si>
    <t>Luísa Moura</t>
  </si>
  <si>
    <t>Parcela 4 - R$1000 - Março</t>
  </si>
  <si>
    <t>ajuda custo</t>
  </si>
  <si>
    <t>Lohran Moraes</t>
  </si>
  <si>
    <t>Parcela 5 - R$1000 - Abril</t>
  </si>
  <si>
    <t>Letícia Venâncio</t>
  </si>
  <si>
    <t>parcela fev</t>
  </si>
  <si>
    <t>Lorena Costa</t>
  </si>
  <si>
    <t xml:space="preserve"> enviar</t>
  </si>
  <si>
    <t>Igor Faria</t>
  </si>
  <si>
    <t>Bruna Linshalm</t>
  </si>
  <si>
    <t>Valdineia Santos</t>
  </si>
  <si>
    <t>Erika Lima</t>
  </si>
  <si>
    <t xml:space="preserve">Felipe Barbeta </t>
  </si>
  <si>
    <t>Danilo Santos</t>
  </si>
  <si>
    <t xml:space="preserve">Pedro Marcondes </t>
  </si>
  <si>
    <t>Natália Marinelli</t>
  </si>
  <si>
    <t>Akemi Kimura</t>
  </si>
  <si>
    <t>Elson Silva</t>
  </si>
  <si>
    <t>Flávia Ribeiro GYG</t>
  </si>
  <si>
    <t>Leonardo Martins</t>
  </si>
  <si>
    <t>Ronaldo Lopes</t>
  </si>
  <si>
    <t>Vivian Carvalho</t>
  </si>
  <si>
    <t>Ana Weber</t>
  </si>
  <si>
    <t>Fernanda Lago</t>
  </si>
  <si>
    <t>Valquíria Rodrigues</t>
  </si>
  <si>
    <t>Angélica Bezerra</t>
  </si>
  <si>
    <t>Thamires Ferreira</t>
  </si>
  <si>
    <t>Valquiria Rodrigues Paue</t>
  </si>
  <si>
    <t>Gisele Rodrigues</t>
  </si>
  <si>
    <t xml:space="preserve">Giovana Lopes </t>
  </si>
  <si>
    <t>Maurício Pereira</t>
  </si>
  <si>
    <t xml:space="preserve">Mayara Urbano </t>
  </si>
  <si>
    <t>Ana Latto</t>
  </si>
  <si>
    <t>Homero Michelli</t>
  </si>
  <si>
    <t>Ana Paula Ferreira</t>
  </si>
  <si>
    <t>Matheus Santos</t>
  </si>
  <si>
    <t>Cássio Schneider</t>
  </si>
  <si>
    <t>Felipe Andriolo</t>
  </si>
  <si>
    <t>Marcela Pires</t>
  </si>
  <si>
    <t xml:space="preserve">Thamires Fernandes </t>
  </si>
  <si>
    <t>Gabriela Dantas</t>
  </si>
  <si>
    <t>Roberta Serrano</t>
  </si>
  <si>
    <t xml:space="preserve">Maria Virgínia Tomich </t>
  </si>
  <si>
    <t>Sem Moskit</t>
  </si>
  <si>
    <t>Marcelina Correa</t>
  </si>
  <si>
    <t>Alice Assad</t>
  </si>
  <si>
    <t>Juliana Pena</t>
  </si>
  <si>
    <t>Claudio Coling</t>
  </si>
  <si>
    <t>Letícia Nóbrega</t>
  </si>
  <si>
    <t>Ana Flavia Ribeiro</t>
  </si>
  <si>
    <t>Não tem GENI nem valor no moskit</t>
  </si>
  <si>
    <t>Ana Cláudia França</t>
  </si>
  <si>
    <t xml:space="preserve">Alaine Oliveira </t>
  </si>
  <si>
    <t xml:space="preserve">Silvia Veríssimo </t>
  </si>
  <si>
    <t xml:space="preserve">Ana Maria </t>
  </si>
  <si>
    <t>Ana Lucia Cardoso</t>
  </si>
  <si>
    <t>Samia Ribeiro</t>
  </si>
  <si>
    <t xml:space="preserve">Matheus Vieira </t>
  </si>
  <si>
    <t>Flávia Gama</t>
  </si>
  <si>
    <t>Mara Dias</t>
  </si>
  <si>
    <t>Matheus Souza</t>
  </si>
  <si>
    <t xml:space="preserve">Suzana Uggeri </t>
  </si>
  <si>
    <t>Felipe Cordova</t>
  </si>
  <si>
    <t>Sem valor no moskit.tabela não bate com as notas</t>
  </si>
  <si>
    <t xml:space="preserve">Natasha Cardoso </t>
  </si>
  <si>
    <t xml:space="preserve">Patrick Silva </t>
  </si>
  <si>
    <t xml:space="preserve">Lívia Nassar </t>
  </si>
  <si>
    <t xml:space="preserve">Danissa Martins </t>
  </si>
  <si>
    <t>Tabela não bate com o Moskit</t>
  </si>
  <si>
    <t>Carla Santos</t>
  </si>
  <si>
    <t>Sandra da Silva</t>
  </si>
  <si>
    <t>Tatiane Zardo</t>
  </si>
  <si>
    <t>Guilherme Estevam</t>
  </si>
  <si>
    <t>Mariana Gonzalez</t>
  </si>
  <si>
    <t>Juliana Nozue</t>
  </si>
  <si>
    <t>Manuela grill</t>
  </si>
  <si>
    <t>Ananda Cabral</t>
  </si>
  <si>
    <t xml:space="preserve">Thibis </t>
  </si>
  <si>
    <t xml:space="preserve">devolucao </t>
  </si>
  <si>
    <t>Eduardo</t>
  </si>
  <si>
    <t>Andrea Duarte</t>
  </si>
  <si>
    <t>Felipe Almeida</t>
  </si>
  <si>
    <t>Patricia Gaino 2</t>
  </si>
  <si>
    <t>Patrícia Santos</t>
  </si>
  <si>
    <t>Não bate cmo GEni</t>
  </si>
  <si>
    <t>Bruno Valadares</t>
  </si>
  <si>
    <t>Amanda Pina</t>
  </si>
  <si>
    <t>Isabella Pereira</t>
  </si>
  <si>
    <t>Willian Saibel</t>
  </si>
  <si>
    <t>Willian Saibel Reveillon</t>
  </si>
  <si>
    <t>Leonardo Siano Novo</t>
  </si>
  <si>
    <t>Carla Soares</t>
  </si>
  <si>
    <t xml:space="preserve">Letícia Ranalle </t>
  </si>
  <si>
    <t>Luiza Chiarion</t>
  </si>
  <si>
    <t xml:space="preserve">Patrícia Gaino </t>
  </si>
  <si>
    <t>Layla Mendes</t>
  </si>
  <si>
    <t>devolucao</t>
  </si>
  <si>
    <t>Thaisa  Camargo</t>
  </si>
  <si>
    <t>Mateus Pinheiro</t>
  </si>
  <si>
    <t xml:space="preserve">Damaris Ortolan </t>
  </si>
  <si>
    <t xml:space="preserve">Indira Ravagnani </t>
  </si>
  <si>
    <t>Diego Siqueira</t>
  </si>
  <si>
    <t>Deborah Dinelly</t>
  </si>
  <si>
    <t>Ana Paula Gomes</t>
  </si>
  <si>
    <t>Ester Candi</t>
  </si>
  <si>
    <t>Leonardo Siano</t>
  </si>
  <si>
    <t>Juliana Nascimento</t>
  </si>
  <si>
    <t>Dinary Reis Transfer CTG</t>
  </si>
  <si>
    <t>Sem Geni</t>
  </si>
  <si>
    <t>Revisar</t>
  </si>
  <si>
    <t>Nathalia Silva Capri</t>
  </si>
  <si>
    <t>Dinary Reis</t>
  </si>
  <si>
    <t>Bogota</t>
  </si>
  <si>
    <t>Dinary Novo</t>
  </si>
  <si>
    <t>Rafael Costa</t>
  </si>
  <si>
    <t>Dinary Reis Sibarita</t>
  </si>
  <si>
    <t>Beatriz Magalhães</t>
  </si>
  <si>
    <t>Sem calculo de comissão no Moskit</t>
  </si>
  <si>
    <t>Juliana Donha</t>
  </si>
  <si>
    <t xml:space="preserve">Aliana Bento </t>
  </si>
  <si>
    <t>Juliana Donha Walking</t>
  </si>
  <si>
    <t>Bianca Ferré</t>
  </si>
  <si>
    <t>Lara Luz</t>
  </si>
  <si>
    <t>André Camargo  1</t>
  </si>
  <si>
    <t>Eduarda Nunes</t>
  </si>
  <si>
    <t xml:space="preserve">Juliana Guareschi </t>
  </si>
  <si>
    <t>Silvana Pigato</t>
  </si>
  <si>
    <t>Gisele Barkensen</t>
  </si>
  <si>
    <t>Foi pagamento integral</t>
  </si>
  <si>
    <t>Brielly Fonseca</t>
  </si>
  <si>
    <t>Debora Carvalho</t>
  </si>
  <si>
    <t xml:space="preserve">Fabio Sperandio </t>
  </si>
  <si>
    <t>Silvana Pigato Novo</t>
  </si>
  <si>
    <t>Josenilda Souza</t>
  </si>
  <si>
    <t>Luciana Donnegati</t>
  </si>
  <si>
    <t>Pendente</t>
  </si>
  <si>
    <t>Fábio Ambrosio</t>
  </si>
  <si>
    <t>Isabela Marcuzzo PPC</t>
  </si>
  <si>
    <t>Douglas Taroco</t>
  </si>
  <si>
    <t>PAGOU VIA WISE</t>
  </si>
  <si>
    <t>Rodrigo Machado</t>
  </si>
  <si>
    <t>Liziane Monteiro</t>
  </si>
  <si>
    <t>Tânia Varpucankis</t>
  </si>
  <si>
    <t>Cristiane Lima</t>
  </si>
  <si>
    <t xml:space="preserve">José Félix Neto </t>
  </si>
  <si>
    <t>Neila Moraes</t>
  </si>
  <si>
    <t>Gabriel Monteiro</t>
  </si>
  <si>
    <t>Lilian Gusmão</t>
  </si>
  <si>
    <t>Marcia Goreiab</t>
  </si>
  <si>
    <t>Não tem GEni nem info no Moskit</t>
  </si>
  <si>
    <t>João Guilherme Costa</t>
  </si>
  <si>
    <t>Fabiane Seniski</t>
  </si>
  <si>
    <t>Maria Clara Pache</t>
  </si>
  <si>
    <t>Ivana Predetti</t>
  </si>
  <si>
    <t xml:space="preserve">Giovanna Bonini </t>
  </si>
  <si>
    <t>Vinicius Figueiredo</t>
  </si>
  <si>
    <t>Ariane Silva</t>
  </si>
  <si>
    <t>Valores da tabela em negativo. Não bate com Geni</t>
  </si>
  <si>
    <t>Raphaela Pessoa</t>
  </si>
  <si>
    <t>Aline Passos</t>
  </si>
  <si>
    <t>Sem valor no Moskit</t>
  </si>
  <si>
    <t>Josyane Van der Goot</t>
  </si>
  <si>
    <t>Fábio Ambrósio  Bogota</t>
  </si>
  <si>
    <t xml:space="preserve">Fernando Toledo Augusto </t>
  </si>
  <si>
    <t>Patrícia dos Santos</t>
  </si>
  <si>
    <t>Elisangela Silva</t>
  </si>
  <si>
    <t>Hellen Santana</t>
  </si>
  <si>
    <t>Larissa Oliveira</t>
  </si>
  <si>
    <t>Ian Karg</t>
  </si>
  <si>
    <t>Beatriz Camilo</t>
  </si>
  <si>
    <t>Janaína Fonseca</t>
  </si>
  <si>
    <t xml:space="preserve">Mariana Cardoso </t>
  </si>
  <si>
    <t>Karina Rodrigues</t>
  </si>
  <si>
    <t>Thaíza Barbosa</t>
  </si>
  <si>
    <t>Jennifer Rendoke</t>
  </si>
  <si>
    <t>Caio Scorsi</t>
  </si>
  <si>
    <t xml:space="preserve">Helisangela Costa </t>
  </si>
  <si>
    <t>Felipe Ferreira</t>
  </si>
  <si>
    <t>Carolina Pereira</t>
  </si>
  <si>
    <t>sim</t>
  </si>
  <si>
    <t>planejar para viajar</t>
  </si>
  <si>
    <t>Leila Prado</t>
  </si>
  <si>
    <t>Gisele Biill</t>
  </si>
  <si>
    <t>Gabrielle Aldama</t>
  </si>
  <si>
    <t>Rillary Carvalho</t>
  </si>
  <si>
    <t>Bruno Martins</t>
  </si>
  <si>
    <t>Flávia Viagens</t>
  </si>
  <si>
    <t>Suellen Sehen</t>
  </si>
  <si>
    <t>Thaiza Fonseca</t>
  </si>
  <si>
    <t>Marcelo Soeiro</t>
  </si>
  <si>
    <t>Jaqueline Sloma</t>
  </si>
  <si>
    <t>Felipe Ferreira 2</t>
  </si>
  <si>
    <t xml:space="preserve">Douglas Taroco 2 </t>
  </si>
  <si>
    <t xml:space="preserve">Laura Garbazza </t>
  </si>
  <si>
    <t>Omar Zebian Filho</t>
  </si>
  <si>
    <t xml:space="preserve">Jéssica Brayner </t>
  </si>
  <si>
    <t xml:space="preserve">Tania Varpucankis </t>
  </si>
  <si>
    <t xml:space="preserve">Karine Takeuti </t>
  </si>
  <si>
    <t>Serviço</t>
  </si>
  <si>
    <t>Variação</t>
  </si>
  <si>
    <t>Custo Neto (COP)</t>
  </si>
  <si>
    <t>Preço de Venda (COP)</t>
  </si>
  <si>
    <t>CTY007</t>
  </si>
  <si>
    <t>City Tour 4 horas</t>
  </si>
  <si>
    <t>PAS006</t>
  </si>
  <si>
    <t>MED001</t>
  </si>
  <si>
    <t>Comuna 13</t>
  </si>
  <si>
    <t>Grupal</t>
  </si>
  <si>
    <t>MED002</t>
  </si>
  <si>
    <t>Comuna 14</t>
  </si>
  <si>
    <t>MED003</t>
  </si>
  <si>
    <t>Comuna 15</t>
  </si>
  <si>
    <t>MED004</t>
  </si>
  <si>
    <t>Comuna 16</t>
  </si>
  <si>
    <t>MED005</t>
  </si>
  <si>
    <t>Comuna 17</t>
  </si>
  <si>
    <t>MED006</t>
  </si>
  <si>
    <t>Comuna 18</t>
  </si>
  <si>
    <t>MED007</t>
  </si>
  <si>
    <t>Comuna 19</t>
  </si>
  <si>
    <t>MED008</t>
  </si>
  <si>
    <t>Comuna 20</t>
  </si>
  <si>
    <t>MED009</t>
  </si>
  <si>
    <t>Comuna 21</t>
  </si>
  <si>
    <t>MED010</t>
  </si>
  <si>
    <t>Comuna 22</t>
  </si>
  <si>
    <t>MED011</t>
  </si>
  <si>
    <t>Comuna 23</t>
  </si>
  <si>
    <t>MED012</t>
  </si>
  <si>
    <t>Comuna 24</t>
  </si>
  <si>
    <t>MED013</t>
  </si>
  <si>
    <t>Comuna 25</t>
  </si>
  <si>
    <t>MED014</t>
  </si>
  <si>
    <t>Comuna 26</t>
  </si>
  <si>
    <t>MED015</t>
  </si>
  <si>
    <t>Comuna 27</t>
  </si>
  <si>
    <t>MED016</t>
  </si>
  <si>
    <t>Comuna 28</t>
  </si>
  <si>
    <t>MED017</t>
  </si>
  <si>
    <t>Comuna 29</t>
  </si>
  <si>
    <t>MED018</t>
  </si>
  <si>
    <t>Comuna 30</t>
  </si>
  <si>
    <t>MED019</t>
  </si>
  <si>
    <t>Comuna 31</t>
  </si>
  <si>
    <t>Desconto (%)</t>
  </si>
  <si>
    <t>Mês 1</t>
  </si>
  <si>
    <t>TRS001</t>
  </si>
  <si>
    <t>Transfer in ou out</t>
  </si>
  <si>
    <t>TRS002</t>
  </si>
  <si>
    <t>TRS003</t>
  </si>
  <si>
    <t>TRS004</t>
  </si>
  <si>
    <t>TRS005</t>
  </si>
  <si>
    <t>TRS006</t>
  </si>
  <si>
    <t>CTY001</t>
  </si>
  <si>
    <t>City Tour 2 horas</t>
  </si>
  <si>
    <t>CTY002</t>
  </si>
  <si>
    <t>CTY003</t>
  </si>
  <si>
    <t>CTY004</t>
  </si>
  <si>
    <t>CTY005</t>
  </si>
  <si>
    <t>CTY006</t>
  </si>
  <si>
    <t>CTY008</t>
  </si>
  <si>
    <t>CTY009</t>
  </si>
  <si>
    <t>CTY010</t>
  </si>
  <si>
    <t>CTY011</t>
  </si>
  <si>
    <t>CTY012</t>
  </si>
  <si>
    <t>TRS007</t>
  </si>
  <si>
    <t>Transfer - Cala Blanca</t>
  </si>
  <si>
    <t>TRS008</t>
  </si>
  <si>
    <t>TRS009</t>
  </si>
  <si>
    <t>TRS010</t>
  </si>
  <si>
    <t>TRS011</t>
  </si>
  <si>
    <t>TRS012</t>
  </si>
  <si>
    <t>TUR001</t>
  </si>
  <si>
    <t>Tour A Baru</t>
  </si>
  <si>
    <t>TUR002</t>
  </si>
  <si>
    <t>TUR003</t>
  </si>
  <si>
    <t>TUR004</t>
  </si>
  <si>
    <t>TUR005</t>
  </si>
  <si>
    <t>TUR006</t>
  </si>
  <si>
    <t>TUR007</t>
  </si>
  <si>
    <t>Manzanillo</t>
  </si>
  <si>
    <t>TUR008</t>
  </si>
  <si>
    <t>TUR009</t>
  </si>
  <si>
    <t>TUR010</t>
  </si>
  <si>
    <t>TUR011</t>
  </si>
  <si>
    <t>TUR012</t>
  </si>
  <si>
    <t>HOT001</t>
  </si>
  <si>
    <t>Sofitel Baru</t>
  </si>
  <si>
    <t>HOT002</t>
  </si>
  <si>
    <t>ESP001</t>
  </si>
  <si>
    <t>PAS001</t>
  </si>
  <si>
    <t>PAS002</t>
  </si>
  <si>
    <t>PAS003</t>
  </si>
  <si>
    <t>PAS004</t>
  </si>
  <si>
    <t>Coralina Isleño</t>
  </si>
  <si>
    <t>PAS005</t>
  </si>
  <si>
    <t>PAS007</t>
  </si>
  <si>
    <t>PAS008</t>
  </si>
  <si>
    <t>PAS009</t>
  </si>
  <si>
    <t>PAS010</t>
  </si>
  <si>
    <t>Pa'ue</t>
  </si>
  <si>
    <t>PAS011</t>
  </si>
  <si>
    <t>PAS012</t>
  </si>
  <si>
    <t>PAS013</t>
  </si>
  <si>
    <t>Islabela</t>
  </si>
  <si>
    <t>PAS014</t>
  </si>
  <si>
    <t>PAS015</t>
  </si>
  <si>
    <t>PAS016</t>
  </si>
  <si>
    <t>PAS017</t>
  </si>
  <si>
    <t>PAS018</t>
  </si>
  <si>
    <t>PAS019</t>
  </si>
  <si>
    <t>PAS020</t>
  </si>
  <si>
    <t>PAS021</t>
  </si>
  <si>
    <t>Catamaan Islas</t>
  </si>
  <si>
    <t>PAS022</t>
  </si>
  <si>
    <t>PAS023</t>
  </si>
  <si>
    <t>Catamara Sunset</t>
  </si>
  <si>
    <t>PAS024</t>
  </si>
  <si>
    <t>PAS025</t>
  </si>
  <si>
    <t>PAS026</t>
  </si>
  <si>
    <t>ESP002</t>
  </si>
  <si>
    <t>ESP003</t>
  </si>
  <si>
    <t>ESP004</t>
  </si>
  <si>
    <t>HOT003</t>
  </si>
  <si>
    <t>Day use primer alinha</t>
  </si>
  <si>
    <t>HOT004</t>
  </si>
  <si>
    <t>HOT005</t>
  </si>
  <si>
    <t>HOT006</t>
  </si>
  <si>
    <t>PAS027</t>
  </si>
  <si>
    <t>PAS028</t>
  </si>
  <si>
    <t>Corona - Parada</t>
  </si>
  <si>
    <t>MED101</t>
  </si>
  <si>
    <t>MED102</t>
  </si>
  <si>
    <t>Panoramico</t>
  </si>
  <si>
    <t>MED103</t>
  </si>
  <si>
    <t>Guatape</t>
  </si>
  <si>
    <t>MED104</t>
  </si>
  <si>
    <t>Pablo Escobar</t>
  </si>
  <si>
    <t>MED105</t>
  </si>
  <si>
    <t>Finca Cafetera</t>
  </si>
  <si>
    <t>WTK001</t>
  </si>
  <si>
    <t>WTK002</t>
  </si>
  <si>
    <t>Walking tour 2</t>
  </si>
  <si>
    <t>WTK003</t>
  </si>
  <si>
    <t>WTK004</t>
  </si>
  <si>
    <t>WTK005</t>
  </si>
  <si>
    <t>WTK006</t>
  </si>
  <si>
    <t>WTK007</t>
  </si>
  <si>
    <t>WTK008</t>
  </si>
  <si>
    <t>WTK009</t>
  </si>
  <si>
    <t>WTK010</t>
  </si>
  <si>
    <t>WTK011</t>
  </si>
  <si>
    <t>WTK012</t>
  </si>
  <si>
    <t>bogpass</t>
  </si>
  <si>
    <t>CTY101</t>
  </si>
  <si>
    <t>Candelaria + Museu (Básico)</t>
  </si>
  <si>
    <t>CTY102</t>
  </si>
  <si>
    <t>CTY103</t>
  </si>
  <si>
    <t>CTY104</t>
  </si>
  <si>
    <t>CTY105</t>
  </si>
  <si>
    <t>Candelaria + Museu + Monserrate</t>
  </si>
  <si>
    <t>CTY106</t>
  </si>
  <si>
    <t>CTY107</t>
  </si>
  <si>
    <t>CTY108</t>
  </si>
  <si>
    <t>CTY109</t>
  </si>
  <si>
    <t>CTY110</t>
  </si>
  <si>
    <t>City Tour Panorâmico (Básico)</t>
  </si>
  <si>
    <t>CTY111</t>
  </si>
  <si>
    <t>CTY112</t>
  </si>
  <si>
    <t>CTY113</t>
  </si>
  <si>
    <t>CTY114</t>
  </si>
  <si>
    <t>City Tour Panorâmico Usaquén</t>
  </si>
  <si>
    <t>CTY115</t>
  </si>
  <si>
    <t>CTY116</t>
  </si>
  <si>
    <t>CTY117</t>
  </si>
  <si>
    <t>TUR101</t>
  </si>
  <si>
    <t>Catedral de Sal (Básico 8h)</t>
  </si>
  <si>
    <t>TUR102</t>
  </si>
  <si>
    <t>TUR103</t>
  </si>
  <si>
    <t>TUR104</t>
  </si>
  <si>
    <t>TUR105</t>
  </si>
  <si>
    <t>Catedral de Sal c/ Guia (8h)</t>
  </si>
  <si>
    <t>TUR106</t>
  </si>
  <si>
    <t>TUR107</t>
  </si>
  <si>
    <t>TUR108</t>
  </si>
  <si>
    <t>TUR109</t>
  </si>
  <si>
    <t>ESP101</t>
  </si>
  <si>
    <t>Tour Gastronômico (Básico 4h)</t>
  </si>
  <si>
    <t>ESP102</t>
  </si>
  <si>
    <t>ESP103</t>
  </si>
  <si>
    <t>ESP104</t>
  </si>
  <si>
    <t>ESP105</t>
  </si>
  <si>
    <t>Tour Gastronômico c/ Carro (7h)</t>
  </si>
  <si>
    <t>ESP106</t>
  </si>
  <si>
    <t>ESP107</t>
  </si>
  <si>
    <t>ESP108</t>
  </si>
  <si>
    <t>CTY118</t>
  </si>
  <si>
    <t>Bus Turístico Hop On Bogotá</t>
  </si>
  <si>
    <t>Grupal Opção 1</t>
  </si>
  <si>
    <t>CTY119</t>
  </si>
  <si>
    <t>Grupal Opção 2</t>
  </si>
  <si>
    <t>TUR110</t>
  </si>
  <si>
    <t>Catedral de Sal (Zipaquirá)</t>
  </si>
  <si>
    <t>TUR111</t>
  </si>
  <si>
    <t>TUR112</t>
  </si>
  <si>
    <t>Guatavita + Catedral de Sal</t>
  </si>
  <si>
    <t>TUR113</t>
  </si>
  <si>
    <t>ESP109</t>
  </si>
  <si>
    <t>Tour Gastronômico</t>
  </si>
  <si>
    <t>ESP110</t>
  </si>
  <si>
    <t>TUR114</t>
  </si>
  <si>
    <t>Finca Cafeteira</t>
  </si>
  <si>
    <t>TUR115</t>
  </si>
  <si>
    <t>City Tour Panorâmico</t>
  </si>
  <si>
    <t>Tour Pablo Escobar</t>
  </si>
  <si>
    <t>ESP201</t>
  </si>
  <si>
    <t>Clases de Cocina</t>
  </si>
  <si>
    <t>ESP202</t>
  </si>
  <si>
    <t>Tour Bazurto + Clase Cocina</t>
  </si>
  <si>
    <t>ESP203</t>
  </si>
  <si>
    <t>Clase de Salsa Privada</t>
  </si>
  <si>
    <t>ESP204</t>
  </si>
  <si>
    <t>Clase de Salsa em Grupo</t>
  </si>
  <si>
    <t>ESP205</t>
  </si>
  <si>
    <t>Cata de Ron y Chocolate</t>
  </si>
  <si>
    <t>ESP206</t>
  </si>
  <si>
    <t>Cervejas Artesanais</t>
  </si>
  <si>
    <t>trasnfer in (BOGPASS)</t>
  </si>
  <si>
    <t>1 a 3</t>
  </si>
  <si>
    <t>transfer out (BOGPASS)</t>
  </si>
  <si>
    <t>ALONDRA 2026</t>
  </si>
  <si>
    <t>ALONDRA 2025</t>
  </si>
  <si>
    <t>tet</t>
  </si>
  <si>
    <t>Pagaram</t>
  </si>
  <si>
    <t>Novo transfer</t>
  </si>
  <si>
    <t>City tour - mínimo 2 horas valor hora x2</t>
  </si>
  <si>
    <t>City tour - 4 horas</t>
  </si>
  <si>
    <t>TRANSFER - cala blanca baru sofitel x 2</t>
  </si>
  <si>
    <t>TOUR A BARU - SOLO AVIARIO</t>
  </si>
  <si>
    <t>Transfer Aeropuerto/ Centro/ o Centro o Muelle o restaurante / Manzanillo (Karibana, Melia, Estelar Manzanillo ) y Viceversa</t>
  </si>
  <si>
    <t xml:space="preserve">SALDOS HERNAN </t>
  </si>
  <si>
    <t>Geral</t>
  </si>
  <si>
    <t xml:space="preserve">Marina Ferreira </t>
  </si>
  <si>
    <t>260.000COP</t>
  </si>
  <si>
    <t>Bruna Cantu</t>
  </si>
  <si>
    <t xml:space="preserve">Walking + Cast 2 PAX - Andrés  </t>
  </si>
  <si>
    <t xml:space="preserve"> Thais Santos</t>
  </si>
  <si>
    <t>Renata Oliveira</t>
  </si>
  <si>
    <t>Leonardo Junior</t>
  </si>
  <si>
    <t>Cancelado</t>
  </si>
  <si>
    <t>Franciely Gaspar</t>
  </si>
  <si>
    <t xml:space="preserve">Mariana Brinckmann </t>
  </si>
  <si>
    <t xml:space="preserve">Walking + Cast 5 PAX - Andrés  </t>
  </si>
  <si>
    <t>775.000COP</t>
  </si>
  <si>
    <t>Aline Pardin</t>
  </si>
  <si>
    <t>Antônio Neto</t>
  </si>
  <si>
    <t xml:space="preserve">Thays Bastos </t>
  </si>
  <si>
    <t>Claudinete do Amaral</t>
  </si>
  <si>
    <t>Marco Gomes</t>
  </si>
  <si>
    <t xml:space="preserve">Walking + Cast 4 PAX - Andrés  </t>
  </si>
  <si>
    <t xml:space="preserve">Fernanda Theodoro </t>
  </si>
  <si>
    <t>Luciana Paula</t>
  </si>
  <si>
    <t>155.000COP</t>
  </si>
  <si>
    <t>Tatiana Oliveira</t>
  </si>
  <si>
    <t>Ana Fuganti</t>
  </si>
  <si>
    <t>Walking Tour + Cast  6PAX - Hernán</t>
  </si>
  <si>
    <t>780.000COP</t>
  </si>
  <si>
    <t>Marina Bretas</t>
  </si>
  <si>
    <t xml:space="preserve">Helder Azevedo </t>
  </si>
  <si>
    <t xml:space="preserve">Welcome Tour  2 PAX - Andrés  </t>
  </si>
  <si>
    <t>325.000COP</t>
  </si>
  <si>
    <t>Rondon Barbosa</t>
  </si>
  <si>
    <t xml:space="preserve"> Luana Oliveira</t>
  </si>
  <si>
    <t>Welcome  1PAX - Hernán</t>
  </si>
  <si>
    <t>150.000COP</t>
  </si>
  <si>
    <t xml:space="preserve">Leticia Lima </t>
  </si>
  <si>
    <t xml:space="preserve">Rayana Neves </t>
  </si>
  <si>
    <t xml:space="preserve">265.000COP </t>
  </si>
  <si>
    <t>580000COP</t>
  </si>
  <si>
    <t>340.000COP</t>
  </si>
  <si>
    <t>Fevereiro</t>
  </si>
  <si>
    <t>Março</t>
  </si>
  <si>
    <t>Abril</t>
  </si>
  <si>
    <t>SALDOS ANDRÉS</t>
  </si>
  <si>
    <t>Vanessa Marani</t>
  </si>
  <si>
    <t>Samily Goersch</t>
  </si>
  <si>
    <t>Walking Tour + Castillo San Felipe VIP 14:00 2PAX 2024</t>
  </si>
  <si>
    <t>Walking Tour + Castillo San Felipe VIP 14:00 2PAX</t>
  </si>
  <si>
    <t xml:space="preserve">Matheus Ramos </t>
  </si>
  <si>
    <t>260000COP</t>
  </si>
  <si>
    <t xml:space="preserve">Tour de café 2 pax </t>
  </si>
  <si>
    <t>1740000COP</t>
  </si>
  <si>
    <t>50.000COP</t>
  </si>
  <si>
    <t>Walking Tour + Castillo San Felipe 14:00 8PAX 2024</t>
  </si>
  <si>
    <t>600.000COP</t>
  </si>
  <si>
    <t>Walking Tour + Castillo San Felipe VIP 14:00 10 PAX 2024</t>
  </si>
  <si>
    <t>460000COP</t>
  </si>
  <si>
    <t>Becky Korich</t>
  </si>
  <si>
    <t xml:space="preserve">Welcome tour 4 pax Andres </t>
  </si>
  <si>
    <t>365.000COP</t>
  </si>
  <si>
    <t>Walking Tour + Cast  3PAX - Andrés</t>
  </si>
  <si>
    <t xml:space="preserve">355.000COP </t>
  </si>
  <si>
    <t>485.00COP</t>
  </si>
  <si>
    <t>Walking Tour + Castillo San Felipe VIP 09:00 1PAX 2024</t>
  </si>
  <si>
    <t>265.000COP</t>
  </si>
  <si>
    <t xml:space="preserve">Bianca Denaro </t>
  </si>
  <si>
    <t>Walking Tour + Castillo San Felipe Andres 15:00 2 PAX</t>
  </si>
  <si>
    <t>Alexandre Miranda</t>
  </si>
  <si>
    <t>265000COP</t>
  </si>
  <si>
    <t>Daiane Cardoso</t>
  </si>
  <si>
    <t>485.000COP</t>
  </si>
  <si>
    <t xml:space="preserve">Camila Andrade </t>
  </si>
  <si>
    <t xml:space="preserve">Natahalia Reis </t>
  </si>
  <si>
    <t>Walking Tour + Castillo San Felipe Andres 08:00 2 PAX</t>
  </si>
  <si>
    <t>Walking Tour + Castillo San Felipe Andres 08:00 1 PAX</t>
  </si>
  <si>
    <t xml:space="preserve">Pendiente </t>
  </si>
  <si>
    <t xml:space="preserve">Mayara Almeida </t>
  </si>
  <si>
    <t>Walking Tour + Castillo San Felipe Andres 14:00 4 PAX</t>
  </si>
  <si>
    <t xml:space="preserve">Pamela Silva </t>
  </si>
  <si>
    <t>455.000COP</t>
  </si>
  <si>
    <t xml:space="preserve"> Priscila Florêncio</t>
  </si>
  <si>
    <t>156.000COP</t>
  </si>
  <si>
    <t xml:space="preserve">Ana Gomes </t>
  </si>
  <si>
    <t>609.000COP</t>
  </si>
  <si>
    <t xml:space="preserve">Fernanda Lemos </t>
  </si>
  <si>
    <t xml:space="preserve">Georgia Carvalho </t>
  </si>
  <si>
    <t xml:space="preserve">Carla Silva/ Marcio Silva </t>
  </si>
  <si>
    <t xml:space="preserve">João Augusto Oliveira </t>
  </si>
  <si>
    <t>Walking Tour + Castillo San Felipe 14:00 3PAX 2024</t>
  </si>
  <si>
    <t xml:space="preserve">Larissa Cuoto </t>
  </si>
  <si>
    <t>Mayo</t>
  </si>
  <si>
    <t>Rita Gibram</t>
  </si>
  <si>
    <t>Simone Lipke</t>
  </si>
  <si>
    <t>652.000COP</t>
  </si>
  <si>
    <t>Juliana Riveri</t>
  </si>
  <si>
    <t>Luiz Alberto Siliano</t>
  </si>
  <si>
    <t>Junio</t>
  </si>
  <si>
    <t>Luciana Lila</t>
  </si>
  <si>
    <t>Walking Tour + Castillo San Felipe VIP 14:00 5PAX 2024</t>
  </si>
  <si>
    <t>815.000COP</t>
  </si>
  <si>
    <t>Marcia Oliveira</t>
  </si>
  <si>
    <t>Transfers Cartagena</t>
  </si>
  <si>
    <t xml:space="preserve"> Total COP </t>
  </si>
  <si>
    <t xml:space="preserve"> SERVICIO</t>
  </si>
  <si>
    <t>AUTO / CAMIONETA</t>
  </si>
  <si>
    <t>VAN</t>
  </si>
  <si>
    <t>MICROBUS</t>
  </si>
  <si>
    <t>BUS</t>
  </si>
  <si>
    <t>Ervin Neto - 4 pax</t>
  </si>
  <si>
    <t>Transfer in Aeroporto- Hotel</t>
  </si>
  <si>
    <t>3 sillas</t>
  </si>
  <si>
    <t>8 SILLAS</t>
  </si>
  <si>
    <t>14 SILLAS</t>
  </si>
  <si>
    <t>18 SILLAS</t>
  </si>
  <si>
    <t>40 PAX</t>
  </si>
  <si>
    <t xml:space="preserve">Ana Assis - 1 pax </t>
  </si>
  <si>
    <t>Transfer Aeropuerto / Hoteles Centro o Bocagrande</t>
  </si>
  <si>
    <t>$ 45.000</t>
  </si>
  <si>
    <t>$ 110.000</t>
  </si>
  <si>
    <t>$ 150.000</t>
  </si>
  <si>
    <t>$ 170.000</t>
  </si>
  <si>
    <t>$ 220.000</t>
  </si>
  <si>
    <t>Transfer out Hotel- Aeroporto</t>
  </si>
  <si>
    <t>Tour a Barú SOLO AVIARIO</t>
  </si>
  <si>
    <t>$ 300.000</t>
  </si>
  <si>
    <t>$ 450.000</t>
  </si>
  <si>
    <t>$ 500.000</t>
  </si>
  <si>
    <t>$ 600.000</t>
  </si>
  <si>
    <t>$ 800.000</t>
  </si>
  <si>
    <t>Tour a Barú (PLAYA BLANCA CON O SIN AVIARIO)</t>
  </si>
  <si>
    <t>$ 700.000</t>
  </si>
  <si>
    <t>$ 900.000</t>
  </si>
  <si>
    <t>Eduardo Guimarães - 2 pax</t>
  </si>
  <si>
    <t>Septiembre</t>
  </si>
  <si>
    <t xml:space="preserve">Solange Cavalcante - 2 pax </t>
  </si>
  <si>
    <t>Camila Campos - 2 pax</t>
  </si>
  <si>
    <t>Transfer Hotel -  Aviario Até 03 Pessoas</t>
  </si>
  <si>
    <t>Ana Rigollet - 1 pax</t>
  </si>
  <si>
    <t xml:space="preserve">City tour  4 horas </t>
  </si>
  <si>
    <t>Disposición Full Day Perímetro Urbano x 6 Horas</t>
  </si>
  <si>
    <t xml:space="preserve"> Carina Nicolini 8 pax</t>
  </si>
  <si>
    <t xml:space="preserve">Tranfers Hotel- Marina todo Mar </t>
  </si>
  <si>
    <t>Disposición Full Day Perímetro Urbano x 12 Horas</t>
  </si>
  <si>
    <t xml:space="preserve"> Barú (Decamerón, Hotel Casa Blanca </t>
  </si>
  <si>
    <t xml:space="preserve">Noviembre </t>
  </si>
  <si>
    <t xml:space="preserve">Diciembre </t>
  </si>
  <si>
    <t>Marina Bretas 2 Pax</t>
  </si>
  <si>
    <t>Marina Bretas 2  Pax</t>
  </si>
  <si>
    <t>Transfer out Marina - Aeropuerto</t>
  </si>
  <si>
    <t> Luana Oliveira 1 Pax</t>
  </si>
  <si>
    <t>Transfer out Hotel - Aeropuerto</t>
  </si>
  <si>
    <t>Ana Fuganti 6 pax</t>
  </si>
  <si>
    <t>Mariana Silva</t>
  </si>
  <si>
    <t>Transfer ida y vuelta Sofitel Cablanca 4 pax</t>
  </si>
  <si>
    <t xml:space="preserve">Vanessa Marani </t>
  </si>
  <si>
    <t xml:space="preserve"> Tatiane Moura</t>
  </si>
  <si>
    <t>Transfer ida y vuelta Sofitel Cablanca 2 pax</t>
  </si>
  <si>
    <t>Baru transfer 3 pax</t>
  </si>
  <si>
    <t xml:space="preserve">Fatima Cabral </t>
  </si>
  <si>
    <t xml:space="preserve">Transfer in Aeroporto- Hotel 2 pax </t>
  </si>
  <si>
    <t>Transfer out Hotel- Aeropuerto</t>
  </si>
  <si>
    <t xml:space="preserve">Karla Bueno </t>
  </si>
  <si>
    <t xml:space="preserve">Tranfers por 4 horas - Walking tour  10 pax com guia </t>
  </si>
  <si>
    <t xml:space="preserve">João Neto </t>
  </si>
  <si>
    <t xml:space="preserve">Transfer in Aeroporto- Hotel 8 pax </t>
  </si>
  <si>
    <t xml:space="preserve">Tranfers por 4 horas - Walking tour  8 pax com guia </t>
  </si>
  <si>
    <t xml:space="preserve">Transfer out Hotel- Aeropuerto 8 pax </t>
  </si>
  <si>
    <t>Anita Varela</t>
  </si>
  <si>
    <t>Transfer Aeroporto Van  por 5 horas 4 pax</t>
  </si>
  <si>
    <t xml:space="preserve">Tranfers por 4 horas - Walking tour  6 pax com guia </t>
  </si>
  <si>
    <t>Transfer Hotel -  Aviario Até 06 Pessoas</t>
  </si>
  <si>
    <t xml:space="preserve">Daniela Fiori </t>
  </si>
  <si>
    <t xml:space="preserve">Transfer in Aeroporto- Hotel 7 pax </t>
  </si>
  <si>
    <t xml:space="preserve">Tranfer Hotel Marina- Marina Hotel 2 pax </t>
  </si>
  <si>
    <t>Enero</t>
  </si>
  <si>
    <t xml:space="preserve">Fecha </t>
  </si>
  <si>
    <t xml:space="preserve">Pax </t>
  </si>
  <si>
    <t xml:space="preserve">Servicio </t>
  </si>
  <si>
    <t>Renata Angelo</t>
  </si>
  <si>
    <t>Transfer in Aeroporto- Hotel  3 pax</t>
  </si>
  <si>
    <t xml:space="preserve"> transfer hotel Santa Clara/ Hotel Hyatt </t>
  </si>
  <si>
    <t>Tranfers Hotel Hyatt / Hotel Santa Clara</t>
  </si>
  <si>
    <t xml:space="preserve">Tranfers por 4 horas - Walking tour  7 pax com guia </t>
  </si>
  <si>
    <t>transfer hotel Hyatt / Hotel sta clara</t>
  </si>
  <si>
    <t>transfer hotel sta clara / Hotel Hyatt</t>
  </si>
  <si>
    <t xml:space="preserve">Transfer out </t>
  </si>
  <si>
    <t xml:space="preserve">Van 4 pax </t>
  </si>
  <si>
    <t>Transfer out Hotel- Aeropuerto 3 pax</t>
  </si>
  <si>
    <t xml:space="preserve"> Daniella Oliveira 5 pax</t>
  </si>
  <si>
    <t xml:space="preserve">Transfer in Aeroporto- Hotel </t>
  </si>
  <si>
    <t xml:space="preserve">Sofitel Baru transfer van </t>
  </si>
  <si>
    <t>Transfer out Hotel- Aeropuerto 5 pax</t>
  </si>
  <si>
    <t>Luciana Morais</t>
  </si>
  <si>
    <t>Transfer in Aeroporto- Hotel  2 pax</t>
  </si>
  <si>
    <t>Transfer out Marina- Aeropuerto 2 pax</t>
  </si>
  <si>
    <t xml:space="preserve">Roberio Arruda </t>
  </si>
  <si>
    <t xml:space="preserve">Transfer in 8 pax </t>
  </si>
  <si>
    <t xml:space="preserve">Transfer out 8 pax </t>
  </si>
  <si>
    <t xml:space="preserve">Aviario 4 pax </t>
  </si>
  <si>
    <t xml:space="preserve">Manela Santos </t>
  </si>
  <si>
    <t>Aviario 4 pax</t>
  </si>
  <si>
    <t>Joana Dantas</t>
  </si>
  <si>
    <t>Transfer in Aeroporto- Hotel  1 pax</t>
  </si>
  <si>
    <t>Transfer out Hotel- Aeropuerto 1 pax</t>
  </si>
  <si>
    <t>Daniela Aceti</t>
  </si>
  <si>
    <t>Julia Rodrigues</t>
  </si>
  <si>
    <t xml:space="preserve">Transfer sofitel ida y vuelta 4 pax </t>
  </si>
  <si>
    <t xml:space="preserve">Carla Silva </t>
  </si>
  <si>
    <t>Transfer Aeroporto/Hotel Até 03 Pessoas</t>
  </si>
  <si>
    <t>Augusto Lobo</t>
  </si>
  <si>
    <t>Transfer out Aeroporto- Hotel  3 pax</t>
  </si>
  <si>
    <t>Patricia Carvallho</t>
  </si>
  <si>
    <t>Claudia Fagali</t>
  </si>
  <si>
    <t>Transfer in Aeroporto- Hotel  8 pax</t>
  </si>
  <si>
    <t>Transfer out Aeroporto- Hotel  8 pax</t>
  </si>
  <si>
    <t xml:space="preserve">Luciana Lima </t>
  </si>
  <si>
    <t>Transfer in Aeroporto- Hotel  5 pax</t>
  </si>
  <si>
    <t xml:space="preserve">City tour 2 horas </t>
  </si>
  <si>
    <t>Luciana Lima</t>
  </si>
  <si>
    <t>Transfer out Aeroporto- Hotel  5 pax</t>
  </si>
  <si>
    <t>Camila</t>
  </si>
  <si>
    <t xml:space="preserve">Bianca Moreira </t>
  </si>
  <si>
    <t xml:space="preserve">Transfer hotel - Aviario 2 pax </t>
  </si>
  <si>
    <t>Julio</t>
  </si>
  <si>
    <t>Maria Beatriz Rappa</t>
  </si>
  <si>
    <t>Trandfer ida las islas 2 pax</t>
  </si>
  <si>
    <t>Transfer de las islas al hotel 2 pax</t>
  </si>
  <si>
    <t xml:space="preserve">Margaret Santos </t>
  </si>
  <si>
    <t>transfer ida y vuelta sofitel 2 pax</t>
  </si>
  <si>
    <t>Shayane Nicole Guerras</t>
  </si>
  <si>
    <t xml:space="preserve">Transfer in 18 pax </t>
  </si>
  <si>
    <t>Transfer out 18 pax</t>
  </si>
  <si>
    <t xml:space="preserve">Carolina Silveria </t>
  </si>
  <si>
    <t>Transfer la estancia -centro - castillo 4 pax</t>
  </si>
  <si>
    <t>Octubre</t>
  </si>
  <si>
    <t xml:space="preserve">Dinark Viana
</t>
  </si>
  <si>
    <t xml:space="preserve">Transfer aviario 2 pax </t>
  </si>
  <si>
    <t xml:space="preserve">Maga Roteiro </t>
  </si>
  <si>
    <t>Transfer out Aeroporto- Hotel  2 pax</t>
  </si>
  <si>
    <t>Transfers Bogotá</t>
  </si>
  <si>
    <t>Ana Assis - 1 pax</t>
  </si>
  <si>
    <t>Luana Oliveira 1 pax</t>
  </si>
  <si>
    <t xml:space="preserve">Renata Deltrejo 6 pax </t>
  </si>
  <si>
    <t xml:space="preserve">Enero </t>
  </si>
  <si>
    <t>Transfer out Hotel- Aeroporto 2 pax</t>
  </si>
  <si>
    <t>Reservas Sofitel</t>
  </si>
  <si>
    <t>Pendiente</t>
  </si>
  <si>
    <t xml:space="preserve">Solicitado </t>
  </si>
  <si>
    <t xml:space="preserve">Confirmada </t>
  </si>
  <si>
    <t xml:space="preserve">Hecho </t>
  </si>
  <si>
    <t>Fe Theodoro</t>
  </si>
  <si>
    <t xml:space="preserve">Sofitel Baru Casablanca 2 pax </t>
  </si>
  <si>
    <t>Fue solicitado 11/02/2023) - Realizado</t>
  </si>
  <si>
    <t>Baru Transfer Até 03 Pessoas</t>
  </si>
  <si>
    <t>Pendiente - Realizado</t>
  </si>
  <si>
    <t xml:space="preserve">Mariana Silva </t>
  </si>
  <si>
    <t>Sofitel Baru Casablanca 4 pax</t>
  </si>
  <si>
    <t>Realizado</t>
  </si>
  <si>
    <t>Baru Transfer Van</t>
  </si>
  <si>
    <t>Emerson Miceli</t>
  </si>
  <si>
    <t xml:space="preserve">Cancelada </t>
  </si>
  <si>
    <t xml:space="preserve">Sofitel Baru Casablanca criança 2 pax </t>
  </si>
  <si>
    <t>Baru transfer 2 pax</t>
  </si>
  <si>
    <t>Sofitel Baru Casablanca criança 1 pax</t>
  </si>
  <si>
    <t xml:space="preserve">Cancelado </t>
  </si>
  <si>
    <t>Baru Transfer 2 pax</t>
  </si>
  <si>
    <t>Febrero</t>
  </si>
  <si>
    <t>1.040.000COP</t>
  </si>
  <si>
    <t>Marzo</t>
  </si>
  <si>
    <t>Confirmada</t>
  </si>
  <si>
    <t>400.000COP</t>
  </si>
  <si>
    <t xml:space="preserve">Camila Horta </t>
  </si>
  <si>
    <t>400.000 COP</t>
  </si>
  <si>
    <t xml:space="preserve">Reservas semanales </t>
  </si>
  <si>
    <t>Alessandra</t>
  </si>
  <si>
    <t>Jadhe</t>
  </si>
  <si>
    <t>Revisado</t>
  </si>
  <si>
    <t xml:space="preserve">Observações </t>
  </si>
  <si>
    <t>PAU´E 2 pax</t>
  </si>
  <si>
    <t>Confirmada - O pax paga saldo no dia do passeio- Voucher enviado Confirmado por Alessandra</t>
  </si>
  <si>
    <t>Confirmada - O pax pagou saldo - Voucher enviado Confirmado por Alessandra</t>
  </si>
  <si>
    <t>Beatriz Cancio</t>
  </si>
  <si>
    <t>PAU´E 1 pax</t>
  </si>
  <si>
    <t>Confirmada - Voucher enviado- Confirmado por Alessandra</t>
  </si>
  <si>
    <t xml:space="preserve">Samily Goersch </t>
  </si>
  <si>
    <t>Sunset Sibarita Master 2 pax</t>
  </si>
  <si>
    <r>
      <rPr>
        <rFont val="Calibri"/>
        <color theme="1"/>
        <sz val="14.0"/>
      </rPr>
      <t xml:space="preserve">Confirmada - O pax paga saldo no dia do passeio- </t>
    </r>
    <r>
      <rPr>
        <rFont val="Calibri"/>
        <color rgb="FFFF0000"/>
        <sz val="14.0"/>
      </rPr>
      <t xml:space="preserve">Tarifa 2023 </t>
    </r>
  </si>
  <si>
    <t>Sunset Sibarita Express 1 pax 2024</t>
  </si>
  <si>
    <t xml:space="preserve">Confirmada - O pax paga saldo no dia do passeio- Vouchers enviado </t>
  </si>
  <si>
    <t>Confirmada - O pax paga saldo no dia do passeio</t>
  </si>
  <si>
    <t>Maiara Silva</t>
  </si>
  <si>
    <t>Catedral de Sal 2 pax</t>
  </si>
  <si>
    <t>Confirmada - O pax paga saldo no dia do passeio- Voucher colocado em moskit com as informações do fornecedor</t>
  </si>
  <si>
    <t>Confirmada - Voucher certinhos</t>
  </si>
  <si>
    <t>Bora Bora Vip 2 pax</t>
  </si>
  <si>
    <t xml:space="preserve">Pao Pao </t>
  </si>
  <si>
    <t>Jantar Sibarita Master 2 pax</t>
  </si>
  <si>
    <t xml:space="preserve">Confirmada - O pax paga saldo no dia do passeio- Voucher colocado em moskit </t>
  </si>
  <si>
    <t xml:space="preserve">Welcome Tour  2 PAX - Hernán </t>
  </si>
  <si>
    <t>Elias Mubarak_</t>
  </si>
  <si>
    <t>06 pax_yacth privado c sabai</t>
  </si>
  <si>
    <t>Sunset Sibarita Master - 2 pax</t>
  </si>
  <si>
    <t>Juliano Fonte</t>
  </si>
  <si>
    <t xml:space="preserve">Pao Pao - 2 pax </t>
  </si>
  <si>
    <t>Mangata - 2 pax</t>
  </si>
  <si>
    <t>Jantar em Fênix com ninho</t>
  </si>
  <si>
    <t>Pao Pao  2pax</t>
  </si>
  <si>
    <t>Paue - 2 pax</t>
  </si>
  <si>
    <t>Sofitel Baru  2 pax</t>
  </si>
  <si>
    <t xml:space="preserve">Tranfers sofitel </t>
  </si>
  <si>
    <t xml:space="preserve">City tour panorâmico 2 pax </t>
  </si>
  <si>
    <t>Sunset privado_06pax</t>
  </si>
  <si>
    <t>Bora Bora VIP - 2 pax</t>
  </si>
  <si>
    <t>Palmarito - 2 pax</t>
  </si>
  <si>
    <t>Heraldo Oliveira</t>
  </si>
  <si>
    <t xml:space="preserve">Transfer out  Cartagenta </t>
  </si>
  <si>
    <t>Confirmada - Voucher certinhos JU</t>
  </si>
  <si>
    <t>Transfer in Bogotá</t>
  </si>
  <si>
    <t xml:space="preserve">Confirmada - Voucher certinhos JU </t>
  </si>
  <si>
    <t>13/12/2023</t>
  </si>
  <si>
    <t xml:space="preserve">Wala 2 pax </t>
  </si>
  <si>
    <t>Susan Lampert</t>
  </si>
  <si>
    <t>Isabella Potilho</t>
  </si>
  <si>
    <t xml:space="preserve">Walking com Andrés </t>
  </si>
  <si>
    <t>Transfer out  Bogotá</t>
  </si>
  <si>
    <t xml:space="preserve">Ana Café </t>
  </si>
  <si>
    <t xml:space="preserve">Geovana Souza </t>
  </si>
  <si>
    <t xml:space="preserve">Confirmada - Voucher certinhos- paga saldo no dia do passeio </t>
  </si>
  <si>
    <t>Amanda Nobrega</t>
  </si>
  <si>
    <t>Walking Tour + Cast  2PAX - Andrés</t>
  </si>
  <si>
    <t>Ana Cafe</t>
  </si>
  <si>
    <t>Jantar em f}ênix com ninho - 2 pax</t>
  </si>
  <si>
    <t>Geovana Souza</t>
  </si>
  <si>
    <t>Jantar em fênix c - 2 pax</t>
  </si>
  <si>
    <t>Amanda Nóbrega</t>
  </si>
  <si>
    <t xml:space="preserve">Experiência culinária 2 PAX </t>
  </si>
  <si>
    <t xml:space="preserve">Transfer ida e volta Sibarita </t>
  </si>
  <si>
    <t>Walking Tour + Cast  8PAX - Andrés</t>
  </si>
  <si>
    <t>Dalyla Teixeira</t>
  </si>
  <si>
    <t>Paue - 8 pax</t>
  </si>
  <si>
    <t>Transfer hotel/Marina  marina /hotel</t>
  </si>
  <si>
    <t xml:space="preserve">Bonavida  3 pax </t>
  </si>
  <si>
    <t xml:space="preserve">Confirmada - Voucher  Bonavida atualizado com pagamento e dados de embarque Marina Los pegasos </t>
  </si>
  <si>
    <t>Isla Bela 3 pax</t>
  </si>
  <si>
    <t xml:space="preserve">Debora Agnol </t>
  </si>
  <si>
    <t>Janta  Sibarita - 2 pax</t>
  </si>
  <si>
    <t>Catedral de sal 10pax (7pagan)</t>
  </si>
  <si>
    <t>Paue - 3 pax</t>
  </si>
  <si>
    <t xml:space="preserve">Transfer Hotel Marina todo mar / Marina hotel </t>
  </si>
  <si>
    <t xml:space="preserve">Sabai 8 pax </t>
  </si>
  <si>
    <t>Rachel Rivas Lopez</t>
  </si>
  <si>
    <t>City Tour Panorâmico 1 pax</t>
  </si>
  <si>
    <t xml:space="preserve">Sabai  terrestre 8 pax </t>
  </si>
  <si>
    <t>12/27/2023</t>
  </si>
  <si>
    <t>Karen Andersen</t>
  </si>
  <si>
    <t>Tour de escala 5pax</t>
  </si>
  <si>
    <t xml:space="preserve">Transfer out  </t>
  </si>
  <si>
    <t xml:space="preserve">Felipe Oliveira </t>
  </si>
  <si>
    <t xml:space="preserve">Bora Bora Vip 4 pax </t>
  </si>
  <si>
    <t xml:space="preserve">Daiandra Ribas </t>
  </si>
  <si>
    <t>Walking tour con Andrés 1 pax</t>
  </si>
  <si>
    <t>Sunset Sibarita Master - 10 pax</t>
  </si>
  <si>
    <t xml:space="preserve">Anne Mello </t>
  </si>
  <si>
    <t>Bora Bora VIP - 1 pax</t>
  </si>
  <si>
    <t>Marcos Tavares</t>
  </si>
  <si>
    <t>Bora bora Cm 2 pax</t>
  </si>
  <si>
    <t xml:space="preserve">Islabela 2 pax </t>
  </si>
  <si>
    <t>Walking tour con Andrés 4 pax</t>
  </si>
  <si>
    <t>Jaqueline Ornellas</t>
  </si>
  <si>
    <t>Walking tour con Andrés 2 pax</t>
  </si>
  <si>
    <t xml:space="preserve">Confirmada - Voucher certinhos- Ela tem que pagar para Andrés 260.000Cop </t>
  </si>
  <si>
    <t xml:space="preserve">Rachel Lopez </t>
  </si>
  <si>
    <t>Sunset Sibarita Master - 1 pax</t>
  </si>
  <si>
    <t xml:space="preserve">Lancha boast 4 u 7 pax </t>
  </si>
  <si>
    <t>Parada em PAO PAO 4 asoleadoras para 2 pessoas</t>
  </si>
  <si>
    <t xml:space="preserve">Felipe Oliverira </t>
  </si>
  <si>
    <t xml:space="preserve">Pao Pao 4 pax </t>
  </si>
  <si>
    <t xml:space="preserve">Juliana Nogueria </t>
  </si>
  <si>
    <t>Hugo Pesanha</t>
  </si>
  <si>
    <t xml:space="preserve">Experiencia Culinaria </t>
  </si>
  <si>
    <t xml:space="preserve">Tranfer in 6 pax </t>
  </si>
  <si>
    <t xml:space="preserve">Walking tour com Andres </t>
  </si>
  <si>
    <t xml:space="preserve">Fenix janta+ ninho 7 pax </t>
  </si>
  <si>
    <t xml:space="preserve">Fenix janta+ ninho 2 pax </t>
  </si>
  <si>
    <t xml:space="preserve">Alessandra Pirola </t>
  </si>
  <si>
    <t>Ana Fagnoli</t>
  </si>
  <si>
    <t>Paue - 7 pax</t>
  </si>
  <si>
    <t xml:space="preserve">Confirmada - Ele vai pagar 2 dias antes do passeio na ciudade- Voucher esta no grupo de reservas etiquetado  LUIS </t>
  </si>
  <si>
    <t>Matheus Vilhena</t>
  </si>
  <si>
    <t xml:space="preserve">Aviario com Andrés 6 pax e tranfers </t>
  </si>
  <si>
    <r>
      <rPr>
        <rFont val="Calibri"/>
        <color theme="1"/>
        <sz val="14.0"/>
      </rPr>
      <t xml:space="preserve">Confirmada - Voucher certinhos- </t>
    </r>
    <r>
      <rPr>
        <rFont val="Calibri"/>
        <b/>
        <color rgb="FFFF0000"/>
        <sz val="14.0"/>
      </rPr>
      <t>Pagar saldo para Andrés</t>
    </r>
    <r>
      <rPr>
        <rFont val="Calibri"/>
        <color theme="1"/>
        <sz val="14.0"/>
      </rPr>
      <t xml:space="preserve"> -  </t>
    </r>
    <r>
      <rPr>
        <rFont val="Calibri"/>
        <b/>
        <color rgb="FFFF0000"/>
        <sz val="14.0"/>
      </rPr>
      <t>REVISAR DETALHES</t>
    </r>
  </si>
  <si>
    <t xml:space="preserve">Pao Pao 3 pax </t>
  </si>
  <si>
    <t xml:space="preserve">Wala 7 pax </t>
  </si>
  <si>
    <t xml:space="preserve">Cancelada - Não tem wala esse dia </t>
  </si>
  <si>
    <t>Paue - 1 pax</t>
  </si>
  <si>
    <t xml:space="preserve">Patricia Delfino </t>
  </si>
  <si>
    <t xml:space="preserve">Transfer in 3 pax </t>
  </si>
  <si>
    <t>SABAI 2 PAX  Maritimo</t>
  </si>
  <si>
    <t xml:space="preserve">Confirmada - Voucher certinhos ponto de encontro marina </t>
  </si>
  <si>
    <t xml:space="preserve">Brunna Santos </t>
  </si>
  <si>
    <t xml:space="preserve">Lancha Privada </t>
  </si>
  <si>
    <r>
      <rPr>
        <rFont val="Calibri"/>
        <color theme="1"/>
        <sz val="14.0"/>
      </rPr>
      <t>Confirmados todas as actividades-</t>
    </r>
    <r>
      <rPr>
        <rFont val="Calibri"/>
        <b/>
        <color rgb="FFFF0000"/>
        <sz val="14.0"/>
      </rPr>
      <t xml:space="preserve"> REVISAR NOVAMENTE OS DETALHES </t>
    </r>
  </si>
  <si>
    <t xml:space="preserve">Paue 4 pax </t>
  </si>
  <si>
    <t>Confirmada - Voucher certinhos atualizado 29/12/2023</t>
  </si>
  <si>
    <t xml:space="preserve">islaBela 3 pax </t>
  </si>
  <si>
    <t>Silvana Brito</t>
  </si>
  <si>
    <t xml:space="preserve">Tone Silva </t>
  </si>
  <si>
    <t xml:space="preserve">Paue 3  pax </t>
  </si>
  <si>
    <t xml:space="preserve">Confirmada - Voucher certinhos paga o dia do passeio </t>
  </si>
  <si>
    <t xml:space="preserve">Lancha Privada Boast </t>
  </si>
  <si>
    <t xml:space="preserve">Mangata 4 pax </t>
  </si>
  <si>
    <t>Bora Bora VIP - 7 pax</t>
  </si>
  <si>
    <t xml:space="preserve">Confirmada - Voucher certinhos atuliazados </t>
  </si>
  <si>
    <t xml:space="preserve">Cata de Rum e chocolate </t>
  </si>
  <si>
    <t>Joana Pazinatto</t>
  </si>
  <si>
    <t>Sibarita Master Sunset - 2 pax</t>
  </si>
  <si>
    <t>Sunset Sibarita Express 3 pax</t>
  </si>
  <si>
    <t xml:space="preserve">Ana Fagnoli </t>
  </si>
  <si>
    <t>Guatapé regular - 3 pax</t>
  </si>
  <si>
    <t xml:space="preserve">Ana Ruda </t>
  </si>
  <si>
    <t xml:space="preserve">Angela Faccio </t>
  </si>
  <si>
    <t>Paue 4 pax</t>
  </si>
  <si>
    <r>
      <rPr>
        <rFont val="Calibri"/>
        <color theme="1"/>
        <sz val="14.0"/>
      </rPr>
      <t xml:space="preserve">Confirmada - Voucher certinhos- </t>
    </r>
    <r>
      <rPr>
        <rFont val="Calibri"/>
        <color rgb="FFFF0000"/>
        <sz val="14.0"/>
      </rPr>
      <t>Ainda nõa pagou, vai pagar na ciudade</t>
    </r>
  </si>
  <si>
    <r>
      <rPr>
        <rFont val="Calibri"/>
        <color theme="1"/>
        <sz val="14.0"/>
      </rPr>
      <t xml:space="preserve">Confirmada - Voucher certinhos- </t>
    </r>
    <r>
      <rPr>
        <rFont val="Calibri"/>
        <color rgb="FFFF0000"/>
        <sz val="14.0"/>
      </rPr>
      <t>vai pagar o dia do passeio</t>
    </r>
  </si>
  <si>
    <t>Paue 2pax</t>
  </si>
  <si>
    <r>
      <rPr>
        <rFont val="Calibri"/>
        <color theme="1"/>
        <sz val="14.0"/>
      </rPr>
      <t xml:space="preserve">Confirmada - Voucher certinhos- </t>
    </r>
    <r>
      <rPr>
        <rFont val="Calibri"/>
        <color rgb="FFFF0000"/>
        <sz val="14.0"/>
      </rPr>
      <t>vai pagar o dia do passeio</t>
    </r>
  </si>
  <si>
    <t xml:space="preserve">Livia Dias </t>
  </si>
  <si>
    <t xml:space="preserve">Maria Dentri </t>
  </si>
  <si>
    <t>Isla Bela 4 pa x</t>
  </si>
  <si>
    <t>Walking tour com Hernan</t>
  </si>
  <si>
    <r>
      <rPr>
        <rFont val="Calibri"/>
        <color theme="1"/>
        <sz val="14.0"/>
      </rPr>
      <t xml:space="preserve">Confirmada - Voucher certinhos- </t>
    </r>
    <r>
      <rPr>
        <rFont val="Calibri"/>
        <color rgb="FFFF0000"/>
        <sz val="14.0"/>
      </rPr>
      <t xml:space="preserve">Ju tem que pagar saldo para Hernán </t>
    </r>
  </si>
  <si>
    <t>Débora Agnol</t>
  </si>
  <si>
    <t xml:space="preserve">City tour Panoramico </t>
  </si>
  <si>
    <t xml:space="preserve">Juliana Custodio </t>
  </si>
  <si>
    <t xml:space="preserve">Tranfer Marina </t>
  </si>
  <si>
    <t xml:space="preserve">Tour por de sol  boast </t>
  </si>
  <si>
    <t xml:space="preserve">Tranfer Marina- Hotel </t>
  </si>
  <si>
    <t xml:space="preserve">Lancha Privada com parada em Paue </t>
  </si>
  <si>
    <r>
      <rPr>
        <rFont val="Calibri"/>
        <color theme="1"/>
        <sz val="14.0"/>
      </rPr>
      <t>Confirmada - Voucher certinhos atuliazados -</t>
    </r>
    <r>
      <rPr>
        <rFont val="Calibri"/>
        <b/>
        <color theme="1"/>
        <sz val="14.0"/>
      </rPr>
      <t xml:space="preserve"> </t>
    </r>
    <r>
      <rPr>
        <rFont val="Calibri"/>
        <color rgb="FFFF0000"/>
        <sz val="14.0"/>
      </rPr>
      <t>Revisar detalhes</t>
    </r>
  </si>
  <si>
    <t xml:space="preserve">Guatavita y Zipa regular </t>
  </si>
  <si>
    <t xml:space="preserve">Monica Machado </t>
  </si>
  <si>
    <t xml:space="preserve">Tobias Lamb </t>
  </si>
  <si>
    <t xml:space="preserve">Paue 3 pax </t>
  </si>
  <si>
    <r>
      <rPr>
        <rFont val="Calibri"/>
        <color theme="1"/>
        <sz val="14.0"/>
      </rPr>
      <t xml:space="preserve">Confirmada - </t>
    </r>
    <r>
      <rPr>
        <rFont val="Calibri"/>
        <color rgb="FFFF0000"/>
        <sz val="14.0"/>
      </rPr>
      <t>Ju tem que pagar saldo para Andrés</t>
    </r>
  </si>
  <si>
    <t>Fazenda do café</t>
  </si>
  <si>
    <t xml:space="preserve">Luana Santos </t>
  </si>
  <si>
    <t>Pao Pao  2 pax</t>
  </si>
  <si>
    <t xml:space="preserve">Confirmada - Voucher certinhos </t>
  </si>
  <si>
    <t>Rebeca Bispo</t>
  </si>
  <si>
    <r>
      <rPr>
        <rFont val="Calibri"/>
        <color theme="1"/>
        <sz val="14.0"/>
      </rPr>
      <t xml:space="preserve">Confirmada - </t>
    </r>
    <r>
      <rPr>
        <rFont val="Calibri"/>
        <color rgb="FFFF0000"/>
        <sz val="14.0"/>
      </rPr>
      <t>Ju tem que pagar saldo para Andrés</t>
    </r>
  </si>
  <si>
    <t>Bora Bora CM - 3 pax</t>
  </si>
  <si>
    <t>Thais Odorocio</t>
  </si>
  <si>
    <t xml:space="preserve">Paue  2 pax </t>
  </si>
  <si>
    <t xml:space="preserve">Tranfer OUT </t>
  </si>
  <si>
    <t xml:space="preserve">Adreiton De Deus </t>
  </si>
  <si>
    <t>Palmarito 2 pax</t>
  </si>
  <si>
    <t xml:space="preserve">Camila Recoliano </t>
  </si>
  <si>
    <t>Walking tour com Andres  2 pax</t>
  </si>
  <si>
    <t xml:space="preserve">Cecilia Lima </t>
  </si>
  <si>
    <t>Cena Sibarita 2 pax</t>
  </si>
  <si>
    <t xml:space="preserve">Regina Sartore </t>
  </si>
  <si>
    <t>Walking tour com Andres  2 pax 9:00am</t>
  </si>
  <si>
    <t xml:space="preserve">Adreiton de Deus </t>
  </si>
  <si>
    <t xml:space="preserve">Sunset sibarita Master </t>
  </si>
  <si>
    <t xml:space="preserve">Sunset sibarita Master  2 Pax </t>
  </si>
  <si>
    <t xml:space="preserve">Gabriel de Souza </t>
  </si>
  <si>
    <t xml:space="preserve">Priscilla Bezerra </t>
  </si>
  <si>
    <r>
      <rPr>
        <rFont val="Calibri"/>
        <color theme="1"/>
        <sz val="14.0"/>
      </rPr>
      <t>Confirmada com forncedor,</t>
    </r>
    <r>
      <rPr>
        <rFont val="Calibri"/>
        <color rgb="FFFF0000"/>
        <sz val="14.0"/>
      </rPr>
      <t xml:space="preserve"> pax ainda não pago </t>
    </r>
  </si>
  <si>
    <t>Walking tour com Andres  2 pax 14:00hr</t>
  </si>
  <si>
    <t>Confirmada - Voucher adicionado no moskit</t>
  </si>
  <si>
    <t xml:space="preserve">Marcos Riberio </t>
  </si>
  <si>
    <r>
      <rPr>
        <rFont val="Calibri"/>
        <color theme="1"/>
        <sz val="14.0"/>
      </rPr>
      <t xml:space="preserve">Confirmada - </t>
    </r>
    <r>
      <rPr>
        <rFont val="Calibri"/>
        <color rgb="FFFF0000"/>
        <sz val="14.0"/>
      </rPr>
      <t>pax ainda não pagou, tem que pagar 50% do saldo</t>
    </r>
  </si>
  <si>
    <t>1/13/2024</t>
  </si>
  <si>
    <t xml:space="preserve">Palmarito 2 pax </t>
  </si>
  <si>
    <r>
      <rPr>
        <rFont val="Calibri"/>
        <color theme="1"/>
        <sz val="14.0"/>
      </rPr>
      <t>Confirmada - Voucher certinhos -</t>
    </r>
    <r>
      <rPr>
        <rFont val="Calibri"/>
        <color rgb="FFFF0000"/>
        <sz val="14.0"/>
      </rPr>
      <t xml:space="preserve"> paga saldo dia do passeio </t>
    </r>
  </si>
  <si>
    <t xml:space="preserve">Daniella Oliveria </t>
  </si>
  <si>
    <t xml:space="preserve">Transfer in </t>
  </si>
  <si>
    <t>Gustavo  Mestriner</t>
  </si>
  <si>
    <t>Walking tour com Andres  4 pax 14:00hr</t>
  </si>
  <si>
    <t>Sunset Sibarita Express  5 pax</t>
  </si>
  <si>
    <t>01/14/2024</t>
  </si>
  <si>
    <t>Walking + convento en LA Popa com Andres  5 pax 14:00hr</t>
  </si>
  <si>
    <t>01/15/2024</t>
  </si>
  <si>
    <t xml:space="preserve">Tranfer Sofitel  y vuelta 5 pax </t>
  </si>
  <si>
    <t xml:space="preserve">Sofitel 5 pax </t>
  </si>
  <si>
    <t>Confirmada O pax pode pagar no dia do passeio</t>
  </si>
  <si>
    <t xml:space="preserve">Sabai  2 pax </t>
  </si>
  <si>
    <r>
      <rPr>
        <rFont val="Calibri"/>
        <color theme="1"/>
        <sz val="14.0"/>
      </rPr>
      <t>Confirmada com forncedor,</t>
    </r>
    <r>
      <rPr>
        <rFont val="Calibri"/>
        <b/>
        <color rgb="FFFF0000"/>
        <sz val="14.0"/>
      </rPr>
      <t xml:space="preserve"> </t>
    </r>
    <r>
      <rPr>
        <rFont val="Calibri"/>
        <color rgb="FFFF0000"/>
        <sz val="14.0"/>
      </rPr>
      <t>pax ainda não pago</t>
    </r>
  </si>
  <si>
    <t>01/17/2024</t>
  </si>
  <si>
    <t xml:space="preserve">Simone Cardozo </t>
  </si>
  <si>
    <t xml:space="preserve">Ivanda Marques </t>
  </si>
  <si>
    <t>Walking tour com Andres  1 pax 09:00hr</t>
  </si>
  <si>
    <t xml:space="preserve">Isla Palma 4 pax </t>
  </si>
  <si>
    <r>
      <rPr>
        <rFont val="Calibri"/>
        <color theme="1"/>
        <sz val="14.0"/>
      </rPr>
      <t xml:space="preserve">Confirmada - </t>
    </r>
    <r>
      <rPr>
        <rFont val="Calibri"/>
        <color rgb="FFFF0000"/>
        <sz val="14.0"/>
      </rPr>
      <t>Ju tem que pagar saldo -</t>
    </r>
    <r>
      <rPr>
        <rFont val="Calibri"/>
        <b/>
        <color rgb="FFFF0000"/>
        <sz val="14.0"/>
      </rPr>
      <t xml:space="preserve"> Confirmar se eles vão a procurar no hotel </t>
    </r>
  </si>
  <si>
    <t xml:space="preserve">Mariana Bhering </t>
  </si>
  <si>
    <t>Isla del sol 2 pax</t>
  </si>
  <si>
    <r>
      <rPr>
        <rFont val="Calibri"/>
        <color theme="1"/>
        <sz val="14.0"/>
      </rPr>
      <t xml:space="preserve">Confirmada - </t>
    </r>
    <r>
      <rPr>
        <rFont val="Calibri"/>
        <color rgb="FFFF0000"/>
        <sz val="14.0"/>
      </rPr>
      <t xml:space="preserve">Ju tem que pagar saldo </t>
    </r>
  </si>
  <si>
    <t xml:space="preserve">Sunset sibarita Master   1 Pax </t>
  </si>
  <si>
    <r>
      <rPr>
        <rFont val="Calibri"/>
        <color theme="1"/>
        <sz val="14.0"/>
      </rPr>
      <t xml:space="preserve">Confirmada - </t>
    </r>
    <r>
      <rPr>
        <rFont val="Calibri"/>
        <color rgb="FFFF0000"/>
        <sz val="14.0"/>
      </rPr>
      <t xml:space="preserve">Ju tem que pagar saldo </t>
    </r>
  </si>
  <si>
    <t>01/20/2024</t>
  </si>
  <si>
    <t xml:space="preserve">Feniz cena 4 pax </t>
  </si>
  <si>
    <t>01/21/2024</t>
  </si>
  <si>
    <t>Giovanna Costa</t>
  </si>
  <si>
    <t>Bora Bora CM - 2 pax</t>
  </si>
  <si>
    <t xml:space="preserve">SABAI 4 PAX </t>
  </si>
  <si>
    <t xml:space="preserve">Gabriella Lima </t>
  </si>
  <si>
    <r>
      <rPr>
        <rFont val="Calibri"/>
        <color theme="1"/>
        <sz val="14.0"/>
      </rPr>
      <t xml:space="preserve">Confirmada -  Voucher certinhos  </t>
    </r>
    <r>
      <rPr>
        <rFont val="Calibri"/>
        <color rgb="FFFF0000"/>
        <sz val="14.0"/>
      </rPr>
      <t xml:space="preserve">Ju tem que pagar saldo </t>
    </r>
  </si>
  <si>
    <t>01/22/2024</t>
  </si>
  <si>
    <r>
      <rPr>
        <rFont val="Calibri"/>
        <color theme="1"/>
        <sz val="14.0"/>
      </rPr>
      <t xml:space="preserve">Confirmada - </t>
    </r>
    <r>
      <rPr>
        <rFont val="Calibri"/>
        <color rgb="FFFF0000"/>
        <sz val="14.0"/>
      </rPr>
      <t xml:space="preserve">Ju tem que pagar saldo </t>
    </r>
  </si>
  <si>
    <t>Bora Bora VIP - 4 pax</t>
  </si>
  <si>
    <t xml:space="preserve">Rafael Maluf </t>
  </si>
  <si>
    <t>Pagado com bonos/ Vouchers certinho</t>
  </si>
  <si>
    <t xml:space="preserve">Rosemary Campos </t>
  </si>
  <si>
    <t xml:space="preserve">Jantar na ilha fenix 2 pax </t>
  </si>
  <si>
    <t xml:space="preserve">Aline Gomes </t>
  </si>
  <si>
    <t xml:space="preserve">pao pao 2 pax </t>
  </si>
  <si>
    <t xml:space="preserve">Diego Silva </t>
  </si>
  <si>
    <t>Mangata  2 pax</t>
  </si>
  <si>
    <t xml:space="preserve">Walking tour 14hrs 2 pax </t>
  </si>
  <si>
    <t xml:space="preserve">Daiane Cardoso </t>
  </si>
  <si>
    <t xml:space="preserve">Pax vai pagar na ciudade um dia antes </t>
  </si>
  <si>
    <t xml:space="preserve">Mariana Pereira </t>
  </si>
  <si>
    <t>Bora Bora Vip 6 pax</t>
  </si>
  <si>
    <t xml:space="preserve">Walking tour 09hrs 2 pax </t>
  </si>
  <si>
    <r>
      <rPr>
        <rFont val="Calibri"/>
        <color theme="1"/>
        <sz val="14.0"/>
      </rPr>
      <t xml:space="preserve">Confirmada por fornecedor, </t>
    </r>
    <r>
      <rPr>
        <rFont val="Calibri"/>
        <color rgb="FFFF0000"/>
        <sz val="14.0"/>
      </rPr>
      <t xml:space="preserve">falta pagou de link </t>
    </r>
  </si>
  <si>
    <t xml:space="preserve">Francisca Santos </t>
  </si>
  <si>
    <t xml:space="preserve">Paue4 pax </t>
  </si>
  <si>
    <t xml:space="preserve">Rosangela Oliverira </t>
  </si>
  <si>
    <t>Walking tour 4 pax</t>
  </si>
  <si>
    <t>Luiz Cascão</t>
  </si>
  <si>
    <t>Walking tour as 14hr 2   pax</t>
  </si>
  <si>
    <t xml:space="preserve">Andressa Ribeiro </t>
  </si>
  <si>
    <t xml:space="preserve">Sabai Maritimo 2 pax </t>
  </si>
  <si>
    <t xml:space="preserve">Virigilio Miranda </t>
  </si>
  <si>
    <t>Isla palma 1 pax</t>
  </si>
  <si>
    <t xml:space="preserve">Roberrio Arruda </t>
  </si>
  <si>
    <t xml:space="preserve">Tranfers 8  pax </t>
  </si>
  <si>
    <t xml:space="preserve">Claudia Gregory </t>
  </si>
  <si>
    <t>Walking tour  9hrs 4 pax</t>
  </si>
  <si>
    <r>
      <rPr>
        <rFont val="Calibri"/>
        <color theme="1"/>
        <sz val="14.0"/>
      </rPr>
      <t>Confirmada - Voucher certinhos -</t>
    </r>
    <r>
      <rPr>
        <rFont val="Calibri"/>
        <color rgb="FFFF0000"/>
        <sz val="14.0"/>
      </rPr>
      <t xml:space="preserve"> Ju tem que pagar para Andrés </t>
    </r>
  </si>
  <si>
    <t xml:space="preserve">Sibarita master sunset 4 pax </t>
  </si>
  <si>
    <t>Jantar Fenix 2 pax</t>
  </si>
  <si>
    <t>Tranfers Sofitel ida e volta  4 pax</t>
  </si>
  <si>
    <t xml:space="preserve">Sofitel 4 pax </t>
  </si>
  <si>
    <r>
      <rPr>
        <rFont val="Calibri"/>
        <color theme="1"/>
        <sz val="14.0"/>
      </rPr>
      <t xml:space="preserve">Confirmada - Voucher certinhos - </t>
    </r>
    <r>
      <rPr>
        <rFont val="Calibri"/>
        <color rgb="FFFF0000"/>
        <sz val="14.0"/>
      </rPr>
      <t xml:space="preserve">O pax vai pagar no hotel </t>
    </r>
  </si>
  <si>
    <r>
      <rPr>
        <rFont val="Calibri"/>
        <color theme="1"/>
        <sz val="14.0"/>
      </rPr>
      <t xml:space="preserve">O pax vai pagar na ciudade-  </t>
    </r>
    <r>
      <rPr>
        <rFont val="Calibri"/>
        <color rgb="FFFF0000"/>
        <sz val="14.0"/>
      </rPr>
      <t>Voucher pronto  no Moskit para depois do pagamento</t>
    </r>
  </si>
  <si>
    <t>Isla del sol 1 pax</t>
  </si>
  <si>
    <r>
      <rPr>
        <rFont val="Calibri"/>
        <color theme="1"/>
        <sz val="14.0"/>
      </rPr>
      <t>Confirmada - Voucher certinhos -</t>
    </r>
    <r>
      <rPr>
        <rFont val="Calibri"/>
        <color rgb="FFFF0000"/>
        <sz val="14.0"/>
      </rPr>
      <t xml:space="preserve"> Ju tem que pagar para Andrés </t>
    </r>
  </si>
  <si>
    <t>Paue 1 pax</t>
  </si>
  <si>
    <r>
      <rPr>
        <rFont val="Calibri"/>
        <color theme="1"/>
        <sz val="14.0"/>
      </rPr>
      <t xml:space="preserve">O pax vai pagar na ciudade-  </t>
    </r>
    <r>
      <rPr>
        <rFont val="Calibri"/>
        <color rgb="FFFF0000"/>
        <sz val="14.0"/>
      </rPr>
      <t>Voucher pronto  no Moskit para depois do pagamento</t>
    </r>
  </si>
  <si>
    <t>02/14/2024</t>
  </si>
  <si>
    <t xml:space="preserve">Daniele Cardoso </t>
  </si>
  <si>
    <t xml:space="preserve">Isla palma 1 pax </t>
  </si>
  <si>
    <t xml:space="preserve">Nathalia Reis </t>
  </si>
  <si>
    <t xml:space="preserve">Sibarita master sunset 2 pax </t>
  </si>
  <si>
    <t>02/15/2024</t>
  </si>
  <si>
    <t xml:space="preserve">Carla Carneiro </t>
  </si>
  <si>
    <t>02/16/2024</t>
  </si>
  <si>
    <t>Boro Bora Cm 2 pax</t>
  </si>
  <si>
    <t xml:space="preserve">Walking tour  8hrs 2pax Andrés </t>
  </si>
  <si>
    <t xml:space="preserve">Walking tour  8hrs 1pax Andrés </t>
  </si>
  <si>
    <t>02/17/2024</t>
  </si>
  <si>
    <t>Boro Bora Cm 1 pax</t>
  </si>
  <si>
    <t>02/18/2024</t>
  </si>
  <si>
    <t>Thais Mainard</t>
  </si>
  <si>
    <t>02/19/2024</t>
  </si>
  <si>
    <t xml:space="preserve">Bora CM 2 Pax </t>
  </si>
  <si>
    <t>02/21/2024</t>
  </si>
  <si>
    <t xml:space="preserve">Pamela da Silva </t>
  </si>
  <si>
    <t xml:space="preserve">Emerson Fraga </t>
  </si>
  <si>
    <t xml:space="preserve">Wlaking tour 2 pax Andrés </t>
  </si>
  <si>
    <t xml:space="preserve">Sunset Sibarita Express 2 pax </t>
  </si>
  <si>
    <t>02/22/2024</t>
  </si>
  <si>
    <t xml:space="preserve">Bora Cm 1 pax </t>
  </si>
  <si>
    <t xml:space="preserve">Pao pao 2 pax </t>
  </si>
  <si>
    <t xml:space="preserve">Walking tour 2 pax Andrés </t>
  </si>
  <si>
    <t>Mayara Almeida</t>
  </si>
  <si>
    <t xml:space="preserve">Walking tour 4 pax Andrés </t>
  </si>
  <si>
    <t>02/23/2024</t>
  </si>
  <si>
    <t xml:space="preserve">Bora VIP  2 Pax </t>
  </si>
  <si>
    <t xml:space="preserve">Elaine Gonçalves </t>
  </si>
  <si>
    <t xml:space="preserve">Walking tour 3 pax Andrés </t>
  </si>
  <si>
    <t>02/24/2024</t>
  </si>
  <si>
    <t>Paue 43pax</t>
  </si>
  <si>
    <t>02/25/2024</t>
  </si>
  <si>
    <t xml:space="preserve">Bora VIP  4Pax </t>
  </si>
  <si>
    <t>02/26/2024</t>
  </si>
  <si>
    <t>02/27/2024</t>
  </si>
  <si>
    <t xml:space="preserve">Manuela Santos </t>
  </si>
  <si>
    <t xml:space="preserve">Aviario 3 pax </t>
  </si>
  <si>
    <t>02/29/2024</t>
  </si>
  <si>
    <t xml:space="preserve">Ana Fiori </t>
  </si>
  <si>
    <t xml:space="preserve">Joana Dantas </t>
  </si>
  <si>
    <t>Tranfer in 08:43 Vôo CM254 - 1 pax</t>
  </si>
  <si>
    <r>
      <rPr>
        <rFont val="Calibri"/>
        <color theme="1"/>
        <sz val="14.0"/>
      </rPr>
      <t xml:space="preserve">Confirmada - Voucher certinhos - </t>
    </r>
    <r>
      <rPr>
        <rFont val="Calibri"/>
        <b/>
        <color rgb="FFFF0000"/>
        <sz val="14.0"/>
      </rPr>
      <t>Solicitar dia sabado</t>
    </r>
  </si>
  <si>
    <t xml:space="preserve">Aline Rodrigues </t>
  </si>
  <si>
    <t>Sibarita 2 pax</t>
  </si>
  <si>
    <t xml:space="preserve">Coralina Vip 2 pax </t>
  </si>
  <si>
    <t xml:space="preserve">Priscilla Florencio </t>
  </si>
  <si>
    <t>Walking tour 2 pax Andrés 14:hrs</t>
  </si>
  <si>
    <t xml:space="preserve">Gabriela Oliveira </t>
  </si>
  <si>
    <t>Sibarita master 1 pax</t>
  </si>
  <si>
    <t xml:space="preserve">Anna Sobreira </t>
  </si>
  <si>
    <t>Gabriela Oliveira</t>
  </si>
  <si>
    <t xml:space="preserve">Walking tour as 14:hrs 2 pax </t>
  </si>
  <si>
    <t xml:space="preserve">Anderson Marinho </t>
  </si>
  <si>
    <t xml:space="preserve">Sunset Sibarita Master 2 adul y 1 child </t>
  </si>
  <si>
    <t xml:space="preserve">Bonavida 2PAX </t>
  </si>
  <si>
    <t xml:space="preserve">Transfer out 1 pax </t>
  </si>
  <si>
    <r>
      <rPr>
        <rFont val="Calibri"/>
        <color theme="1"/>
        <sz val="14.0"/>
      </rPr>
      <t xml:space="preserve">Confirmada - Voucher certinhos- </t>
    </r>
    <r>
      <rPr>
        <rFont val="Calibri"/>
        <color rgb="FFFF0000"/>
        <sz val="14.0"/>
      </rPr>
      <t>ela esta no moskit com Joana Dantas</t>
    </r>
  </si>
  <si>
    <t>Monica Mandelli</t>
  </si>
  <si>
    <t xml:space="preserve">Walking tour as 09:hrs 2 pax </t>
  </si>
  <si>
    <t xml:space="preserve">Jantar Sibarita master 2 pax </t>
  </si>
  <si>
    <t>Erika de Oliveira</t>
  </si>
  <si>
    <t>Daniela Carulack</t>
  </si>
  <si>
    <t>03/13/2024</t>
  </si>
  <si>
    <t xml:space="preserve">Sofitel 2 pax </t>
  </si>
  <si>
    <t>03/18/2024</t>
  </si>
  <si>
    <t>Júlia Tiemi Hino</t>
  </si>
  <si>
    <t xml:space="preserve">Bora CM  7 pax </t>
  </si>
  <si>
    <t xml:space="preserve">Maristela Moura </t>
  </si>
  <si>
    <t>03/19/2024</t>
  </si>
  <si>
    <t>03/20/2024</t>
  </si>
  <si>
    <t xml:space="preserve">Walking tour as 09:hrs 3 pax </t>
  </si>
  <si>
    <t>Fernanda Lemos</t>
  </si>
  <si>
    <t>03/21/2024</t>
  </si>
  <si>
    <t xml:space="preserve">Anna Barreto </t>
  </si>
  <si>
    <t xml:space="preserve">Bora VIP 3 Pax </t>
  </si>
  <si>
    <t xml:space="preserve">Juliana Barros </t>
  </si>
  <si>
    <t>03/22/2024</t>
  </si>
  <si>
    <t xml:space="preserve">Thiago Dornelles </t>
  </si>
  <si>
    <t xml:space="preserve">Sibarita Master 1 pax </t>
  </si>
  <si>
    <t xml:space="preserve">Igor Magalhães </t>
  </si>
  <si>
    <t>03/23/2024</t>
  </si>
  <si>
    <t>Isla bela 2 pax</t>
  </si>
  <si>
    <t xml:space="preserve">Bora bc 1 pax </t>
  </si>
  <si>
    <t>03/24/2024</t>
  </si>
  <si>
    <r>
      <rPr>
        <rFont val="Calibri"/>
        <color theme="1"/>
        <sz val="14.0"/>
      </rPr>
      <t xml:space="preserve">Confirmada - </t>
    </r>
    <r>
      <rPr>
        <rFont val="Calibri"/>
        <color rgb="FFFF0000"/>
        <sz val="14.0"/>
      </rPr>
      <t>Vai pagar no dia do passeio</t>
    </r>
  </si>
  <si>
    <t>03/25/2024</t>
  </si>
  <si>
    <t xml:space="preserve"> Pao Pao 3 pax </t>
  </si>
  <si>
    <t>03/26/2024</t>
  </si>
  <si>
    <t xml:space="preserve">Hugo Souza </t>
  </si>
  <si>
    <t>03/27/2024</t>
  </si>
  <si>
    <t xml:space="preserve">Daniele Carneiro </t>
  </si>
  <si>
    <t>03/28/2024</t>
  </si>
  <si>
    <t xml:space="preserve">Leonardo Lacerda </t>
  </si>
  <si>
    <t xml:space="preserve">Sibarita Master 10 pax </t>
  </si>
  <si>
    <t>03/29/2024</t>
  </si>
  <si>
    <t>Beatriz Miranda</t>
  </si>
  <si>
    <t>Juliana Carvalho</t>
  </si>
  <si>
    <t>03/30/2024</t>
  </si>
  <si>
    <t>Bruna Diniz</t>
  </si>
  <si>
    <t xml:space="preserve"> Pao Pao 2 pax </t>
  </si>
  <si>
    <t>Ruy Guimarães</t>
  </si>
  <si>
    <t>Sabai - 2 pax</t>
  </si>
  <si>
    <t>03/31/2024</t>
  </si>
  <si>
    <t>Isla palma 2 PAX</t>
  </si>
  <si>
    <t>Transfer in 08:53 am</t>
  </si>
  <si>
    <t>Dalize Shirakawa</t>
  </si>
  <si>
    <t>Bora Cm 4 pax</t>
  </si>
  <si>
    <t>Sabai - 3 pax</t>
  </si>
  <si>
    <t>Jaqueline Marinho</t>
  </si>
  <si>
    <t>Raquel Varela</t>
  </si>
  <si>
    <t xml:space="preserve">Bora Vip 2pax </t>
  </si>
  <si>
    <t>Transfer out 10:15a</t>
  </si>
  <si>
    <t>Rita Angelisanti</t>
  </si>
  <si>
    <t>Juliana Simões</t>
  </si>
  <si>
    <t xml:space="preserve">Bora vip 6 pax </t>
  </si>
  <si>
    <t>Bonavida islas 2 pax</t>
  </si>
  <si>
    <t>Marien Rocha</t>
  </si>
  <si>
    <t>Isla Bela - 2 pax</t>
  </si>
  <si>
    <t>Thiago Pinto</t>
  </si>
  <si>
    <t>Mangata - 3 pax</t>
  </si>
  <si>
    <t>Luanny Queiroz</t>
  </si>
  <si>
    <t>Bora bora bc_02pax</t>
  </si>
  <si>
    <t>Rafael borges</t>
  </si>
  <si>
    <t>Paue  2 pax</t>
  </si>
  <si>
    <t>Walking tour com Andres as 9 - 2 pax</t>
  </si>
  <si>
    <t>Larissa Mendes</t>
  </si>
  <si>
    <t>Coralina Islenho 2 Pax</t>
  </si>
  <si>
    <t>Bora VIP - 2 Pax</t>
  </si>
  <si>
    <t>Daniele Oliveira</t>
  </si>
  <si>
    <t>Natalia Carbonera</t>
  </si>
  <si>
    <t>Sabai_02 pax</t>
  </si>
  <si>
    <t>Marília Barreto</t>
  </si>
  <si>
    <t>Pao Pao - 3 pax</t>
  </si>
  <si>
    <t>Pao Pao - 2 pax</t>
  </si>
  <si>
    <t>Isla palma 2 Pax</t>
  </si>
  <si>
    <t xml:space="preserve">Alessandro Lessa </t>
  </si>
  <si>
    <t>Ana Carolina Sousa</t>
  </si>
  <si>
    <t xml:space="preserve">Beatriz Pardini </t>
  </si>
  <si>
    <t xml:space="preserve">Bora 2 pax </t>
  </si>
  <si>
    <t xml:space="preserve">Carolina de Oliveira </t>
  </si>
  <si>
    <t xml:space="preserve">Lainnae Lopes </t>
  </si>
  <si>
    <t xml:space="preserve">Rsário de mar 2pax </t>
  </si>
  <si>
    <t xml:space="preserve">Laura Neves </t>
  </si>
  <si>
    <t xml:space="preserve">Paue  4 pax </t>
  </si>
  <si>
    <t xml:space="preserve">Carolina Salavati </t>
  </si>
  <si>
    <t xml:space="preserve">Rosário de Mar 2 pax </t>
  </si>
  <si>
    <t xml:space="preserve">Lucas Paiva </t>
  </si>
  <si>
    <t>Wlaking tour 09:00 pax 2 adul 1 child</t>
  </si>
  <si>
    <t>Sibarita master sunset 2 pax</t>
  </si>
  <si>
    <t xml:space="preserve">Daniela Duarte </t>
  </si>
  <si>
    <t>Sabai 2 pax</t>
  </si>
  <si>
    <t>Isla del sol pax 2 adul 1 child</t>
  </si>
  <si>
    <t>Transfer in 10:54hrs</t>
  </si>
  <si>
    <t>Walking tour com Andres as 14:00hrs</t>
  </si>
  <si>
    <t xml:space="preserve">João Augusto Oliveria </t>
  </si>
  <si>
    <t>Walking tour com Andres as 09:00hrs 3 pax</t>
  </si>
  <si>
    <t xml:space="preserve">Marcio Silva </t>
  </si>
  <si>
    <t xml:space="preserve">Jaqueline Meira </t>
  </si>
  <si>
    <t>Sibarita master sunset 1 pax</t>
  </si>
  <si>
    <t>4/22/2024</t>
  </si>
  <si>
    <t>Georgia Romeiro</t>
  </si>
  <si>
    <t xml:space="preserve">Isla bela 4 pax </t>
  </si>
  <si>
    <t>4/23/2024</t>
  </si>
  <si>
    <t xml:space="preserve">Ingrid Telles </t>
  </si>
  <si>
    <t>Lorena Delgado</t>
  </si>
  <si>
    <t xml:space="preserve">Bora Bora vip 4 pax </t>
  </si>
  <si>
    <t>4/25/2024</t>
  </si>
  <si>
    <t>4/26/2024</t>
  </si>
  <si>
    <t>Sibarita master sunset 2pax</t>
  </si>
  <si>
    <t>4/27/2024</t>
  </si>
  <si>
    <t>Bora Bora CM 2 Pax</t>
  </si>
  <si>
    <t>Walking tour com Andres as 09:00hrs 2 pax</t>
  </si>
  <si>
    <t>Giovanna Santos</t>
  </si>
  <si>
    <t>Silvana Andrade</t>
  </si>
  <si>
    <t>Walking tour com Andres as 09:00hrs 4 pax</t>
  </si>
  <si>
    <t xml:space="preserve">Geisa Chaves </t>
  </si>
  <si>
    <t xml:space="preserve">Rosário de mar 2 pax </t>
  </si>
  <si>
    <t xml:space="preserve">Higor Santa </t>
  </si>
  <si>
    <t>Gisela Nascimento</t>
  </si>
  <si>
    <t xml:space="preserve">Rosario de mar 2 pax </t>
  </si>
  <si>
    <t xml:space="preserve">Top 3 ilhas 2 pax </t>
  </si>
  <si>
    <t xml:space="preserve">Juliana Ravieri </t>
  </si>
  <si>
    <t xml:space="preserve">Patricia Carvalho </t>
  </si>
  <si>
    <t>Tranfer in 2 pax</t>
  </si>
  <si>
    <t xml:space="preserve">Alessadra Abreu </t>
  </si>
  <si>
    <t xml:space="preserve">Rosario de mar 6 pax </t>
  </si>
  <si>
    <t>Marcia Roos</t>
  </si>
  <si>
    <t xml:space="preserve">Giselly Amaral </t>
  </si>
  <si>
    <t>Walking tour 2 pax 9 am</t>
  </si>
  <si>
    <t>Danielle Rocha</t>
  </si>
  <si>
    <t>Giselly Amaral</t>
  </si>
  <si>
    <t>Antonio Martini -Claudia Fagali</t>
  </si>
  <si>
    <t>Transfer in as 12:45 hrs</t>
  </si>
  <si>
    <t xml:space="preserve">Cena fenix 2 pax </t>
  </si>
  <si>
    <t xml:space="preserve">Ainda não feiz o pagamento </t>
  </si>
  <si>
    <t xml:space="preserve">Walking tour 8 pax 9 am Hernán </t>
  </si>
  <si>
    <t>Walking tour 2 pax 14:00hs  am</t>
  </si>
  <si>
    <t xml:space="preserve">Aline Corales </t>
  </si>
  <si>
    <t>Isla palma 2 pax</t>
  </si>
  <si>
    <t>Nathalia Consenza</t>
  </si>
  <si>
    <t xml:space="preserve">Lisie Nicolai </t>
  </si>
  <si>
    <t xml:space="preserve">Rosario do mar 2 pax </t>
  </si>
  <si>
    <t xml:space="preserve">Ainda não feiz o pagamento, enviado o link de pagamento- Deixo o vouchers pronto  </t>
  </si>
  <si>
    <t>Lisie Nicolai</t>
  </si>
  <si>
    <t>Confirmada - Voucher certinhos - Paga saldo no passeio</t>
  </si>
  <si>
    <t xml:space="preserve">Vanessa Silva </t>
  </si>
  <si>
    <t>Vanessa Silva</t>
  </si>
  <si>
    <t xml:space="preserve">Alexandre Silva </t>
  </si>
  <si>
    <t>Rosario de már 2 pax</t>
  </si>
  <si>
    <t>Bora Bora vip 2 pax</t>
  </si>
  <si>
    <t xml:space="preserve">Glaukia Silva </t>
  </si>
  <si>
    <t xml:space="preserve">Juliana Perez </t>
  </si>
  <si>
    <t>Rosario de már 1 pax</t>
  </si>
  <si>
    <t>Bonavida 2 pax</t>
  </si>
  <si>
    <t xml:space="preserve">Ferndanda Dutra </t>
  </si>
  <si>
    <t xml:space="preserve">To 3 ilhas 1 pax </t>
  </si>
  <si>
    <t>Transfer in 5 pax</t>
  </si>
  <si>
    <t xml:space="preserve">Guatavita y zipa 2 pax </t>
  </si>
  <si>
    <t xml:space="preserve">Wlking com Andres 2pm , transfer 2 hr  5 pax </t>
  </si>
  <si>
    <t xml:space="preserve">Wlking com Andres 2pm , transfer 2 hr  1 pax </t>
  </si>
  <si>
    <t>Bruna Gozzer</t>
  </si>
  <si>
    <t xml:space="preserve">Rosario de mar 5 pax </t>
  </si>
  <si>
    <t xml:space="preserve">Fazenda de Café 2 pax </t>
  </si>
  <si>
    <t>Ferndanda Dutra</t>
  </si>
  <si>
    <t xml:space="preserve">Feniz cena com decoração 2 pax </t>
  </si>
  <si>
    <t>Bora bora vip 2 pax</t>
  </si>
  <si>
    <t>Fernanda Santana</t>
  </si>
  <si>
    <t>City tour+ Catedral de Sal Privativo</t>
  </si>
  <si>
    <t xml:space="preserve">Sabai 5 pax </t>
  </si>
  <si>
    <t>Maria Lucia Barros</t>
  </si>
  <si>
    <t xml:space="preserve">Ana Viera </t>
  </si>
  <si>
    <t xml:space="preserve">Cassilene Nascimento </t>
  </si>
  <si>
    <t>Bora Bora cm 1pax</t>
  </si>
  <si>
    <t xml:space="preserve">Transfer in 5 pax </t>
  </si>
  <si>
    <t xml:space="preserve">Amanda Gonçalves </t>
  </si>
  <si>
    <t>Pao PAO 1 PAX</t>
  </si>
  <si>
    <t xml:space="preserve">Marcia Oliveira </t>
  </si>
  <si>
    <t>Waling tour 9:00 am 2 pax Andres</t>
  </si>
  <si>
    <r>
      <rPr>
        <rFont val="Calibri"/>
        <color rgb="FF000000"/>
        <sz val="14.0"/>
      </rPr>
      <t xml:space="preserve">Confirmada - Voucher certinhos - </t>
    </r>
    <r>
      <rPr>
        <rFont val="Calibri"/>
        <color rgb="FFFF0000"/>
        <sz val="14.0"/>
      </rPr>
      <t>Pendiente de pago para Andres</t>
    </r>
  </si>
  <si>
    <t>Islabela 1 pax</t>
  </si>
  <si>
    <t>Hibson lopes</t>
  </si>
  <si>
    <t>Bora Bora cm 2 pax</t>
  </si>
  <si>
    <t xml:space="preserve">Tiago Prado </t>
  </si>
  <si>
    <t>To 3 ilhas 2  pax</t>
  </si>
  <si>
    <t>Adriana Corradin</t>
  </si>
  <si>
    <t>Pao pao 2 pax</t>
  </si>
  <si>
    <t xml:space="preserve">Cezar Campos </t>
  </si>
  <si>
    <t xml:space="preserve">Bora bora vip 2 pax </t>
  </si>
  <si>
    <t>Islabela 5  pax</t>
  </si>
  <si>
    <t>Walking Tour 2 pax</t>
  </si>
  <si>
    <t>Cezar Campos</t>
  </si>
  <si>
    <t xml:space="preserve">Pao pao 5 pax </t>
  </si>
  <si>
    <t xml:space="preserve">Bora Bora 5 pax </t>
  </si>
  <si>
    <t xml:space="preserve">Coralina vip </t>
  </si>
  <si>
    <t>Yasmin Oliveira</t>
  </si>
  <si>
    <t>top 3 ilhas</t>
  </si>
  <si>
    <t>Cibele Oliveira</t>
  </si>
  <si>
    <t>top 3 ilhas 2 pax</t>
  </si>
  <si>
    <t>Elisa Tavolari</t>
  </si>
  <si>
    <t>top 3 ilhas 5 pax</t>
  </si>
  <si>
    <t>Rogerio Conde</t>
  </si>
  <si>
    <t xml:space="preserve">Aline Castro </t>
  </si>
  <si>
    <t>Feniz cena 2 pax</t>
  </si>
  <si>
    <t xml:space="preserve">Daniel Cerizza </t>
  </si>
  <si>
    <t>Catedral de sal 5 pax</t>
  </si>
  <si>
    <t>Sunset sibarita Master 5 pax</t>
  </si>
  <si>
    <t xml:space="preserve">Cynthia Siqueira </t>
  </si>
  <si>
    <t xml:space="preserve">Ilsa bela 4 pax </t>
  </si>
  <si>
    <t>Sulyenne Gianoto</t>
  </si>
  <si>
    <t xml:space="preserve">Lucas Gibson </t>
  </si>
  <si>
    <t xml:space="preserve">Maria Beatriz </t>
  </si>
  <si>
    <t xml:space="preserve">Transfer Las islas 2 pax </t>
  </si>
  <si>
    <t xml:space="preserve">Natalia Vilela </t>
  </si>
  <si>
    <t xml:space="preserve">Transfer Las islas hotel  2 pax </t>
  </si>
  <si>
    <t>Paue 5 pax</t>
  </si>
  <si>
    <t>Maria Macas</t>
  </si>
  <si>
    <t xml:space="preserve">Allana Gonçalves </t>
  </si>
  <si>
    <t xml:space="preserve">Hacienda del café 1 pax </t>
  </si>
  <si>
    <t>Sibarita Master 1 pax</t>
  </si>
  <si>
    <t>Allana Gonçalves</t>
  </si>
  <si>
    <t>Bora Bora 1 pax</t>
  </si>
  <si>
    <t>Simone Rocha</t>
  </si>
  <si>
    <t xml:space="preserve">Top 3 islas 5 pax </t>
  </si>
  <si>
    <t xml:space="preserve">Rosario del mar 1 pax </t>
  </si>
  <si>
    <t>Sibarita Master 2 pax</t>
  </si>
  <si>
    <t xml:space="preserve">Garzzie Santos </t>
  </si>
  <si>
    <t xml:space="preserve">Fenix cena con decoração 2 pax </t>
  </si>
  <si>
    <t>Masse Xavier</t>
  </si>
  <si>
    <t>Daniela Espindola</t>
  </si>
  <si>
    <t>Pao Pao 3 pax</t>
  </si>
  <si>
    <t xml:space="preserve">Masse Xavier </t>
  </si>
  <si>
    <t xml:space="preserve">Lindalva Mendes </t>
  </si>
  <si>
    <t xml:space="preserve">Transfer in 2 pax </t>
  </si>
  <si>
    <t xml:space="preserve">Sibairta 2 pax </t>
  </si>
  <si>
    <t>Recebimento</t>
  </si>
  <si>
    <t>Data Recebimento</t>
  </si>
  <si>
    <t>Mês Recebimento</t>
  </si>
  <si>
    <t>Data Viagem</t>
  </si>
  <si>
    <t>Mês Viagem</t>
  </si>
  <si>
    <t>Cliente/Fornecedor</t>
  </si>
  <si>
    <t>Valor Recebido(COP)</t>
  </si>
  <si>
    <t>Taxa de Câmbio</t>
  </si>
  <si>
    <t>Valor Recebido(BRL)</t>
  </si>
  <si>
    <t>Status Recebimento</t>
  </si>
  <si>
    <t>Status Pagamento</t>
  </si>
  <si>
    <t>Valor Fornecedor(COP)</t>
  </si>
  <si>
    <t>Valor Pago Real(BRL)</t>
  </si>
  <si>
    <t>Comissão(BRL)</t>
  </si>
  <si>
    <t>Á Receber (BRL)</t>
  </si>
  <si>
    <t>Fornecedores (BRL)</t>
  </si>
  <si>
    <t>Comissão (BRL)</t>
  </si>
  <si>
    <t>Recebido - PIX</t>
  </si>
  <si>
    <t>Pagamento Mensal</t>
  </si>
  <si>
    <t>agosto</t>
  </si>
  <si>
    <t>setembro</t>
  </si>
  <si>
    <t>janeiro</t>
  </si>
  <si>
    <t>junho</t>
  </si>
  <si>
    <t>julho</t>
  </si>
  <si>
    <t>BRL</t>
  </si>
  <si>
    <t>COP</t>
  </si>
  <si>
    <t>Gustavo Loiola - 3 pax</t>
  </si>
  <si>
    <t>Gustavo Loiola - 2 pax</t>
  </si>
  <si>
    <t>Débora Moura - 02 Pax</t>
  </si>
  <si>
    <t>Elson Silva - 02 pax</t>
  </si>
  <si>
    <t>Capi - 04 pax</t>
  </si>
  <si>
    <t>walking tour herna</t>
  </si>
  <si>
    <t>SIBARITA MASTER</t>
  </si>
  <si>
    <t>degustação cerveja - lunatico</t>
  </si>
  <si>
    <t xml:space="preserve">nome </t>
  </si>
  <si>
    <t xml:space="preserve">data </t>
  </si>
  <si>
    <t>fechou</t>
  </si>
  <si>
    <t>valor</t>
  </si>
  <si>
    <t>PRIVADOS BOG PASS</t>
  </si>
  <si>
    <t>PRIVADOS IMPULSE</t>
  </si>
  <si>
    <t xml:space="preserve">basic - candaelaria +museo c transporte e guia port  </t>
  </si>
  <si>
    <t xml:space="preserve">basic - candaelaria + museo c transporte e guia port  </t>
  </si>
  <si>
    <t>Precio tet</t>
  </si>
  <si>
    <t>Guia Português</t>
  </si>
  <si>
    <t>Valor Real Fornecedor</t>
  </si>
  <si>
    <t xml:space="preserve">turista - candaelaria +museo + monserrate c transporte e guia port  </t>
  </si>
  <si>
    <t xml:space="preserve">basic - city tour panoramico privado guia port </t>
  </si>
  <si>
    <t xml:space="preserve">turista - CITY TOUR PANORÂMICO USAQUÉN + CANDELARIA + JUEGOS </t>
  </si>
  <si>
    <t>Catedral de sal - basic 8 hs</t>
  </si>
  <si>
    <t>Catedral de sal - turista com guia  8 hs</t>
  </si>
  <si>
    <t>tour gastronomico basic - 4hs</t>
  </si>
  <si>
    <t>tour gastronomico com carro - 7hs</t>
  </si>
  <si>
    <t>cafe paraiso</t>
  </si>
  <si>
    <t>GRUPALES</t>
  </si>
  <si>
    <t>Bus turístico HOP ON BOGOTÁ</t>
  </si>
  <si>
    <t>Catedral zipaquira</t>
  </si>
  <si>
    <t>Guatavita + Catedral de sal</t>
  </si>
  <si>
    <t>gastronimico grupal</t>
  </si>
  <si>
    <t>finca cafeteira</t>
  </si>
  <si>
    <t>bog pass mdellin - GRUPALES 2026</t>
  </si>
  <si>
    <t xml:space="preserve">Comuna 13 </t>
  </si>
  <si>
    <t>panoramico</t>
  </si>
  <si>
    <t>guatape</t>
  </si>
  <si>
    <t>top tours</t>
  </si>
  <si>
    <t xml:space="preserve"> we dont say his name - pablo escobar</t>
  </si>
  <si>
    <t xml:space="preserve">Finca cafetera </t>
  </si>
  <si>
    <t xml:space="preserve">Nome do pax </t>
  </si>
  <si>
    <t>Data Pagamento</t>
  </si>
  <si>
    <t xml:space="preserve">Data Viagem </t>
  </si>
  <si>
    <t>PAX</t>
  </si>
  <si>
    <t>passeio</t>
  </si>
  <si>
    <t>preço neto</t>
  </si>
  <si>
    <t>valor total</t>
  </si>
  <si>
    <t xml:space="preserve">Valor link </t>
  </si>
  <si>
    <t>Valor recebido</t>
  </si>
  <si>
    <t>Comissão BOLD</t>
  </si>
  <si>
    <t>valor comissao tet</t>
  </si>
  <si>
    <t>valor comissao jadhe</t>
  </si>
  <si>
    <t xml:space="preserve">Metodo de recebimento </t>
  </si>
  <si>
    <t>Youly Neri R Seixas</t>
  </si>
  <si>
    <t>BOLD</t>
  </si>
  <si>
    <t>Gabriela Miranda (Felipe de Couto)</t>
  </si>
  <si>
    <t>link bold com 5%</t>
  </si>
  <si>
    <t>carlos ziling</t>
  </si>
  <si>
    <t>lucas silva</t>
  </si>
  <si>
    <t>bora bc + pao pao + isla bela</t>
  </si>
  <si>
    <t xml:space="preserve">in e trsp sofitel </t>
  </si>
  <si>
    <t>walking + in out</t>
  </si>
  <si>
    <t>Zilmara - Familia Costa Artoni.</t>
  </si>
  <si>
    <t>Saldos</t>
  </si>
  <si>
    <t>Zilmara - Sérgio Luiz Arguello e Clecia Arguello</t>
  </si>
  <si>
    <t xml:space="preserve">Zilmara - Marinalva dos Anjos </t>
  </si>
  <si>
    <t>Zilmara - Cristiene Viana</t>
  </si>
  <si>
    <t>Carina Lucas</t>
  </si>
  <si>
    <t>Transfer e palmarito</t>
  </si>
  <si>
    <t>WISE</t>
  </si>
  <si>
    <t>Kátia Castro</t>
  </si>
  <si>
    <t>Rosario+WT. El pago a Rosario fue mayor que el link</t>
  </si>
  <si>
    <t>WT+Degustacion</t>
  </si>
  <si>
    <t xml:space="preserve">Vinicius Carmo </t>
  </si>
  <si>
    <t>Aula Salsa</t>
  </si>
  <si>
    <t>Lavínia Mello</t>
  </si>
  <si>
    <t>Walking Integral</t>
  </si>
  <si>
    <t>Sara Marcelli</t>
  </si>
  <si>
    <t>Saldo de Bora Bora</t>
  </si>
  <si>
    <t>Verana Regattieri</t>
  </si>
  <si>
    <t>Bruna Andrade</t>
  </si>
  <si>
    <t>Valor que faltou do walking tour</t>
  </si>
  <si>
    <t>Otávio Almeida</t>
  </si>
  <si>
    <t>Saldo Mangata</t>
  </si>
  <si>
    <t>Gabriela Xavier</t>
  </si>
  <si>
    <t xml:space="preserve">Saldo Top 3 </t>
  </si>
  <si>
    <t>Gabrielly Pelegrino</t>
  </si>
  <si>
    <t>Saldo top 3</t>
  </si>
  <si>
    <t>Saldo Rosario de Mar</t>
  </si>
  <si>
    <t>Denise Lintz</t>
  </si>
  <si>
    <t>Saldo passeio privado Bogotá</t>
  </si>
  <si>
    <t>Saldo passeio Isla Bela</t>
  </si>
  <si>
    <t>Juliana Dutra</t>
  </si>
  <si>
    <t>Valor integral Walking com carro de alondra + saldo Bora</t>
  </si>
  <si>
    <t>Tahyssa</t>
  </si>
  <si>
    <t>Saldo de Paue</t>
  </si>
  <si>
    <t xml:space="preserve">Sara Marceli </t>
  </si>
  <si>
    <t>Fernanda Lima</t>
  </si>
  <si>
    <t>Pagamento integral de Bora com 6% de taxa</t>
  </si>
  <si>
    <t>Fernanda Perisson</t>
  </si>
  <si>
    <t>Saldo Mangata e TOP 3</t>
  </si>
  <si>
    <t>Bruna Pereira</t>
  </si>
  <si>
    <t>Saldo de Rosario e Palma</t>
  </si>
  <si>
    <t>Saldo de Fenix + saldo palma</t>
  </si>
  <si>
    <t>Rafaella Bittencourt</t>
  </si>
  <si>
    <t>Saldo de Bora Bora VIP</t>
  </si>
  <si>
    <t>Pagou 10.000 a mais via pix pq ficou faltando</t>
  </si>
  <si>
    <t>Mahatma Grill</t>
  </si>
  <si>
    <t>Pagamento Integral Top 3</t>
  </si>
  <si>
    <t>Jalila Scheffer</t>
  </si>
  <si>
    <t>Pagamento integral de Rosario de Mar (pagou 10k via pix)</t>
  </si>
  <si>
    <t xml:space="preserve">Saldo de Paue e Siba master sunset </t>
  </si>
  <si>
    <t>Amanda Romera</t>
  </si>
  <si>
    <t xml:space="preserve">Pagamento Integral de Palma </t>
  </si>
  <si>
    <t>Pagamento Integral de Coralina sem as taxas da marina</t>
  </si>
  <si>
    <t>Vanessa Oliveira</t>
  </si>
  <si>
    <t xml:space="preserve">Pagamento Integral Catedral de Sal Privado </t>
  </si>
  <si>
    <t xml:space="preserve">Isabella Figueiredo </t>
  </si>
  <si>
    <t>Pagamento Integral passeios de Bogotá</t>
  </si>
  <si>
    <t xml:space="preserve">Bruna Nacarato </t>
  </si>
  <si>
    <t>Pagamento do saldo de Bora</t>
  </si>
  <si>
    <t>Pagamento dos saldos dos passeios de CTG e BOG</t>
  </si>
  <si>
    <t xml:space="preserve">Crédito </t>
  </si>
  <si>
    <t>Motivo</t>
  </si>
  <si>
    <t>Observação</t>
  </si>
  <si>
    <t xml:space="preserve">   mkhkvvcv  </t>
  </si>
  <si>
    <t xml:space="preserve">2 cortesias </t>
  </si>
  <si>
    <t>Erro do Wilson, dia do evento em Rosário</t>
  </si>
  <si>
    <t xml:space="preserve">Usar em abril </t>
  </si>
  <si>
    <t>zaAAAAA</t>
  </si>
  <si>
    <t xml:space="preserve">    </t>
  </si>
  <si>
    <t>sofitel baru</t>
  </si>
  <si>
    <t>chd 3 a 12 anos</t>
  </si>
  <si>
    <t>2026 chd</t>
  </si>
  <si>
    <t>Sabai CHD</t>
  </si>
  <si>
    <t xml:space="preserve">Parada en Sabai </t>
  </si>
  <si>
    <t>Pa´ue</t>
  </si>
  <si>
    <t>adt</t>
  </si>
  <si>
    <t xml:space="preserve">chd  </t>
  </si>
  <si>
    <t>2026 adt</t>
  </si>
  <si>
    <t>chd 2026</t>
  </si>
  <si>
    <t>chd 04 a 07 anos 2026</t>
  </si>
  <si>
    <t>Comision tet</t>
  </si>
  <si>
    <t>Parada en Pa´ue</t>
  </si>
  <si>
    <t>Islabela CHD</t>
  </si>
  <si>
    <t>Tequendama</t>
  </si>
  <si>
    <t>chd 4 a 7 anos</t>
  </si>
  <si>
    <t>chd 25</t>
  </si>
  <si>
    <t>Sunset Sibarita Master</t>
  </si>
  <si>
    <t>Sunset Sibarita Master CHD - 04 a 11 anos</t>
  </si>
  <si>
    <t>marina tour</t>
  </si>
  <si>
    <t>chd 4 a 6 anos</t>
  </si>
  <si>
    <t>2026 chd 4 a 6 anos</t>
  </si>
  <si>
    <t>Fenix</t>
  </si>
  <si>
    <t>Decoración Praia (Por reserva)</t>
  </si>
  <si>
    <t>Decoración Ninho (Por reserva)</t>
  </si>
  <si>
    <t xml:space="preserve">day use primer alinha </t>
  </si>
  <si>
    <t>chd 5 a 09 anos</t>
  </si>
  <si>
    <t>catamaan islas</t>
  </si>
  <si>
    <t>chd 07 a 14 anos</t>
  </si>
  <si>
    <t>chd</t>
  </si>
  <si>
    <t>catamara sunset</t>
  </si>
  <si>
    <t>ecoway</t>
  </si>
  <si>
    <t>nino 05a 09 anos</t>
  </si>
  <si>
    <t xml:space="preserve">Capri 2026 </t>
  </si>
  <si>
    <t>Lunatico 2025 valores por pessoa</t>
  </si>
  <si>
    <t>clases de cocina</t>
  </si>
  <si>
    <t>tour a bazurto + clase cocina</t>
  </si>
  <si>
    <t>CLASE SALSA PRIVADA</t>
  </si>
  <si>
    <t>CLASE SALSA GRUPO</t>
  </si>
  <si>
    <t>CATA RON Y CHOCOLATE</t>
  </si>
  <si>
    <t>CERVEJAS ARTESANAIS</t>
  </si>
  <si>
    <t xml:space="preserve">  1 a 10 pax </t>
  </si>
  <si>
    <t>ATE 6 PESSOAS</t>
  </si>
  <si>
    <t>Lunatico 2026 valores por pessoa</t>
  </si>
  <si>
    <t>nino 04a 11 anos</t>
  </si>
  <si>
    <t>adt 2026</t>
  </si>
  <si>
    <t>2026 nino 04a 11 anos</t>
  </si>
  <si>
    <t>Hernan Reales</t>
  </si>
  <si>
    <t>Andrés</t>
  </si>
  <si>
    <t>1 PAX</t>
  </si>
  <si>
    <t>2 PAX</t>
  </si>
  <si>
    <t>3+ PAX</t>
  </si>
  <si>
    <t>Guianza</t>
  </si>
  <si>
    <t>2 /3 PAX</t>
  </si>
  <si>
    <t>?</t>
  </si>
  <si>
    <t>Transporte</t>
  </si>
  <si>
    <t>8 PAX</t>
  </si>
  <si>
    <t>Fijos</t>
  </si>
  <si>
    <t>Agua</t>
  </si>
  <si>
    <t>corona - parada em lancha (inclui almoço)</t>
  </si>
  <si>
    <t>Nome</t>
  </si>
  <si>
    <t>Data da viagem</t>
  </si>
  <si>
    <t>Produto</t>
  </si>
  <si>
    <t>Cortesia</t>
  </si>
  <si>
    <t>Lucro TET</t>
  </si>
  <si>
    <t>Marcela Santana</t>
  </si>
  <si>
    <t>SIM</t>
  </si>
  <si>
    <t>COP 649.500 = R$946,90</t>
  </si>
  <si>
    <t>Charlene</t>
  </si>
  <si>
    <t>Luiza Rabelo</t>
  </si>
  <si>
    <t>lucas carvalho em 10x</t>
  </si>
  <si>
    <t>juan ballena</t>
  </si>
  <si>
    <t>Mês</t>
  </si>
  <si>
    <t xml:space="preserve">Conversas iniciadas </t>
  </si>
  <si>
    <t>Valor</t>
  </si>
  <si>
    <t xml:space="preserve">Comissão </t>
  </si>
  <si>
    <t>E-sim Online</t>
  </si>
  <si>
    <t>afiliados</t>
  </si>
  <si>
    <t>cliente</t>
  </si>
  <si>
    <t>data da venda</t>
  </si>
  <si>
    <t>data da viagem</t>
  </si>
  <si>
    <t>Valor da venda</t>
  </si>
  <si>
    <t>afiliado</t>
  </si>
  <si>
    <t>E-book</t>
  </si>
  <si>
    <t>Ingrid Mello</t>
  </si>
  <si>
    <t>planejar para chegar</t>
  </si>
  <si>
    <t>isabela marcuzzo</t>
  </si>
  <si>
    <t xml:space="preserve">Melina AGÊNCIA </t>
  </si>
  <si>
    <t>Juliana nascimento</t>
  </si>
  <si>
    <t>Hotel</t>
  </si>
  <si>
    <t>Letícia</t>
  </si>
  <si>
    <t>Dania</t>
  </si>
  <si>
    <t>Carol Sousa AGÊNCIA</t>
  </si>
  <si>
    <t xml:space="preserve">E-book </t>
  </si>
  <si>
    <t xml:space="preserve">Jaqueline Rodrigues </t>
  </si>
  <si>
    <t>Carime Pinto</t>
  </si>
  <si>
    <t xml:space="preserve">E-sim Online </t>
  </si>
  <si>
    <t xml:space="preserve">Marcelina </t>
  </si>
  <si>
    <t>Wise</t>
  </si>
  <si>
    <t>NA</t>
  </si>
  <si>
    <t>E-sim online</t>
  </si>
  <si>
    <t>Ranieri Filho</t>
  </si>
  <si>
    <t>Carol Concy</t>
  </si>
  <si>
    <t>GET YOUR GUIDE</t>
  </si>
  <si>
    <t>Flávia Ribeiro</t>
  </si>
  <si>
    <t xml:space="preserve">E-sim online </t>
  </si>
  <si>
    <t>Ian</t>
  </si>
  <si>
    <t>comissao TBO</t>
  </si>
  <si>
    <t>Comissões</t>
  </si>
  <si>
    <t>kiwify - venda de guia TET</t>
  </si>
  <si>
    <t>Venda de Produtos</t>
  </si>
  <si>
    <t>kiwify - guias tet</t>
  </si>
  <si>
    <t xml:space="preserve">online na gringa - e sim </t>
  </si>
  <si>
    <t>get your guide</t>
  </si>
  <si>
    <t>venda de serviço</t>
  </si>
  <si>
    <t>pago jan!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</si>
</sst>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7">
    <numFmt numFmtId="164" formatCode="[$R$ -416]#,##0.00"/>
    <numFmt numFmtId="165" formatCode="[$$]#,##0.00"/>
    <numFmt numFmtId="166" formatCode="[$R$ -416]#,##0.0"/>
    <numFmt numFmtId="167" formatCode="[$R$ -416]#,##0.0000000"/>
    <numFmt numFmtId="168" formatCode="[$R$ -416]#,##0.000000"/>
    <numFmt numFmtId="169" formatCode="_-&quot;R$&quot;* #,##0.00_-;\-&quot;R$&quot;* #,##0.00_-;_-&quot;R$&quot;* &quot;-&quot;??_-;_-@"/>
    <numFmt numFmtId="170" formatCode="dd/mm"/>
    <numFmt numFmtId="171" formatCode="mmmmyyyy"/>
    <numFmt numFmtId="172" formatCode="mmm yyyy"/>
    <numFmt numFmtId="173" formatCode="#,##0.00;(#,##0.00)"/>
    <numFmt numFmtId="174" formatCode="&quot;Pessoas&quot;\ 00"/>
    <numFmt numFmtId="175" formatCode="dd/mm/yyyy"/>
    <numFmt numFmtId="176" formatCode="_-[$COP]\ * #,##0_-;\-[$COP]\ * #,##0_-;_-[$COP]\ * &quot;-&quot;_-;_-@"/>
    <numFmt numFmtId="177" formatCode="d\.m"/>
    <numFmt numFmtId="178" formatCode="d/m/yy"/>
    <numFmt numFmtId="179" formatCode="dd/mm/yy"/>
    <numFmt numFmtId="180" formatCode="dd\.mm"/>
    <numFmt numFmtId="181" formatCode="dd\.mm\.yy"/>
    <numFmt numFmtId="182" formatCode="#,##0.000;(#,##0.000)"/>
    <numFmt numFmtId="183" formatCode="dd.mm"/>
    <numFmt numFmtId="184" formatCode="mmmm/d"/>
    <numFmt numFmtId="185" formatCode="d.m"/>
    <numFmt numFmtId="186" formatCode="d/m/yyyy"/>
    <numFmt numFmtId="187" formatCode="dd/MM/yyyy"/>
    <numFmt numFmtId="188" formatCode="mmm&quot; &quot;yyyy"/>
    <numFmt numFmtId="189" formatCode="mmm d"/>
    <numFmt numFmtId="190" formatCode="[$ $]#,##0"/>
    <numFmt numFmtId="191" formatCode="mmm/d"/>
    <numFmt numFmtId="192" formatCode="M/d/yyyy"/>
    <numFmt numFmtId="193" formatCode="_-* #,##0_-;\-* #,##0_-;_-* &quot;-&quot;??_-;_-@"/>
    <numFmt numFmtId="194" formatCode="&quot;$&quot;#,##0.00"/>
    <numFmt numFmtId="195" formatCode="m/d/yyyy"/>
    <numFmt numFmtId="196" formatCode="mm/dd/yyyy"/>
    <numFmt numFmtId="197" formatCode="0.0"/>
    <numFmt numFmtId="198" formatCode="mmm\ yyyy"/>
    <numFmt numFmtId="199" formatCode="mmmm d"/>
    <numFmt numFmtId="200" formatCode="mmmm yyyy"/>
  </numFmts>
  <fonts count="104">
    <font>
      <sz val="11.0"/>
      <color theme="1"/>
      <name val="Calibri"/>
      <scheme val="minor"/>
    </font>
    <font>
      <sz val="12.0"/>
      <color rgb="FF223454"/>
      <name val="Inter"/>
    </font>
    <font>
      <b/>
      <i/>
      <sz val="12.0"/>
      <color rgb="FFFFFFFF"/>
      <name val="Poppins"/>
    </font>
    <font>
      <b/>
      <sz val="12.0"/>
      <color rgb="FFFFFFFF"/>
      <name val="Poppins"/>
    </font>
    <font>
      <sz val="8.0"/>
      <color rgb="FFFFFFFF"/>
      <name val="Poppins"/>
    </font>
    <font>
      <sz val="11.0"/>
      <color theme="1"/>
      <name val="Calibri"/>
    </font>
    <font>
      <sz val="9.0"/>
      <color theme="1"/>
      <name val="Poppins"/>
    </font>
    <font>
      <sz val="11.0"/>
      <color theme="1"/>
      <name val="Poppins"/>
    </font>
    <font>
      <b/>
      <sz val="11.0"/>
      <color rgb="FFFFFFFF"/>
      <name val="Poppins"/>
    </font>
    <font>
      <sz val="11.0"/>
      <color rgb="FF434343"/>
      <name val="Poppins"/>
    </font>
    <font>
      <b/>
      <sz val="11.0"/>
      <color theme="1"/>
      <name val="Poppins"/>
    </font>
    <font/>
    <font>
      <sz val="9.0"/>
      <color rgb="FF38761D"/>
      <name val="Poppins"/>
    </font>
    <font>
      <sz val="11.0"/>
      <color rgb="FF38761D"/>
      <name val="Poppins"/>
    </font>
    <font>
      <sz val="10.0"/>
      <color theme="1"/>
      <name val="Calibri"/>
    </font>
    <font>
      <sz val="10.0"/>
      <color theme="1"/>
      <name val="Calibri"/>
      <scheme val="minor"/>
    </font>
    <font>
      <sz val="10.0"/>
      <color theme="1"/>
      <name val="Poppins"/>
    </font>
    <font>
      <sz val="10.0"/>
      <color rgb="FF000000"/>
      <name val="Inter"/>
    </font>
    <font>
      <b/>
      <sz val="10.0"/>
      <color theme="1"/>
      <name val="Poppins"/>
    </font>
    <font>
      <sz val="12.0"/>
      <color rgb="FF223454"/>
      <name val="Arial"/>
    </font>
    <font>
      <sz val="11.0"/>
      <color rgb="FF202124"/>
      <name val="Inter"/>
    </font>
    <font>
      <color theme="1"/>
      <name val="Calibri"/>
      <scheme val="minor"/>
    </font>
    <font>
      <b/>
      <sz val="11.0"/>
      <color theme="1"/>
      <name val="Calibri"/>
    </font>
    <font>
      <sz val="12.0"/>
      <color theme="1"/>
      <name val="Poppins"/>
    </font>
    <font>
      <sz val="11.0"/>
      <color rgb="FF000000"/>
      <name val="Inter"/>
    </font>
    <font>
      <sz val="11.0"/>
      <color rgb="FF222222"/>
      <name val="&quot;Century Gothic&quot;"/>
    </font>
    <font>
      <sz val="12.0"/>
      <color rgb="FF000000"/>
      <name val="Montserrat"/>
    </font>
    <font>
      <b/>
      <sz val="11.0"/>
      <color rgb="FF222222"/>
      <name val="&quot;Century Gothic&quot;"/>
    </font>
    <font>
      <color rgb="FF01154D"/>
      <name val="Calibri"/>
      <scheme val="minor"/>
    </font>
    <font>
      <color rgb="FF19376A"/>
      <name val="Calibri"/>
      <scheme val="minor"/>
    </font>
    <font>
      <b/>
      <i/>
      <sz val="11.0"/>
      <color rgb="FFFFFFFF"/>
      <name val="Poppins"/>
    </font>
    <font>
      <sz val="11.0"/>
      <color rgb="FFFFFFFF"/>
      <name val="Poppins"/>
    </font>
    <font>
      <sz val="11.0"/>
      <color rgb="FF223454"/>
      <name val="Poppins"/>
    </font>
    <font>
      <b/>
      <sz val="14.0"/>
      <color rgb="FF4472C4"/>
      <name val="Calibri"/>
    </font>
    <font>
      <b/>
      <sz val="12.0"/>
      <color rgb="FF4472C4"/>
      <name val="Calibri"/>
    </font>
    <font>
      <sz val="14.0"/>
      <color theme="1"/>
      <name val="Calibri"/>
    </font>
    <font>
      <sz val="13.0"/>
      <color theme="1"/>
      <name val="Calibri"/>
    </font>
    <font>
      <sz val="12.0"/>
      <color theme="1"/>
      <name val="Calibri"/>
    </font>
    <font>
      <sz val="16.0"/>
      <color theme="1"/>
      <name val="Calibri"/>
    </font>
    <font>
      <sz val="14.0"/>
      <color rgb="FF000000"/>
      <name val="Calibri"/>
    </font>
    <font>
      <sz val="13.0"/>
      <color rgb="FF000000"/>
      <name val="Calibri"/>
    </font>
    <font>
      <b/>
      <sz val="12.0"/>
      <color rgb="FF1F1F1F"/>
      <name val="Calibri"/>
    </font>
    <font>
      <sz val="14.0"/>
      <color rgb="FF000000"/>
      <name val="Arial"/>
    </font>
    <font>
      <sz val="14.0"/>
      <color rgb="FF222222"/>
      <name val="Arial"/>
    </font>
    <font>
      <b/>
      <sz val="14.0"/>
      <color rgb="FF1F1F1F"/>
      <name val="Calibri"/>
    </font>
    <font>
      <b/>
      <sz val="14.0"/>
      <color rgb="FF000000"/>
      <name val="Calibri"/>
    </font>
    <font>
      <b/>
      <sz val="13.0"/>
      <color rgb="FF1F1F1F"/>
      <name val="Calibri"/>
    </font>
    <font>
      <sz val="14.0"/>
      <color rgb="FF1F1F1F"/>
      <name val="Calibri"/>
    </font>
    <font>
      <sz val="13.0"/>
      <color rgb="FF202124"/>
      <name val="Calibri"/>
    </font>
    <font>
      <sz val="11.0"/>
      <color rgb="FF000000"/>
      <name val="Calibri"/>
    </font>
    <font>
      <sz val="12.0"/>
      <color rgb="FF1F1F1F"/>
      <name val="Calibri"/>
    </font>
    <font>
      <sz val="22.0"/>
      <color rgb="FF000000"/>
      <name val="Calibri"/>
    </font>
    <font>
      <sz val="18.0"/>
      <color rgb="FF0070C0"/>
      <name val="Calibri"/>
    </font>
    <font>
      <b/>
      <sz val="18.0"/>
      <color rgb="FF0070C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b/>
      <sz val="12.0"/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sz val="12.0"/>
      <color rgb="FFFF0000"/>
      <name val="Arial"/>
    </font>
    <font>
      <b/>
      <sz val="11.0"/>
      <color theme="1"/>
      <name val="Ui-sans-serif"/>
    </font>
    <font>
      <color theme="1"/>
      <name val="Ui-monospace"/>
    </font>
    <font>
      <sz val="11.0"/>
      <color theme="1"/>
      <name val="Ui-sans-serif"/>
    </font>
    <font>
      <b/>
      <sz val="14.0"/>
      <color rgb="FFFFFFFF"/>
      <name val="Poppins"/>
    </font>
    <font>
      <sz val="18.0"/>
      <color rgb="FF000000"/>
      <name val="Calibri"/>
    </font>
    <font>
      <sz val="22.0"/>
      <color theme="1"/>
      <name val="Calibri"/>
    </font>
    <font>
      <color rgb="FF000000"/>
      <name val="Calibri"/>
      <scheme val="minor"/>
    </font>
    <font>
      <b/>
      <sz val="13.0"/>
      <color rgb="FF99CCFF"/>
      <name val="Calibri"/>
    </font>
    <font>
      <b/>
      <sz val="14.0"/>
      <color theme="4"/>
      <name val="Calibri"/>
    </font>
    <font>
      <b/>
      <sz val="14.0"/>
      <color rgb="FF1155CC"/>
      <name val="Calibri"/>
    </font>
    <font>
      <b/>
      <sz val="14.0"/>
      <color theme="1"/>
      <name val="Calibri"/>
    </font>
    <font>
      <sz val="14.0"/>
      <color rgb="FF000000"/>
      <name val="Inter"/>
    </font>
    <font>
      <sz val="11.0"/>
      <color rgb="FF222222"/>
      <name val="Arial"/>
    </font>
    <font>
      <sz val="14.0"/>
      <color theme="4"/>
      <name val="Calibri"/>
    </font>
    <font>
      <b/>
      <sz val="20.0"/>
      <color rgb="FF4472C4"/>
      <name val="Calibri"/>
    </font>
    <font>
      <b/>
      <sz val="16.0"/>
      <color theme="4"/>
      <name val="Calibri"/>
    </font>
    <font>
      <sz val="10.0"/>
      <color rgb="FF000000"/>
      <name val="Calibri"/>
    </font>
    <font>
      <b/>
      <sz val="18.0"/>
      <color theme="4"/>
      <name val="Calibri"/>
    </font>
    <font>
      <sz val="9.0"/>
      <color theme="1"/>
      <name val="Calibri"/>
    </font>
    <font>
      <b/>
      <sz val="16.0"/>
      <color rgb="FF4472C4"/>
      <name val="Calibri"/>
    </font>
    <font>
      <sz val="14.0"/>
      <color theme="1"/>
      <name val="Inter"/>
    </font>
    <font>
      <sz val="12.0"/>
      <color rgb="FF000000"/>
      <name val="Inter"/>
    </font>
    <font>
      <b/>
      <sz val="13.0"/>
      <color theme="1"/>
      <name val="Calibri"/>
    </font>
    <font>
      <b/>
      <sz val="13.0"/>
      <color rgb="FF000000"/>
      <name val="Calibri"/>
    </font>
    <font>
      <b/>
      <sz val="13.0"/>
      <color theme="4"/>
      <name val="Calibri"/>
    </font>
    <font>
      <b/>
      <sz val="13.0"/>
      <color rgb="FF4472C4"/>
      <name val="Calibri"/>
    </font>
    <font>
      <b/>
      <sz val="20.0"/>
      <color theme="4"/>
      <name val="Calibri"/>
    </font>
    <font>
      <sz val="14.0"/>
      <color rgb="FF223454"/>
      <name val="Inter"/>
    </font>
    <font>
      <b/>
      <sz val="15.0"/>
      <color rgb="FF4472C4"/>
      <name val="Calibri"/>
    </font>
    <font>
      <b/>
      <sz val="15.0"/>
      <color rgb="FF8EAADB"/>
      <name val="Calibri"/>
    </font>
    <font>
      <sz val="14.0"/>
      <color rgb="FF3C4043"/>
      <name val="Calibri"/>
    </font>
    <font>
      <b/>
      <sz val="14.0"/>
      <color rgb="FFFF0000"/>
      <name val="Calibri"/>
    </font>
    <font>
      <sz val="14.0"/>
      <color rgb="FFFF0000"/>
      <name val="Calibri"/>
    </font>
    <font>
      <b/>
      <sz val="13.0"/>
      <color rgb="FFFF0000"/>
      <name val="Calibri"/>
    </font>
    <font>
      <sz val="12.0"/>
      <color rgb="FF202124"/>
      <name val="Inter"/>
    </font>
    <font>
      <sz val="18.0"/>
      <color rgb="FF4472C4"/>
      <name val="Calibri"/>
      <scheme val="minor"/>
    </font>
    <font>
      <b/>
      <sz val="18.0"/>
      <color rgb="FF4472C4"/>
      <name val="Calibri"/>
      <scheme val="minor"/>
    </font>
    <font>
      <sz val="14.0"/>
      <color rgb="FF783F04"/>
      <name val="Calibri"/>
      <scheme val="minor"/>
    </font>
    <font>
      <b/>
      <sz val="14.0"/>
      <color rgb="FF783F04"/>
      <name val="Calibri"/>
      <scheme val="minor"/>
    </font>
    <font>
      <b/>
      <color theme="1"/>
      <name val="Calibri"/>
      <scheme val="minor"/>
    </font>
    <font>
      <sz val="14.0"/>
      <color rgb="FF0000FF"/>
      <name val="Calibri"/>
      <scheme val="minor"/>
    </font>
    <font>
      <sz val="11.0"/>
      <color rgb="FF000013"/>
      <name val="Poppins"/>
    </font>
    <font>
      <color theme="1"/>
      <name val="Arial"/>
    </font>
  </fonts>
  <fills count="4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34FF"/>
        <bgColor rgb="FF0034FF"/>
      </patternFill>
    </fill>
    <fill>
      <patternFill patternType="solid">
        <fgColor rgb="FF000000"/>
        <bgColor rgb="FF000000"/>
      </patternFill>
    </fill>
    <fill>
      <patternFill patternType="solid">
        <fgColor rgb="FFF79646"/>
        <bgColor rgb="FFF79646"/>
      </patternFill>
    </fill>
    <fill>
      <patternFill patternType="solid">
        <fgColor rgb="FF1155CC"/>
        <bgColor rgb="FF1155CC"/>
      </patternFill>
    </fill>
    <fill>
      <patternFill patternType="solid">
        <fgColor rgb="FF9BBB59"/>
        <bgColor rgb="FF9BBB59"/>
      </patternFill>
    </fill>
    <fill>
      <patternFill patternType="solid">
        <fgColor rgb="FF9900FF"/>
        <bgColor rgb="FF9900FF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BACC6"/>
        <bgColor rgb="FF4BACC6"/>
      </patternFill>
    </fill>
    <fill>
      <patternFill patternType="solid">
        <fgColor rgb="FFA4C2F4"/>
        <bgColor rgb="FFA4C2F4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0D30A4"/>
        <bgColor rgb="FF0D30A4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99CCFF"/>
        <bgColor rgb="FF99CCFF"/>
      </patternFill>
    </fill>
    <fill>
      <patternFill patternType="solid">
        <fgColor rgb="FF666666"/>
        <bgColor rgb="FF666666"/>
      </patternFill>
    </fill>
    <fill>
      <patternFill patternType="solid">
        <fgColor rgb="FF99FFCC"/>
        <bgColor rgb="FF99FFCC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C6E0B4"/>
        <bgColor rgb="FFC6E0B4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9999FF"/>
        <bgColor rgb="FF9999FF"/>
      </patternFill>
    </fill>
    <fill>
      <patternFill patternType="solid">
        <fgColor rgb="FFFFFFCC"/>
        <bgColor rgb="FFFFFFCC"/>
      </patternFill>
    </fill>
    <fill>
      <patternFill patternType="solid">
        <fgColor rgb="FF99FF99"/>
        <bgColor rgb="FF99FF99"/>
      </patternFill>
    </fill>
    <fill>
      <patternFill patternType="solid">
        <fgColor rgb="FF6FA8DC"/>
        <bgColor rgb="FF6FA8DC"/>
      </patternFill>
    </fill>
    <fill>
      <patternFill patternType="solid">
        <fgColor rgb="FFD0E0E3"/>
        <bgColor rgb="FFD0E0E3"/>
      </patternFill>
    </fill>
  </fills>
  <borders count="68">
    <border/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CCCCCC"/>
      </right>
    </border>
    <border>
      <left style="thin">
        <color rgb="FF000000"/>
      </left>
      <right style="thin">
        <color rgb="FFCCCCCC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CCCCCC"/>
      </right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262626"/>
      </left>
      <right style="thin">
        <color rgb="FF262626"/>
      </right>
      <top style="thin">
        <color rgb="FF262626"/>
      </top>
      <bottom style="thin">
        <color rgb="FF262626"/>
      </bottom>
    </border>
    <border>
      <left style="thin">
        <color rgb="FF262626"/>
      </left>
      <right style="thin">
        <color rgb="FF262626"/>
      </right>
      <top style="thin">
        <color rgb="FF262626"/>
      </top>
    </border>
  </borders>
  <cellStyleXfs count="1">
    <xf borderId="0" fillId="0" fontId="0" numFmtId="0" applyAlignment="1" applyFont="1"/>
  </cellStyleXfs>
  <cellXfs count="15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shrinkToFit="0" wrapText="1"/>
    </xf>
    <xf borderId="1" fillId="3" fontId="2" numFmtId="0" xfId="0" applyAlignment="1" applyBorder="1" applyFont="1">
      <alignment horizontal="center" readingOrder="0" shrinkToFit="0" wrapText="1"/>
    </xf>
    <xf borderId="1" fillId="4" fontId="3" numFmtId="0" xfId="0" applyAlignment="1" applyBorder="1" applyFill="1" applyFont="1">
      <alignment horizontal="center" readingOrder="0"/>
    </xf>
    <xf borderId="2" fillId="5" fontId="4" numFmtId="164" xfId="0" applyAlignment="1" applyBorder="1" applyFill="1" applyFont="1" applyNumberFormat="1">
      <alignment horizontal="center" shrinkToFit="0" wrapText="1"/>
    </xf>
    <xf borderId="2" fillId="5" fontId="4" numFmtId="164" xfId="0" applyAlignment="1" applyBorder="1" applyFont="1" applyNumberFormat="1">
      <alignment horizontal="center" shrinkToFit="0" wrapText="1"/>
    </xf>
    <xf borderId="2" fillId="6" fontId="4" numFmtId="164" xfId="0" applyAlignment="1" applyBorder="1" applyFill="1" applyFont="1" applyNumberFormat="1">
      <alignment horizontal="center" shrinkToFit="0" wrapText="1"/>
    </xf>
    <xf borderId="2" fillId="7" fontId="4" numFmtId="164" xfId="0" applyAlignment="1" applyBorder="1" applyFill="1" applyFont="1" applyNumberFormat="1">
      <alignment horizontal="center" shrinkToFit="0" wrapText="1"/>
    </xf>
    <xf borderId="2" fillId="6" fontId="4" numFmtId="164" xfId="0" applyAlignment="1" applyBorder="1" applyFont="1" applyNumberFormat="1">
      <alignment horizontal="center" shrinkToFit="0" wrapText="1"/>
    </xf>
    <xf borderId="2" fillId="7" fontId="4" numFmtId="164" xfId="0" applyAlignment="1" applyBorder="1" applyFont="1" applyNumberFormat="1">
      <alignment horizontal="center" shrinkToFit="0" wrapText="1"/>
    </xf>
    <xf borderId="2" fillId="6" fontId="4" numFmtId="10" xfId="0" applyAlignment="1" applyBorder="1" applyFont="1" applyNumberFormat="1">
      <alignment horizontal="center" shrinkToFit="0" wrapText="1"/>
    </xf>
    <xf borderId="0" fillId="6" fontId="5" numFmtId="10" xfId="0" applyFont="1" applyNumberFormat="1"/>
    <xf borderId="0" fillId="0" fontId="6" numFmtId="0" xfId="0" applyAlignment="1" applyFont="1">
      <alignment vertical="bottom"/>
    </xf>
    <xf borderId="2" fillId="0" fontId="6" numFmtId="0" xfId="0" applyAlignment="1" applyBorder="1" applyFont="1">
      <alignment vertical="bottom"/>
    </xf>
    <xf borderId="2" fillId="0" fontId="7" numFmtId="0" xfId="0" applyAlignment="1" applyBorder="1" applyFont="1">
      <alignment horizontal="center"/>
    </xf>
    <xf borderId="2" fillId="0" fontId="7" numFmtId="165" xfId="0" applyAlignment="1" applyBorder="1" applyFont="1" applyNumberFormat="1">
      <alignment horizontal="center"/>
    </xf>
    <xf borderId="2" fillId="8" fontId="8" numFmtId="164" xfId="0" applyAlignment="1" applyBorder="1" applyFill="1" applyFont="1" applyNumberFormat="1">
      <alignment horizontal="center"/>
    </xf>
    <xf borderId="2" fillId="0" fontId="7" numFmtId="10" xfId="0" applyAlignment="1" applyBorder="1" applyFont="1" applyNumberFormat="1">
      <alignment horizontal="center"/>
    </xf>
    <xf borderId="2" fillId="0" fontId="7" numFmtId="164" xfId="0" applyAlignment="1" applyBorder="1" applyFont="1" applyNumberFormat="1">
      <alignment horizontal="center"/>
    </xf>
    <xf borderId="2" fillId="0" fontId="7" numFmtId="166" xfId="0" applyAlignment="1" applyBorder="1" applyFont="1" applyNumberFormat="1">
      <alignment horizontal="center"/>
    </xf>
    <xf borderId="2" fillId="0" fontId="7" numFmtId="167" xfId="0" applyAlignment="1" applyBorder="1" applyFont="1" applyNumberFormat="1">
      <alignment horizontal="center"/>
    </xf>
    <xf borderId="2" fillId="0" fontId="7" numFmtId="168" xfId="0" applyAlignment="1" applyBorder="1" applyFont="1" applyNumberFormat="1">
      <alignment horizontal="center"/>
    </xf>
    <xf borderId="2" fillId="0" fontId="5" numFmtId="9" xfId="0" applyBorder="1" applyFont="1" applyNumberFormat="1"/>
    <xf borderId="3" fillId="9" fontId="9" numFmtId="164" xfId="0" applyAlignment="1" applyBorder="1" applyFill="1" applyFont="1" applyNumberFormat="1">
      <alignment horizontal="center"/>
    </xf>
    <xf borderId="3" fillId="9" fontId="9" numFmtId="10" xfId="0" applyAlignment="1" applyBorder="1" applyFont="1" applyNumberFormat="1">
      <alignment horizontal="center"/>
    </xf>
    <xf borderId="0" fillId="9" fontId="5" numFmtId="10" xfId="0" applyFont="1" applyNumberFormat="1"/>
    <xf borderId="2" fillId="0" fontId="5" numFmtId="165" xfId="0" applyBorder="1" applyFont="1" applyNumberFormat="1"/>
    <xf borderId="0" fillId="0" fontId="5" numFmtId="0" xfId="0" applyAlignment="1" applyFont="1">
      <alignment vertical="bottom"/>
    </xf>
    <xf borderId="2" fillId="0" fontId="6" numFmtId="0" xfId="0" applyAlignment="1" applyBorder="1" applyFont="1">
      <alignment readingOrder="0" vertical="bottom"/>
    </xf>
    <xf borderId="2" fillId="0" fontId="7" numFmtId="0" xfId="0" applyAlignment="1" applyBorder="1" applyFont="1">
      <alignment horizontal="center" vertical="bottom"/>
    </xf>
    <xf borderId="2" fillId="0" fontId="7" numFmtId="165" xfId="0" applyAlignment="1" applyBorder="1" applyFont="1" applyNumberFormat="1">
      <alignment horizontal="center" vertical="bottom"/>
    </xf>
    <xf borderId="2" fillId="0" fontId="5" numFmtId="165" xfId="0" applyAlignment="1" applyBorder="1" applyFont="1" applyNumberFormat="1">
      <alignment vertical="bottom"/>
    </xf>
    <xf borderId="2" fillId="8" fontId="8" numFmtId="164" xfId="0" applyAlignment="1" applyBorder="1" applyFont="1" applyNumberFormat="1">
      <alignment horizontal="center" vertical="bottom"/>
    </xf>
    <xf borderId="2" fillId="0" fontId="7" numFmtId="10" xfId="0" applyAlignment="1" applyBorder="1" applyFont="1" applyNumberFormat="1">
      <alignment horizontal="center" vertical="bottom"/>
    </xf>
    <xf borderId="2" fillId="0" fontId="7" numFmtId="164" xfId="0" applyAlignment="1" applyBorder="1" applyFont="1" applyNumberFormat="1">
      <alignment horizontal="center" vertical="bottom"/>
    </xf>
    <xf borderId="2" fillId="0" fontId="7" numFmtId="166" xfId="0" applyAlignment="1" applyBorder="1" applyFont="1" applyNumberFormat="1">
      <alignment horizontal="center" vertical="bottom"/>
    </xf>
    <xf borderId="2" fillId="0" fontId="7" numFmtId="167" xfId="0" applyAlignment="1" applyBorder="1" applyFont="1" applyNumberFormat="1">
      <alignment horizontal="center" vertical="bottom"/>
    </xf>
    <xf borderId="2" fillId="0" fontId="7" numFmtId="168" xfId="0" applyAlignment="1" applyBorder="1" applyFont="1" applyNumberFormat="1">
      <alignment horizontal="center" vertical="bottom"/>
    </xf>
    <xf borderId="2" fillId="0" fontId="5" numFmtId="9" xfId="0" applyAlignment="1" applyBorder="1" applyFont="1" applyNumberFormat="1">
      <alignment vertical="bottom"/>
    </xf>
    <xf borderId="3" fillId="9" fontId="9" numFmtId="164" xfId="0" applyAlignment="1" applyBorder="1" applyFont="1" applyNumberFormat="1">
      <alignment horizontal="center" vertical="bottom"/>
    </xf>
    <xf borderId="3" fillId="9" fontId="9" numFmtId="10" xfId="0" applyAlignment="1" applyBorder="1" applyFont="1" applyNumberFormat="1">
      <alignment horizontal="center" vertical="bottom"/>
    </xf>
    <xf borderId="0" fillId="9" fontId="5" numFmtId="10" xfId="0" applyAlignment="1" applyFont="1" applyNumberFormat="1">
      <alignment vertical="bottom"/>
    </xf>
    <xf borderId="2" fillId="10" fontId="7" numFmtId="0" xfId="0" applyAlignment="1" applyBorder="1" applyFill="1" applyFont="1">
      <alignment horizontal="center" readingOrder="0"/>
    </xf>
    <xf borderId="2" fillId="10" fontId="7" numFmtId="165" xfId="0" applyAlignment="1" applyBorder="1" applyFont="1" applyNumberFormat="1">
      <alignment horizontal="center" readingOrder="0"/>
    </xf>
    <xf borderId="2" fillId="10" fontId="5" numFmtId="165" xfId="0" applyAlignment="1" applyBorder="1" applyFont="1" applyNumberFormat="1">
      <alignment readingOrder="0"/>
    </xf>
    <xf borderId="2" fillId="10" fontId="7" numFmtId="10" xfId="0" applyAlignment="1" applyBorder="1" applyFont="1" applyNumberFormat="1">
      <alignment horizontal="center"/>
    </xf>
    <xf borderId="2" fillId="10" fontId="7" numFmtId="164" xfId="0" applyAlignment="1" applyBorder="1" applyFont="1" applyNumberFormat="1">
      <alignment horizontal="center"/>
    </xf>
    <xf borderId="2" fillId="10" fontId="7" numFmtId="166" xfId="0" applyAlignment="1" applyBorder="1" applyFont="1" applyNumberFormat="1">
      <alignment horizontal="center"/>
    </xf>
    <xf borderId="2" fillId="10" fontId="7" numFmtId="167" xfId="0" applyAlignment="1" applyBorder="1" applyFont="1" applyNumberFormat="1">
      <alignment horizontal="center"/>
    </xf>
    <xf borderId="2" fillId="10" fontId="7" numFmtId="168" xfId="0" applyAlignment="1" applyBorder="1" applyFont="1" applyNumberFormat="1">
      <alignment horizontal="center"/>
    </xf>
    <xf borderId="2" fillId="8" fontId="8" numFmtId="164" xfId="0" applyAlignment="1" applyBorder="1" applyFont="1" applyNumberFormat="1">
      <alignment horizontal="center" readingOrder="0"/>
    </xf>
    <xf borderId="2" fillId="10" fontId="5" numFmtId="9" xfId="0" applyBorder="1" applyFont="1" applyNumberFormat="1"/>
    <xf borderId="0" fillId="10" fontId="5" numFmtId="10" xfId="0" applyFont="1" applyNumberFormat="1"/>
    <xf borderId="2" fillId="5" fontId="6" numFmtId="0" xfId="0" applyAlignment="1" applyBorder="1" applyFont="1">
      <alignment readingOrder="0" vertical="bottom"/>
    </xf>
    <xf borderId="2" fillId="5" fontId="7" numFmtId="0" xfId="0" applyAlignment="1" applyBorder="1" applyFont="1">
      <alignment horizontal="center" readingOrder="0"/>
    </xf>
    <xf borderId="2" fillId="5" fontId="7" numFmtId="165" xfId="0" applyAlignment="1" applyBorder="1" applyFont="1" applyNumberFormat="1">
      <alignment horizontal="center"/>
    </xf>
    <xf borderId="2" fillId="5" fontId="5" numFmtId="165" xfId="0" applyBorder="1" applyFont="1" applyNumberFormat="1"/>
    <xf borderId="0" fillId="0" fontId="7" numFmtId="165" xfId="0" applyAlignment="1" applyFont="1" applyNumberFormat="1">
      <alignment horizontal="center"/>
    </xf>
    <xf borderId="2" fillId="2" fontId="7" numFmtId="0" xfId="0" applyAlignment="1" applyBorder="1" applyFont="1">
      <alignment horizontal="center"/>
    </xf>
    <xf borderId="0" fillId="2" fontId="7" numFmtId="165" xfId="0" applyAlignment="1" applyFont="1" applyNumberFormat="1">
      <alignment horizontal="center"/>
    </xf>
    <xf borderId="2" fillId="2" fontId="5" numFmtId="165" xfId="0" applyBorder="1" applyFont="1" applyNumberFormat="1"/>
    <xf borderId="2" fillId="2" fontId="7" numFmtId="10" xfId="0" applyAlignment="1" applyBorder="1" applyFont="1" applyNumberFormat="1">
      <alignment horizontal="center"/>
    </xf>
    <xf borderId="2" fillId="2" fontId="7" numFmtId="164" xfId="0" applyAlignment="1" applyBorder="1" applyFont="1" applyNumberFormat="1">
      <alignment horizontal="center"/>
    </xf>
    <xf borderId="2" fillId="2" fontId="7" numFmtId="166" xfId="0" applyAlignment="1" applyBorder="1" applyFont="1" applyNumberFormat="1">
      <alignment horizontal="center"/>
    </xf>
    <xf borderId="2" fillId="2" fontId="7" numFmtId="167" xfId="0" applyAlignment="1" applyBorder="1" applyFont="1" applyNumberFormat="1">
      <alignment horizontal="center"/>
    </xf>
    <xf borderId="2" fillId="2" fontId="7" numFmtId="168" xfId="0" applyAlignment="1" applyBorder="1" applyFont="1" applyNumberFormat="1">
      <alignment horizontal="center"/>
    </xf>
    <xf borderId="2" fillId="2" fontId="10" numFmtId="164" xfId="0" applyAlignment="1" applyBorder="1" applyFont="1" applyNumberFormat="1">
      <alignment horizontal="center"/>
    </xf>
    <xf borderId="2" fillId="2" fontId="5" numFmtId="9" xfId="0" applyBorder="1" applyFont="1" applyNumberFormat="1"/>
    <xf borderId="0" fillId="2" fontId="5" numFmtId="10" xfId="0" applyFont="1" applyNumberFormat="1"/>
    <xf borderId="0" fillId="2" fontId="6" numFmtId="0" xfId="0" applyAlignment="1" applyFont="1">
      <alignment vertical="bottom"/>
    </xf>
    <xf borderId="2" fillId="2" fontId="6" numFmtId="0" xfId="0" applyAlignment="1" applyBorder="1" applyFont="1">
      <alignment vertical="bottom"/>
    </xf>
    <xf borderId="2" fillId="2" fontId="7" numFmtId="165" xfId="0" applyAlignment="1" applyBorder="1" applyFont="1" applyNumberFormat="1">
      <alignment horizontal="center"/>
    </xf>
    <xf borderId="0" fillId="0" fontId="5" numFmtId="164" xfId="0" applyAlignment="1" applyFont="1" applyNumberFormat="1">
      <alignment readingOrder="0"/>
    </xf>
    <xf borderId="2" fillId="0" fontId="7" numFmtId="165" xfId="0" applyAlignment="1" applyBorder="1" applyFont="1" applyNumberFormat="1">
      <alignment horizontal="center" readingOrder="0"/>
    </xf>
    <xf borderId="2" fillId="0" fontId="7" numFmtId="0" xfId="0" applyAlignment="1" applyBorder="1" applyFont="1">
      <alignment horizontal="center" readingOrder="0"/>
    </xf>
    <xf borderId="0" fillId="11" fontId="5" numFmtId="0" xfId="0" applyAlignment="1" applyFill="1" applyFont="1">
      <alignment readingOrder="0" vertical="bottom"/>
    </xf>
    <xf borderId="2" fillId="11" fontId="5" numFmtId="0" xfId="0" applyAlignment="1" applyBorder="1" applyFont="1">
      <alignment readingOrder="0" vertical="bottom"/>
    </xf>
    <xf borderId="2" fillId="11" fontId="5" numFmtId="0" xfId="0" applyAlignment="1" applyBorder="1" applyFont="1">
      <alignment readingOrder="0"/>
    </xf>
    <xf borderId="0" fillId="11" fontId="7" numFmtId="165" xfId="0" applyAlignment="1" applyFont="1" applyNumberFormat="1">
      <alignment horizontal="center"/>
    </xf>
    <xf borderId="2" fillId="11" fontId="7" numFmtId="165" xfId="0" applyAlignment="1" applyBorder="1" applyFont="1" applyNumberFormat="1">
      <alignment horizontal="center" readingOrder="0"/>
    </xf>
    <xf borderId="0" fillId="0" fontId="5" numFmtId="0" xfId="0" applyAlignment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/>
    </xf>
    <xf borderId="0" fillId="0" fontId="7" numFmtId="165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2" fillId="0" fontId="7" numFmtId="167" xfId="0" applyAlignment="1" applyBorder="1" applyFont="1" applyNumberFormat="1">
      <alignment horizontal="center" readingOrder="0"/>
    </xf>
    <xf borderId="0" fillId="12" fontId="5" numFmtId="0" xfId="0" applyAlignment="1" applyFill="1" applyFont="1">
      <alignment vertical="bottom"/>
    </xf>
    <xf borderId="2" fillId="12" fontId="5" numFmtId="0" xfId="0" applyAlignment="1" applyBorder="1" applyFont="1">
      <alignment vertical="bottom"/>
    </xf>
    <xf borderId="2" fillId="12" fontId="5" numFmtId="0" xfId="0" applyBorder="1" applyFont="1"/>
    <xf borderId="0" fillId="12" fontId="5" numFmtId="165" xfId="0" applyFont="1" applyNumberFormat="1"/>
    <xf borderId="2" fillId="12" fontId="5" numFmtId="164" xfId="0" applyBorder="1" applyFont="1" applyNumberFormat="1"/>
    <xf borderId="2" fillId="12" fontId="5" numFmtId="9" xfId="0" applyBorder="1" applyFont="1" applyNumberFormat="1"/>
    <xf borderId="2" fillId="12" fontId="5" numFmtId="164" xfId="0" applyBorder="1" applyFont="1" applyNumberFormat="1"/>
    <xf borderId="0" fillId="12" fontId="5" numFmtId="10" xfId="0" applyFont="1" applyNumberFormat="1"/>
    <xf borderId="0" fillId="0" fontId="5" numFmtId="0" xfId="0" applyFont="1"/>
    <xf borderId="2" fillId="0" fontId="5" numFmtId="0" xfId="0" applyBorder="1" applyFont="1"/>
    <xf borderId="2" fillId="0" fontId="5" numFmtId="164" xfId="0" applyAlignment="1" applyBorder="1" applyFont="1" applyNumberFormat="1">
      <alignment readingOrder="0"/>
    </xf>
    <xf borderId="2" fillId="0" fontId="5" numFmtId="164" xfId="0" applyBorder="1" applyFont="1" applyNumberFormat="1"/>
    <xf borderId="2" fillId="0" fontId="5" numFmtId="164" xfId="0" applyBorder="1" applyFont="1" applyNumberFormat="1"/>
    <xf borderId="0" fillId="0" fontId="7" numFmtId="0" xfId="0" applyAlignment="1" applyFont="1">
      <alignment horizontal="center" shrinkToFit="0" wrapText="1"/>
    </xf>
    <xf borderId="4" fillId="0" fontId="7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/>
    </xf>
    <xf borderId="5" fillId="0" fontId="11" numFmtId="0" xfId="0" applyBorder="1" applyFont="1"/>
    <xf borderId="0" fillId="0" fontId="5" numFmtId="165" xfId="0" applyFont="1" applyNumberFormat="1"/>
    <xf borderId="1" fillId="0" fontId="11" numFmtId="0" xfId="0" applyBorder="1" applyFont="1"/>
    <xf borderId="2" fillId="0" fontId="5" numFmtId="0" xfId="0" applyAlignment="1" applyBorder="1" applyFont="1">
      <alignment vertical="bottom"/>
    </xf>
    <xf borderId="2" fillId="0" fontId="5" numFmtId="10" xfId="0" applyBorder="1" applyFont="1" applyNumberFormat="1"/>
    <xf borderId="2" fillId="0" fontId="7" numFmtId="164" xfId="0" applyAlignment="1" applyBorder="1" applyFont="1" applyNumberFormat="1">
      <alignment horizontal="center"/>
    </xf>
    <xf borderId="0" fillId="9" fontId="5" numFmtId="0" xfId="0" applyFont="1"/>
    <xf borderId="2" fillId="13" fontId="7" numFmtId="164" xfId="0" applyAlignment="1" applyBorder="1" applyFill="1" applyFont="1" applyNumberFormat="1">
      <alignment horizontal="center"/>
    </xf>
    <xf borderId="0" fillId="14" fontId="5" numFmtId="0" xfId="0" applyAlignment="1" applyFill="1" applyFont="1">
      <alignment vertical="bottom"/>
    </xf>
    <xf borderId="2" fillId="14" fontId="5" numFmtId="0" xfId="0" applyAlignment="1" applyBorder="1" applyFont="1">
      <alignment vertical="bottom"/>
    </xf>
    <xf borderId="2" fillId="14" fontId="6" numFmtId="0" xfId="0" applyAlignment="1" applyBorder="1" applyFont="1">
      <alignment horizontal="center"/>
    </xf>
    <xf borderId="0" fillId="14" fontId="7" numFmtId="165" xfId="0" applyAlignment="1" applyFont="1" applyNumberFormat="1">
      <alignment horizontal="center"/>
    </xf>
    <xf borderId="2" fillId="14" fontId="7" numFmtId="10" xfId="0" applyAlignment="1" applyBorder="1" applyFont="1" applyNumberFormat="1">
      <alignment horizontal="center"/>
    </xf>
    <xf borderId="0" fillId="0" fontId="6" numFmtId="0" xfId="0" applyAlignment="1" applyFont="1">
      <alignment shrinkToFit="0" vertical="bottom" wrapText="1"/>
    </xf>
    <xf borderId="4" fillId="0" fontId="6" numFmtId="0" xfId="0" applyAlignment="1" applyBorder="1" applyFont="1">
      <alignment shrinkToFit="0" vertical="bottom" wrapText="1"/>
    </xf>
    <xf borderId="2" fillId="0" fontId="12" numFmtId="0" xfId="0" applyAlignment="1" applyBorder="1" applyFont="1">
      <alignment horizontal="center"/>
    </xf>
    <xf borderId="0" fillId="0" fontId="13" numFmtId="165" xfId="0" applyAlignment="1" applyFont="1" applyNumberFormat="1">
      <alignment horizontal="center"/>
    </xf>
    <xf borderId="0" fillId="15" fontId="5" numFmtId="0" xfId="0" applyAlignment="1" applyFill="1" applyFont="1">
      <alignment vertical="bottom"/>
    </xf>
    <xf borderId="2" fillId="15" fontId="5" numFmtId="0" xfId="0" applyAlignment="1" applyBorder="1" applyFont="1">
      <alignment vertical="bottom"/>
    </xf>
    <xf borderId="2" fillId="15" fontId="6" numFmtId="0" xfId="0" applyAlignment="1" applyBorder="1" applyFont="1">
      <alignment horizontal="center"/>
    </xf>
    <xf borderId="0" fillId="15" fontId="7" numFmtId="165" xfId="0" applyAlignment="1" applyFont="1" applyNumberFormat="1">
      <alignment horizontal="center"/>
    </xf>
    <xf borderId="2" fillId="15" fontId="7" numFmtId="10" xfId="0" applyAlignment="1" applyBorder="1" applyFont="1" applyNumberFormat="1">
      <alignment horizontal="center"/>
    </xf>
    <xf borderId="2" fillId="15" fontId="5" numFmtId="164" xfId="0" applyBorder="1" applyFont="1" applyNumberFormat="1"/>
    <xf borderId="2" fillId="15" fontId="5" numFmtId="9" xfId="0" applyBorder="1" applyFont="1" applyNumberFormat="1"/>
    <xf borderId="2" fillId="15" fontId="5" numFmtId="164" xfId="0" applyBorder="1" applyFont="1" applyNumberFormat="1"/>
    <xf borderId="0" fillId="15" fontId="5" numFmtId="0" xfId="0" applyFont="1"/>
    <xf borderId="2" fillId="16" fontId="6" numFmtId="0" xfId="0" applyAlignment="1" applyBorder="1" applyFill="1" applyFont="1">
      <alignment horizontal="center"/>
    </xf>
    <xf borderId="0" fillId="16" fontId="7" numFmtId="165" xfId="0" applyAlignment="1" applyFont="1" applyNumberFormat="1">
      <alignment horizontal="center"/>
    </xf>
    <xf borderId="2" fillId="16" fontId="7" numFmtId="10" xfId="0" applyAlignment="1" applyBorder="1" applyFont="1" applyNumberFormat="1">
      <alignment horizontal="center"/>
    </xf>
    <xf borderId="2" fillId="16" fontId="5" numFmtId="164" xfId="0" applyBorder="1" applyFont="1" applyNumberFormat="1"/>
    <xf borderId="2" fillId="16" fontId="5" numFmtId="9" xfId="0" applyBorder="1" applyFont="1" applyNumberFormat="1"/>
    <xf borderId="2" fillId="16" fontId="5" numFmtId="164" xfId="0" applyBorder="1" applyFont="1" applyNumberFormat="1"/>
    <xf borderId="0" fillId="16" fontId="5" numFmtId="0" xfId="0" applyFont="1"/>
    <xf borderId="4" fillId="0" fontId="6" numFmtId="0" xfId="0" applyAlignment="1" applyBorder="1" applyFont="1">
      <alignment readingOrder="0" shrinkToFit="0" vertical="bottom" wrapText="1"/>
    </xf>
    <xf borderId="2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shrinkToFit="0" vertical="bottom" wrapText="1"/>
    </xf>
    <xf borderId="2" fillId="17" fontId="6" numFmtId="0" xfId="0" applyAlignment="1" applyBorder="1" applyFill="1" applyFont="1">
      <alignment horizontal="center"/>
    </xf>
    <xf borderId="0" fillId="17" fontId="7" numFmtId="165" xfId="0" applyAlignment="1" applyFont="1" applyNumberFormat="1">
      <alignment horizontal="center"/>
    </xf>
    <xf borderId="2" fillId="17" fontId="7" numFmtId="10" xfId="0" applyAlignment="1" applyBorder="1" applyFont="1" applyNumberFormat="1">
      <alignment horizontal="center"/>
    </xf>
    <xf borderId="2" fillId="17" fontId="5" numFmtId="164" xfId="0" applyBorder="1" applyFont="1" applyNumberFormat="1"/>
    <xf borderId="2" fillId="17" fontId="5" numFmtId="9" xfId="0" applyBorder="1" applyFont="1" applyNumberFormat="1"/>
    <xf borderId="2" fillId="17" fontId="5" numFmtId="164" xfId="0" applyBorder="1" applyFont="1" applyNumberFormat="1"/>
    <xf borderId="0" fillId="17" fontId="5" numFmtId="10" xfId="0" applyFont="1" applyNumberFormat="1"/>
    <xf borderId="5" fillId="0" fontId="5" numFmtId="0" xfId="0" applyAlignment="1" applyBorder="1" applyFont="1">
      <alignment vertical="bottom"/>
    </xf>
    <xf borderId="0" fillId="11" fontId="7" numFmtId="165" xfId="0" applyAlignment="1" applyFont="1" applyNumberFormat="1">
      <alignment horizontal="center" readingOrder="0"/>
    </xf>
    <xf borderId="0" fillId="0" fontId="14" numFmtId="165" xfId="0" applyFont="1" applyNumberFormat="1"/>
    <xf borderId="0" fillId="18" fontId="14" numFmtId="165" xfId="0" applyFill="1" applyFont="1" applyNumberFormat="1"/>
    <xf borderId="2" fillId="0" fontId="14" numFmtId="10" xfId="0" applyBorder="1" applyFont="1" applyNumberFormat="1"/>
    <xf borderId="4" fillId="0" fontId="6" numFmtId="0" xfId="0" applyAlignment="1" applyBorder="1" applyFont="1">
      <alignment vertical="bottom"/>
    </xf>
    <xf borderId="0" fillId="0" fontId="15" numFmtId="0" xfId="0" applyAlignment="1" applyFont="1">
      <alignment readingOrder="0"/>
    </xf>
    <xf borderId="0" fillId="0" fontId="14" numFmtId="165" xfId="0" applyAlignment="1" applyFont="1" applyNumberFormat="1">
      <alignment horizontal="right" readingOrder="0"/>
    </xf>
    <xf borderId="0" fillId="18" fontId="14" numFmtId="165" xfId="0" applyAlignment="1" applyFont="1" applyNumberFormat="1">
      <alignment horizontal="right" readingOrder="0"/>
    </xf>
    <xf borderId="2" fillId="0" fontId="16" numFmtId="10" xfId="0" applyAlignment="1" applyBorder="1" applyFont="1" applyNumberFormat="1">
      <alignment horizontal="center"/>
    </xf>
    <xf borderId="2" fillId="0" fontId="14" numFmtId="0" xfId="0" applyAlignment="1" applyBorder="1" applyFont="1">
      <alignment readingOrder="0"/>
    </xf>
    <xf borderId="2" fillId="0" fontId="16" numFmtId="0" xfId="0" applyAlignment="1" applyBorder="1" applyFont="1">
      <alignment horizontal="left" readingOrder="0"/>
    </xf>
    <xf borderId="0" fillId="0" fontId="16" numFmtId="165" xfId="0" applyAlignment="1" applyFont="1" applyNumberFormat="1">
      <alignment horizontal="right" readingOrder="0"/>
    </xf>
    <xf borderId="0" fillId="2" fontId="17" numFmtId="0" xfId="0" applyAlignment="1" applyFont="1">
      <alignment readingOrder="0"/>
    </xf>
    <xf borderId="0" fillId="0" fontId="14" numFmtId="165" xfId="0" applyAlignment="1" applyFont="1" applyNumberFormat="1">
      <alignment horizontal="right"/>
    </xf>
    <xf borderId="0" fillId="0" fontId="16" numFmtId="165" xfId="0" applyAlignment="1" applyFont="1" applyNumberFormat="1">
      <alignment horizontal="right"/>
    </xf>
    <xf borderId="2" fillId="0" fontId="16" numFmtId="0" xfId="0" applyAlignment="1" applyBorder="1" applyFont="1">
      <alignment horizontal="left"/>
    </xf>
    <xf borderId="0" fillId="2" fontId="17" numFmtId="0" xfId="0" applyAlignment="1" applyFont="1">
      <alignment horizontal="left" readingOrder="0"/>
    </xf>
    <xf borderId="2" fillId="0" fontId="18" numFmtId="0" xfId="0" applyAlignment="1" applyBorder="1" applyFont="1">
      <alignment horizontal="left" readingOrder="0"/>
    </xf>
    <xf borderId="0" fillId="0" fontId="18" numFmtId="165" xfId="0" applyAlignment="1" applyFont="1" applyNumberFormat="1">
      <alignment horizontal="right"/>
    </xf>
    <xf borderId="2" fillId="0" fontId="18" numFmtId="10" xfId="0" applyAlignment="1" applyBorder="1" applyFont="1" applyNumberFormat="1">
      <alignment horizontal="center"/>
    </xf>
    <xf borderId="0" fillId="0" fontId="16" numFmtId="165" xfId="0" applyAlignment="1" applyFont="1" applyNumberFormat="1">
      <alignment horizontal="center" readingOrder="0"/>
    </xf>
    <xf borderId="5" fillId="0" fontId="6" numFmtId="0" xfId="0" applyAlignment="1" applyBorder="1" applyFont="1">
      <alignment vertical="bottom"/>
    </xf>
    <xf borderId="4" fillId="0" fontId="6" numFmtId="0" xfId="0" applyAlignment="1" applyBorder="1" applyFont="1">
      <alignment readingOrder="0" vertical="bottom"/>
    </xf>
    <xf borderId="2" fillId="0" fontId="18" numFmtId="0" xfId="0" applyAlignment="1" applyBorder="1" applyFont="1">
      <alignment horizontal="left"/>
    </xf>
    <xf borderId="5" fillId="0" fontId="6" numFmtId="0" xfId="0" applyAlignment="1" applyBorder="1" applyFont="1">
      <alignment shrinkToFit="0" vertical="bottom" wrapText="1"/>
    </xf>
    <xf borderId="0" fillId="2" fontId="1" numFmtId="0" xfId="0" applyAlignment="1" applyFont="1">
      <alignment horizontal="center" vertical="bottom"/>
    </xf>
    <xf borderId="0" fillId="2" fontId="19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9" fontId="9" numFmtId="165" xfId="0" applyAlignment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3" fillId="9" fontId="9" numFmtId="165" xfId="0" applyAlignment="1" applyBorder="1" applyFont="1" applyNumberFormat="1">
      <alignment horizontal="center"/>
    </xf>
    <xf borderId="3" fillId="9" fontId="5" numFmtId="10" xfId="0" applyBorder="1" applyFont="1" applyNumberFormat="1"/>
    <xf borderId="3" fillId="9" fontId="5" numFmtId="0" xfId="0" applyBorder="1" applyFont="1"/>
    <xf borderId="0" fillId="0" fontId="6" numFmtId="0" xfId="0" applyAlignment="1" applyFont="1">
      <alignment horizontal="center"/>
    </xf>
    <xf borderId="0" fillId="0" fontId="10" numFmtId="165" xfId="0" applyAlignment="1" applyFont="1" applyNumberFormat="1">
      <alignment horizontal="center"/>
    </xf>
    <xf borderId="0" fillId="0" fontId="7" numFmtId="0" xfId="0" applyAlignment="1" applyFont="1">
      <alignment horizontal="center" shrinkToFit="0" vertical="bottom" wrapText="1"/>
    </xf>
    <xf borderId="4" fillId="0" fontId="7" numFmtId="0" xfId="0" applyAlignment="1" applyBorder="1" applyFont="1">
      <alignment horizontal="center" shrinkToFit="0" vertical="bottom" wrapText="1"/>
    </xf>
    <xf borderId="2" fillId="0" fontId="6" numFmtId="0" xfId="0" applyAlignment="1" applyBorder="1" applyFont="1">
      <alignment horizontal="center" vertical="bottom"/>
    </xf>
    <xf borderId="0" fillId="0" fontId="7" numFmtId="165" xfId="0" applyAlignment="1" applyFont="1" applyNumberFormat="1">
      <alignment horizontal="center" vertical="bottom"/>
    </xf>
    <xf borderId="0" fillId="11" fontId="7" numFmtId="165" xfId="0" applyAlignment="1" applyFont="1" applyNumberFormat="1">
      <alignment horizontal="center" vertical="bottom"/>
    </xf>
    <xf borderId="2" fillId="0" fontId="5" numFmtId="164" xfId="0" applyAlignment="1" applyBorder="1" applyFont="1" applyNumberFormat="1">
      <alignment vertical="bottom"/>
    </xf>
    <xf borderId="2" fillId="0" fontId="5" numFmtId="164" xfId="0" applyAlignment="1" applyBorder="1" applyFont="1" applyNumberFormat="1">
      <alignment vertical="bottom"/>
    </xf>
    <xf borderId="0" fillId="9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2" fillId="0" fontId="5" numFmtId="10" xfId="0" applyAlignment="1" applyBorder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4" fillId="0" fontId="5" numFmtId="0" xfId="0" applyAlignment="1" applyBorder="1" applyFont="1">
      <alignment readingOrder="0" vertical="bottom"/>
    </xf>
    <xf borderId="0" fillId="0" fontId="20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0" fillId="0" fontId="6" numFmtId="0" xfId="0" applyAlignment="1" applyFont="1">
      <alignment readingOrder="0" shrinkToFit="0" vertical="bottom" wrapText="1"/>
    </xf>
    <xf borderId="1" fillId="0" fontId="6" numFmtId="0" xfId="0" applyAlignment="1" applyBorder="1" applyFont="1">
      <alignment readingOrder="0" shrinkToFit="0" vertical="bottom" wrapText="1"/>
    </xf>
    <xf borderId="2" fillId="0" fontId="5" numFmtId="164" xfId="0" applyAlignment="1" applyBorder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21" numFmtId="165" xfId="0" applyAlignment="1" applyFont="1" applyNumberFormat="1">
      <alignment readingOrder="0"/>
    </xf>
    <xf borderId="0" fillId="2" fontId="1" numFmtId="0" xfId="0" applyAlignment="1" applyFont="1">
      <alignment horizontal="center" readingOrder="0" vertical="bottom"/>
    </xf>
    <xf borderId="2" fillId="0" fontId="7" numFmtId="10" xfId="0" applyAlignment="1" applyBorder="1" applyFont="1" applyNumberFormat="1">
      <alignment horizontal="center" readingOrder="0"/>
    </xf>
    <xf borderId="0" fillId="0" fontId="21" numFmtId="0" xfId="0" applyAlignment="1" applyFont="1">
      <alignment readingOrder="0"/>
    </xf>
    <xf borderId="0" fillId="0" fontId="5" numFmtId="164" xfId="0" applyFont="1" applyNumberFormat="1"/>
    <xf borderId="0" fillId="0" fontId="5" numFmtId="164" xfId="0" applyFont="1" applyNumberFormat="1"/>
    <xf borderId="0" fillId="0" fontId="21" numFmtId="164" xfId="0" applyAlignment="1" applyFont="1" applyNumberFormat="1">
      <alignment readingOrder="0"/>
    </xf>
    <xf borderId="5" fillId="0" fontId="7" numFmtId="0" xfId="0" applyAlignment="1" applyBorder="1" applyFont="1">
      <alignment horizontal="center" shrinkToFit="0" wrapText="1"/>
    </xf>
    <xf borderId="0" fillId="0" fontId="22" numFmtId="165" xfId="0" applyFont="1" applyNumberFormat="1"/>
    <xf borderId="0" fillId="7" fontId="5" numFmtId="165" xfId="0" applyAlignment="1" applyFont="1" applyNumberFormat="1">
      <alignment readingOrder="0"/>
    </xf>
    <xf borderId="0" fillId="7" fontId="22" numFmtId="165" xfId="0" applyFont="1" applyNumberFormat="1"/>
    <xf borderId="2" fillId="0" fontId="22" numFmtId="0" xfId="0" applyAlignment="1" applyBorder="1" applyFont="1">
      <alignment readingOrder="0"/>
    </xf>
    <xf borderId="0" fillId="7" fontId="5" numFmtId="165" xfId="0" applyFont="1" applyNumberFormat="1"/>
    <xf borderId="0" fillId="2" fontId="22" numFmtId="165" xfId="0" applyFont="1" applyNumberFormat="1"/>
    <xf borderId="0" fillId="0" fontId="0" numFmtId="0" xfId="0" applyAlignment="1" applyFont="1">
      <alignment horizontal="left" readingOrder="0"/>
    </xf>
    <xf borderId="0" fillId="0" fontId="23" numFmtId="165" xfId="0" applyAlignment="1" applyFont="1" applyNumberFormat="1">
      <alignment horizontal="center"/>
    </xf>
    <xf borderId="0" fillId="0" fontId="23" numFmtId="165" xfId="0" applyAlignment="1" applyFont="1" applyNumberFormat="1">
      <alignment horizontal="center" readingOrder="0"/>
    </xf>
    <xf borderId="2" fillId="0" fontId="5" numFmtId="10" xfId="0" applyAlignment="1" applyBorder="1" applyFont="1" applyNumberFormat="1">
      <alignment readingOrder="0"/>
    </xf>
    <xf borderId="0" fillId="0" fontId="0" numFmtId="169" xfId="0" applyAlignment="1" applyFont="1" applyNumberFormat="1">
      <alignment horizontal="left" readingOrder="0"/>
    </xf>
    <xf borderId="0" fillId="0" fontId="0" numFmtId="164" xfId="0" applyAlignment="1" applyFont="1" applyNumberFormat="1">
      <alignment horizontal="left" readingOrder="0"/>
    </xf>
    <xf borderId="2" fillId="0" fontId="6" numFmtId="0" xfId="0" applyAlignment="1" applyBorder="1" applyFont="1">
      <alignment horizontal="center" readingOrder="0" vertical="bottom"/>
    </xf>
    <xf borderId="0" fillId="0" fontId="7" numFmtId="165" xfId="0" applyAlignment="1" applyFont="1" applyNumberFormat="1">
      <alignment horizontal="center" readingOrder="0" vertical="bottom"/>
    </xf>
    <xf borderId="0" fillId="11" fontId="7" numFmtId="165" xfId="0" applyAlignment="1" applyFont="1" applyNumberFormat="1">
      <alignment horizontal="center" readingOrder="0" vertical="bottom"/>
    </xf>
    <xf borderId="4" fillId="0" fontId="5" numFmtId="0" xfId="0" applyAlignment="1" applyBorder="1" applyFont="1">
      <alignment vertical="bottom"/>
    </xf>
    <xf borderId="4" fillId="0" fontId="5" numFmtId="0" xfId="0" applyBorder="1" applyFont="1"/>
    <xf borderId="6" fillId="0" fontId="7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vertical="bottom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0" fontId="5" numFmtId="0" xfId="0" applyBorder="1" applyFont="1"/>
    <xf borderId="12" fillId="0" fontId="5" numFmtId="0" xfId="0" applyAlignment="1" applyBorder="1" applyFont="1">
      <alignment readingOrder="0" vertical="bottom"/>
    </xf>
    <xf borderId="13" fillId="0" fontId="11" numFmtId="0" xfId="0" applyBorder="1" applyFont="1"/>
    <xf borderId="14" fillId="0" fontId="11" numFmtId="0" xfId="0" applyBorder="1" applyFont="1"/>
    <xf borderId="0" fillId="2" fontId="24" numFmtId="0" xfId="0" applyAlignment="1" applyFont="1">
      <alignment readingOrder="0"/>
    </xf>
    <xf borderId="6" fillId="0" fontId="5" numFmtId="0" xfId="0" applyAlignment="1" applyBorder="1" applyFont="1">
      <alignment readingOrder="0" vertical="bottom"/>
    </xf>
    <xf borderId="15" fillId="2" fontId="24" numFmtId="0" xfId="0" applyAlignment="1" applyBorder="1" applyFont="1">
      <alignment readingOrder="0"/>
    </xf>
    <xf borderId="16" fillId="2" fontId="24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17" fillId="0" fontId="20" numFmtId="0" xfId="0" applyAlignment="1" applyBorder="1" applyFont="1">
      <alignment readingOrder="0"/>
    </xf>
    <xf borderId="17" fillId="0" fontId="11" numFmtId="0" xfId="0" applyBorder="1" applyFont="1"/>
    <xf borderId="18" fillId="0" fontId="11" numFmtId="0" xfId="0" applyBorder="1" applyFont="1"/>
    <xf borderId="0" fillId="0" fontId="5" numFmtId="0" xfId="0" applyAlignment="1" applyFont="1">
      <alignment readingOrder="0"/>
    </xf>
    <xf borderId="0" fillId="2" fontId="24" numFmtId="165" xfId="0" applyAlignment="1" applyFont="1" applyNumberFormat="1">
      <alignment readingOrder="0"/>
    </xf>
    <xf borderId="0" fillId="0" fontId="22" numFmtId="165" xfId="0" applyAlignment="1" applyFont="1" applyNumberFormat="1">
      <alignment horizontal="right" vertical="bottom"/>
    </xf>
    <xf borderId="0" fillId="2" fontId="25" numFmtId="165" xfId="0" applyAlignment="1" applyFont="1" applyNumberFormat="1">
      <alignment readingOrder="0"/>
    </xf>
    <xf borderId="2" fillId="0" fontId="5" numFmtId="0" xfId="0" applyAlignment="1" applyBorder="1" applyFont="1">
      <alignment horizontal="left" readingOrder="0"/>
    </xf>
    <xf borderId="2" fillId="19" fontId="5" numFmtId="0" xfId="0" applyAlignment="1" applyBorder="1" applyFill="1" applyFont="1">
      <alignment readingOrder="0" vertical="bottom"/>
    </xf>
    <xf borderId="2" fillId="19" fontId="5" numFmtId="0" xfId="0" applyAlignment="1" applyBorder="1" applyFont="1">
      <alignment readingOrder="0"/>
    </xf>
    <xf borderId="0" fillId="19" fontId="5" numFmtId="165" xfId="0" applyAlignment="1" applyFont="1" applyNumberFormat="1">
      <alignment readingOrder="0"/>
    </xf>
    <xf borderId="2" fillId="19" fontId="5" numFmtId="164" xfId="0" applyBorder="1" applyFont="1" applyNumberFormat="1"/>
    <xf borderId="2" fillId="19" fontId="5" numFmtId="0" xfId="0" applyAlignment="1" applyBorder="1" applyFont="1">
      <alignment vertical="bottom"/>
    </xf>
    <xf borderId="2" fillId="0" fontId="5" numFmtId="170" xfId="0" applyAlignment="1" applyBorder="1" applyFont="1" applyNumberFormat="1">
      <alignment readingOrder="0"/>
    </xf>
    <xf borderId="0" fillId="0" fontId="26" numFmtId="164" xfId="0" applyAlignment="1" applyFont="1" applyNumberFormat="1">
      <alignment horizontal="left" readingOrder="0"/>
    </xf>
    <xf quotePrefix="1" borderId="2" fillId="0" fontId="5" numFmtId="0" xfId="0" applyAlignment="1" applyBorder="1" applyFont="1">
      <alignment readingOrder="0"/>
    </xf>
    <xf borderId="0" fillId="2" fontId="5" numFmtId="165" xfId="0" applyFont="1" applyNumberFormat="1"/>
    <xf borderId="0" fillId="19" fontId="27" numFmtId="165" xfId="0" applyAlignment="1" applyFont="1" applyNumberFormat="1">
      <alignment readingOrder="0"/>
    </xf>
    <xf borderId="2" fillId="0" fontId="7" numFmtId="0" xfId="0" applyAlignment="1" applyBorder="1" applyFont="1">
      <alignment horizontal="center" readingOrder="0" vertical="bottom"/>
    </xf>
    <xf borderId="0" fillId="0" fontId="5" numFmtId="10" xfId="0" applyFont="1" applyNumberFormat="1"/>
    <xf borderId="0" fillId="9" fontId="9" numFmtId="164" xfId="0" applyAlignment="1" applyFont="1" applyNumberFormat="1">
      <alignment horizontal="center"/>
    </xf>
    <xf borderId="0" fillId="20" fontId="5" numFmtId="165" xfId="0" applyFill="1" applyFont="1" applyNumberFormat="1"/>
    <xf borderId="0" fillId="2" fontId="24" numFmtId="0" xfId="0" applyAlignment="1" applyFont="1">
      <alignment readingOrder="0"/>
    </xf>
    <xf borderId="0" fillId="0" fontId="28" numFmtId="165" xfId="0" applyAlignment="1" applyFont="1" applyNumberForma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3" fontId="30" numFmtId="0" xfId="0" applyAlignment="1" applyFont="1">
      <alignment horizontal="left" shrinkToFit="0" wrapText="1"/>
    </xf>
    <xf borderId="0" fillId="4" fontId="8" numFmtId="0" xfId="0" applyAlignment="1" applyFont="1">
      <alignment horizontal="left"/>
    </xf>
    <xf borderId="0" fillId="21" fontId="8" numFmtId="0" xfId="0" applyAlignment="1" applyFill="1" applyFont="1">
      <alignment horizontal="right"/>
    </xf>
    <xf borderId="0" fillId="21" fontId="8" numFmtId="10" xfId="0" applyAlignment="1" applyFont="1" applyNumberFormat="1">
      <alignment horizontal="right" shrinkToFit="0" wrapText="1"/>
    </xf>
    <xf borderId="4" fillId="3" fontId="30" numFmtId="0" xfId="0" applyAlignment="1" applyBorder="1" applyFont="1">
      <alignment horizontal="left" shrinkToFit="0" wrapText="1"/>
    </xf>
    <xf borderId="4" fillId="4" fontId="8" numFmtId="0" xfId="0" applyAlignment="1" applyBorder="1" applyFont="1">
      <alignment horizontal="left"/>
    </xf>
    <xf borderId="19" fillId="21" fontId="8" numFmtId="0" xfId="0" applyAlignment="1" applyBorder="1" applyFont="1">
      <alignment horizontal="right"/>
    </xf>
    <xf borderId="20" fillId="0" fontId="11" numFmtId="0" xfId="0" applyBorder="1" applyFont="1"/>
    <xf borderId="21" fillId="0" fontId="11" numFmtId="0" xfId="0" applyBorder="1" applyFont="1"/>
    <xf borderId="19" fillId="21" fontId="8" numFmtId="10" xfId="0" applyAlignment="1" applyBorder="1" applyFont="1" applyNumberFormat="1">
      <alignment horizontal="right" shrinkToFit="0" wrapText="1"/>
    </xf>
    <xf borderId="2" fillId="5" fontId="31" numFmtId="164" xfId="0" applyAlignment="1" applyBorder="1" applyFont="1" applyNumberFormat="1">
      <alignment horizontal="right" shrinkToFit="0" wrapText="1"/>
    </xf>
    <xf borderId="2" fillId="5" fontId="31" numFmtId="164" xfId="0" applyAlignment="1" applyBorder="1" applyFont="1" applyNumberFormat="1">
      <alignment horizontal="right" shrinkToFit="0" wrapText="1"/>
    </xf>
    <xf borderId="2" fillId="6" fontId="31" numFmtId="164" xfId="0" applyAlignment="1" applyBorder="1" applyFont="1" applyNumberFormat="1">
      <alignment horizontal="right" shrinkToFit="0" wrapText="1"/>
    </xf>
    <xf borderId="2" fillId="7" fontId="31" numFmtId="164" xfId="0" applyAlignment="1" applyBorder="1" applyFont="1" applyNumberFormat="1">
      <alignment horizontal="right" shrinkToFit="0" wrapText="1"/>
    </xf>
    <xf borderId="2" fillId="6" fontId="31" numFmtId="164" xfId="0" applyAlignment="1" applyBorder="1" applyFont="1" applyNumberFormat="1">
      <alignment horizontal="right" shrinkToFit="0" wrapText="1"/>
    </xf>
    <xf borderId="2" fillId="7" fontId="31" numFmtId="164" xfId="0" applyAlignment="1" applyBorder="1" applyFont="1" applyNumberFormat="1">
      <alignment horizontal="right" readingOrder="0" shrinkToFit="0" wrapText="1"/>
    </xf>
    <xf borderId="2" fillId="7" fontId="31" numFmtId="164" xfId="0" applyAlignment="1" applyBorder="1" applyFont="1" applyNumberFormat="1">
      <alignment horizontal="right" shrinkToFit="0" wrapText="1"/>
    </xf>
    <xf borderId="2" fillId="6" fontId="31" numFmtId="10" xfId="0" applyAlignment="1" applyBorder="1" applyFont="1" applyNumberFormat="1">
      <alignment horizontal="right" shrinkToFit="0" wrapText="1"/>
    </xf>
    <xf borderId="2" fillId="6" fontId="31" numFmtId="164" xfId="0" applyAlignment="1" applyBorder="1" applyFont="1" applyNumberFormat="1">
      <alignment horizontal="right" readingOrder="0" shrinkToFit="0" wrapText="1"/>
    </xf>
    <xf borderId="0" fillId="22" fontId="7" numFmtId="0" xfId="0" applyAlignment="1" applyFill="1" applyFont="1">
      <alignment horizontal="center" readingOrder="0"/>
    </xf>
    <xf borderId="0" fillId="0" fontId="7" numFmtId="165" xfId="0" applyAlignment="1" applyFont="1" applyNumberFormat="1">
      <alignment horizontal="right" readingOrder="0" vertical="bottom"/>
    </xf>
    <xf borderId="0" fillId="18" fontId="7" numFmtId="165" xfId="0" applyAlignment="1" applyFont="1" applyNumberFormat="1">
      <alignment horizontal="right" readingOrder="0"/>
    </xf>
    <xf borderId="0" fillId="18" fontId="10" numFmtId="0" xfId="0" applyAlignment="1" applyFont="1">
      <alignment horizontal="right"/>
    </xf>
    <xf borderId="2" fillId="8" fontId="8" numFmtId="164" xfId="0" applyAlignment="1" applyBorder="1" applyFont="1" applyNumberFormat="1">
      <alignment horizontal="right"/>
    </xf>
    <xf borderId="2" fillId="18" fontId="7" numFmtId="10" xfId="0" applyAlignment="1" applyBorder="1" applyFont="1" applyNumberFormat="1">
      <alignment horizontal="right"/>
    </xf>
    <xf borderId="2" fillId="18" fontId="7" numFmtId="164" xfId="0" applyAlignment="1" applyBorder="1" applyFont="1" applyNumberFormat="1">
      <alignment horizontal="right"/>
    </xf>
    <xf borderId="2" fillId="18" fontId="7" numFmtId="166" xfId="0" applyAlignment="1" applyBorder="1" applyFont="1" applyNumberFormat="1">
      <alignment horizontal="right"/>
    </xf>
    <xf borderId="2" fillId="0" fontId="7" numFmtId="167" xfId="0" applyAlignment="1" applyBorder="1" applyFont="1" applyNumberFormat="1">
      <alignment horizontal="right" readingOrder="0"/>
    </xf>
    <xf borderId="2" fillId="18" fontId="7" numFmtId="168" xfId="0" applyAlignment="1" applyBorder="1" applyFont="1" applyNumberFormat="1">
      <alignment horizontal="right"/>
    </xf>
    <xf borderId="2" fillId="18" fontId="7" numFmtId="9" xfId="0" applyAlignment="1" applyBorder="1" applyFont="1" applyNumberFormat="1">
      <alignment horizontal="right"/>
    </xf>
    <xf borderId="2" fillId="18" fontId="7" numFmtId="165" xfId="0" applyAlignment="1" applyBorder="1" applyFont="1" applyNumberFormat="1">
      <alignment horizontal="right"/>
    </xf>
    <xf borderId="0" fillId="18" fontId="9" numFmtId="164" xfId="0" applyAlignment="1" applyFont="1" applyNumberFormat="1">
      <alignment horizontal="right"/>
    </xf>
    <xf borderId="0" fillId="18" fontId="7" numFmtId="10" xfId="0" applyAlignment="1" applyFont="1" applyNumberFormat="1">
      <alignment horizontal="right"/>
    </xf>
    <xf borderId="2" fillId="18" fontId="7" numFmtId="164" xfId="0" applyAlignment="1" applyBorder="1" applyFont="1" applyNumberFormat="1">
      <alignment horizontal="right"/>
    </xf>
    <xf borderId="0" fillId="18" fontId="7" numFmtId="164" xfId="0" applyAlignment="1" applyFont="1" applyNumberFormat="1">
      <alignment horizontal="right"/>
    </xf>
    <xf borderId="0" fillId="18" fontId="7" numFmtId="0" xfId="0" applyAlignment="1" applyFont="1">
      <alignment horizontal="left" readingOrder="0"/>
    </xf>
    <xf borderId="0" fillId="2" fontId="7" numFmtId="0" xfId="0" applyAlignment="1" applyFont="1">
      <alignment horizontal="left" readingOrder="0"/>
    </xf>
    <xf borderId="3" fillId="18" fontId="9" numFmtId="164" xfId="0" applyAlignment="1" applyBorder="1" applyFont="1" applyNumberFormat="1">
      <alignment horizontal="right"/>
    </xf>
    <xf borderId="3" fillId="18" fontId="7" numFmtId="10" xfId="0" applyAlignment="1" applyBorder="1" applyFont="1" applyNumberFormat="1">
      <alignment horizontal="right"/>
    </xf>
    <xf borderId="3" fillId="18" fontId="7" numFmtId="164" xfId="0" applyAlignment="1" applyBorder="1" applyFont="1" applyNumberFormat="1">
      <alignment horizontal="right"/>
    </xf>
    <xf borderId="0" fillId="2" fontId="7" numFmtId="0" xfId="0" applyAlignment="1" applyFont="1">
      <alignment horizontal="left" readingOrder="0" vertical="bottom"/>
    </xf>
    <xf borderId="0" fillId="2" fontId="7" numFmtId="0" xfId="0" applyAlignment="1" applyFont="1">
      <alignment vertical="bottom"/>
    </xf>
    <xf borderId="0" fillId="2" fontId="7" numFmtId="165" xfId="0" applyAlignment="1" applyFont="1" applyNumberFormat="1">
      <alignment horizontal="right" readingOrder="0" vertical="bottom"/>
    </xf>
    <xf borderId="0" fillId="2" fontId="10" numFmtId="0" xfId="0" applyAlignment="1" applyFont="1">
      <alignment horizontal="right" vertical="bottom"/>
    </xf>
    <xf borderId="2" fillId="8" fontId="8" numFmtId="164" xfId="0" applyAlignment="1" applyBorder="1" applyFont="1" applyNumberFormat="1">
      <alignment horizontal="right" vertical="bottom"/>
    </xf>
    <xf borderId="2" fillId="2" fontId="7" numFmtId="10" xfId="0" applyAlignment="1" applyBorder="1" applyFont="1" applyNumberFormat="1">
      <alignment horizontal="right" vertical="bottom"/>
    </xf>
    <xf borderId="2" fillId="2" fontId="7" numFmtId="164" xfId="0" applyAlignment="1" applyBorder="1" applyFont="1" applyNumberFormat="1">
      <alignment horizontal="right" vertical="bottom"/>
    </xf>
    <xf borderId="2" fillId="2" fontId="7" numFmtId="166" xfId="0" applyAlignment="1" applyBorder="1" applyFont="1" applyNumberFormat="1">
      <alignment horizontal="right" vertical="bottom"/>
    </xf>
    <xf borderId="2" fillId="2" fontId="7" numFmtId="167" xfId="0" applyAlignment="1" applyBorder="1" applyFont="1" applyNumberFormat="1">
      <alignment horizontal="right" vertical="bottom"/>
    </xf>
    <xf borderId="2" fillId="2" fontId="7" numFmtId="168" xfId="0" applyAlignment="1" applyBorder="1" applyFont="1" applyNumberFormat="1">
      <alignment horizontal="right" vertical="bottom"/>
    </xf>
    <xf borderId="2" fillId="2" fontId="5" numFmtId="9" xfId="0" applyAlignment="1" applyBorder="1" applyFont="1" applyNumberFormat="1">
      <alignment vertical="bottom"/>
    </xf>
    <xf borderId="3" fillId="2" fontId="9" numFmtId="165" xfId="0" applyAlignment="1" applyBorder="1" applyFont="1" applyNumberFormat="1">
      <alignment horizontal="right" vertical="bottom"/>
    </xf>
    <xf borderId="3" fillId="2" fontId="7" numFmtId="10" xfId="0" applyAlignment="1" applyBorder="1" applyFont="1" applyNumberFormat="1">
      <alignment horizontal="right" vertical="bottom"/>
    </xf>
    <xf borderId="2" fillId="2" fontId="5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21" fillId="2" fontId="7" numFmtId="165" xfId="0" applyAlignment="1" applyBorder="1" applyFont="1" applyNumberFormat="1">
      <alignment horizontal="right" readingOrder="0"/>
    </xf>
    <xf borderId="0" fillId="2" fontId="7" numFmtId="165" xfId="0" applyAlignment="1" applyFont="1" applyNumberFormat="1">
      <alignment horizontal="right" readingOrder="0"/>
    </xf>
    <xf borderId="0" fillId="2" fontId="10" numFmtId="0" xfId="0" applyAlignment="1" applyFont="1">
      <alignment horizontal="right"/>
    </xf>
    <xf borderId="2" fillId="2" fontId="7" numFmtId="10" xfId="0" applyAlignment="1" applyBorder="1" applyFont="1" applyNumberFormat="1">
      <alignment horizontal="right"/>
    </xf>
    <xf borderId="2" fillId="2" fontId="7" numFmtId="164" xfId="0" applyAlignment="1" applyBorder="1" applyFont="1" applyNumberFormat="1">
      <alignment horizontal="right"/>
    </xf>
    <xf borderId="2" fillId="2" fontId="7" numFmtId="166" xfId="0" applyAlignment="1" applyBorder="1" applyFont="1" applyNumberFormat="1">
      <alignment horizontal="right"/>
    </xf>
    <xf borderId="2" fillId="2" fontId="7" numFmtId="167" xfId="0" applyAlignment="1" applyBorder="1" applyFont="1" applyNumberFormat="1">
      <alignment horizontal="right" readingOrder="0"/>
    </xf>
    <xf borderId="2" fillId="2" fontId="7" numFmtId="168" xfId="0" applyAlignment="1" applyBorder="1" applyFont="1" applyNumberFormat="1">
      <alignment horizontal="right"/>
    </xf>
    <xf borderId="2" fillId="2" fontId="7" numFmtId="9" xfId="0" applyAlignment="1" applyBorder="1" applyFont="1" applyNumberFormat="1">
      <alignment horizontal="right"/>
    </xf>
    <xf borderId="3" fillId="2" fontId="7" numFmtId="10" xfId="0" applyAlignment="1" applyBorder="1" applyFont="1" applyNumberFormat="1">
      <alignment horizontal="right"/>
    </xf>
    <xf borderId="2" fillId="2" fontId="7" numFmtId="0" xfId="0" applyAlignment="1" applyBorder="1" applyFont="1">
      <alignment horizontal="right"/>
    </xf>
    <xf borderId="3" fillId="2" fontId="7" numFmtId="0" xfId="0" applyAlignment="1" applyBorder="1" applyFont="1">
      <alignment horizontal="right"/>
    </xf>
    <xf borderId="0" fillId="2" fontId="5" numFmtId="0" xfId="0" applyAlignment="1" applyFont="1">
      <alignment vertical="bottom"/>
    </xf>
    <xf borderId="0" fillId="2" fontId="7" numFmtId="0" xfId="0" applyAlignment="1" applyFont="1">
      <alignment readingOrder="0" vertical="bottom"/>
    </xf>
    <xf borderId="0" fillId="2" fontId="7" numFmtId="165" xfId="0" applyAlignment="1" applyFont="1" applyNumberFormat="1">
      <alignment horizontal="right" readingOrder="0" vertical="bottom"/>
    </xf>
    <xf borderId="2" fillId="2" fontId="5" numFmtId="164" xfId="0" applyAlignment="1" applyBorder="1" applyFont="1" applyNumberFormat="1">
      <alignment vertical="bottom"/>
    </xf>
    <xf borderId="3" fillId="2" fontId="5" numFmtId="164" xfId="0" applyAlignment="1" applyBorder="1" applyFont="1" applyNumberFormat="1">
      <alignment vertical="bottom"/>
    </xf>
    <xf borderId="0" fillId="2" fontId="7" numFmtId="169" xfId="0" applyAlignment="1" applyFont="1" applyNumberFormat="1">
      <alignment readingOrder="0" vertical="bottom"/>
    </xf>
    <xf borderId="0" fillId="2" fontId="7" numFmtId="169" xfId="0" applyAlignment="1" applyFont="1" applyNumberFormat="1">
      <alignment vertical="bottom"/>
    </xf>
    <xf borderId="0" fillId="17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7" numFmtId="165" xfId="0" applyAlignment="1" applyFont="1" applyNumberFormat="1">
      <alignment horizontal="right" readingOrder="0"/>
    </xf>
    <xf borderId="0" fillId="0" fontId="10" numFmtId="0" xfId="0" applyAlignment="1" applyFont="1">
      <alignment horizontal="right"/>
    </xf>
    <xf borderId="2" fillId="0" fontId="7" numFmtId="10" xfId="0" applyAlignment="1" applyBorder="1" applyFont="1" applyNumberFormat="1">
      <alignment horizontal="right"/>
    </xf>
    <xf borderId="2" fillId="0" fontId="7" numFmtId="164" xfId="0" applyAlignment="1" applyBorder="1" applyFont="1" applyNumberFormat="1">
      <alignment horizontal="right"/>
    </xf>
    <xf borderId="2" fillId="0" fontId="7" numFmtId="166" xfId="0" applyAlignment="1" applyBorder="1" applyFont="1" applyNumberFormat="1">
      <alignment horizontal="right"/>
    </xf>
    <xf borderId="2" fillId="0" fontId="7" numFmtId="168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3" fillId="9" fontId="7" numFmtId="10" xfId="0" applyAlignment="1" applyBorder="1" applyFont="1" applyNumberFormat="1">
      <alignment horizontal="right"/>
    </xf>
    <xf borderId="2" fillId="0" fontId="7" numFmtId="164" xfId="0" applyAlignment="1" applyBorder="1" applyFont="1" applyNumberFormat="1">
      <alignment horizontal="right"/>
    </xf>
    <xf borderId="3" fillId="9" fontId="7" numFmtId="164" xfId="0" applyAlignment="1" applyBorder="1" applyFont="1" applyNumberFormat="1">
      <alignment horizontal="right"/>
    </xf>
    <xf borderId="3" fillId="9" fontId="9" numFmtId="164" xfId="0" applyAlignment="1" applyBorder="1" applyFont="1" applyNumberFormat="1">
      <alignment horizontal="right"/>
    </xf>
    <xf borderId="0" fillId="2" fontId="10" numFmtId="0" xfId="0" applyAlignment="1" applyFont="1">
      <alignment horizontal="right" readingOrder="0"/>
    </xf>
    <xf borderId="2" fillId="2" fontId="5" numFmtId="0" xfId="0" applyAlignment="1" applyBorder="1" applyFont="1">
      <alignment readingOrder="0"/>
    </xf>
    <xf borderId="0" fillId="2" fontId="5" numFmtId="0" xfId="0" applyAlignment="1" applyFont="1">
      <alignment readingOrder="0"/>
    </xf>
    <xf borderId="0" fillId="12" fontId="7" numFmtId="0" xfId="0" applyAlignment="1" applyFont="1">
      <alignment horizontal="left" readingOrder="0"/>
    </xf>
    <xf borderId="0" fillId="12" fontId="7" numFmtId="165" xfId="0" applyAlignment="1" applyFont="1" applyNumberFormat="1">
      <alignment horizontal="right" readingOrder="0"/>
    </xf>
    <xf borderId="0" fillId="12" fontId="10" numFmtId="0" xfId="0" applyAlignment="1" applyFont="1">
      <alignment horizontal="right"/>
    </xf>
    <xf borderId="2" fillId="12" fontId="8" numFmtId="164" xfId="0" applyAlignment="1" applyBorder="1" applyFont="1" applyNumberFormat="1">
      <alignment horizontal="right" vertical="bottom"/>
    </xf>
    <xf borderId="2" fillId="12" fontId="7" numFmtId="10" xfId="0" applyAlignment="1" applyBorder="1" applyFont="1" applyNumberFormat="1">
      <alignment horizontal="right"/>
    </xf>
    <xf borderId="2" fillId="12" fontId="7" numFmtId="164" xfId="0" applyAlignment="1" applyBorder="1" applyFont="1" applyNumberFormat="1">
      <alignment horizontal="right"/>
    </xf>
    <xf borderId="2" fillId="12" fontId="7" numFmtId="166" xfId="0" applyAlignment="1" applyBorder="1" applyFont="1" applyNumberFormat="1">
      <alignment horizontal="right"/>
    </xf>
    <xf borderId="2" fillId="12" fontId="7" numFmtId="167" xfId="0" applyAlignment="1" applyBorder="1" applyFont="1" applyNumberFormat="1">
      <alignment horizontal="right" readingOrder="0"/>
    </xf>
    <xf borderId="2" fillId="12" fontId="7" numFmtId="168" xfId="0" applyAlignment="1" applyBorder="1" applyFont="1" applyNumberFormat="1">
      <alignment horizontal="right"/>
    </xf>
    <xf borderId="2" fillId="12" fontId="7" numFmtId="9" xfId="0" applyAlignment="1" applyBorder="1" applyFont="1" applyNumberFormat="1">
      <alignment horizontal="right"/>
    </xf>
    <xf borderId="2" fillId="12" fontId="7" numFmtId="165" xfId="0" applyAlignment="1" applyBorder="1" applyFont="1" applyNumberFormat="1">
      <alignment horizontal="right"/>
    </xf>
    <xf borderId="2" fillId="12" fontId="7" numFmtId="164" xfId="0" applyAlignment="1" applyBorder="1" applyFont="1" applyNumberFormat="1">
      <alignment horizontal="right" vertical="bottom"/>
    </xf>
    <xf borderId="3" fillId="12" fontId="9" numFmtId="165" xfId="0" applyAlignment="1" applyBorder="1" applyFont="1" applyNumberFormat="1">
      <alignment horizontal="right" vertical="bottom"/>
    </xf>
    <xf borderId="3" fillId="12" fontId="7" numFmtId="10" xfId="0" applyAlignment="1" applyBorder="1" applyFont="1" applyNumberFormat="1">
      <alignment horizontal="right" vertical="bottom"/>
    </xf>
    <xf borderId="3" fillId="12" fontId="7" numFmtId="10" xfId="0" applyAlignment="1" applyBorder="1" applyFont="1" applyNumberFormat="1">
      <alignment horizontal="right"/>
    </xf>
    <xf borderId="2" fillId="12" fontId="7" numFmtId="0" xfId="0" applyAlignment="1" applyBorder="1" applyFont="1">
      <alignment horizontal="right"/>
    </xf>
    <xf borderId="3" fillId="12" fontId="7" numFmtId="0" xfId="0" applyAlignment="1" applyBorder="1" applyFont="1">
      <alignment horizontal="right"/>
    </xf>
    <xf borderId="0" fillId="23" fontId="7" numFmtId="0" xfId="0" applyAlignment="1" applyFill="1" applyFont="1">
      <alignment horizontal="left" readingOrder="0"/>
    </xf>
    <xf borderId="0" fillId="0" fontId="7" numFmtId="165" xfId="0" applyAlignment="1" applyFont="1" applyNumberFormat="1">
      <alignment horizontal="right" vertical="bottom"/>
    </xf>
    <xf borderId="0" fillId="0" fontId="10" numFmtId="0" xfId="0" applyAlignment="1" applyFont="1">
      <alignment horizontal="right" readingOrder="0"/>
    </xf>
    <xf borderId="0" fillId="11" fontId="7" numFmtId="0" xfId="0" applyAlignment="1" applyFont="1">
      <alignment horizontal="left" readingOrder="0"/>
    </xf>
    <xf borderId="21" fillId="0" fontId="7" numFmtId="165" xfId="0" applyAlignment="1" applyBorder="1" applyFont="1" applyNumberFormat="1">
      <alignment horizontal="right" readingOrder="0"/>
    </xf>
    <xf borderId="21" fillId="18" fontId="7" numFmtId="165" xfId="0" applyAlignment="1" applyBorder="1" applyFont="1" applyNumberFormat="1">
      <alignment horizontal="right" readingOrder="0"/>
    </xf>
    <xf borderId="0" fillId="17" fontId="7" numFmtId="0" xfId="0" applyAlignment="1" applyFont="1">
      <alignment horizontal="left" readingOrder="0"/>
    </xf>
    <xf borderId="21" fillId="0" fontId="7" numFmtId="165" xfId="0" applyAlignment="1" applyBorder="1" applyFont="1" applyNumberFormat="1">
      <alignment horizontal="right" vertical="bottom"/>
    </xf>
    <xf borderId="2" fillId="0" fontId="7" numFmtId="0" xfId="0" applyAlignment="1" applyBorder="1" applyFont="1">
      <alignment horizontal="right"/>
    </xf>
    <xf borderId="3" fillId="0" fontId="7" numFmtId="0" xfId="0" applyAlignment="1" applyBorder="1" applyFont="1">
      <alignment horizontal="right"/>
    </xf>
    <xf borderId="0" fillId="22" fontId="7" numFmtId="0" xfId="0" applyAlignment="1" applyFont="1">
      <alignment horizontal="left" readingOrder="0"/>
    </xf>
    <xf borderId="0" fillId="0" fontId="7" numFmtId="165" xfId="0" applyAlignment="1" applyFont="1" applyNumberFormat="1">
      <alignment horizontal="right"/>
    </xf>
    <xf borderId="3" fillId="9" fontId="9" numFmtId="10" xfId="0" applyAlignment="1" applyBorder="1" applyFont="1" applyNumberFormat="1">
      <alignment horizontal="right"/>
    </xf>
    <xf borderId="0" fillId="0" fontId="7" numFmtId="169" xfId="0" applyAlignment="1" applyFont="1" applyNumberFormat="1">
      <alignment horizontal="left" readingOrder="0"/>
    </xf>
    <xf borderId="0" fillId="0" fontId="7" numFmtId="164" xfId="0" applyAlignment="1" applyFont="1" applyNumberFormat="1">
      <alignment horizontal="left" readingOrder="0"/>
    </xf>
    <xf borderId="0" fillId="0" fontId="7" numFmtId="171" xfId="0" applyAlignment="1" applyFont="1" applyNumberFormat="1">
      <alignment horizontal="left" readingOrder="0"/>
    </xf>
    <xf borderId="0" fillId="0" fontId="7" numFmtId="172" xfId="0" applyAlignment="1" applyFont="1" applyNumberFormat="1">
      <alignment horizontal="left" readingOrder="0"/>
    </xf>
    <xf borderId="3" fillId="0" fontId="7" numFmtId="164" xfId="0" applyAlignment="1" applyBorder="1" applyFont="1" applyNumberFormat="1">
      <alignment horizontal="right"/>
    </xf>
    <xf borderId="3" fillId="0" fontId="9" numFmtId="164" xfId="0" applyAlignment="1" applyBorder="1" applyFont="1" applyNumberFormat="1">
      <alignment horizontal="right"/>
    </xf>
    <xf borderId="0" fillId="11" fontId="7" numFmtId="165" xfId="0" applyAlignment="1" applyFont="1" applyNumberFormat="1">
      <alignment horizontal="right" readingOrder="0"/>
    </xf>
    <xf borderId="0" fillId="18" fontId="10" numFmtId="0" xfId="0" applyAlignment="1" applyFont="1">
      <alignment horizontal="right" readingOrder="0"/>
    </xf>
    <xf borderId="2" fillId="0" fontId="7" numFmtId="0" xfId="0" applyAlignment="1" applyBorder="1" applyFont="1">
      <alignment horizontal="left" readingOrder="0"/>
    </xf>
    <xf borderId="2" fillId="0" fontId="7" numFmtId="169" xfId="0" applyAlignment="1" applyBorder="1" applyFont="1" applyNumberFormat="1">
      <alignment horizontal="right"/>
    </xf>
    <xf borderId="0" fillId="23" fontId="7" numFmtId="169" xfId="0" applyAlignment="1" applyFont="1" applyNumberFormat="1">
      <alignment horizontal="left" readingOrder="0"/>
    </xf>
    <xf borderId="0" fillId="23" fontId="7" numFmtId="164" xfId="0" applyAlignment="1" applyFont="1" applyNumberFormat="1">
      <alignment horizontal="left" readingOrder="0"/>
    </xf>
    <xf borderId="0" fillId="0" fontId="7" numFmtId="164" xfId="0" applyAlignment="1" applyFont="1" applyNumberFormat="1">
      <alignment horizontal="right"/>
    </xf>
    <xf borderId="0" fillId="9" fontId="7" numFmtId="164" xfId="0" applyAlignment="1" applyFont="1" applyNumberFormat="1">
      <alignment horizontal="right"/>
    </xf>
    <xf borderId="0" fillId="9" fontId="9" numFmtId="164" xfId="0" applyAlignment="1" applyFont="1" applyNumberFormat="1">
      <alignment horizontal="right"/>
    </xf>
    <xf borderId="2" fillId="0" fontId="8" numFmtId="164" xfId="0" applyAlignment="1" applyBorder="1" applyFont="1" applyNumberFormat="1">
      <alignment horizontal="right"/>
    </xf>
    <xf borderId="3" fillId="0" fontId="7" numFmtId="10" xfId="0" applyAlignment="1" applyBorder="1" applyFont="1" applyNumberFormat="1">
      <alignment horizontal="right"/>
    </xf>
    <xf borderId="0" fillId="0" fontId="9" numFmtId="164" xfId="0" applyAlignment="1" applyFont="1" applyNumberFormat="1">
      <alignment horizontal="right"/>
    </xf>
    <xf borderId="0" fillId="19" fontId="7" numFmtId="0" xfId="0" applyAlignment="1" applyFont="1">
      <alignment horizontal="left" readingOrder="0"/>
    </xf>
    <xf borderId="0" fillId="19" fontId="7" numFmtId="165" xfId="0" applyAlignment="1" applyFont="1" applyNumberFormat="1">
      <alignment horizontal="right" vertical="bottom"/>
    </xf>
    <xf borderId="0" fillId="19" fontId="7" numFmtId="165" xfId="0" applyAlignment="1" applyFont="1" applyNumberFormat="1">
      <alignment horizontal="right" readingOrder="0"/>
    </xf>
    <xf borderId="0" fillId="19" fontId="10" numFmtId="0" xfId="0" applyAlignment="1" applyFont="1">
      <alignment horizontal="right" readingOrder="0"/>
    </xf>
    <xf borderId="2" fillId="19" fontId="7" numFmtId="10" xfId="0" applyAlignment="1" applyBorder="1" applyFont="1" applyNumberFormat="1">
      <alignment horizontal="right"/>
    </xf>
    <xf borderId="2" fillId="19" fontId="7" numFmtId="164" xfId="0" applyAlignment="1" applyBorder="1" applyFont="1" applyNumberFormat="1">
      <alignment horizontal="right"/>
    </xf>
    <xf borderId="2" fillId="19" fontId="7" numFmtId="166" xfId="0" applyAlignment="1" applyBorder="1" applyFont="1" applyNumberFormat="1">
      <alignment horizontal="right"/>
    </xf>
    <xf borderId="2" fillId="19" fontId="7" numFmtId="168" xfId="0" applyAlignment="1" applyBorder="1" applyFont="1" applyNumberFormat="1">
      <alignment horizontal="right"/>
    </xf>
    <xf borderId="2" fillId="19" fontId="7" numFmtId="9" xfId="0" applyAlignment="1" applyBorder="1" applyFont="1" applyNumberFormat="1">
      <alignment horizontal="right"/>
    </xf>
    <xf borderId="3" fillId="19" fontId="7" numFmtId="10" xfId="0" applyAlignment="1" applyBorder="1" applyFont="1" applyNumberFormat="1">
      <alignment horizontal="right"/>
    </xf>
    <xf borderId="0" fillId="19" fontId="7" numFmtId="164" xfId="0" applyAlignment="1" applyFont="1" applyNumberFormat="1">
      <alignment horizontal="right"/>
    </xf>
    <xf borderId="0" fillId="19" fontId="9" numFmtId="164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2" fontId="32" numFmtId="0" xfId="0" applyAlignment="1" applyFont="1">
      <alignment horizontal="left" readingOrder="0" vertical="bottom"/>
    </xf>
    <xf borderId="0" fillId="2" fontId="32" numFmtId="0" xfId="0" applyAlignment="1" applyFont="1">
      <alignment horizontal="left" vertical="bottom"/>
    </xf>
    <xf borderId="0" fillId="0" fontId="7" numFmtId="164" xfId="0" applyAlignment="1" applyFont="1" applyNumberFormat="1">
      <alignment horizontal="left"/>
    </xf>
    <xf borderId="0" fillId="0" fontId="7" numFmtId="0" xfId="0" applyAlignment="1" applyFont="1">
      <alignment horizontal="right"/>
    </xf>
    <xf borderId="0" fillId="0" fontId="32" numFmtId="0" xfId="0" applyAlignment="1" applyFont="1">
      <alignment horizontal="left" readingOrder="0" vertical="bottom"/>
    </xf>
    <xf borderId="0" fillId="0" fontId="9" numFmtId="165" xfId="0" applyAlignment="1" applyFont="1" applyNumberFormat="1">
      <alignment horizontal="right"/>
    </xf>
    <xf borderId="0" fillId="0" fontId="9" numFmtId="164" xfId="0" applyAlignment="1" applyFont="1" applyNumberFormat="1">
      <alignment horizontal="left" vertical="bottom"/>
    </xf>
    <xf borderId="0" fillId="0" fontId="7" numFmtId="164" xfId="0" applyAlignment="1" applyFont="1" applyNumberFormat="1">
      <alignment horizontal="left" vertical="bottom"/>
    </xf>
    <xf borderId="0" fillId="0" fontId="10" numFmtId="164" xfId="0" applyAlignment="1" applyFont="1" applyNumberFormat="1">
      <alignment horizontal="left" vertical="bottom"/>
    </xf>
    <xf borderId="0" fillId="0" fontId="10" numFmtId="164" xfId="0" applyAlignment="1" applyFont="1" applyNumberFormat="1">
      <alignment horizontal="left"/>
    </xf>
    <xf borderId="0" fillId="0" fontId="10" numFmtId="165" xfId="0" applyAlignment="1" applyFont="1" applyNumberFormat="1">
      <alignment horizontal="right"/>
    </xf>
    <xf borderId="22" fillId="2" fontId="33" numFmtId="0" xfId="0" applyAlignment="1" applyBorder="1" applyFont="1">
      <alignment horizontal="center" readingOrder="0" shrinkToFit="0" vertical="center" wrapText="1"/>
    </xf>
    <xf borderId="22" fillId="0" fontId="33" numFmtId="173" xfId="0" applyAlignment="1" applyBorder="1" applyFont="1" applyNumberFormat="1">
      <alignment horizontal="center" shrinkToFit="0" vertical="center" wrapText="1"/>
    </xf>
    <xf borderId="22" fillId="0" fontId="34" numFmtId="174" xfId="0" applyAlignment="1" applyBorder="1" applyFont="1" applyNumberFormat="1">
      <alignment horizontal="center" shrinkToFit="0" vertical="center" wrapText="1"/>
    </xf>
    <xf borderId="22" fillId="0" fontId="33" numFmtId="174" xfId="0" applyAlignment="1" applyBorder="1" applyFont="1" applyNumberFormat="1">
      <alignment horizontal="center" shrinkToFit="0" vertical="center" wrapText="1"/>
    </xf>
    <xf borderId="22" fillId="0" fontId="33" numFmtId="164" xfId="0" applyAlignment="1" applyBorder="1" applyFont="1" applyNumberFormat="1">
      <alignment horizontal="center" readingOrder="0" shrinkToFit="0" vertical="center" wrapText="1"/>
    </xf>
    <xf borderId="22" fillId="0" fontId="35" numFmtId="164" xfId="0" applyAlignment="1" applyBorder="1" applyFont="1" applyNumberFormat="1">
      <alignment readingOrder="0"/>
    </xf>
    <xf borderId="0" fillId="0" fontId="35" numFmtId="0" xfId="0" applyFont="1"/>
    <xf borderId="23" fillId="2" fontId="33" numFmtId="0" xfId="0" applyAlignment="1" applyBorder="1" applyFont="1">
      <alignment horizontal="center" readingOrder="0" shrinkToFit="0" vertical="center" wrapText="1"/>
    </xf>
    <xf borderId="24" fillId="0" fontId="11" numFmtId="0" xfId="0" applyBorder="1" applyFont="1"/>
    <xf borderId="25" fillId="0" fontId="11" numFmtId="0" xfId="0" applyBorder="1" applyFont="1"/>
    <xf borderId="22" fillId="2" fontId="35" numFmtId="175" xfId="0" applyAlignment="1" applyBorder="1" applyFont="1" applyNumberFormat="1">
      <alignment horizontal="center" vertical="center"/>
    </xf>
    <xf borderId="22" fillId="0" fontId="35" numFmtId="0" xfId="0" applyAlignment="1" applyBorder="1" applyFont="1">
      <alignment horizontal="center" vertical="center"/>
    </xf>
    <xf borderId="22" fillId="2" fontId="36" numFmtId="176" xfId="0" applyAlignment="1" applyBorder="1" applyFont="1" applyNumberFormat="1">
      <alignment horizontal="center" shrinkToFit="0" vertical="center" wrapText="1"/>
    </xf>
    <xf borderId="22" fillId="0" fontId="35" numFmtId="173" xfId="0" applyAlignment="1" applyBorder="1" applyFont="1" applyNumberFormat="1">
      <alignment horizontal="center" shrinkToFit="0" vertical="center" wrapText="1"/>
    </xf>
    <xf borderId="22" fillId="2" fontId="37" numFmtId="0" xfId="0" applyAlignment="1" applyBorder="1" applyFont="1">
      <alignment horizontal="center" shrinkToFit="0" vertical="center" wrapText="1"/>
    </xf>
    <xf borderId="22" fillId="0" fontId="35" numFmtId="0" xfId="0" applyBorder="1" applyFont="1"/>
    <xf borderId="22" fillId="0" fontId="38" numFmtId="164" xfId="0" applyBorder="1" applyFont="1" applyNumberFormat="1"/>
    <xf borderId="0" fillId="0" fontId="38" numFmtId="0" xfId="0" applyFont="1"/>
    <xf borderId="22" fillId="2" fontId="39" numFmtId="175" xfId="0" applyAlignment="1" applyBorder="1" applyFont="1" applyNumberFormat="1">
      <alignment horizontal="center"/>
    </xf>
    <xf borderId="22" fillId="0" fontId="39" numFmtId="0" xfId="0" applyAlignment="1" applyBorder="1" applyFont="1">
      <alignment horizontal="center"/>
    </xf>
    <xf borderId="22" fillId="2" fontId="40" numFmtId="0" xfId="0" applyAlignment="1" applyBorder="1" applyFont="1">
      <alignment horizontal="center"/>
    </xf>
    <xf borderId="22" fillId="0" fontId="39" numFmtId="173" xfId="0" applyAlignment="1" applyBorder="1" applyFont="1" applyNumberFormat="1">
      <alignment horizontal="center"/>
    </xf>
    <xf borderId="22" fillId="24" fontId="41" numFmtId="0" xfId="0" applyAlignment="1" applyBorder="1" applyFill="1" applyFont="1">
      <alignment horizontal="center"/>
    </xf>
    <xf borderId="22" fillId="0" fontId="21" numFmtId="164" xfId="0" applyBorder="1" applyFont="1" applyNumberFormat="1"/>
    <xf borderId="0" fillId="0" fontId="36" numFmtId="0" xfId="0" applyFont="1"/>
    <xf borderId="22" fillId="0" fontId="35" numFmtId="0" xfId="0" applyAlignment="1" applyBorder="1" applyFont="1">
      <alignment horizontal="center"/>
    </xf>
    <xf borderId="22" fillId="2" fontId="36" numFmtId="0" xfId="0" applyAlignment="1" applyBorder="1" applyFont="1">
      <alignment horizontal="center"/>
    </xf>
    <xf borderId="22" fillId="0" fontId="35" numFmtId="173" xfId="0" applyAlignment="1" applyBorder="1" applyFont="1" applyNumberFormat="1">
      <alignment horizontal="center"/>
    </xf>
    <xf borderId="22" fillId="2" fontId="35" numFmtId="175" xfId="0" applyAlignment="1" applyBorder="1" applyFont="1" applyNumberFormat="1">
      <alignment horizontal="center"/>
    </xf>
    <xf borderId="22" fillId="2" fontId="39" numFmtId="173" xfId="0" applyAlignment="1" applyBorder="1" applyFont="1" applyNumberFormat="1">
      <alignment horizontal="center"/>
    </xf>
    <xf borderId="22" fillId="2" fontId="35" numFmtId="0" xfId="0" applyBorder="1" applyFont="1"/>
    <xf borderId="22" fillId="2" fontId="39" numFmtId="0" xfId="0" applyAlignment="1" applyBorder="1" applyFont="1">
      <alignment horizontal="center"/>
    </xf>
    <xf borderId="22" fillId="0" fontId="36" numFmtId="0" xfId="0" applyAlignment="1" applyBorder="1" applyFont="1">
      <alignment horizontal="center"/>
    </xf>
    <xf borderId="22" fillId="12" fontId="35" numFmtId="0" xfId="0" applyBorder="1" applyFont="1"/>
    <xf borderId="22" fillId="18" fontId="36" numFmtId="0" xfId="0" applyAlignment="1" applyBorder="1" applyFont="1">
      <alignment horizontal="center"/>
    </xf>
    <xf borderId="22" fillId="0" fontId="40" numFmtId="0" xfId="0" applyAlignment="1" applyBorder="1" applyFont="1">
      <alignment horizontal="center"/>
    </xf>
    <xf borderId="22" fillId="2" fontId="5" numFmtId="164" xfId="0" applyBorder="1" applyFont="1" applyNumberFormat="1"/>
    <xf borderId="26" fillId="2" fontId="5" numFmtId="0" xfId="0" applyBorder="1" applyFont="1"/>
    <xf borderId="27" fillId="2" fontId="5" numFmtId="0" xfId="0" applyBorder="1" applyFont="1"/>
    <xf borderId="22" fillId="11" fontId="39" numFmtId="0" xfId="0" applyAlignment="1" applyBorder="1" applyFont="1">
      <alignment horizontal="center"/>
    </xf>
    <xf borderId="22" fillId="11" fontId="36" numFmtId="0" xfId="0" applyAlignment="1" applyBorder="1" applyFont="1">
      <alignment horizontal="center"/>
    </xf>
    <xf borderId="22" fillId="11" fontId="39" numFmtId="173" xfId="0" applyAlignment="1" applyBorder="1" applyFont="1" applyNumberFormat="1">
      <alignment horizontal="center"/>
    </xf>
    <xf borderId="22" fillId="11" fontId="35" numFmtId="0" xfId="0" applyBorder="1" applyFont="1"/>
    <xf borderId="22" fillId="2" fontId="41" numFmtId="0" xfId="0" applyAlignment="1" applyBorder="1" applyFont="1">
      <alignment horizontal="center"/>
    </xf>
    <xf borderId="23" fillId="2" fontId="33" numFmtId="175" xfId="0" applyAlignment="1" applyBorder="1" applyFont="1" applyNumberFormat="1">
      <alignment horizontal="center" shrinkToFit="0" vertical="center" wrapText="1"/>
    </xf>
    <xf borderId="22" fillId="2" fontId="35" numFmtId="176" xfId="0" applyAlignment="1" applyBorder="1" applyFont="1" applyNumberFormat="1">
      <alignment horizontal="center" shrinkToFit="0" vertical="center" wrapText="1"/>
    </xf>
    <xf borderId="22" fillId="0" fontId="35" numFmtId="175" xfId="0" applyAlignment="1" applyBorder="1" applyFont="1" applyNumberFormat="1">
      <alignment horizontal="center"/>
    </xf>
    <xf borderId="22" fillId="11" fontId="39" numFmtId="175" xfId="0" applyAlignment="1" applyBorder="1" applyFont="1" applyNumberFormat="1">
      <alignment horizontal="center"/>
    </xf>
    <xf borderId="22" fillId="11" fontId="39" numFmtId="0" xfId="0" applyBorder="1" applyFont="1"/>
    <xf borderId="22" fillId="18" fontId="39" numFmtId="0" xfId="0" applyAlignment="1" applyBorder="1" applyFont="1">
      <alignment horizontal="center"/>
    </xf>
    <xf borderId="22" fillId="25" fontId="35" numFmtId="175" xfId="0" applyAlignment="1" applyBorder="1" applyFill="1" applyFont="1" applyNumberFormat="1">
      <alignment horizontal="center"/>
    </xf>
    <xf borderId="22" fillId="25" fontId="39" numFmtId="0" xfId="0" applyAlignment="1" applyBorder="1" applyFont="1">
      <alignment horizontal="center"/>
    </xf>
    <xf borderId="22" fillId="25" fontId="42" numFmtId="0" xfId="0" applyAlignment="1" applyBorder="1" applyFont="1">
      <alignment horizontal="center"/>
    </xf>
    <xf borderId="22" fillId="25" fontId="42" numFmtId="173" xfId="0" applyAlignment="1" applyBorder="1" applyFont="1" applyNumberFormat="1">
      <alignment horizontal="center"/>
    </xf>
    <xf borderId="22" fillId="25" fontId="35" numFmtId="0" xfId="0" applyBorder="1" applyFont="1"/>
    <xf borderId="22" fillId="2" fontId="42" numFmtId="0" xfId="0" applyAlignment="1" applyBorder="1" applyFont="1">
      <alignment horizontal="center"/>
    </xf>
    <xf borderId="22" fillId="2" fontId="42" numFmtId="173" xfId="0" applyAlignment="1" applyBorder="1" applyFont="1" applyNumberFormat="1">
      <alignment horizontal="center"/>
    </xf>
    <xf borderId="22" fillId="2" fontId="43" numFmtId="173" xfId="0" applyAlignment="1" applyBorder="1" applyFont="1" applyNumberFormat="1">
      <alignment horizontal="center"/>
    </xf>
    <xf borderId="22" fillId="0" fontId="39" numFmtId="175" xfId="0" applyAlignment="1" applyBorder="1" applyFont="1" applyNumberFormat="1">
      <alignment horizontal="center"/>
    </xf>
    <xf borderId="22" fillId="18" fontId="35" numFmtId="175" xfId="0" applyAlignment="1" applyBorder="1" applyFont="1" applyNumberFormat="1">
      <alignment horizontal="center"/>
    </xf>
    <xf borderId="22" fillId="2" fontId="35" numFmtId="0" xfId="0" applyAlignment="1" applyBorder="1" applyFont="1">
      <alignment horizontal="center"/>
    </xf>
    <xf borderId="22" fillId="2" fontId="35" numFmtId="164" xfId="0" applyAlignment="1" applyBorder="1" applyFont="1" applyNumberFormat="1">
      <alignment horizontal="center"/>
    </xf>
    <xf borderId="22" fillId="2" fontId="39" numFmtId="164" xfId="0" applyAlignment="1" applyBorder="1" applyFont="1" applyNumberFormat="1">
      <alignment horizontal="center"/>
    </xf>
    <xf borderId="26" fillId="2" fontId="39" numFmtId="0" xfId="0" applyAlignment="1" applyBorder="1" applyFont="1">
      <alignment horizontal="center"/>
    </xf>
    <xf borderId="27" fillId="2" fontId="39" numFmtId="3" xfId="0" applyAlignment="1" applyBorder="1" applyFont="1" applyNumberFormat="1">
      <alignment horizontal="center"/>
    </xf>
    <xf borderId="27" fillId="2" fontId="44" numFmtId="0" xfId="0" applyAlignment="1" applyBorder="1" applyFont="1">
      <alignment horizontal="center"/>
    </xf>
    <xf borderId="27" fillId="2" fontId="35" numFmtId="0" xfId="0" applyBorder="1" applyFont="1"/>
    <xf borderId="27" fillId="2" fontId="35" numFmtId="175" xfId="0" applyAlignment="1" applyBorder="1" applyFont="1" applyNumberFormat="1">
      <alignment horizontal="center"/>
    </xf>
    <xf borderId="27" fillId="2" fontId="39" numFmtId="0" xfId="0" applyAlignment="1" applyBorder="1" applyFont="1">
      <alignment horizontal="center"/>
    </xf>
    <xf borderId="22" fillId="0" fontId="45" numFmtId="173" xfId="0" applyAlignment="1" applyBorder="1" applyFont="1" applyNumberFormat="1">
      <alignment horizontal="center"/>
    </xf>
    <xf borderId="22" fillId="26" fontId="41" numFmtId="0" xfId="0" applyAlignment="1" applyBorder="1" applyFill="1" applyFont="1">
      <alignment horizontal="center"/>
    </xf>
    <xf borderId="22" fillId="18" fontId="35" numFmtId="0" xfId="0" applyAlignment="1" applyBorder="1" applyFont="1">
      <alignment horizontal="center"/>
    </xf>
    <xf borderId="22" fillId="24" fontId="46" numFmtId="0" xfId="0" applyAlignment="1" applyBorder="1" applyFont="1">
      <alignment horizontal="center"/>
    </xf>
    <xf borderId="22" fillId="2" fontId="47" numFmtId="0" xfId="0" applyAlignment="1" applyBorder="1" applyFont="1">
      <alignment horizontal="center"/>
    </xf>
    <xf borderId="22" fillId="0" fontId="41" numFmtId="0" xfId="0" applyAlignment="1" applyBorder="1" applyFont="1">
      <alignment horizontal="center"/>
    </xf>
    <xf borderId="22" fillId="2" fontId="39" numFmtId="0" xfId="0" applyAlignment="1" applyBorder="1" applyFont="1">
      <alignment horizontal="left"/>
    </xf>
    <xf borderId="22" fillId="2" fontId="1" numFmtId="0" xfId="0" applyAlignment="1" applyBorder="1" applyFont="1">
      <alignment horizontal="center"/>
    </xf>
    <xf borderId="22" fillId="0" fontId="45" numFmtId="0" xfId="0" applyAlignment="1" applyBorder="1" applyFont="1">
      <alignment horizontal="center"/>
    </xf>
    <xf borderId="23" fillId="2" fontId="33" numFmtId="0" xfId="0" applyAlignment="1" applyBorder="1" applyFont="1">
      <alignment horizontal="center" shrinkToFit="0" vertical="center" wrapText="1"/>
    </xf>
    <xf borderId="22" fillId="0" fontId="48" numFmtId="0" xfId="0" applyAlignment="1" applyBorder="1" applyFont="1">
      <alignment horizontal="center"/>
    </xf>
    <xf borderId="22" fillId="27" fontId="41" numFmtId="0" xfId="0" applyAlignment="1" applyBorder="1" applyFill="1" applyFont="1">
      <alignment horizontal="center"/>
    </xf>
    <xf borderId="22" fillId="2" fontId="48" numFmtId="0" xfId="0" applyAlignment="1" applyBorder="1" applyFont="1">
      <alignment horizontal="center"/>
    </xf>
    <xf borderId="22" fillId="2" fontId="39" numFmtId="177" xfId="0" applyAlignment="1" applyBorder="1" applyFont="1" applyNumberFormat="1">
      <alignment horizontal="center"/>
    </xf>
    <xf borderId="23" fillId="2" fontId="33" numFmtId="0" xfId="0" applyAlignment="1" applyBorder="1" applyFont="1">
      <alignment horizontal="center" shrinkToFit="0" wrapText="1"/>
    </xf>
    <xf borderId="22" fillId="0" fontId="33" numFmtId="173" xfId="0" applyAlignment="1" applyBorder="1" applyFont="1" applyNumberFormat="1">
      <alignment horizontal="center" shrinkToFit="0" wrapText="1"/>
    </xf>
    <xf borderId="22" fillId="0" fontId="34" numFmtId="174" xfId="0" applyAlignment="1" applyBorder="1" applyFont="1" applyNumberFormat="1">
      <alignment horizontal="center" shrinkToFit="0" wrapText="1"/>
    </xf>
    <xf borderId="22" fillId="0" fontId="33" numFmtId="174" xfId="0" applyAlignment="1" applyBorder="1" applyFont="1" applyNumberFormat="1">
      <alignment horizontal="center" shrinkToFit="0" wrapText="1"/>
    </xf>
    <xf borderId="22" fillId="0" fontId="5" numFmtId="164" xfId="0" applyBorder="1" applyFont="1" applyNumberFormat="1"/>
    <xf borderId="0" fillId="0" fontId="5" numFmtId="0" xfId="0" applyFont="1"/>
    <xf borderId="22" fillId="0" fontId="5" numFmtId="0" xfId="0" applyAlignment="1" applyBorder="1" applyFont="1">
      <alignment horizontal="center"/>
    </xf>
    <xf borderId="22" fillId="0" fontId="5" numFmtId="173" xfId="0" applyAlignment="1" applyBorder="1" applyFont="1" applyNumberFormat="1">
      <alignment horizontal="center"/>
    </xf>
    <xf borderId="22" fillId="0" fontId="35" numFmtId="0" xfId="0" applyAlignment="1" applyBorder="1" applyFont="1">
      <alignment horizontal="left"/>
    </xf>
    <xf borderId="22" fillId="2" fontId="24" numFmtId="164" xfId="0" applyAlignment="1" applyBorder="1" applyFont="1" applyNumberFormat="1">
      <alignment horizontal="left"/>
    </xf>
    <xf borderId="22" fillId="2" fontId="33" numFmtId="0" xfId="0" applyAlignment="1" applyBorder="1" applyFont="1">
      <alignment horizontal="center" shrinkToFit="0" vertical="center" wrapText="1"/>
    </xf>
    <xf borderId="22" fillId="28" fontId="35" numFmtId="175" xfId="0" applyAlignment="1" applyBorder="1" applyFill="1" applyFont="1" applyNumberFormat="1">
      <alignment horizontal="center"/>
    </xf>
    <xf borderId="22" fillId="28" fontId="35" numFmtId="0" xfId="0" applyAlignment="1" applyBorder="1" applyFont="1">
      <alignment horizontal="center"/>
    </xf>
    <xf borderId="22" fillId="28" fontId="36" numFmtId="0" xfId="0" applyAlignment="1" applyBorder="1" applyFont="1">
      <alignment horizontal="center"/>
    </xf>
    <xf borderId="22" fillId="28" fontId="39" numFmtId="173" xfId="0" applyAlignment="1" applyBorder="1" applyFont="1" applyNumberFormat="1">
      <alignment horizontal="center"/>
    </xf>
    <xf borderId="22" fillId="28" fontId="41" numFmtId="0" xfId="0" applyAlignment="1" applyBorder="1" applyFont="1">
      <alignment horizontal="center"/>
    </xf>
    <xf borderId="22" fillId="28" fontId="35" numFmtId="0" xfId="0" applyBorder="1" applyFont="1"/>
    <xf borderId="22" fillId="28" fontId="35" numFmtId="177" xfId="0" applyAlignment="1" applyBorder="1" applyFont="1" applyNumberFormat="1">
      <alignment horizontal="center"/>
    </xf>
    <xf borderId="22" fillId="28" fontId="39" numFmtId="0" xfId="0" applyAlignment="1" applyBorder="1" applyFont="1">
      <alignment horizontal="center"/>
    </xf>
    <xf borderId="22" fillId="28" fontId="39" numFmtId="3" xfId="0" applyAlignment="1" applyBorder="1" applyFont="1" applyNumberFormat="1">
      <alignment horizontal="center"/>
    </xf>
    <xf borderId="22" fillId="28" fontId="35" numFmtId="178" xfId="0" applyAlignment="1" applyBorder="1" applyFont="1" applyNumberFormat="1">
      <alignment horizontal="center"/>
    </xf>
    <xf borderId="22" fillId="28" fontId="39" numFmtId="0" xfId="0" applyAlignment="1" applyBorder="1" applyFont="1">
      <alignment horizontal="center" shrinkToFit="0" vertical="center" wrapText="1"/>
    </xf>
    <xf borderId="22" fillId="28" fontId="39" numFmtId="173" xfId="0" applyAlignment="1" applyBorder="1" applyFont="1" applyNumberFormat="1">
      <alignment horizontal="center" shrinkToFit="0" vertical="center" wrapText="1"/>
    </xf>
    <xf borderId="22" fillId="28" fontId="33" numFmtId="174" xfId="0" applyAlignment="1" applyBorder="1" applyFont="1" applyNumberFormat="1">
      <alignment horizontal="center" shrinkToFit="0" vertical="center" wrapText="1"/>
    </xf>
    <xf borderId="22" fillId="0" fontId="24" numFmtId="164" xfId="0" applyBorder="1" applyFont="1" applyNumberFormat="1"/>
    <xf borderId="22" fillId="28" fontId="35" numFmtId="179" xfId="0" applyAlignment="1" applyBorder="1" applyFont="1" applyNumberFormat="1">
      <alignment horizontal="center"/>
    </xf>
    <xf borderId="22" fillId="28" fontId="40" numFmtId="0" xfId="0" applyAlignment="1" applyBorder="1" applyFont="1">
      <alignment horizontal="center"/>
    </xf>
    <xf borderId="22" fillId="28" fontId="35" numFmtId="180" xfId="0" applyAlignment="1" applyBorder="1" applyFont="1" applyNumberFormat="1">
      <alignment horizontal="center"/>
    </xf>
    <xf borderId="22" fillId="28" fontId="39" numFmtId="175" xfId="0" applyAlignment="1" applyBorder="1" applyFont="1" applyNumberFormat="1">
      <alignment horizontal="center"/>
    </xf>
    <xf borderId="22" fillId="0" fontId="49" numFmtId="164" xfId="0" applyBorder="1" applyFont="1" applyNumberFormat="1"/>
    <xf borderId="0" fillId="0" fontId="49" numFmtId="0" xfId="0" applyFont="1"/>
    <xf borderId="22" fillId="28" fontId="35" numFmtId="173" xfId="0" applyAlignment="1" applyBorder="1" applyFont="1" applyNumberFormat="1">
      <alignment horizontal="center"/>
    </xf>
    <xf borderId="22" fillId="28" fontId="5" numFmtId="164" xfId="0" applyBorder="1" applyFont="1" applyNumberFormat="1"/>
    <xf borderId="26" fillId="28" fontId="5" numFmtId="0" xfId="0" applyBorder="1" applyFont="1"/>
    <xf borderId="27" fillId="28" fontId="5" numFmtId="0" xfId="0" applyBorder="1" applyFont="1"/>
    <xf borderId="22" fillId="29" fontId="35" numFmtId="175" xfId="0" applyAlignment="1" applyBorder="1" applyFill="1" applyFont="1" applyNumberFormat="1">
      <alignment horizontal="center"/>
    </xf>
    <xf borderId="22" fillId="29" fontId="35" numFmtId="0" xfId="0" applyAlignment="1" applyBorder="1" applyFont="1">
      <alignment horizontal="center"/>
    </xf>
    <xf borderId="22" fillId="29" fontId="36" numFmtId="0" xfId="0" applyAlignment="1" applyBorder="1" applyFont="1">
      <alignment horizontal="center"/>
    </xf>
    <xf borderId="22" fillId="29" fontId="39" numFmtId="173" xfId="0" applyAlignment="1" applyBorder="1" applyFont="1" applyNumberFormat="1">
      <alignment horizontal="center"/>
    </xf>
    <xf borderId="22" fillId="29" fontId="41" numFmtId="0" xfId="0" applyAlignment="1" applyBorder="1" applyFont="1">
      <alignment horizontal="center"/>
    </xf>
    <xf borderId="22" fillId="29" fontId="5" numFmtId="164" xfId="0" applyBorder="1" applyFont="1" applyNumberFormat="1"/>
    <xf borderId="26" fillId="29" fontId="5" numFmtId="0" xfId="0" applyBorder="1" applyFont="1"/>
    <xf borderId="27" fillId="29" fontId="5" numFmtId="0" xfId="0" applyBorder="1" applyFont="1"/>
    <xf borderId="22" fillId="28" fontId="5" numFmtId="0" xfId="0" applyBorder="1" applyFont="1"/>
    <xf borderId="22" fillId="28" fontId="37" numFmtId="0" xfId="0" applyAlignment="1" applyBorder="1" applyFont="1">
      <alignment horizontal="center"/>
    </xf>
    <xf borderId="22" fillId="28" fontId="5" numFmtId="164" xfId="0" applyAlignment="1" applyBorder="1" applyFont="1" applyNumberFormat="1">
      <alignment horizontal="center"/>
    </xf>
    <xf borderId="26" fillId="28" fontId="5" numFmtId="0" xfId="0" applyAlignment="1" applyBorder="1" applyFont="1">
      <alignment horizontal="center"/>
    </xf>
    <xf borderId="27" fillId="28" fontId="5" numFmtId="0" xfId="0" applyAlignment="1" applyBorder="1" applyFont="1">
      <alignment horizontal="center"/>
    </xf>
    <xf borderId="22" fillId="2" fontId="35" numFmtId="181" xfId="0" applyAlignment="1" applyBorder="1" applyFont="1" applyNumberFormat="1">
      <alignment horizontal="center"/>
    </xf>
    <xf borderId="22" fillId="0" fontId="35" numFmtId="173" xfId="0" applyBorder="1" applyFont="1" applyNumberFormat="1"/>
    <xf borderId="22" fillId="2" fontId="35" numFmtId="175" xfId="0" applyBorder="1" applyFont="1" applyNumberFormat="1"/>
    <xf borderId="22" fillId="0" fontId="37" numFmtId="0" xfId="0" applyBorder="1" applyFont="1"/>
    <xf borderId="22" fillId="28" fontId="5" numFmtId="0" xfId="0" applyAlignment="1" applyBorder="1" applyFont="1">
      <alignment horizontal="center"/>
    </xf>
    <xf borderId="22" fillId="20" fontId="35" numFmtId="180" xfId="0" applyAlignment="1" applyBorder="1" applyFont="1" applyNumberFormat="1">
      <alignment horizontal="center"/>
    </xf>
    <xf borderId="22" fillId="20" fontId="35" numFmtId="0" xfId="0" applyAlignment="1" applyBorder="1" applyFont="1">
      <alignment horizontal="center"/>
    </xf>
    <xf borderId="22" fillId="20" fontId="36" numFmtId="0" xfId="0" applyAlignment="1" applyBorder="1" applyFont="1">
      <alignment horizontal="center"/>
    </xf>
    <xf borderId="22" fillId="20" fontId="35" numFmtId="173" xfId="0" applyAlignment="1" applyBorder="1" applyFont="1" applyNumberFormat="1">
      <alignment horizontal="center"/>
    </xf>
    <xf borderId="22" fillId="20" fontId="41" numFmtId="0" xfId="0" applyAlignment="1" applyBorder="1" applyFont="1">
      <alignment horizontal="center"/>
    </xf>
    <xf borderId="22" fillId="20" fontId="5" numFmtId="164" xfId="0" applyAlignment="1" applyBorder="1" applyFont="1" applyNumberFormat="1">
      <alignment horizontal="center"/>
    </xf>
    <xf borderId="22" fillId="20" fontId="5" numFmtId="0" xfId="0" applyAlignment="1" applyBorder="1" applyFont="1">
      <alignment horizontal="center"/>
    </xf>
    <xf borderId="22" fillId="30" fontId="35" numFmtId="175" xfId="0" applyAlignment="1" applyBorder="1" applyFill="1" applyFont="1" applyNumberFormat="1">
      <alignment horizontal="center"/>
    </xf>
    <xf borderId="22" fillId="30" fontId="35" numFmtId="0" xfId="0" applyAlignment="1" applyBorder="1" applyFont="1">
      <alignment horizontal="center"/>
    </xf>
    <xf borderId="22" fillId="30" fontId="36" numFmtId="0" xfId="0" applyAlignment="1" applyBorder="1" applyFont="1">
      <alignment horizontal="center"/>
    </xf>
    <xf borderId="22" fillId="30" fontId="35" numFmtId="173" xfId="0" applyAlignment="1" applyBorder="1" applyFont="1" applyNumberFormat="1">
      <alignment horizontal="center"/>
    </xf>
    <xf borderId="22" fillId="30" fontId="41" numFmtId="0" xfId="0" applyAlignment="1" applyBorder="1" applyFont="1">
      <alignment horizontal="center" readingOrder="0"/>
    </xf>
    <xf borderId="22" fillId="30" fontId="5" numFmtId="164" xfId="0" applyAlignment="1" applyBorder="1" applyFont="1" applyNumberFormat="1">
      <alignment horizontal="center"/>
    </xf>
    <xf borderId="22" fillId="30" fontId="5" numFmtId="0" xfId="0" applyAlignment="1" applyBorder="1" applyFont="1">
      <alignment horizontal="center"/>
    </xf>
    <xf borderId="22" fillId="22" fontId="35" numFmtId="175" xfId="0" applyAlignment="1" applyBorder="1" applyFont="1" applyNumberFormat="1">
      <alignment horizontal="center"/>
    </xf>
    <xf borderId="22" fillId="22" fontId="35" numFmtId="0" xfId="0" applyAlignment="1" applyBorder="1" applyFont="1">
      <alignment horizontal="center"/>
    </xf>
    <xf borderId="22" fillId="22" fontId="36" numFmtId="0" xfId="0" applyAlignment="1" applyBorder="1" applyFont="1">
      <alignment horizontal="center"/>
    </xf>
    <xf borderId="22" fillId="22" fontId="35" numFmtId="173" xfId="0" applyAlignment="1" applyBorder="1" applyFont="1" applyNumberFormat="1">
      <alignment horizontal="center"/>
    </xf>
    <xf borderId="22" fillId="22" fontId="41" numFmtId="0" xfId="0" applyAlignment="1" applyBorder="1" applyFont="1">
      <alignment horizontal="center"/>
    </xf>
    <xf borderId="22" fillId="22" fontId="5" numFmtId="164" xfId="0" applyAlignment="1" applyBorder="1" applyFont="1" applyNumberFormat="1">
      <alignment horizontal="center"/>
    </xf>
    <xf borderId="22" fillId="22" fontId="5" numFmtId="0" xfId="0" applyAlignment="1" applyBorder="1" applyFont="1">
      <alignment horizontal="center"/>
    </xf>
    <xf borderId="22" fillId="30" fontId="41" numFmtId="0" xfId="0" applyAlignment="1" applyBorder="1" applyFont="1">
      <alignment horizontal="center"/>
    </xf>
    <xf borderId="22" fillId="30" fontId="35" numFmtId="180" xfId="0" applyAlignment="1" applyBorder="1" applyFont="1" applyNumberFormat="1">
      <alignment horizontal="center"/>
    </xf>
    <xf borderId="22" fillId="30" fontId="37" numFmtId="0" xfId="0" applyAlignment="1" applyBorder="1" applyFont="1">
      <alignment horizontal="center"/>
    </xf>
    <xf borderId="22" fillId="0" fontId="5" numFmtId="0" xfId="0" applyBorder="1" applyFont="1"/>
    <xf borderId="22" fillId="30" fontId="5" numFmtId="175" xfId="0" applyAlignment="1" applyBorder="1" applyFont="1" applyNumberFormat="1">
      <alignment horizontal="center"/>
    </xf>
    <xf borderId="22" fillId="30" fontId="5" numFmtId="173" xfId="0" applyAlignment="1" applyBorder="1" applyFont="1" applyNumberFormat="1">
      <alignment horizontal="center"/>
    </xf>
    <xf borderId="22" fillId="30" fontId="50" numFmtId="0" xfId="0" applyAlignment="1" applyBorder="1" applyFont="1">
      <alignment horizontal="center"/>
    </xf>
    <xf borderId="22" fillId="30" fontId="21" numFmtId="164" xfId="0" applyBorder="1" applyFont="1" applyNumberFormat="1"/>
    <xf borderId="22" fillId="30" fontId="21" numFmtId="0" xfId="0" applyBorder="1" applyFont="1"/>
    <xf borderId="22" fillId="22" fontId="35" numFmtId="175" xfId="0" applyAlignment="1" applyBorder="1" applyFont="1" applyNumberFormat="1">
      <alignment readingOrder="0"/>
    </xf>
    <xf borderId="22" fillId="22" fontId="35" numFmtId="0" xfId="0" applyAlignment="1" applyBorder="1" applyFont="1">
      <alignment horizontal="center" readingOrder="0"/>
    </xf>
    <xf borderId="22" fillId="22" fontId="36" numFmtId="0" xfId="0" applyAlignment="1" applyBorder="1" applyFont="1">
      <alignment horizontal="center" readingOrder="0"/>
    </xf>
    <xf borderId="22" fillId="22" fontId="35" numFmtId="182" xfId="0" applyAlignment="1" applyBorder="1" applyFont="1" applyNumberFormat="1">
      <alignment readingOrder="0"/>
    </xf>
    <xf borderId="22" fillId="22" fontId="37" numFmtId="0" xfId="0" applyAlignment="1" applyBorder="1" applyFont="1">
      <alignment readingOrder="0"/>
    </xf>
    <xf borderId="22" fillId="22" fontId="35" numFmtId="0" xfId="0" applyAlignment="1" applyBorder="1" applyFont="1">
      <alignment readingOrder="0"/>
    </xf>
    <xf borderId="22" fillId="22" fontId="21" numFmtId="164" xfId="0" applyBorder="1" applyFont="1" applyNumberFormat="1"/>
    <xf borderId="0" fillId="22" fontId="21" numFmtId="0" xfId="0" applyFont="1"/>
    <xf borderId="22" fillId="28" fontId="35" numFmtId="175" xfId="0" applyAlignment="1" applyBorder="1" applyFont="1" applyNumberFormat="1">
      <alignment readingOrder="0"/>
    </xf>
    <xf borderId="22" fillId="28" fontId="35" numFmtId="173" xfId="0" applyBorder="1" applyFont="1" applyNumberFormat="1"/>
    <xf borderId="22" fillId="28" fontId="37" numFmtId="0" xfId="0" applyAlignment="1" applyBorder="1" applyFont="1">
      <alignment readingOrder="0"/>
    </xf>
    <xf borderId="22" fillId="28" fontId="35" numFmtId="0" xfId="0" applyAlignment="1" applyBorder="1" applyFont="1">
      <alignment readingOrder="0"/>
    </xf>
    <xf borderId="22" fillId="28" fontId="21" numFmtId="164" xfId="0" applyBorder="1" applyFont="1" applyNumberFormat="1"/>
    <xf borderId="22" fillId="28" fontId="21" numFmtId="0" xfId="0" applyBorder="1" applyFont="1"/>
    <xf borderId="22" fillId="30" fontId="35" numFmtId="175" xfId="0" applyAlignment="1" applyBorder="1" applyFont="1" applyNumberFormat="1">
      <alignment readingOrder="0"/>
    </xf>
    <xf borderId="22" fillId="30" fontId="35" numFmtId="0" xfId="0" applyAlignment="1" applyBorder="1" applyFont="1">
      <alignment horizontal="center" readingOrder="0"/>
    </xf>
    <xf borderId="22" fillId="30" fontId="36" numFmtId="0" xfId="0" applyAlignment="1" applyBorder="1" applyFont="1">
      <alignment horizontal="center" readingOrder="0"/>
    </xf>
    <xf borderId="22" fillId="30" fontId="35" numFmtId="182" xfId="0" applyAlignment="1" applyBorder="1" applyFont="1" applyNumberFormat="1">
      <alignment readingOrder="0"/>
    </xf>
    <xf borderId="22" fillId="30" fontId="37" numFmtId="0" xfId="0" applyAlignment="1" applyBorder="1" applyFont="1">
      <alignment readingOrder="0"/>
    </xf>
    <xf borderId="22" fillId="30" fontId="35" numFmtId="0" xfId="0" applyAlignment="1" applyBorder="1" applyFont="1">
      <alignment readingOrder="0"/>
    </xf>
    <xf borderId="0" fillId="30" fontId="21" numFmtId="0" xfId="0" applyFont="1"/>
    <xf borderId="22" fillId="22" fontId="35" numFmtId="173" xfId="0" applyAlignment="1" applyBorder="1" applyFont="1" applyNumberFormat="1">
      <alignment readingOrder="0"/>
    </xf>
    <xf borderId="22" fillId="22" fontId="21" numFmtId="0" xfId="0" applyBorder="1" applyFont="1"/>
    <xf borderId="22" fillId="30" fontId="35" numFmtId="173" xfId="0" applyAlignment="1" applyBorder="1" applyFont="1" applyNumberFormat="1">
      <alignment readingOrder="0"/>
    </xf>
    <xf borderId="22" fillId="30" fontId="35" numFmtId="183" xfId="0" applyAlignment="1" applyBorder="1" applyFont="1" applyNumberFormat="1">
      <alignment readingOrder="0"/>
    </xf>
    <xf borderId="22" fillId="29" fontId="35" numFmtId="175" xfId="0" applyAlignment="1" applyBorder="1" applyFont="1" applyNumberFormat="1">
      <alignment readingOrder="0"/>
    </xf>
    <xf borderId="22" fillId="29" fontId="35" numFmtId="0" xfId="0" applyAlignment="1" applyBorder="1" applyFont="1">
      <alignment horizontal="center" readingOrder="0"/>
    </xf>
    <xf borderId="22" fillId="29" fontId="36" numFmtId="0" xfId="0" applyAlignment="1" applyBorder="1" applyFont="1">
      <alignment horizontal="center" readingOrder="0"/>
    </xf>
    <xf borderId="22" fillId="29" fontId="35" numFmtId="173" xfId="0" applyAlignment="1" applyBorder="1" applyFont="1" applyNumberFormat="1">
      <alignment readingOrder="0"/>
    </xf>
    <xf borderId="22" fillId="29" fontId="37" numFmtId="0" xfId="0" applyAlignment="1" applyBorder="1" applyFont="1">
      <alignment readingOrder="0"/>
    </xf>
    <xf borderId="22" fillId="29" fontId="35" numFmtId="0" xfId="0" applyAlignment="1" applyBorder="1" applyFont="1">
      <alignment readingOrder="0"/>
    </xf>
    <xf borderId="22" fillId="29" fontId="21" numFmtId="164" xfId="0" applyBorder="1" applyFont="1" applyNumberFormat="1"/>
    <xf borderId="22" fillId="29" fontId="21" numFmtId="0" xfId="0" applyBorder="1" applyFont="1"/>
    <xf borderId="22" fillId="0" fontId="21" numFmtId="0" xfId="0" applyBorder="1" applyFont="1"/>
    <xf borderId="22" fillId="0" fontId="37" numFmtId="0" xfId="0" applyAlignment="1" applyBorder="1" applyFont="1">
      <alignment readingOrder="0"/>
    </xf>
    <xf borderId="22" fillId="0" fontId="35" numFmtId="0" xfId="0" applyAlignment="1" applyBorder="1" applyFont="1">
      <alignment readingOrder="0"/>
    </xf>
    <xf borderId="22" fillId="30" fontId="35" numFmtId="175" xfId="0" applyBorder="1" applyFont="1" applyNumberFormat="1"/>
    <xf borderId="22" fillId="30" fontId="35" numFmtId="173" xfId="0" applyBorder="1" applyFont="1" applyNumberFormat="1"/>
    <xf borderId="22" fillId="22" fontId="35" numFmtId="175" xfId="0" applyBorder="1" applyFont="1" applyNumberFormat="1"/>
    <xf borderId="22" fillId="30" fontId="24" numFmtId="0" xfId="0" applyAlignment="1" applyBorder="1" applyFont="1">
      <alignment horizontal="left" readingOrder="0"/>
    </xf>
    <xf borderId="22" fillId="22" fontId="35" numFmtId="173" xfId="0" applyBorder="1" applyFont="1" applyNumberFormat="1"/>
    <xf borderId="22" fillId="28" fontId="35" numFmtId="0" xfId="0" applyAlignment="1" applyBorder="1" applyFont="1">
      <alignment horizontal="center" readingOrder="0"/>
    </xf>
    <xf borderId="22" fillId="28" fontId="36" numFmtId="0" xfId="0" applyAlignment="1" applyBorder="1" applyFont="1">
      <alignment horizontal="center" readingOrder="0"/>
    </xf>
    <xf borderId="22" fillId="28" fontId="35" numFmtId="173" xfId="0" applyAlignment="1" applyBorder="1" applyFont="1" applyNumberFormat="1">
      <alignment readingOrder="0"/>
    </xf>
    <xf borderId="22" fillId="30" fontId="35" numFmtId="0" xfId="0" applyBorder="1" applyFont="1"/>
    <xf borderId="22" fillId="30" fontId="24" numFmtId="183" xfId="0" applyAlignment="1" applyBorder="1" applyFont="1" applyNumberFormat="1">
      <alignment horizontal="left" readingOrder="0"/>
    </xf>
    <xf borderId="23" fillId="2" fontId="33" numFmtId="184" xfId="0" applyAlignment="1" applyBorder="1" applyFont="1" applyNumberFormat="1">
      <alignment horizontal="center" readingOrder="0" shrinkToFit="0" vertical="center" wrapText="1"/>
    </xf>
    <xf borderId="22" fillId="30" fontId="21" numFmtId="164" xfId="0" applyAlignment="1" applyBorder="1" applyFont="1" applyNumberFormat="1">
      <alignment readingOrder="0"/>
    </xf>
    <xf borderId="22" fillId="30" fontId="20" numFmtId="164" xfId="0" applyAlignment="1" applyBorder="1" applyFont="1" applyNumberFormat="1">
      <alignment readingOrder="0"/>
    </xf>
    <xf borderId="22" fillId="30" fontId="35" numFmtId="175" xfId="0" applyAlignment="1" applyBorder="1" applyFont="1" applyNumberFormat="1">
      <alignment horizontal="right" readingOrder="0" vertical="bottom"/>
    </xf>
    <xf borderId="22" fillId="30" fontId="35" numFmtId="0" xfId="0" applyAlignment="1" applyBorder="1" applyFont="1">
      <alignment horizontal="center" vertical="bottom"/>
    </xf>
    <xf borderId="22" fillId="30" fontId="5" numFmtId="0" xfId="0" applyAlignment="1" applyBorder="1" applyFont="1">
      <alignment horizontal="center" readingOrder="0" vertical="bottom"/>
    </xf>
    <xf borderId="22" fillId="30" fontId="5" numFmtId="173" xfId="0" applyAlignment="1" applyBorder="1" applyFont="1" applyNumberFormat="1">
      <alignment readingOrder="0" vertical="bottom"/>
    </xf>
    <xf borderId="22" fillId="30" fontId="37" numFmtId="0" xfId="0" applyAlignment="1" applyBorder="1" applyFont="1">
      <alignment readingOrder="0" vertical="bottom"/>
    </xf>
    <xf borderId="22" fillId="30" fontId="35" numFmtId="0" xfId="0" applyAlignment="1" applyBorder="1" applyFont="1">
      <alignment vertical="bottom"/>
    </xf>
    <xf borderId="22" fillId="30" fontId="5" numFmtId="164" xfId="0" applyAlignment="1" applyBorder="1" applyFont="1" applyNumberFormat="1">
      <alignment vertical="bottom"/>
    </xf>
    <xf borderId="22" fillId="30" fontId="5" numFmtId="0" xfId="0" applyAlignment="1" applyBorder="1" applyFont="1">
      <alignment vertical="bottom"/>
    </xf>
    <xf borderId="22" fillId="2" fontId="35" numFmtId="175" xfId="0" applyAlignment="1" applyBorder="1" applyFont="1" applyNumberFormat="1">
      <alignment readingOrder="0"/>
    </xf>
    <xf borderId="22" fillId="0" fontId="35" numFmtId="0" xfId="0" applyAlignment="1" applyBorder="1" applyFont="1">
      <alignment horizontal="center" readingOrder="0"/>
    </xf>
    <xf borderId="22" fillId="2" fontId="36" numFmtId="0" xfId="0" applyAlignment="1" applyBorder="1" applyFont="1">
      <alignment horizontal="center" readingOrder="0"/>
    </xf>
    <xf borderId="22" fillId="7" fontId="35" numFmtId="175" xfId="0" applyAlignment="1" applyBorder="1" applyFont="1" applyNumberFormat="1">
      <alignment readingOrder="0"/>
    </xf>
    <xf borderId="22" fillId="7" fontId="35" numFmtId="0" xfId="0" applyAlignment="1" applyBorder="1" applyFont="1">
      <alignment horizontal="center" readingOrder="0"/>
    </xf>
    <xf borderId="22" fillId="7" fontId="36" numFmtId="0" xfId="0" applyAlignment="1" applyBorder="1" applyFont="1">
      <alignment horizontal="center" readingOrder="0"/>
    </xf>
    <xf borderId="22" fillId="7" fontId="35" numFmtId="173" xfId="0" applyBorder="1" applyFont="1" applyNumberFormat="1"/>
    <xf borderId="22" fillId="7" fontId="37" numFmtId="0" xfId="0" applyAlignment="1" applyBorder="1" applyFont="1">
      <alignment readingOrder="0"/>
    </xf>
    <xf borderId="22" fillId="7" fontId="35" numFmtId="0" xfId="0" applyAlignment="1" applyBorder="1" applyFont="1">
      <alignment readingOrder="0"/>
    </xf>
    <xf borderId="22" fillId="7" fontId="21" numFmtId="164" xfId="0" applyBorder="1" applyFont="1" applyNumberFormat="1"/>
    <xf borderId="0" fillId="7" fontId="21" numFmtId="0" xfId="0" applyFont="1"/>
    <xf borderId="22" fillId="7" fontId="24" numFmtId="0" xfId="0" applyAlignment="1" applyBorder="1" applyFont="1">
      <alignment horizontal="left" readingOrder="0"/>
    </xf>
    <xf borderId="22" fillId="7" fontId="35" numFmtId="173" xfId="0" applyAlignment="1" applyBorder="1" applyFont="1" applyNumberFormat="1">
      <alignment readingOrder="0"/>
    </xf>
    <xf borderId="22" fillId="7" fontId="21" numFmtId="164" xfId="0" applyAlignment="1" applyBorder="1" applyFont="1" applyNumberFormat="1">
      <alignment readingOrder="0"/>
    </xf>
    <xf borderId="22" fillId="20" fontId="35" numFmtId="185" xfId="0" applyAlignment="1" applyBorder="1" applyFont="1" applyNumberFormat="1">
      <alignment readingOrder="0"/>
    </xf>
    <xf borderId="22" fillId="20" fontId="35" numFmtId="0" xfId="0" applyAlignment="1" applyBorder="1" applyFont="1">
      <alignment horizontal="center" readingOrder="0"/>
    </xf>
    <xf borderId="22" fillId="20" fontId="24" numFmtId="0" xfId="0" applyAlignment="1" applyBorder="1" applyFont="1">
      <alignment horizontal="left" readingOrder="0"/>
    </xf>
    <xf borderId="22" fillId="20" fontId="35" numFmtId="173" xfId="0" applyAlignment="1" applyBorder="1" applyFont="1" applyNumberFormat="1">
      <alignment readingOrder="0"/>
    </xf>
    <xf borderId="22" fillId="20" fontId="37" numFmtId="0" xfId="0" applyAlignment="1" applyBorder="1" applyFont="1">
      <alignment readingOrder="0"/>
    </xf>
    <xf borderId="22" fillId="20" fontId="35" numFmtId="0" xfId="0" applyAlignment="1" applyBorder="1" applyFont="1">
      <alignment readingOrder="0"/>
    </xf>
    <xf borderId="22" fillId="20" fontId="37" numFmtId="164" xfId="0" applyAlignment="1" applyBorder="1" applyFont="1" applyNumberFormat="1">
      <alignment readingOrder="0"/>
    </xf>
    <xf borderId="22" fillId="20" fontId="21" numFmtId="164" xfId="0" applyBorder="1" applyFont="1" applyNumberFormat="1"/>
    <xf borderId="0" fillId="20" fontId="21" numFmtId="0" xfId="0" applyFont="1"/>
    <xf borderId="22" fillId="30" fontId="35" numFmtId="185" xfId="0" applyAlignment="1" applyBorder="1" applyFont="1" applyNumberFormat="1">
      <alignment readingOrder="0"/>
    </xf>
    <xf borderId="22" fillId="30" fontId="37" numFmtId="164" xfId="0" applyAlignment="1" applyBorder="1" applyFont="1" applyNumberFormat="1">
      <alignment readingOrder="0"/>
    </xf>
    <xf borderId="22" fillId="20" fontId="35" numFmtId="175" xfId="0" applyAlignment="1" applyBorder="1" applyFont="1" applyNumberFormat="1">
      <alignment readingOrder="0"/>
    </xf>
    <xf borderId="22" fillId="20" fontId="21" numFmtId="164" xfId="0" applyAlignment="1" applyBorder="1" applyFont="1" applyNumberFormat="1">
      <alignment readingOrder="0"/>
    </xf>
    <xf borderId="22" fillId="30" fontId="35" numFmtId="186" xfId="0" applyAlignment="1" applyBorder="1" applyFont="1" applyNumberFormat="1">
      <alignment readingOrder="0"/>
    </xf>
    <xf borderId="22" fillId="20" fontId="36" numFmtId="0" xfId="0" applyAlignment="1" applyBorder="1" applyFont="1">
      <alignment horizontal="center" readingOrder="0"/>
    </xf>
    <xf borderId="22" fillId="0" fontId="35" numFmtId="173" xfId="0" applyAlignment="1" applyBorder="1" applyFont="1" applyNumberFormat="1">
      <alignment readingOrder="0"/>
    </xf>
    <xf borderId="22" fillId="0" fontId="21" numFmtId="164" xfId="0" applyAlignment="1" applyBorder="1" applyFont="1" applyNumberFormat="1">
      <alignment readingOrder="0"/>
    </xf>
    <xf borderId="22" fillId="20" fontId="25" numFmtId="0" xfId="0" applyAlignment="1" applyBorder="1" applyFont="1">
      <alignment readingOrder="0"/>
    </xf>
    <xf borderId="22" fillId="7" fontId="35" numFmtId="185" xfId="0" applyAlignment="1" applyBorder="1" applyFont="1" applyNumberFormat="1">
      <alignment readingOrder="0"/>
    </xf>
    <xf borderId="22" fillId="7" fontId="25" numFmtId="0" xfId="0" applyAlignment="1" applyBorder="1" applyFont="1">
      <alignment readingOrder="0"/>
    </xf>
    <xf borderId="22" fillId="7" fontId="21" numFmtId="173" xfId="0" applyAlignment="1" applyBorder="1" applyFont="1" applyNumberFormat="1">
      <alignment readingOrder="0"/>
    </xf>
    <xf borderId="22" fillId="20" fontId="21" numFmtId="173" xfId="0" applyAlignment="1" applyBorder="1" applyFont="1" applyNumberFormat="1">
      <alignment readingOrder="0"/>
    </xf>
    <xf borderId="22" fillId="20" fontId="35" numFmtId="173" xfId="0" applyBorder="1" applyFont="1" applyNumberFormat="1"/>
    <xf borderId="22" fillId="7" fontId="5" numFmtId="0" xfId="0" applyAlignment="1" applyBorder="1" applyFont="1">
      <alignment readingOrder="0"/>
    </xf>
    <xf borderId="22" fillId="7" fontId="5" numFmtId="165" xfId="0" applyAlignment="1" applyBorder="1" applyFont="1" applyNumberFormat="1">
      <alignment readingOrder="0"/>
    </xf>
    <xf borderId="22" fillId="20" fontId="5" numFmtId="0" xfId="0" applyAlignment="1" applyBorder="1" applyFont="1">
      <alignment readingOrder="0"/>
    </xf>
    <xf borderId="22" fillId="20" fontId="5" numFmtId="165" xfId="0" applyAlignment="1" applyBorder="1" applyFont="1" applyNumberFormat="1">
      <alignment readingOrder="0"/>
    </xf>
    <xf borderId="22" fillId="20" fontId="5" numFmtId="165" xfId="0" applyBorder="1" applyFont="1" applyNumberFormat="1"/>
    <xf borderId="22" fillId="20" fontId="35" numFmtId="0" xfId="0" applyBorder="1" applyFont="1"/>
    <xf borderId="22" fillId="7" fontId="35" numFmtId="187" xfId="0" applyAlignment="1" applyBorder="1" applyFont="1" applyNumberFormat="1">
      <alignment readingOrder="0"/>
    </xf>
    <xf borderId="22" fillId="20" fontId="35" numFmtId="187" xfId="0" applyAlignment="1" applyBorder="1" applyFont="1" applyNumberFormat="1">
      <alignment readingOrder="0"/>
    </xf>
    <xf borderId="22" fillId="20" fontId="35" numFmtId="183" xfId="0" applyAlignment="1" applyBorder="1" applyFont="1" applyNumberFormat="1">
      <alignment readingOrder="0"/>
    </xf>
    <xf borderId="22" fillId="20" fontId="24" numFmtId="0" xfId="0" applyAlignment="1" applyBorder="1" applyFont="1">
      <alignment readingOrder="0"/>
    </xf>
    <xf borderId="22" fillId="30" fontId="35" numFmtId="187" xfId="0" applyAlignment="1" applyBorder="1" applyFont="1" applyNumberFormat="1">
      <alignment readingOrder="0"/>
    </xf>
    <xf borderId="22" fillId="20" fontId="27" numFmtId="173" xfId="0" applyAlignment="1" applyBorder="1" applyFont="1" applyNumberFormat="1">
      <alignment readingOrder="0"/>
    </xf>
    <xf borderId="22" fillId="7" fontId="1" numFmtId="0" xfId="0" applyAlignment="1" applyBorder="1" applyFont="1">
      <alignment horizontal="center" readingOrder="0"/>
    </xf>
    <xf borderId="22" fillId="7" fontId="35" numFmtId="183" xfId="0" applyAlignment="1" applyBorder="1" applyFont="1" applyNumberFormat="1">
      <alignment readingOrder="0"/>
    </xf>
    <xf borderId="22" fillId="2" fontId="35" numFmtId="187" xfId="0" applyAlignment="1" applyBorder="1" applyFont="1" applyNumberFormat="1">
      <alignment readingOrder="0"/>
    </xf>
    <xf borderId="22" fillId="20" fontId="24" numFmtId="187" xfId="0" applyAlignment="1" applyBorder="1" applyFont="1" applyNumberFormat="1">
      <alignment horizontal="left" readingOrder="0"/>
    </xf>
    <xf borderId="22" fillId="7" fontId="24" numFmtId="0" xfId="0" applyAlignment="1" applyBorder="1" applyFont="1">
      <alignment readingOrder="0"/>
    </xf>
    <xf borderId="22" fillId="7" fontId="35" numFmtId="0" xfId="0" applyBorder="1" applyFont="1"/>
    <xf borderId="22" fillId="20" fontId="17" numFmtId="0" xfId="0" applyAlignment="1" applyBorder="1" applyFont="1">
      <alignment readingOrder="0"/>
    </xf>
    <xf borderId="22" fillId="20" fontId="14" numFmtId="165" xfId="0" applyAlignment="1" applyBorder="1" applyFont="1" applyNumberFormat="1">
      <alignment horizontal="right" readingOrder="0"/>
    </xf>
    <xf borderId="22" fillId="20" fontId="14" numFmtId="165" xfId="0" applyAlignment="1" applyBorder="1" applyFont="1" applyNumberFormat="1">
      <alignment horizontal="right"/>
    </xf>
    <xf borderId="22" fillId="20" fontId="16" numFmtId="0" xfId="0" applyAlignment="1" applyBorder="1" applyFont="1">
      <alignment horizontal="left" readingOrder="0"/>
    </xf>
    <xf borderId="22" fillId="20" fontId="16" numFmtId="165" xfId="0" applyAlignment="1" applyBorder="1" applyFont="1" applyNumberFormat="1">
      <alignment horizontal="right" readingOrder="0"/>
    </xf>
    <xf borderId="22" fillId="20" fontId="16" numFmtId="165" xfId="0" applyAlignment="1" applyBorder="1" applyFont="1" applyNumberFormat="1">
      <alignment horizontal="right"/>
    </xf>
    <xf borderId="22" fillId="7" fontId="16" numFmtId="0" xfId="0" applyAlignment="1" applyBorder="1" applyFont="1">
      <alignment horizontal="left" readingOrder="0"/>
    </xf>
    <xf borderId="22" fillId="7" fontId="16" numFmtId="165" xfId="0" applyAlignment="1" applyBorder="1" applyFont="1" applyNumberFormat="1">
      <alignment horizontal="right"/>
    </xf>
    <xf borderId="22" fillId="20" fontId="21" numFmtId="0" xfId="0" applyAlignment="1" applyBorder="1" applyFont="1">
      <alignment readingOrder="0"/>
    </xf>
    <xf borderId="22" fillId="20" fontId="35" numFmtId="164" xfId="0" applyAlignment="1" applyBorder="1" applyFont="1" applyNumberFormat="1">
      <alignment readingOrder="0"/>
    </xf>
    <xf borderId="22" fillId="2" fontId="21" numFmtId="164" xfId="0" applyAlignment="1" applyBorder="1" applyFont="1" applyNumberFormat="1">
      <alignment readingOrder="0"/>
    </xf>
    <xf borderId="22" fillId="2" fontId="35" numFmtId="0" xfId="0" applyAlignment="1" applyBorder="1" applyFont="1">
      <alignment readingOrder="0"/>
    </xf>
    <xf borderId="22" fillId="20" fontId="35" numFmtId="183" xfId="0" applyAlignment="1" applyBorder="1" applyFont="1" applyNumberFormat="1">
      <alignment readingOrder="0" textRotation="0"/>
    </xf>
    <xf borderId="0" fillId="20" fontId="24" numFmtId="0" xfId="0" applyAlignment="1" applyFont="1">
      <alignment readingOrder="0"/>
    </xf>
    <xf borderId="22" fillId="2" fontId="35" numFmtId="183" xfId="0" applyAlignment="1" applyBorder="1" applyFont="1" applyNumberFormat="1">
      <alignment readingOrder="0" textRotation="0"/>
    </xf>
    <xf borderId="22" fillId="2" fontId="35" numFmtId="173" xfId="0" applyAlignment="1" applyBorder="1" applyFont="1" applyNumberFormat="1">
      <alignment readingOrder="0"/>
    </xf>
    <xf borderId="22" fillId="2" fontId="37" numFmtId="0" xfId="0" applyAlignment="1" applyBorder="1" applyFont="1">
      <alignment readingOrder="0"/>
    </xf>
    <xf borderId="22" fillId="2" fontId="21" numFmtId="164" xfId="0" applyBorder="1" applyFont="1" applyNumberFormat="1"/>
    <xf borderId="0" fillId="2" fontId="21" numFmtId="0" xfId="0" applyFont="1"/>
    <xf borderId="23" fillId="2" fontId="33" numFmtId="172" xfId="0" applyAlignment="1" applyBorder="1" applyFont="1" applyNumberFormat="1">
      <alignment horizontal="center" readingOrder="0" shrinkToFit="0" vertical="center" wrapText="1"/>
    </xf>
    <xf borderId="22" fillId="2" fontId="35" numFmtId="183" xfId="0" applyAlignment="1" applyBorder="1" applyFont="1" applyNumberFormat="1">
      <alignment readingOrder="0"/>
    </xf>
    <xf borderId="27" fillId="2" fontId="35" numFmtId="175" xfId="0" applyBorder="1" applyFont="1" applyNumberFormat="1"/>
    <xf borderId="0" fillId="0" fontId="35" numFmtId="0" xfId="0" applyAlignment="1" applyFont="1">
      <alignment horizontal="center"/>
    </xf>
    <xf borderId="27" fillId="2" fontId="36" numFmtId="0" xfId="0" applyAlignment="1" applyBorder="1" applyFont="1">
      <alignment horizontal="center"/>
    </xf>
    <xf borderId="0" fillId="0" fontId="35" numFmtId="173" xfId="0" applyFont="1" applyNumberFormat="1"/>
    <xf borderId="0" fillId="0" fontId="37" numFmtId="0" xfId="0" applyFont="1"/>
    <xf borderId="0" fillId="0" fontId="21" numFmtId="164" xfId="0" applyFont="1" applyNumberFormat="1"/>
    <xf borderId="28" fillId="30" fontId="51" numFmtId="0" xfId="0" applyAlignment="1" applyBorder="1" applyFont="1">
      <alignment horizontal="center"/>
    </xf>
    <xf borderId="29" fillId="0" fontId="11" numFmtId="0" xfId="0" applyBorder="1" applyFont="1"/>
    <xf borderId="15" fillId="0" fontId="11" numFmtId="0" xfId="0" applyBorder="1" applyFont="1"/>
    <xf borderId="30" fillId="0" fontId="11" numFmtId="0" xfId="0" applyBorder="1" applyFont="1"/>
    <xf borderId="31" fillId="0" fontId="11" numFmtId="0" xfId="0" applyBorder="1" applyFont="1"/>
    <xf borderId="32" fillId="0" fontId="11" numFmtId="0" xfId="0" applyBorder="1" applyFont="1"/>
    <xf borderId="0" fillId="0" fontId="52" numFmtId="0" xfId="0" applyAlignment="1" applyFont="1">
      <alignment horizontal="center"/>
    </xf>
    <xf borderId="33" fillId="0" fontId="53" numFmtId="0" xfId="0" applyAlignment="1" applyBorder="1" applyFont="1">
      <alignment horizontal="center"/>
    </xf>
    <xf borderId="34" fillId="0" fontId="11" numFmtId="0" xfId="0" applyBorder="1" applyFont="1"/>
    <xf borderId="35" fillId="0" fontId="11" numFmtId="0" xfId="0" applyBorder="1" applyFont="1"/>
    <xf borderId="36" fillId="0" fontId="54" numFmtId="0" xfId="0" applyBorder="1" applyFont="1"/>
    <xf borderId="32" fillId="0" fontId="55" numFmtId="188" xfId="0" applyBorder="1" applyFont="1" applyNumberFormat="1"/>
    <xf borderId="32" fillId="0" fontId="55" numFmtId="189" xfId="0" applyAlignment="1" applyBorder="1" applyFont="1" applyNumberFormat="1">
      <alignment readingOrder="0"/>
    </xf>
    <xf borderId="32" fillId="0" fontId="55" numFmtId="0" xfId="0" applyAlignment="1" applyBorder="1" applyFont="1">
      <alignment readingOrder="0"/>
    </xf>
    <xf borderId="32" fillId="0" fontId="55" numFmtId="172" xfId="0" applyAlignment="1" applyBorder="1" applyFont="1" applyNumberFormat="1">
      <alignment readingOrder="0"/>
    </xf>
    <xf borderId="32" fillId="0" fontId="55" numFmtId="0" xfId="0" applyBorder="1" applyFont="1"/>
    <xf borderId="37" fillId="0" fontId="55" numFmtId="0" xfId="0" applyBorder="1" applyFont="1"/>
    <xf borderId="36" fillId="0" fontId="55" numFmtId="0" xfId="0" applyBorder="1" applyFont="1"/>
    <xf borderId="32" fillId="0" fontId="55" numFmtId="190" xfId="0" applyAlignment="1" applyBorder="1" applyFont="1" applyNumberFormat="1">
      <alignment horizontal="right"/>
    </xf>
    <xf borderId="32" fillId="0" fontId="55" numFmtId="190" xfId="0" applyAlignment="1" applyBorder="1" applyFont="1" applyNumberFormat="1">
      <alignment horizontal="right" readingOrder="0"/>
    </xf>
    <xf borderId="37" fillId="0" fontId="55" numFmtId="190" xfId="0" applyAlignment="1" applyBorder="1" applyFont="1" applyNumberFormat="1">
      <alignment horizontal="right"/>
    </xf>
    <xf borderId="38" fillId="0" fontId="55" numFmtId="0" xfId="0" applyBorder="1" applyFont="1"/>
    <xf borderId="39" fillId="0" fontId="55" numFmtId="190" xfId="0" applyAlignment="1" applyBorder="1" applyFont="1" applyNumberFormat="1">
      <alignment horizontal="right"/>
    </xf>
    <xf borderId="40" fillId="0" fontId="55" numFmtId="190" xfId="0" applyAlignment="1" applyBorder="1" applyFont="1" applyNumberFormat="1">
      <alignment horizontal="right"/>
    </xf>
    <xf borderId="0" fillId="0" fontId="54" numFmtId="0" xfId="0" applyFont="1"/>
    <xf borderId="32" fillId="0" fontId="56" numFmtId="172" xfId="0" applyAlignment="1" applyBorder="1" applyFont="1" applyNumberFormat="1">
      <alignment horizontal="right" readingOrder="0" vertical="bottom"/>
    </xf>
    <xf borderId="32" fillId="0" fontId="56" numFmtId="190" xfId="0" applyAlignment="1" applyBorder="1" applyFont="1" applyNumberFormat="1">
      <alignment horizontal="right" readingOrder="0" vertical="bottom"/>
    </xf>
    <xf borderId="39" fillId="0" fontId="56" numFmtId="190" xfId="0" applyAlignment="1" applyBorder="1" applyFont="1" applyNumberFormat="1">
      <alignment horizontal="right" vertical="bottom"/>
    </xf>
    <xf borderId="2" fillId="0" fontId="8" numFmtId="164" xfId="0" applyAlignment="1" applyBorder="1" applyFont="1" applyNumberFormat="1">
      <alignment horizontal="right" vertical="bottom"/>
    </xf>
    <xf borderId="2" fillId="0" fontId="7" numFmtId="165" xfId="0" applyAlignment="1" applyBorder="1" applyFont="1" applyNumberFormat="1">
      <alignment horizontal="right"/>
    </xf>
    <xf borderId="2" fillId="0" fontId="7" numFmtId="164" xfId="0" applyAlignment="1" applyBorder="1" applyFont="1" applyNumberFormat="1">
      <alignment horizontal="right" vertical="bottom"/>
    </xf>
    <xf borderId="3" fillId="0" fontId="9" numFmtId="165" xfId="0" applyAlignment="1" applyBorder="1" applyFont="1" applyNumberFormat="1">
      <alignment horizontal="right" vertical="bottom"/>
    </xf>
    <xf borderId="3" fillId="0" fontId="7" numFmtId="10" xfId="0" applyAlignment="1" applyBorder="1" applyFont="1" applyNumberFormat="1">
      <alignment horizontal="right" vertical="bottom"/>
    </xf>
    <xf borderId="3" fillId="0" fontId="9" numFmtId="10" xfId="0" applyAlignment="1" applyBorder="1" applyFont="1" applyNumberFormat="1">
      <alignment horizontal="right"/>
    </xf>
    <xf borderId="22" fillId="0" fontId="57" numFmtId="187" xfId="0" applyAlignment="1" applyBorder="1" applyFont="1" applyNumberFormat="1">
      <alignment horizontal="center" readingOrder="0"/>
    </xf>
    <xf borderId="22" fillId="0" fontId="57" numFmtId="0" xfId="0" applyAlignment="1" applyBorder="1" applyFont="1">
      <alignment horizontal="center" readingOrder="0"/>
    </xf>
    <xf borderId="22" fillId="0" fontId="58" numFmtId="164" xfId="0" applyAlignment="1" applyBorder="1" applyFont="1" applyNumberFormat="1">
      <alignment horizontal="center" readingOrder="0" shrinkToFit="0" wrapText="1"/>
    </xf>
    <xf borderId="22" fillId="0" fontId="58" numFmtId="164" xfId="0" applyAlignment="1" applyBorder="1" applyFont="1" applyNumberFormat="1">
      <alignment horizontal="center" shrinkToFit="0" wrapText="1"/>
    </xf>
    <xf borderId="22" fillId="0" fontId="59" numFmtId="164" xfId="0" applyAlignment="1" applyBorder="1" applyFont="1" applyNumberFormat="1">
      <alignment horizontal="center" readingOrder="0" shrinkToFit="0" wrapText="1"/>
    </xf>
    <xf borderId="22" fillId="0" fontId="58" numFmtId="164" xfId="0" applyAlignment="1" applyBorder="1" applyFont="1" applyNumberFormat="1">
      <alignment horizontal="center" shrinkToFit="0" wrapText="1"/>
    </xf>
    <xf borderId="22" fillId="0" fontId="58" numFmtId="164" xfId="0" applyAlignment="1" applyBorder="1" applyFont="1" applyNumberFormat="1">
      <alignment horizontal="center" readingOrder="0" shrinkToFit="0" wrapText="1"/>
    </xf>
    <xf borderId="22" fillId="0" fontId="57" numFmtId="0" xfId="0" applyAlignment="1" applyBorder="1" applyFont="1">
      <alignment readingOrder="0" vertical="bottom"/>
    </xf>
    <xf borderId="0" fillId="0" fontId="59" numFmtId="0" xfId="0" applyAlignment="1" applyFont="1">
      <alignment readingOrder="0" vertical="bottom"/>
    </xf>
    <xf borderId="0" fillId="0" fontId="59" numFmtId="0" xfId="0" applyAlignment="1" applyFont="1">
      <alignment horizontal="center" readingOrder="0" vertical="center"/>
    </xf>
    <xf borderId="0" fillId="0" fontId="59" numFmtId="0" xfId="0" applyAlignment="1" applyFont="1">
      <alignment vertical="bottom"/>
    </xf>
    <xf borderId="22" fillId="31" fontId="59" numFmtId="187" xfId="0" applyAlignment="1" applyBorder="1" applyFill="1" applyFont="1" applyNumberFormat="1">
      <alignment horizontal="center" readingOrder="0" vertical="bottom"/>
    </xf>
    <xf borderId="22" fillId="31" fontId="59" numFmtId="191" xfId="0" applyAlignment="1" applyBorder="1" applyFont="1" applyNumberFormat="1">
      <alignment horizontal="center" readingOrder="0"/>
    </xf>
    <xf borderId="22" fillId="31" fontId="59" numFmtId="0" xfId="0" applyAlignment="1" applyBorder="1" applyFont="1">
      <alignment horizontal="center" vertical="bottom"/>
    </xf>
    <xf borderId="22" fillId="31" fontId="59" numFmtId="165" xfId="0" applyAlignment="1" applyBorder="1" applyFont="1" applyNumberFormat="1">
      <alignment readingOrder="0" vertical="bottom"/>
    </xf>
    <xf borderId="22" fillId="31" fontId="59" numFmtId="167" xfId="0" applyAlignment="1" applyBorder="1" applyFont="1" applyNumberFormat="1">
      <alignment horizontal="center" readingOrder="0"/>
    </xf>
    <xf borderId="22" fillId="31" fontId="59" numFmtId="10" xfId="0" applyAlignment="1" applyBorder="1" applyFont="1" applyNumberFormat="1">
      <alignment horizontal="center"/>
    </xf>
    <xf borderId="22" fillId="31" fontId="59" numFmtId="164" xfId="0" applyAlignment="1" applyBorder="1" applyFont="1" applyNumberFormat="1">
      <alignment horizontal="center"/>
    </xf>
    <xf borderId="22" fillId="31" fontId="59" numFmtId="166" xfId="0" applyAlignment="1" applyBorder="1" applyFont="1" applyNumberFormat="1">
      <alignment horizontal="center"/>
    </xf>
    <xf borderId="22" fillId="31" fontId="59" numFmtId="168" xfId="0" applyAlignment="1" applyBorder="1" applyFont="1" applyNumberFormat="1">
      <alignment horizontal="center"/>
    </xf>
    <xf borderId="22" fillId="12" fontId="60" numFmtId="164" xfId="0" applyAlignment="1" applyBorder="1" applyFont="1" applyNumberFormat="1">
      <alignment horizontal="center" readingOrder="0"/>
    </xf>
    <xf borderId="22" fillId="31" fontId="60" numFmtId="164" xfId="0" applyAlignment="1" applyBorder="1" applyFont="1" applyNumberFormat="1">
      <alignment horizontal="center"/>
    </xf>
    <xf borderId="22" fillId="31" fontId="59" numFmtId="164" xfId="0" applyAlignment="1" applyBorder="1" applyFont="1" applyNumberFormat="1">
      <alignment readingOrder="0" vertical="bottom"/>
    </xf>
    <xf borderId="22" fillId="31" fontId="59" numFmtId="164" xfId="0" applyAlignment="1" applyBorder="1" applyFont="1" applyNumberFormat="1">
      <alignment vertical="bottom"/>
    </xf>
    <xf borderId="22" fillId="29" fontId="59" numFmtId="164" xfId="0" applyAlignment="1" applyBorder="1" applyFont="1" applyNumberFormat="1">
      <alignment horizontal="center"/>
    </xf>
    <xf borderId="22" fillId="31" fontId="59" numFmtId="0" xfId="0" applyAlignment="1" applyBorder="1" applyFont="1">
      <alignment horizontal="center" readingOrder="0" vertical="bottom"/>
    </xf>
    <xf borderId="22" fillId="31" fontId="59" numFmtId="0" xfId="0" applyAlignment="1" applyBorder="1" applyFont="1">
      <alignment readingOrder="0" shrinkToFit="0" vertical="bottom" wrapText="1"/>
    </xf>
    <xf borderId="22" fillId="29" fontId="59" numFmtId="0" xfId="0" applyAlignment="1" applyBorder="1" applyFont="1">
      <alignment readingOrder="0" vertical="bottom"/>
    </xf>
    <xf borderId="22" fillId="31" fontId="59" numFmtId="0" xfId="0" applyAlignment="1" applyBorder="1" applyFont="1">
      <alignment readingOrder="0" vertical="bottom"/>
    </xf>
    <xf borderId="23" fillId="0" fontId="59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22" fillId="31" fontId="59" numFmtId="164" xfId="0" applyAlignment="1" applyBorder="1" applyFont="1" applyNumberFormat="1">
      <alignment horizontal="center" vertical="bottom"/>
    </xf>
    <xf borderId="22" fillId="31" fontId="59" numFmtId="165" xfId="0" applyAlignment="1" applyBorder="1" applyFont="1" applyNumberFormat="1">
      <alignment vertical="bottom"/>
    </xf>
    <xf borderId="22" fillId="31" fontId="58" numFmtId="164" xfId="0" applyAlignment="1" applyBorder="1" applyFont="1" applyNumberFormat="1">
      <alignment horizontal="center" readingOrder="0"/>
    </xf>
    <xf borderId="22" fillId="31" fontId="59" numFmtId="0" xfId="0" applyAlignment="1" applyBorder="1" applyFont="1">
      <alignment vertical="bottom"/>
    </xf>
    <xf borderId="22" fillId="31" fontId="59" numFmtId="0" xfId="0" applyAlignment="1" applyBorder="1" applyFont="1">
      <alignment vertical="bottom"/>
    </xf>
    <xf borderId="22" fillId="31" fontId="59" numFmtId="164" xfId="0" applyAlignment="1" applyBorder="1" applyFont="1" applyNumberFormat="1">
      <alignment horizontal="right" vertical="bottom"/>
    </xf>
    <xf borderId="23" fillId="0" fontId="59" numFmtId="0" xfId="0" applyAlignment="1" applyBorder="1" applyFont="1">
      <alignment horizontal="center" vertical="bottom"/>
    </xf>
    <xf borderId="22" fillId="31" fontId="58" numFmtId="164" xfId="0" applyAlignment="1" applyBorder="1" applyFont="1" applyNumberFormat="1">
      <alignment horizontal="center"/>
    </xf>
    <xf borderId="22" fillId="29" fontId="5" numFmtId="0" xfId="0" applyAlignment="1" applyBorder="1" applyFont="1">
      <alignment vertical="bottom"/>
    </xf>
    <xf borderId="22" fillId="0" fontId="59" numFmtId="0" xfId="0" applyAlignment="1" applyBorder="1" applyFont="1">
      <alignment vertical="bottom"/>
    </xf>
    <xf borderId="22" fillId="9" fontId="5" numFmtId="0" xfId="0" applyAlignment="1" applyBorder="1" applyFont="1">
      <alignment vertical="bottom"/>
    </xf>
    <xf borderId="22" fillId="0" fontId="59" numFmtId="0" xfId="0" applyAlignment="1" applyBorder="1" applyFont="1">
      <alignment vertical="bottom"/>
    </xf>
    <xf borderId="22" fillId="0" fontId="59" numFmtId="164" xfId="0" applyAlignment="1" applyBorder="1" applyFont="1" applyNumberFormat="1">
      <alignment horizontal="right" vertical="bottom"/>
    </xf>
    <xf borderId="22" fillId="0" fontId="5" numFmtId="0" xfId="0" applyAlignment="1" applyBorder="1" applyFont="1">
      <alignment vertical="bottom"/>
    </xf>
    <xf borderId="22" fillId="32" fontId="5" numFmtId="0" xfId="0" applyAlignment="1" applyBorder="1" applyFill="1" applyFont="1">
      <alignment vertical="bottom"/>
    </xf>
    <xf borderId="22" fillId="31" fontId="59" numFmtId="0" xfId="0" applyAlignment="1" applyBorder="1" applyFont="1">
      <alignment horizontal="center" shrinkToFit="0" vertical="bottom" wrapText="1"/>
    </xf>
    <xf borderId="22" fillId="33" fontId="5" numFmtId="0" xfId="0" applyAlignment="1" applyBorder="1" applyFill="1" applyFont="1">
      <alignment vertical="bottom"/>
    </xf>
    <xf borderId="22" fillId="31" fontId="5" numFmtId="0" xfId="0" applyAlignment="1" applyBorder="1" applyFont="1">
      <alignment vertical="bottom"/>
    </xf>
    <xf borderId="22" fillId="34" fontId="5" numFmtId="0" xfId="0" applyAlignment="1" applyBorder="1" applyFill="1" applyFont="1">
      <alignment vertical="bottom"/>
    </xf>
    <xf borderId="0" fillId="31" fontId="59" numFmtId="187" xfId="0" applyAlignment="1" applyFont="1" applyNumberFormat="1">
      <alignment horizontal="center" readingOrder="0" vertical="bottom"/>
    </xf>
    <xf borderId="22" fillId="31" fontId="59" numFmtId="164" xfId="0" applyAlignment="1" applyBorder="1" applyFont="1" applyNumberFormat="1">
      <alignment horizontal="center" shrinkToFit="0" vertical="bottom" wrapText="1"/>
    </xf>
    <xf borderId="22" fillId="19" fontId="5" numFmtId="0" xfId="0" applyAlignment="1" applyBorder="1" applyFont="1">
      <alignment vertical="bottom"/>
    </xf>
    <xf borderId="0" fillId="0" fontId="59" numFmtId="164" xfId="0" applyAlignment="1" applyFont="1" applyNumberFormat="1">
      <alignment horizontal="right" vertical="bottom"/>
    </xf>
    <xf borderId="22" fillId="31" fontId="59" numFmtId="187" xfId="0" applyAlignment="1" applyBorder="1" applyFont="1" applyNumberFormat="1">
      <alignment horizontal="center" vertical="bottom"/>
    </xf>
    <xf borderId="22" fillId="31" fontId="58" numFmtId="164" xfId="0" applyAlignment="1" applyBorder="1" applyFont="1" applyNumberFormat="1">
      <alignment horizontal="center" readingOrder="0"/>
    </xf>
    <xf borderId="0" fillId="0" fontId="5" numFmtId="164" xfId="0" applyAlignment="1" applyFont="1" applyNumberFormat="1">
      <alignment vertical="bottom"/>
    </xf>
    <xf borderId="22" fillId="31" fontId="59" numFmtId="164" xfId="0" applyAlignment="1" applyBorder="1" applyFont="1" applyNumberFormat="1">
      <alignment horizontal="center" readingOrder="0" shrinkToFit="0" vertical="bottom" wrapText="1"/>
    </xf>
    <xf borderId="0" fillId="0" fontId="59" numFmtId="164" xfId="0" applyAlignment="1" applyFont="1" applyNumberFormat="1">
      <alignment vertical="bottom"/>
    </xf>
    <xf borderId="22" fillId="31" fontId="59" numFmtId="0" xfId="0" applyAlignment="1" applyBorder="1" applyFont="1">
      <alignment horizontal="center" readingOrder="0" shrinkToFit="0" vertical="bottom" wrapText="1"/>
    </xf>
    <xf borderId="0" fillId="0" fontId="59" numFmtId="164" xfId="0" applyAlignment="1" applyFont="1" applyNumberFormat="1">
      <alignment readingOrder="0" vertical="bottom"/>
    </xf>
    <xf borderId="22" fillId="31" fontId="59" numFmtId="164" xfId="0" applyAlignment="1" applyBorder="1" applyFont="1" applyNumberFormat="1">
      <alignment horizontal="center" readingOrder="0" vertical="bottom"/>
    </xf>
    <xf borderId="22" fillId="31" fontId="59" numFmtId="186" xfId="0" applyAlignment="1" applyBorder="1" applyFont="1" applyNumberFormat="1">
      <alignment horizontal="center" readingOrder="0" vertical="bottom"/>
    </xf>
    <xf borderId="22" fillId="35" fontId="59" numFmtId="187" xfId="0" applyAlignment="1" applyBorder="1" applyFill="1" applyFont="1" applyNumberFormat="1">
      <alignment horizontal="center" readingOrder="0" vertical="bottom"/>
    </xf>
    <xf borderId="22" fillId="35" fontId="59" numFmtId="191" xfId="0" applyAlignment="1" applyBorder="1" applyFont="1" applyNumberFormat="1">
      <alignment horizontal="center" readingOrder="0"/>
    </xf>
    <xf borderId="22" fillId="35" fontId="59" numFmtId="0" xfId="0" applyAlignment="1" applyBorder="1" applyFont="1">
      <alignment horizontal="center" vertical="bottom"/>
    </xf>
    <xf borderId="22" fillId="35" fontId="59" numFmtId="0" xfId="0" applyAlignment="1" applyBorder="1" applyFont="1">
      <alignment horizontal="center" readingOrder="0" vertical="bottom"/>
    </xf>
    <xf borderId="22" fillId="35" fontId="59" numFmtId="165" xfId="0" applyAlignment="1" applyBorder="1" applyFont="1" applyNumberFormat="1">
      <alignment vertical="bottom"/>
    </xf>
    <xf borderId="22" fillId="35" fontId="59" numFmtId="167" xfId="0" applyAlignment="1" applyBorder="1" applyFont="1" applyNumberFormat="1">
      <alignment horizontal="center" readingOrder="0"/>
    </xf>
    <xf borderId="22" fillId="35" fontId="59" numFmtId="10" xfId="0" applyAlignment="1" applyBorder="1" applyFont="1" applyNumberFormat="1">
      <alignment horizontal="center"/>
    </xf>
    <xf borderId="22" fillId="35" fontId="59" numFmtId="164" xfId="0" applyAlignment="1" applyBorder="1" applyFont="1" applyNumberFormat="1">
      <alignment horizontal="center"/>
    </xf>
    <xf borderId="22" fillId="35" fontId="59" numFmtId="166" xfId="0" applyAlignment="1" applyBorder="1" applyFont="1" applyNumberFormat="1">
      <alignment horizontal="center"/>
    </xf>
    <xf borderId="22" fillId="35" fontId="59" numFmtId="168" xfId="0" applyAlignment="1" applyBorder="1" applyFont="1" applyNumberFormat="1">
      <alignment horizontal="center"/>
    </xf>
    <xf borderId="22" fillId="35" fontId="58" numFmtId="164" xfId="0" applyAlignment="1" applyBorder="1" applyFont="1" applyNumberFormat="1">
      <alignment horizontal="center" readingOrder="0"/>
    </xf>
    <xf borderId="22" fillId="35" fontId="58" numFmtId="164" xfId="0" applyAlignment="1" applyBorder="1" applyFont="1" applyNumberFormat="1">
      <alignment horizontal="center"/>
    </xf>
    <xf borderId="22" fillId="35" fontId="59" numFmtId="164" xfId="0" applyAlignment="1" applyBorder="1" applyFont="1" applyNumberFormat="1">
      <alignment readingOrder="0" vertical="bottom"/>
    </xf>
    <xf borderId="22" fillId="35" fontId="59" numFmtId="164" xfId="0" applyAlignment="1" applyBorder="1" applyFont="1" applyNumberFormat="1">
      <alignment vertical="bottom"/>
    </xf>
    <xf borderId="22" fillId="35" fontId="59" numFmtId="0" xfId="0" applyAlignment="1" applyBorder="1" applyFont="1">
      <alignment shrinkToFit="0" vertical="bottom" wrapText="1"/>
    </xf>
    <xf borderId="22" fillId="35" fontId="59" numFmtId="0" xfId="0" applyAlignment="1" applyBorder="1" applyFont="1">
      <alignment vertical="bottom"/>
    </xf>
    <xf borderId="0" fillId="35" fontId="59" numFmtId="0" xfId="0" applyAlignment="1" applyFont="1">
      <alignment vertical="bottom"/>
    </xf>
    <xf borderId="22" fillId="31" fontId="59" numFmtId="0" xfId="0" applyAlignment="1" applyBorder="1" applyFont="1">
      <alignment shrinkToFit="0" vertical="bottom" wrapText="1"/>
    </xf>
    <xf borderId="22" fillId="31" fontId="59" numFmtId="10" xfId="0" applyAlignment="1" applyBorder="1" applyFont="1" applyNumberFormat="1">
      <alignment horizontal="center" vertical="bottom"/>
    </xf>
    <xf borderId="22" fillId="29" fontId="59" numFmtId="187" xfId="0" applyAlignment="1" applyBorder="1" applyFont="1" applyNumberFormat="1">
      <alignment horizontal="center" readingOrder="0" vertical="bottom"/>
    </xf>
    <xf borderId="22" fillId="29" fontId="59" numFmtId="191" xfId="0" applyAlignment="1" applyBorder="1" applyFont="1" applyNumberFormat="1">
      <alignment horizontal="center" readingOrder="0"/>
    </xf>
    <xf borderId="22" fillId="29" fontId="59" numFmtId="164" xfId="0" applyAlignment="1" applyBorder="1" applyFont="1" applyNumberFormat="1">
      <alignment horizontal="center" vertical="bottom"/>
    </xf>
    <xf borderId="22" fillId="29" fontId="59" numFmtId="164" xfId="0" applyAlignment="1" applyBorder="1" applyFont="1" applyNumberFormat="1">
      <alignment horizontal="center" readingOrder="0" vertical="bottom"/>
    </xf>
    <xf borderId="22" fillId="29" fontId="59" numFmtId="165" xfId="0" applyAlignment="1" applyBorder="1" applyFont="1" applyNumberFormat="1">
      <alignment vertical="bottom"/>
    </xf>
    <xf borderId="22" fillId="29" fontId="59" numFmtId="167" xfId="0" applyAlignment="1" applyBorder="1" applyFont="1" applyNumberFormat="1">
      <alignment horizontal="center" readingOrder="0"/>
    </xf>
    <xf borderId="22" fillId="29" fontId="59" numFmtId="10" xfId="0" applyAlignment="1" applyBorder="1" applyFont="1" applyNumberFormat="1">
      <alignment horizontal="center"/>
    </xf>
    <xf borderId="22" fillId="29" fontId="59" numFmtId="166" xfId="0" applyAlignment="1" applyBorder="1" applyFont="1" applyNumberFormat="1">
      <alignment horizontal="center"/>
    </xf>
    <xf borderId="22" fillId="29" fontId="59" numFmtId="168" xfId="0" applyAlignment="1" applyBorder="1" applyFont="1" applyNumberFormat="1">
      <alignment horizontal="center"/>
    </xf>
    <xf borderId="22" fillId="29" fontId="58" numFmtId="164" xfId="0" applyAlignment="1" applyBorder="1" applyFont="1" applyNumberFormat="1">
      <alignment horizontal="center" readingOrder="0"/>
    </xf>
    <xf borderId="22" fillId="29" fontId="59" numFmtId="0" xfId="0" applyAlignment="1" applyBorder="1" applyFont="1">
      <alignment shrinkToFit="0" vertical="bottom" wrapText="1"/>
    </xf>
    <xf borderId="22" fillId="22" fontId="59" numFmtId="192" xfId="0" applyAlignment="1" applyBorder="1" applyFont="1" applyNumberFormat="1">
      <alignment horizontal="center" readingOrder="0"/>
    </xf>
    <xf borderId="22" fillId="22" fontId="59" numFmtId="187" xfId="0" applyAlignment="1" applyBorder="1" applyFont="1" applyNumberFormat="1">
      <alignment horizontal="center" readingOrder="0" vertical="bottom"/>
    </xf>
    <xf borderId="22" fillId="22" fontId="59" numFmtId="191" xfId="0" applyAlignment="1" applyBorder="1" applyFont="1" applyNumberFormat="1">
      <alignment horizontal="center" readingOrder="0"/>
    </xf>
    <xf borderId="22" fillId="22" fontId="59" numFmtId="0" xfId="0" applyAlignment="1" applyBorder="1" applyFont="1">
      <alignment horizontal="center" vertical="bottom"/>
    </xf>
    <xf borderId="22" fillId="22" fontId="59" numFmtId="0" xfId="0" applyAlignment="1" applyBorder="1" applyFont="1">
      <alignment horizontal="center" readingOrder="0" vertical="bottom"/>
    </xf>
    <xf borderId="22" fillId="22" fontId="59" numFmtId="165" xfId="0" applyAlignment="1" applyBorder="1" applyFont="1" applyNumberFormat="1">
      <alignment vertical="bottom"/>
    </xf>
    <xf borderId="22" fillId="22" fontId="59" numFmtId="167" xfId="0" applyAlignment="1" applyBorder="1" applyFont="1" applyNumberFormat="1">
      <alignment horizontal="center" readingOrder="0"/>
    </xf>
    <xf borderId="22" fillId="22" fontId="59" numFmtId="10" xfId="0" applyAlignment="1" applyBorder="1" applyFont="1" applyNumberFormat="1">
      <alignment horizontal="center"/>
    </xf>
    <xf borderId="22" fillId="22" fontId="59" numFmtId="164" xfId="0" applyAlignment="1" applyBorder="1" applyFont="1" applyNumberFormat="1">
      <alignment horizontal="center"/>
    </xf>
    <xf borderId="22" fillId="22" fontId="59" numFmtId="166" xfId="0" applyAlignment="1" applyBorder="1" applyFont="1" applyNumberFormat="1">
      <alignment horizontal="center"/>
    </xf>
    <xf borderId="22" fillId="22" fontId="59" numFmtId="168" xfId="0" applyAlignment="1" applyBorder="1" applyFont="1" applyNumberFormat="1">
      <alignment horizontal="center"/>
    </xf>
    <xf borderId="22" fillId="22" fontId="58" numFmtId="164" xfId="0" applyAlignment="1" applyBorder="1" applyFont="1" applyNumberFormat="1">
      <alignment horizontal="center" readingOrder="0"/>
    </xf>
    <xf borderId="22" fillId="22" fontId="58" numFmtId="164" xfId="0" applyAlignment="1" applyBorder="1" applyFont="1" applyNumberFormat="1">
      <alignment horizontal="center"/>
    </xf>
    <xf borderId="22" fillId="22" fontId="59" numFmtId="0" xfId="0" applyAlignment="1" applyBorder="1" applyFont="1">
      <alignment readingOrder="0" shrinkToFit="0" vertical="bottom" wrapText="1"/>
    </xf>
    <xf borderId="22" fillId="22" fontId="59" numFmtId="0" xfId="0" applyAlignment="1" applyBorder="1" applyFont="1">
      <alignment readingOrder="0" vertical="bottom"/>
    </xf>
    <xf borderId="22" fillId="22" fontId="59" numFmtId="0" xfId="0" applyAlignment="1" applyBorder="1" applyFont="1">
      <alignment vertical="bottom"/>
    </xf>
    <xf borderId="0" fillId="22" fontId="59" numFmtId="0" xfId="0" applyAlignment="1" applyFont="1">
      <alignment vertical="bottom"/>
    </xf>
    <xf borderId="22" fillId="29" fontId="59" numFmtId="0" xfId="0" applyAlignment="1" applyBorder="1" applyFont="1">
      <alignment horizontal="center" vertical="bottom"/>
    </xf>
    <xf borderId="22" fillId="29" fontId="59" numFmtId="0" xfId="0" applyAlignment="1" applyBorder="1" applyFont="1">
      <alignment horizontal="center" readingOrder="0" vertical="bottom"/>
    </xf>
    <xf borderId="22" fillId="29" fontId="58" numFmtId="164" xfId="0" applyAlignment="1" applyBorder="1" applyFont="1" applyNumberFormat="1">
      <alignment horizontal="center"/>
    </xf>
    <xf borderId="22" fillId="29" fontId="59" numFmtId="165" xfId="0" applyAlignment="1" applyBorder="1" applyFont="1" applyNumberFormat="1">
      <alignment horizontal="right" vertical="bottom"/>
    </xf>
    <xf borderId="22" fillId="29" fontId="59" numFmtId="0" xfId="0" applyAlignment="1" applyBorder="1" applyFont="1">
      <alignment readingOrder="0" shrinkToFit="0" vertical="bottom" wrapText="1"/>
    </xf>
    <xf borderId="22" fillId="29" fontId="59" numFmtId="164" xfId="0" applyAlignment="1" applyBorder="1" applyFont="1" applyNumberFormat="1">
      <alignment horizontal="center" readingOrder="0"/>
    </xf>
    <xf borderId="22" fillId="29" fontId="59" numFmtId="0" xfId="0" applyAlignment="1" applyBorder="1" applyFont="1">
      <alignment vertical="bottom"/>
    </xf>
    <xf borderId="22" fillId="29" fontId="59" numFmtId="192" xfId="0" applyAlignment="1" applyBorder="1" applyFont="1" applyNumberFormat="1">
      <alignment horizontal="center" readingOrder="0"/>
    </xf>
    <xf borderId="22" fillId="29" fontId="59" numFmtId="186" xfId="0" applyAlignment="1" applyBorder="1" applyFont="1" applyNumberFormat="1">
      <alignment horizontal="center" readingOrder="0" vertical="bottom"/>
    </xf>
    <xf borderId="22" fillId="0" fontId="59" numFmtId="0" xfId="0" applyAlignment="1" applyBorder="1" applyFont="1">
      <alignment readingOrder="0" vertical="bottom"/>
    </xf>
    <xf borderId="22" fillId="29" fontId="59" numFmtId="187" xfId="0" applyAlignment="1" applyBorder="1" applyFont="1" applyNumberFormat="1">
      <alignment horizontal="center" vertical="bottom"/>
    </xf>
    <xf borderId="22" fillId="12" fontId="59" numFmtId="187" xfId="0" applyAlignment="1" applyBorder="1" applyFont="1" applyNumberFormat="1">
      <alignment horizontal="center" readingOrder="0" vertical="bottom"/>
    </xf>
    <xf borderId="22" fillId="12" fontId="59" numFmtId="191" xfId="0" applyAlignment="1" applyBorder="1" applyFont="1" applyNumberFormat="1">
      <alignment horizontal="center" readingOrder="0"/>
    </xf>
    <xf borderId="22" fillId="12" fontId="59" numFmtId="164" xfId="0" applyAlignment="1" applyBorder="1" applyFont="1" applyNumberFormat="1">
      <alignment horizontal="center" vertical="bottom"/>
    </xf>
    <xf borderId="22" fillId="12" fontId="59" numFmtId="164" xfId="0" applyAlignment="1" applyBorder="1" applyFont="1" applyNumberFormat="1">
      <alignment horizontal="center" readingOrder="0" vertical="bottom"/>
    </xf>
    <xf borderId="22" fillId="12" fontId="59" numFmtId="165" xfId="0" applyAlignment="1" applyBorder="1" applyFont="1" applyNumberFormat="1">
      <alignment vertical="bottom"/>
    </xf>
    <xf borderId="22" fillId="12" fontId="59" numFmtId="167" xfId="0" applyAlignment="1" applyBorder="1" applyFont="1" applyNumberFormat="1">
      <alignment horizontal="center" readingOrder="0"/>
    </xf>
    <xf borderId="22" fillId="12" fontId="59" numFmtId="10" xfId="0" applyAlignment="1" applyBorder="1" applyFont="1" applyNumberFormat="1">
      <alignment horizontal="center"/>
    </xf>
    <xf borderId="22" fillId="12" fontId="59" numFmtId="164" xfId="0" applyAlignment="1" applyBorder="1" applyFont="1" applyNumberFormat="1">
      <alignment horizontal="center"/>
    </xf>
    <xf borderId="22" fillId="12" fontId="59" numFmtId="166" xfId="0" applyAlignment="1" applyBorder="1" applyFont="1" applyNumberFormat="1">
      <alignment horizontal="center"/>
    </xf>
    <xf borderId="22" fillId="12" fontId="59" numFmtId="168" xfId="0" applyAlignment="1" applyBorder="1" applyFont="1" applyNumberFormat="1">
      <alignment horizontal="center"/>
    </xf>
    <xf borderId="22" fillId="12" fontId="58" numFmtId="164" xfId="0" applyAlignment="1" applyBorder="1" applyFont="1" applyNumberFormat="1">
      <alignment horizontal="center" readingOrder="0"/>
    </xf>
    <xf borderId="22" fillId="12" fontId="59" numFmtId="0" xfId="0" applyAlignment="1" applyBorder="1" applyFont="1">
      <alignment shrinkToFit="0" vertical="bottom" wrapText="1"/>
    </xf>
    <xf borderId="22" fillId="12" fontId="59" numFmtId="0" xfId="0" applyAlignment="1" applyBorder="1" applyFont="1">
      <alignment readingOrder="0" vertical="bottom"/>
    </xf>
    <xf borderId="22" fillId="12" fontId="59" numFmtId="0" xfId="0" applyAlignment="1" applyBorder="1" applyFont="1">
      <alignment vertical="bottom"/>
    </xf>
    <xf borderId="0" fillId="12" fontId="59" numFmtId="0" xfId="0" applyAlignment="1" applyFont="1">
      <alignment vertical="bottom"/>
    </xf>
    <xf borderId="0" fillId="29" fontId="59" numFmtId="0" xfId="0" applyAlignment="1" applyFont="1">
      <alignment vertical="bottom"/>
    </xf>
    <xf borderId="22" fillId="12" fontId="59" numFmtId="187" xfId="0" applyAlignment="1" applyBorder="1" applyFont="1" applyNumberFormat="1">
      <alignment horizontal="center" vertical="bottom"/>
    </xf>
    <xf borderId="22" fillId="12" fontId="59" numFmtId="0" xfId="0" applyAlignment="1" applyBorder="1" applyFont="1">
      <alignment horizontal="center" vertical="bottom"/>
    </xf>
    <xf borderId="22" fillId="12" fontId="59" numFmtId="0" xfId="0" applyAlignment="1" applyBorder="1" applyFont="1">
      <alignment horizontal="center" readingOrder="0" vertical="bottom"/>
    </xf>
    <xf borderId="22" fillId="12" fontId="58" numFmtId="164" xfId="0" applyAlignment="1" applyBorder="1" applyFont="1" applyNumberFormat="1">
      <alignment horizontal="center"/>
    </xf>
    <xf borderId="22" fillId="29" fontId="59" numFmtId="10" xfId="0" applyAlignment="1" applyBorder="1" applyFont="1" applyNumberFormat="1">
      <alignment horizontal="center" vertical="bottom"/>
    </xf>
    <xf borderId="22" fillId="29" fontId="59" numFmtId="167" xfId="0" applyAlignment="1" applyBorder="1" applyFont="1" applyNumberFormat="1">
      <alignment horizontal="center"/>
    </xf>
    <xf borderId="22" fillId="29" fontId="59" numFmtId="164" xfId="0" applyAlignment="1" applyBorder="1" applyFont="1" applyNumberFormat="1">
      <alignment readingOrder="0" vertical="bottom"/>
    </xf>
    <xf borderId="22" fillId="29" fontId="59" numFmtId="164" xfId="0" applyAlignment="1" applyBorder="1" applyFont="1" applyNumberFormat="1">
      <alignment vertical="bottom"/>
    </xf>
    <xf borderId="22" fillId="33" fontId="59" numFmtId="187" xfId="0" applyAlignment="1" applyBorder="1" applyFont="1" applyNumberFormat="1">
      <alignment horizontal="center" vertical="bottom"/>
    </xf>
    <xf borderId="22" fillId="33" fontId="59" numFmtId="191" xfId="0" applyAlignment="1" applyBorder="1" applyFont="1" applyNumberFormat="1">
      <alignment horizontal="center" readingOrder="0"/>
    </xf>
    <xf borderId="22" fillId="33" fontId="59" numFmtId="164" xfId="0" applyAlignment="1" applyBorder="1" applyFont="1" applyNumberFormat="1">
      <alignment horizontal="center" vertical="bottom"/>
    </xf>
    <xf borderId="22" fillId="33" fontId="59" numFmtId="164" xfId="0" applyAlignment="1" applyBorder="1" applyFont="1" applyNumberFormat="1">
      <alignment horizontal="center" readingOrder="0" vertical="bottom"/>
    </xf>
    <xf borderId="22" fillId="33" fontId="59" numFmtId="165" xfId="0" applyAlignment="1" applyBorder="1" applyFont="1" applyNumberFormat="1">
      <alignment vertical="bottom"/>
    </xf>
    <xf borderId="22" fillId="33" fontId="59" numFmtId="167" xfId="0" applyAlignment="1" applyBorder="1" applyFont="1" applyNumberFormat="1">
      <alignment horizontal="center" readingOrder="0"/>
    </xf>
    <xf borderId="22" fillId="33" fontId="59" numFmtId="10" xfId="0" applyAlignment="1" applyBorder="1" applyFont="1" applyNumberFormat="1">
      <alignment horizontal="center"/>
    </xf>
    <xf borderId="22" fillId="33" fontId="59" numFmtId="164" xfId="0" applyAlignment="1" applyBorder="1" applyFont="1" applyNumberFormat="1">
      <alignment horizontal="center"/>
    </xf>
    <xf borderId="22" fillId="33" fontId="59" numFmtId="166" xfId="0" applyAlignment="1" applyBorder="1" applyFont="1" applyNumberFormat="1">
      <alignment horizontal="center"/>
    </xf>
    <xf borderId="22" fillId="33" fontId="59" numFmtId="168" xfId="0" applyAlignment="1" applyBorder="1" applyFont="1" applyNumberFormat="1">
      <alignment horizontal="center"/>
    </xf>
    <xf borderId="22" fillId="33" fontId="58" numFmtId="164" xfId="0" applyAlignment="1" applyBorder="1" applyFont="1" applyNumberFormat="1">
      <alignment horizontal="center"/>
    </xf>
    <xf borderId="22" fillId="33" fontId="59" numFmtId="164" xfId="0" applyAlignment="1" applyBorder="1" applyFont="1" applyNumberFormat="1">
      <alignment readingOrder="0" vertical="bottom"/>
    </xf>
    <xf borderId="22" fillId="33" fontId="59" numFmtId="164" xfId="0" applyAlignment="1" applyBorder="1" applyFont="1" applyNumberFormat="1">
      <alignment vertical="bottom"/>
    </xf>
    <xf borderId="22" fillId="33" fontId="59" numFmtId="0" xfId="0" applyAlignment="1" applyBorder="1" applyFont="1">
      <alignment shrinkToFit="0" vertical="bottom" wrapText="1"/>
    </xf>
    <xf borderId="22" fillId="33" fontId="59" numFmtId="0" xfId="0" applyAlignment="1" applyBorder="1" applyFont="1">
      <alignment readingOrder="0" vertical="bottom"/>
    </xf>
    <xf borderId="22" fillId="33" fontId="59" numFmtId="0" xfId="0" applyAlignment="1" applyBorder="1" applyFont="1">
      <alignment vertical="bottom"/>
    </xf>
    <xf borderId="22" fillId="33" fontId="59" numFmtId="187" xfId="0" applyAlignment="1" applyBorder="1" applyFont="1" applyNumberFormat="1">
      <alignment horizontal="center" readingOrder="0" vertical="bottom"/>
    </xf>
    <xf borderId="22" fillId="9" fontId="58" numFmtId="164" xfId="0" applyAlignment="1" applyBorder="1" applyFont="1" applyNumberFormat="1">
      <alignment horizontal="center"/>
    </xf>
    <xf borderId="22" fillId="29" fontId="59" numFmtId="165" xfId="0" applyAlignment="1" applyBorder="1" applyFont="1" applyNumberFormat="1">
      <alignment readingOrder="0" vertical="bottom"/>
    </xf>
    <xf borderId="22" fillId="29" fontId="59" numFmtId="175" xfId="0" applyAlignment="1" applyBorder="1" applyFont="1" applyNumberFormat="1">
      <alignment horizontal="center" readingOrder="0" vertical="bottom"/>
    </xf>
    <xf borderId="22" fillId="9" fontId="59" numFmtId="164" xfId="0" applyAlignment="1" applyBorder="1" applyFont="1" applyNumberFormat="1">
      <alignment readingOrder="0" vertical="bottom"/>
    </xf>
    <xf borderId="22" fillId="9" fontId="59" numFmtId="164" xfId="0" applyAlignment="1" applyBorder="1" applyFont="1" applyNumberFormat="1">
      <alignment horizontal="center"/>
    </xf>
    <xf borderId="22" fillId="9" fontId="59" numFmtId="164" xfId="0" applyAlignment="1" applyBorder="1" applyFont="1" applyNumberFormat="1">
      <alignment vertical="bottom"/>
    </xf>
    <xf borderId="22" fillId="9" fontId="59" numFmtId="0" xfId="0" applyAlignment="1" applyBorder="1" applyFont="1">
      <alignment shrinkToFit="0" vertical="bottom" wrapText="1"/>
    </xf>
    <xf borderId="22" fillId="9" fontId="59" numFmtId="0" xfId="0" applyAlignment="1" applyBorder="1" applyFont="1">
      <alignment readingOrder="0" vertical="bottom"/>
    </xf>
    <xf borderId="22" fillId="9" fontId="59" numFmtId="0" xfId="0" applyAlignment="1" applyBorder="1" applyFont="1">
      <alignment vertical="bottom"/>
    </xf>
    <xf borderId="22" fillId="0" fontId="59" numFmtId="187" xfId="0" applyAlignment="1" applyBorder="1" applyFont="1" applyNumberFormat="1">
      <alignment horizontal="center" vertical="bottom"/>
    </xf>
    <xf borderId="22" fillId="0" fontId="59" numFmtId="187" xfId="0" applyAlignment="1" applyBorder="1" applyFont="1" applyNumberFormat="1">
      <alignment horizontal="center" readingOrder="0" vertical="bottom"/>
    </xf>
    <xf borderId="22" fillId="0" fontId="59" numFmtId="191" xfId="0" applyAlignment="1" applyBorder="1" applyFont="1" applyNumberFormat="1">
      <alignment horizontal="center" readingOrder="0"/>
    </xf>
    <xf borderId="22" fillId="0" fontId="59" numFmtId="164" xfId="0" applyAlignment="1" applyBorder="1" applyFont="1" applyNumberFormat="1">
      <alignment horizontal="center" vertical="bottom"/>
    </xf>
    <xf borderId="22" fillId="0" fontId="59" numFmtId="164" xfId="0" applyAlignment="1" applyBorder="1" applyFont="1" applyNumberFormat="1">
      <alignment horizontal="center" readingOrder="0" vertical="bottom"/>
    </xf>
    <xf borderId="22" fillId="0" fontId="59" numFmtId="165" xfId="0" applyAlignment="1" applyBorder="1" applyFont="1" applyNumberFormat="1">
      <alignment vertical="bottom"/>
    </xf>
    <xf borderId="22" fillId="0" fontId="59" numFmtId="167" xfId="0" applyAlignment="1" applyBorder="1" applyFont="1" applyNumberFormat="1">
      <alignment horizontal="center"/>
    </xf>
    <xf borderId="22" fillId="0" fontId="59" numFmtId="10" xfId="0" applyAlignment="1" applyBorder="1" applyFont="1" applyNumberFormat="1">
      <alignment horizontal="center"/>
    </xf>
    <xf borderId="22" fillId="0" fontId="59" numFmtId="164" xfId="0" applyAlignment="1" applyBorder="1" applyFont="1" applyNumberFormat="1">
      <alignment horizontal="center"/>
    </xf>
    <xf borderId="22" fillId="0" fontId="59" numFmtId="166" xfId="0" applyAlignment="1" applyBorder="1" applyFont="1" applyNumberFormat="1">
      <alignment horizontal="center"/>
    </xf>
    <xf borderId="22" fillId="0" fontId="59" numFmtId="168" xfId="0" applyAlignment="1" applyBorder="1" applyFont="1" applyNumberFormat="1">
      <alignment horizontal="center"/>
    </xf>
    <xf borderId="22" fillId="0" fontId="58" numFmtId="164" xfId="0" applyAlignment="1" applyBorder="1" applyFont="1" applyNumberFormat="1">
      <alignment horizontal="center"/>
    </xf>
    <xf borderId="22" fillId="0" fontId="59" numFmtId="164" xfId="0" applyAlignment="1" applyBorder="1" applyFont="1" applyNumberFormat="1">
      <alignment readingOrder="0" vertical="bottom"/>
    </xf>
    <xf borderId="22" fillId="0" fontId="59" numFmtId="164" xfId="0" applyAlignment="1" applyBorder="1" applyFont="1" applyNumberFormat="1">
      <alignment vertical="bottom"/>
    </xf>
    <xf borderId="22" fillId="0" fontId="59" numFmtId="0" xfId="0" applyAlignment="1" applyBorder="1" applyFont="1">
      <alignment horizontal="center" readingOrder="0" vertical="bottom"/>
    </xf>
    <xf borderId="22" fillId="0" fontId="59" numFmtId="0" xfId="0" applyAlignment="1" applyBorder="1" applyFont="1">
      <alignment shrinkToFit="0" vertical="bottom" wrapText="1"/>
    </xf>
    <xf borderId="22" fillId="29" fontId="59" numFmtId="0" xfId="0" applyAlignment="1" applyBorder="1" applyFont="1">
      <alignment horizontal="center" readingOrder="0"/>
    </xf>
    <xf borderId="22" fillId="36" fontId="59" numFmtId="0" xfId="0" applyAlignment="1" applyBorder="1" applyFill="1" applyFont="1">
      <alignment shrinkToFit="0" vertical="bottom" wrapText="1"/>
    </xf>
    <xf borderId="22" fillId="36" fontId="59" numFmtId="0" xfId="0" applyAlignment="1" applyBorder="1" applyFont="1">
      <alignment readingOrder="0" vertical="bottom"/>
    </xf>
    <xf borderId="22" fillId="36" fontId="59" numFmtId="0" xfId="0" applyAlignment="1" applyBorder="1" applyFont="1">
      <alignment vertical="bottom"/>
    </xf>
    <xf borderId="22" fillId="9" fontId="59" numFmtId="187" xfId="0" applyAlignment="1" applyBorder="1" applyFont="1" applyNumberFormat="1">
      <alignment horizontal="center" readingOrder="0" vertical="bottom"/>
    </xf>
    <xf borderId="22" fillId="9" fontId="59" numFmtId="191" xfId="0" applyAlignment="1" applyBorder="1" applyFont="1" applyNumberFormat="1">
      <alignment horizontal="center" readingOrder="0"/>
    </xf>
    <xf borderId="22" fillId="9" fontId="59" numFmtId="0" xfId="0" applyAlignment="1" applyBorder="1" applyFont="1">
      <alignment horizontal="center" vertical="bottom"/>
    </xf>
    <xf borderId="22" fillId="9" fontId="59" numFmtId="0" xfId="0" applyAlignment="1" applyBorder="1" applyFont="1">
      <alignment horizontal="center" readingOrder="0" vertical="bottom"/>
    </xf>
    <xf borderId="22" fillId="9" fontId="59" numFmtId="165" xfId="0" applyAlignment="1" applyBorder="1" applyFont="1" applyNumberFormat="1">
      <alignment vertical="bottom"/>
    </xf>
    <xf borderId="22" fillId="9" fontId="59" numFmtId="167" xfId="0" applyAlignment="1" applyBorder="1" applyFont="1" applyNumberFormat="1">
      <alignment horizontal="center"/>
    </xf>
    <xf borderId="22" fillId="9" fontId="59" numFmtId="10" xfId="0" applyAlignment="1" applyBorder="1" applyFont="1" applyNumberFormat="1">
      <alignment horizontal="center"/>
    </xf>
    <xf borderId="22" fillId="9" fontId="59" numFmtId="166" xfId="0" applyAlignment="1" applyBorder="1" applyFont="1" applyNumberFormat="1">
      <alignment horizontal="center"/>
    </xf>
    <xf borderId="22" fillId="9" fontId="59" numFmtId="168" xfId="0" applyAlignment="1" applyBorder="1" applyFont="1" applyNumberFormat="1">
      <alignment horizontal="center"/>
    </xf>
    <xf borderId="22" fillId="9" fontId="58" numFmtId="164" xfId="0" applyAlignment="1" applyBorder="1" applyFont="1" applyNumberFormat="1">
      <alignment horizontal="center" readingOrder="0"/>
    </xf>
    <xf borderId="22" fillId="35" fontId="59" numFmtId="164" xfId="0" applyAlignment="1" applyBorder="1" applyFont="1" applyNumberFormat="1">
      <alignment horizontal="center" vertical="bottom"/>
    </xf>
    <xf borderId="22" fillId="35" fontId="59" numFmtId="164" xfId="0" applyAlignment="1" applyBorder="1" applyFont="1" applyNumberFormat="1">
      <alignment horizontal="center" readingOrder="0" vertical="bottom"/>
    </xf>
    <xf borderId="22" fillId="35" fontId="59" numFmtId="165" xfId="0" applyAlignment="1" applyBorder="1" applyFont="1" applyNumberFormat="1">
      <alignment readingOrder="0" vertical="bottom"/>
    </xf>
    <xf borderId="22" fillId="35" fontId="59" numFmtId="167" xfId="0" applyAlignment="1" applyBorder="1" applyFont="1" applyNumberFormat="1">
      <alignment horizontal="center"/>
    </xf>
    <xf borderId="22" fillId="35" fontId="59" numFmtId="0" xfId="0" applyAlignment="1" applyBorder="1" applyFont="1">
      <alignment readingOrder="0" vertical="bottom"/>
    </xf>
    <xf borderId="22" fillId="32" fontId="59" numFmtId="187" xfId="0" applyAlignment="1" applyBorder="1" applyFont="1" applyNumberFormat="1">
      <alignment horizontal="center" vertical="bottom"/>
    </xf>
    <xf borderId="22" fillId="32" fontId="59" numFmtId="187" xfId="0" applyAlignment="1" applyBorder="1" applyFont="1" applyNumberFormat="1">
      <alignment horizontal="center" readingOrder="0" vertical="bottom"/>
    </xf>
    <xf borderId="22" fillId="32" fontId="59" numFmtId="191" xfId="0" applyAlignment="1" applyBorder="1" applyFont="1" applyNumberFormat="1">
      <alignment horizontal="center" readingOrder="0"/>
    </xf>
    <xf borderId="22" fillId="32" fontId="59" numFmtId="164" xfId="0" applyAlignment="1" applyBorder="1" applyFont="1" applyNumberFormat="1">
      <alignment horizontal="center" vertical="bottom"/>
    </xf>
    <xf borderId="22" fillId="32" fontId="59" numFmtId="164" xfId="0" applyAlignment="1" applyBorder="1" applyFont="1" applyNumberFormat="1">
      <alignment horizontal="center" readingOrder="0" vertical="bottom"/>
    </xf>
    <xf borderId="22" fillId="32" fontId="59" numFmtId="165" xfId="0" applyAlignment="1" applyBorder="1" applyFont="1" applyNumberFormat="1">
      <alignment vertical="bottom"/>
    </xf>
    <xf borderId="22" fillId="32" fontId="59" numFmtId="167" xfId="0" applyAlignment="1" applyBorder="1" applyFont="1" applyNumberFormat="1">
      <alignment horizontal="center"/>
    </xf>
    <xf borderId="22" fillId="32" fontId="59" numFmtId="10" xfId="0" applyAlignment="1" applyBorder="1" applyFont="1" applyNumberFormat="1">
      <alignment horizontal="center"/>
    </xf>
    <xf borderId="22" fillId="32" fontId="59" numFmtId="164" xfId="0" applyAlignment="1" applyBorder="1" applyFont="1" applyNumberFormat="1">
      <alignment horizontal="center"/>
    </xf>
    <xf borderId="22" fillId="32" fontId="59" numFmtId="166" xfId="0" applyAlignment="1" applyBorder="1" applyFont="1" applyNumberFormat="1">
      <alignment horizontal="center"/>
    </xf>
    <xf borderId="22" fillId="32" fontId="59" numFmtId="168" xfId="0" applyAlignment="1" applyBorder="1" applyFont="1" applyNumberFormat="1">
      <alignment horizontal="center"/>
    </xf>
    <xf borderId="22" fillId="32" fontId="58" numFmtId="164" xfId="0" applyAlignment="1" applyBorder="1" applyFont="1" applyNumberFormat="1">
      <alignment horizontal="center" readingOrder="0"/>
    </xf>
    <xf borderId="22" fillId="32" fontId="58" numFmtId="164" xfId="0" applyAlignment="1" applyBorder="1" applyFont="1" applyNumberFormat="1">
      <alignment horizontal="center"/>
    </xf>
    <xf borderId="22" fillId="32" fontId="59" numFmtId="164" xfId="0" applyAlignment="1" applyBorder="1" applyFont="1" applyNumberFormat="1">
      <alignment readingOrder="0" vertical="bottom"/>
    </xf>
    <xf borderId="22" fillId="32" fontId="59" numFmtId="164" xfId="0" applyAlignment="1" applyBorder="1" applyFont="1" applyNumberFormat="1">
      <alignment vertical="bottom"/>
    </xf>
    <xf borderId="22" fillId="32" fontId="59" numFmtId="0" xfId="0" applyAlignment="1" applyBorder="1" applyFont="1">
      <alignment horizontal="center" readingOrder="0" vertical="bottom"/>
    </xf>
    <xf borderId="22" fillId="32" fontId="59" numFmtId="0" xfId="0" applyAlignment="1" applyBorder="1" applyFont="1">
      <alignment shrinkToFit="0" vertical="bottom" wrapText="1"/>
    </xf>
    <xf borderId="22" fillId="32" fontId="59" numFmtId="0" xfId="0" applyAlignment="1" applyBorder="1" applyFont="1">
      <alignment readingOrder="0" vertical="bottom"/>
    </xf>
    <xf borderId="22" fillId="32" fontId="59" numFmtId="0" xfId="0" applyAlignment="1" applyBorder="1" applyFont="1">
      <alignment vertical="bottom"/>
    </xf>
    <xf borderId="22" fillId="0" fontId="59" numFmtId="0" xfId="0" applyAlignment="1" applyBorder="1" applyFont="1">
      <alignment horizontal="center" vertical="bottom"/>
    </xf>
    <xf borderId="22" fillId="0" fontId="58" numFmtId="164" xfId="0" applyAlignment="1" applyBorder="1" applyFont="1" applyNumberFormat="1">
      <alignment horizontal="center" readingOrder="0"/>
    </xf>
    <xf borderId="22" fillId="9" fontId="59" numFmtId="164" xfId="0" applyAlignment="1" applyBorder="1" applyFont="1" applyNumberFormat="1">
      <alignment horizontal="center" vertical="bottom"/>
    </xf>
    <xf borderId="22" fillId="9" fontId="59" numFmtId="164" xfId="0" applyAlignment="1" applyBorder="1" applyFont="1" applyNumberFormat="1">
      <alignment horizontal="center" readingOrder="0" vertical="bottom"/>
    </xf>
    <xf borderId="0" fillId="9" fontId="59" numFmtId="0" xfId="0" applyAlignment="1" applyFont="1">
      <alignment vertical="bottom"/>
    </xf>
    <xf borderId="22" fillId="0" fontId="59" numFmtId="165" xfId="0" applyAlignment="1" applyBorder="1" applyFont="1" applyNumberFormat="1">
      <alignment horizontal="right" vertical="bottom"/>
    </xf>
    <xf borderId="22" fillId="0" fontId="59" numFmtId="10" xfId="0" applyAlignment="1" applyBorder="1" applyFont="1" applyNumberFormat="1">
      <alignment horizontal="center" vertical="bottom"/>
    </xf>
    <xf borderId="0" fillId="0" fontId="59" numFmtId="187" xfId="0" applyAlignment="1" applyFont="1" applyNumberForma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9" numFmtId="165" xfId="0" applyAlignment="1" applyFont="1" applyNumberFormat="1">
      <alignment vertical="bottom"/>
    </xf>
    <xf borderId="0" fillId="0" fontId="59" numFmtId="167" xfId="0" applyAlignment="1" applyFont="1" applyNumberFormat="1">
      <alignment horizontal="center"/>
    </xf>
    <xf borderId="0" fillId="0" fontId="59" numFmtId="10" xfId="0" applyAlignment="1" applyFont="1" applyNumberFormat="1">
      <alignment horizontal="center"/>
    </xf>
    <xf borderId="0" fillId="0" fontId="59" numFmtId="164" xfId="0" applyAlignment="1" applyFont="1" applyNumberFormat="1">
      <alignment horizontal="center"/>
    </xf>
    <xf borderId="0" fillId="0" fontId="59" numFmtId="166" xfId="0" applyAlignment="1" applyFont="1" applyNumberFormat="1">
      <alignment horizontal="center"/>
    </xf>
    <xf borderId="0" fillId="0" fontId="59" numFmtId="168" xfId="0" applyAlignment="1" applyFont="1" applyNumberFormat="1">
      <alignment horizontal="center"/>
    </xf>
    <xf borderId="0" fillId="0" fontId="58" numFmtId="164" xfId="0" applyAlignment="1" applyFont="1" applyNumberFormat="1">
      <alignment horizontal="center"/>
    </xf>
    <xf borderId="0" fillId="0" fontId="59" numFmtId="0" xfId="0" applyAlignment="1" applyFont="1">
      <alignment shrinkToFit="0" vertical="bottom" wrapText="1"/>
    </xf>
    <xf borderId="22" fillId="0" fontId="61" numFmtId="0" xfId="0" applyAlignment="1" applyBorder="1" applyFont="1">
      <alignment horizontal="left" readingOrder="0"/>
    </xf>
    <xf borderId="0" fillId="0" fontId="62" numFmtId="0" xfId="0" applyAlignment="1" applyFont="1">
      <alignment readingOrder="0" shrinkToFit="0" wrapText="1"/>
    </xf>
    <xf borderId="22" fillId="0" fontId="63" numFmtId="0" xfId="0" applyAlignment="1" applyBorder="1" applyFont="1">
      <alignment horizontal="left" readingOrder="0"/>
    </xf>
    <xf borderId="22" fillId="0" fontId="63" numFmtId="4" xfId="0" applyAlignment="1" applyBorder="1" applyFont="1" applyNumberFormat="1">
      <alignment horizontal="left" readingOrder="0"/>
    </xf>
    <xf borderId="4" fillId="3" fontId="2" numFmtId="0" xfId="0" applyAlignment="1" applyBorder="1" applyFont="1">
      <alignment horizontal="center" shrinkToFit="0" wrapText="1"/>
    </xf>
    <xf borderId="2" fillId="3" fontId="2" numFmtId="0" xfId="0" applyAlignment="1" applyBorder="1" applyFont="1">
      <alignment horizontal="center" shrinkToFit="0" wrapText="1"/>
    </xf>
    <xf borderId="4" fillId="4" fontId="3" numFmtId="0" xfId="0" applyAlignment="1" applyBorder="1" applyFont="1">
      <alignment horizontal="center"/>
    </xf>
    <xf borderId="19" fillId="21" fontId="3" numFmtId="0" xfId="0" applyAlignment="1" applyBorder="1" applyFont="1">
      <alignment horizontal="center"/>
    </xf>
    <xf borderId="19" fillId="21" fontId="64" numFmtId="10" xfId="0" applyAlignment="1" applyBorder="1" applyFont="1" applyNumberFormat="1">
      <alignment horizontal="center" shrinkToFit="0" wrapText="1"/>
    </xf>
    <xf borderId="19" fillId="21" fontId="64" numFmtId="0" xfId="0" applyAlignment="1" applyBorder="1" applyFont="1">
      <alignment horizontal="center"/>
    </xf>
    <xf borderId="2" fillId="6" fontId="4" numFmtId="164" xfId="0" applyAlignment="1" applyBorder="1" applyFont="1" applyNumberFormat="1">
      <alignment horizontal="center" readingOrder="0" shrinkToFit="0" wrapText="1"/>
    </xf>
    <xf borderId="0" fillId="0" fontId="23" numFmtId="165" xfId="0" applyAlignment="1" applyFont="1" applyNumberFormat="1">
      <alignment horizontal="center"/>
    </xf>
    <xf borderId="0" fillId="0" fontId="23" numFmtId="165" xfId="0" applyAlignment="1" applyFont="1" applyNumberFormat="1">
      <alignment horizontal="center" readingOrder="0"/>
    </xf>
    <xf borderId="0" fillId="0" fontId="10" numFmtId="0" xfId="0" applyAlignment="1" applyFont="1">
      <alignment horizontal="center"/>
    </xf>
    <xf borderId="2" fillId="0" fontId="5" numFmtId="9" xfId="0" applyAlignment="1" applyBorder="1" applyFont="1" applyNumberFormat="1">
      <alignment readingOrder="0"/>
    </xf>
    <xf borderId="2" fillId="0" fontId="5" numFmtId="169" xfId="0" applyBorder="1" applyFont="1" applyNumberFormat="1"/>
    <xf borderId="3" fillId="9" fontId="5" numFmtId="164" xfId="0" applyBorder="1" applyFont="1" applyNumberFormat="1"/>
    <xf borderId="0" fillId="0" fontId="0" numFmtId="0" xfId="0" applyAlignment="1" applyFont="1">
      <alignment horizontal="left" vertical="bottom"/>
    </xf>
    <xf borderId="0" fillId="2" fontId="0" numFmtId="0" xfId="0" applyAlignment="1" applyFont="1">
      <alignment horizontal="left"/>
    </xf>
    <xf borderId="0" fillId="0" fontId="5" numFmtId="165" xfId="0" applyFont="1" applyNumberFormat="1"/>
    <xf borderId="2" fillId="0" fontId="5" numFmtId="166" xfId="0" applyBorder="1" applyFont="1" applyNumberFormat="1"/>
    <xf borderId="2" fillId="0" fontId="5" numFmtId="168" xfId="0" applyBorder="1" applyFont="1" applyNumberFormat="1"/>
    <xf borderId="0" fillId="0" fontId="0" numFmtId="0" xfId="0" applyAlignment="1" applyFont="1">
      <alignment horizontal="left"/>
    </xf>
    <xf borderId="21" fillId="0" fontId="23" numFmtId="165" xfId="0" applyAlignment="1" applyBorder="1" applyFont="1" applyNumberFormat="1">
      <alignment horizontal="center"/>
    </xf>
    <xf borderId="0" fillId="0" fontId="0" numFmtId="172" xfId="0" applyAlignment="1" applyFont="1" applyNumberFormat="1">
      <alignment horizontal="left" readingOrder="0"/>
    </xf>
    <xf borderId="0" fillId="0" fontId="0" numFmtId="171" xfId="0" applyAlignment="1" applyFont="1" applyNumberFormat="1">
      <alignment horizontal="left" readingOrder="0"/>
    </xf>
    <xf borderId="0" fillId="0" fontId="7" numFmtId="165" xfId="0" applyAlignment="1" applyFont="1" applyNumberFormat="1">
      <alignment horizontal="center"/>
    </xf>
    <xf borderId="1" fillId="0" fontId="5" numFmtId="0" xfId="0" applyAlignment="1" applyBorder="1" applyFont="1">
      <alignment horizontal="left" vertical="bottom"/>
    </xf>
    <xf borderId="0" fillId="7" fontId="1" numFmtId="0" xfId="0" applyAlignment="1" applyFont="1">
      <alignment horizontal="center" readingOrder="0" vertical="bottom"/>
    </xf>
    <xf borderId="1" fillId="0" fontId="5" numFmtId="0" xfId="0" applyAlignment="1" applyBorder="1" applyFont="1">
      <alignment horizontal="left"/>
    </xf>
    <xf borderId="2" fillId="0" fontId="5" numFmtId="0" xfId="0" applyAlignment="1" applyBorder="1" applyFont="1">
      <alignment horizontal="left" readingOrder="0" vertical="bottom"/>
    </xf>
    <xf borderId="2" fillId="7" fontId="5" numFmtId="0" xfId="0" applyAlignment="1" applyBorder="1" applyFont="1">
      <alignment horizontal="left" readingOrder="0" vertical="bottom"/>
    </xf>
    <xf borderId="0" fillId="0" fontId="5" numFmtId="165" xfId="0" applyAlignment="1" applyFont="1" applyNumberFormat="1">
      <alignment readingOrder="0"/>
    </xf>
    <xf borderId="0" fillId="0" fontId="10" numFmtId="0" xfId="0" applyAlignment="1" applyFont="1">
      <alignment horizontal="center" readingOrder="0"/>
    </xf>
    <xf borderId="0" fillId="0" fontId="21" numFmtId="0" xfId="0" applyAlignment="1" applyFont="1">
      <alignment horizontal="left" readingOrder="0"/>
    </xf>
    <xf borderId="0" fillId="7" fontId="21" numFmtId="0" xfId="0" applyAlignment="1" applyFont="1">
      <alignment horizontal="left" readingOrder="0"/>
    </xf>
    <xf borderId="0" fillId="0" fontId="21" numFmtId="165" xfId="0" applyAlignment="1" applyFont="1" applyNumberFormat="1">
      <alignment readingOrder="0"/>
    </xf>
    <xf borderId="0" fillId="0" fontId="21" numFmtId="0" xfId="0" applyAlignment="1" applyFont="1">
      <alignment horizontal="left"/>
    </xf>
    <xf borderId="0" fillId="0" fontId="21" numFmtId="165" xfId="0" applyFont="1" applyNumberFormat="1"/>
    <xf borderId="0" fillId="11" fontId="21" numFmtId="0" xfId="0" applyAlignment="1" applyFont="1">
      <alignment horizontal="left" readingOrder="0"/>
    </xf>
    <xf borderId="0" fillId="0" fontId="7" numFmtId="165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9" fontId="9" numFmtId="165" xfId="0" applyAlignment="1" applyFont="1" applyNumberFormat="1">
      <alignment horizontal="center"/>
    </xf>
    <xf borderId="0" fillId="0" fontId="10" numFmtId="164" xfId="0" applyAlignment="1" applyFont="1" applyNumberFormat="1">
      <alignment horizontal="center" vertical="bottom"/>
    </xf>
    <xf borderId="0" fillId="0" fontId="10" numFmtId="164" xfId="0" applyAlignment="1" applyFont="1" applyNumberFormat="1">
      <alignment horizontal="center"/>
    </xf>
    <xf borderId="0" fillId="0" fontId="10" numFmtId="165" xfId="0" applyAlignment="1" applyFont="1" applyNumberFormat="1">
      <alignment horizontal="center"/>
    </xf>
    <xf borderId="28" fillId="30" fontId="51" numFmtId="0" xfId="0" applyAlignment="1" applyBorder="1" applyFont="1">
      <alignment horizontal="center" readingOrder="0"/>
    </xf>
    <xf borderId="0" fillId="0" fontId="65" numFmtId="0" xfId="0" applyFont="1"/>
    <xf borderId="28" fillId="30" fontId="66" numFmtId="0" xfId="0" applyAlignment="1" applyBorder="1" applyFont="1">
      <alignment horizontal="center" vertical="bottom"/>
    </xf>
    <xf borderId="23" fillId="0" fontId="52" numFmtId="0" xfId="0" applyAlignment="1" applyBorder="1" applyFont="1">
      <alignment horizontal="center"/>
    </xf>
    <xf borderId="23" fillId="0" fontId="52" numFmtId="0" xfId="0" applyAlignment="1" applyBorder="1" applyFont="1">
      <alignment horizontal="center" vertical="bottom"/>
    </xf>
    <xf borderId="41" fillId="0" fontId="54" numFmtId="0" xfId="0" applyBorder="1" applyFont="1"/>
    <xf borderId="32" fillId="0" fontId="55" numFmtId="3" xfId="0" applyBorder="1" applyFont="1" applyNumberFormat="1"/>
    <xf borderId="41" fillId="0" fontId="5" numFmtId="0" xfId="0" applyAlignment="1" applyBorder="1" applyFont="1">
      <alignment vertical="bottom"/>
    </xf>
    <xf borderId="32" fillId="0" fontId="56" numFmtId="0" xfId="0" applyAlignment="1" applyBorder="1" applyFont="1">
      <alignment vertical="bottom"/>
    </xf>
    <xf borderId="32" fillId="0" fontId="56" numFmtId="0" xfId="0" applyAlignment="1" applyBorder="1" applyFont="1">
      <alignment vertical="bottom"/>
    </xf>
    <xf borderId="41" fillId="0" fontId="55" numFmtId="0" xfId="0" applyBorder="1" applyFont="1"/>
    <xf borderId="32" fillId="0" fontId="55" numFmtId="3" xfId="0" applyAlignment="1" applyBorder="1" applyFont="1" applyNumberFormat="1">
      <alignment horizontal="right" readingOrder="0"/>
    </xf>
    <xf borderId="41" fillId="0" fontId="56" numFmtId="0" xfId="0" applyAlignment="1" applyBorder="1" applyFont="1">
      <alignment vertical="bottom"/>
    </xf>
    <xf borderId="32" fillId="0" fontId="56" numFmtId="3" xfId="0" applyAlignment="1" applyBorder="1" applyFont="1" applyNumberFormat="1">
      <alignment horizontal="right" vertical="bottom"/>
    </xf>
    <xf borderId="32" fillId="0" fontId="55" numFmtId="3" xfId="0" applyAlignment="1" applyBorder="1" applyFont="1" applyNumberFormat="1">
      <alignment horizontal="right"/>
    </xf>
    <xf borderId="32" fillId="0" fontId="56" numFmtId="0" xfId="0" applyAlignment="1" applyBorder="1" applyFont="1">
      <alignment horizontal="right" vertical="bottom"/>
    </xf>
    <xf borderId="0" fillId="0" fontId="37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32" fillId="0" fontId="54" numFmtId="0" xfId="0" applyBorder="1" applyFont="1"/>
    <xf borderId="32" fillId="0" fontId="5" numFmtId="0" xfId="0" applyAlignment="1" applyBorder="1" applyFont="1">
      <alignment vertical="bottom"/>
    </xf>
    <xf borderId="32" fillId="0" fontId="5" numFmtId="3" xfId="0" applyAlignment="1" applyBorder="1" applyFont="1" applyNumberFormat="1">
      <alignment vertical="bottom"/>
    </xf>
    <xf borderId="32" fillId="0" fontId="5" numFmtId="0" xfId="0" applyAlignment="1" applyBorder="1" applyFont="1">
      <alignment vertical="bottom"/>
    </xf>
    <xf borderId="0" fillId="0" fontId="37" numFmtId="0" xfId="0" applyAlignment="1" applyFont="1">
      <alignment horizontal="right" vertical="bottom"/>
    </xf>
    <xf borderId="32" fillId="0" fontId="54" numFmtId="3" xfId="0" applyAlignment="1" applyBorder="1" applyFont="1" applyNumberFormat="1">
      <alignment horizontal="right"/>
    </xf>
    <xf borderId="32" fillId="0" fontId="54" numFmtId="3" xfId="0" applyAlignment="1" applyBorder="1" applyFont="1" applyNumberFormat="1">
      <alignment horizontal="right" readingOrder="0"/>
    </xf>
    <xf borderId="41" fillId="0" fontId="37" numFmtId="0" xfId="0" applyAlignment="1" applyBorder="1" applyFont="1">
      <alignment vertical="bottom"/>
    </xf>
    <xf borderId="32" fillId="0" fontId="37" numFmtId="3" xfId="0" applyAlignment="1" applyBorder="1" applyFont="1" applyNumberFormat="1">
      <alignment horizontal="right" vertical="bottom"/>
    </xf>
    <xf borderId="32" fillId="0" fontId="54" numFmtId="0" xfId="0" applyAlignment="1" applyBorder="1" applyFont="1">
      <alignment horizontal="right"/>
    </xf>
    <xf borderId="32" fillId="0" fontId="37" numFmtId="0" xfId="0" applyAlignment="1" applyBorder="1" applyFont="1">
      <alignment horizontal="right" vertical="bottom"/>
    </xf>
    <xf borderId="32" fillId="0" fontId="37" numFmtId="0" xfId="0" applyAlignment="1" applyBorder="1" applyFont="1">
      <alignment horizontal="right" vertical="bottom"/>
    </xf>
    <xf borderId="0" fillId="0" fontId="5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vertical="bottom"/>
    </xf>
    <xf borderId="22" fillId="0" fontId="54" numFmtId="0" xfId="0" applyBorder="1" applyFont="1"/>
    <xf borderId="25" fillId="0" fontId="54" numFmtId="3" xfId="0" applyAlignment="1" applyBorder="1" applyFont="1" applyNumberFormat="1">
      <alignment horizontal="right" readingOrder="0"/>
    </xf>
    <xf borderId="22" fillId="0" fontId="37" numFmtId="0" xfId="0" applyAlignment="1" applyBorder="1" applyFont="1">
      <alignment vertical="bottom"/>
    </xf>
    <xf borderId="25" fillId="0" fontId="37" numFmtId="3" xfId="0" applyAlignment="1" applyBorder="1" applyFont="1" applyNumberFormat="1">
      <alignment horizontal="right" vertical="bottom"/>
    </xf>
    <xf borderId="23" fillId="0" fontId="52" numFmtId="0" xfId="0" applyAlignment="1" applyBorder="1" applyFont="1">
      <alignment horizontal="center" readingOrder="0"/>
    </xf>
    <xf borderId="0" fillId="0" fontId="67" numFmtId="0" xfId="0" applyAlignment="1" applyFont="1">
      <alignment readingOrder="0"/>
    </xf>
    <xf borderId="32" fillId="0" fontId="54" numFmtId="0" xfId="0" applyAlignment="1" applyBorder="1" applyFont="1">
      <alignment horizontal="right" readingOrder="0"/>
    </xf>
    <xf borderId="22" fillId="24" fontId="56" numFmtId="175" xfId="0" applyAlignment="1" applyBorder="1" applyFont="1" applyNumberFormat="1">
      <alignment horizontal="center"/>
    </xf>
    <xf borderId="42" fillId="24" fontId="68" numFmtId="175" xfId="0" applyAlignment="1" applyBorder="1" applyFont="1" applyNumberFormat="1">
      <alignment horizontal="center" shrinkToFit="0" vertical="center" wrapText="1"/>
    </xf>
    <xf borderId="23" fillId="0" fontId="33" numFmtId="174" xfId="0" applyAlignment="1" applyBorder="1" applyFont="1" applyNumberFormat="1">
      <alignment horizontal="center" shrinkToFit="0" vertical="center" wrapText="1"/>
    </xf>
    <xf borderId="22" fillId="0" fontId="69" numFmtId="174" xfId="0" applyAlignment="1" applyBorder="1" applyFont="1" applyNumberFormat="1">
      <alignment horizontal="center" shrinkToFit="0" vertical="center" wrapText="1"/>
    </xf>
    <xf borderId="22" fillId="0" fontId="37" numFmtId="175" xfId="0" applyAlignment="1" applyBorder="1" applyFont="1" applyNumberFormat="1">
      <alignment horizontal="center"/>
    </xf>
    <xf borderId="43" fillId="0" fontId="36" numFmtId="175" xfId="0" applyAlignment="1" applyBorder="1" applyFont="1" applyNumberFormat="1">
      <alignment horizontal="center"/>
    </xf>
    <xf borderId="44" fillId="0" fontId="5" numFmtId="0" xfId="0" applyAlignment="1" applyBorder="1" applyFont="1">
      <alignment horizontal="center"/>
    </xf>
    <xf borderId="22" fillId="24" fontId="22" numFmtId="0" xfId="0" applyAlignment="1" applyBorder="1" applyFont="1">
      <alignment horizontal="center"/>
    </xf>
    <xf borderId="22" fillId="0" fontId="36" numFmtId="175" xfId="0" applyAlignment="1" applyBorder="1" applyFont="1" applyNumberFormat="1">
      <alignment horizontal="center"/>
    </xf>
    <xf borderId="23" fillId="0" fontId="37" numFmtId="0" xfId="0" applyAlignment="1" applyBorder="1" applyFont="1">
      <alignment horizontal="center"/>
    </xf>
    <xf borderId="22" fillId="24" fontId="56" numFmtId="0" xfId="0" applyAlignment="1" applyBorder="1" applyFont="1">
      <alignment horizontal="center"/>
    </xf>
    <xf borderId="0" fillId="0" fontId="36" numFmtId="175" xfId="0" applyAlignment="1" applyFont="1" applyNumberFormat="1">
      <alignment horizontal="center"/>
    </xf>
    <xf borderId="33" fillId="0" fontId="37" numFmtId="0" xfId="0" applyAlignment="1" applyBorder="1" applyFont="1">
      <alignment horizontal="center"/>
    </xf>
    <xf borderId="22" fillId="37" fontId="36" numFmtId="0" xfId="0" applyAlignment="1" applyBorder="1" applyFill="1" applyFont="1">
      <alignment horizontal="center"/>
    </xf>
    <xf borderId="22" fillId="37" fontId="36" numFmtId="175" xfId="0" applyAlignment="1" applyBorder="1" applyFont="1" applyNumberFormat="1">
      <alignment horizontal="center"/>
    </xf>
    <xf borderId="45" fillId="37" fontId="5" numFmtId="0" xfId="0" applyAlignment="1" applyBorder="1" applyFont="1">
      <alignment horizontal="center"/>
    </xf>
    <xf borderId="22" fillId="37" fontId="5" numFmtId="0" xfId="0" applyAlignment="1" applyBorder="1" applyFont="1">
      <alignment horizontal="center"/>
    </xf>
    <xf borderId="22" fillId="18" fontId="36" numFmtId="175" xfId="0" applyAlignment="1" applyBorder="1" applyFont="1" applyNumberFormat="1">
      <alignment horizontal="center"/>
    </xf>
    <xf borderId="23" fillId="0" fontId="5" numFmtId="0" xfId="0" applyAlignment="1" applyBorder="1" applyFont="1">
      <alignment horizontal="center"/>
    </xf>
    <xf borderId="22" fillId="0" fontId="5" numFmtId="3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22" fillId="0" fontId="37" numFmtId="0" xfId="0" applyAlignment="1" applyBorder="1" applyFont="1">
      <alignment horizontal="center"/>
    </xf>
    <xf borderId="27" fillId="18" fontId="36" numFmtId="0" xfId="0" applyAlignment="1" applyBorder="1" applyFont="1">
      <alignment horizontal="center"/>
    </xf>
    <xf borderId="22" fillId="0" fontId="70" numFmtId="175" xfId="0" applyAlignment="1" applyBorder="1" applyFont="1" applyNumberFormat="1">
      <alignment horizontal="center"/>
    </xf>
    <xf borderId="25" fillId="0" fontId="70" numFmtId="0" xfId="0" applyAlignment="1" applyBorder="1" applyFont="1">
      <alignment horizontal="center"/>
    </xf>
    <xf borderId="27" fillId="2" fontId="69" numFmtId="0" xfId="0" applyAlignment="1" applyBorder="1" applyFont="1">
      <alignment horizontal="center"/>
    </xf>
    <xf borderId="46" fillId="2" fontId="70" numFmtId="0" xfId="0" applyAlignment="1" applyBorder="1" applyFont="1">
      <alignment horizontal="center"/>
    </xf>
    <xf borderId="23" fillId="0" fontId="35" numFmtId="0" xfId="0" applyAlignment="1" applyBorder="1" applyFont="1">
      <alignment horizontal="center"/>
    </xf>
    <xf borderId="22" fillId="2" fontId="71" numFmtId="0" xfId="0" applyAlignment="1" applyBorder="1" applyFont="1">
      <alignment horizontal="center"/>
    </xf>
    <xf borderId="22" fillId="26" fontId="35" numFmtId="0" xfId="0" applyAlignment="1" applyBorder="1" applyFont="1">
      <alignment horizontal="center"/>
    </xf>
    <xf borderId="22" fillId="2" fontId="72" numFmtId="0" xfId="0" applyAlignment="1" applyBorder="1" applyFont="1">
      <alignment horizontal="center"/>
    </xf>
    <xf borderId="45" fillId="2" fontId="35" numFmtId="0" xfId="0" applyAlignment="1" applyBorder="1" applyFont="1">
      <alignment horizontal="center"/>
    </xf>
    <xf borderId="22" fillId="2" fontId="35" numFmtId="193" xfId="0" applyAlignment="1" applyBorder="1" applyFont="1" applyNumberFormat="1">
      <alignment horizontal="center"/>
    </xf>
    <xf borderId="22" fillId="2" fontId="37" numFmtId="175" xfId="0" applyAlignment="1" applyBorder="1" applyFont="1" applyNumberFormat="1">
      <alignment horizontal="center"/>
    </xf>
    <xf borderId="22" fillId="2" fontId="36" numFmtId="175" xfId="0" applyAlignment="1" applyBorder="1" applyFont="1" applyNumberFormat="1">
      <alignment horizontal="center"/>
    </xf>
    <xf borderId="22" fillId="2" fontId="37" numFmtId="0" xfId="0" applyAlignment="1" applyBorder="1" applyFont="1">
      <alignment horizontal="center"/>
    </xf>
    <xf borderId="22" fillId="2" fontId="5" numFmtId="0" xfId="0" applyAlignment="1" applyBorder="1" applyFont="1">
      <alignment horizontal="center"/>
    </xf>
    <xf borderId="22" fillId="2" fontId="54" numFmtId="175" xfId="0" applyAlignment="1" applyBorder="1" applyFont="1" applyNumberFormat="1">
      <alignment horizontal="center"/>
    </xf>
    <xf borderId="22" fillId="2" fontId="54" numFmtId="0" xfId="0" applyAlignment="1" applyBorder="1" applyFont="1">
      <alignment horizontal="center"/>
    </xf>
    <xf borderId="22" fillId="2" fontId="54" numFmtId="3" xfId="0" applyAlignment="1" applyBorder="1" applyFont="1" applyNumberFormat="1">
      <alignment horizontal="center"/>
    </xf>
    <xf borderId="47" fillId="2" fontId="37" numFmtId="175" xfId="0" applyAlignment="1" applyBorder="1" applyFont="1" applyNumberFormat="1">
      <alignment horizontal="center"/>
    </xf>
    <xf borderId="22" fillId="2" fontId="56" numFmtId="0" xfId="0" applyAlignment="1" applyBorder="1" applyFont="1">
      <alignment horizontal="center"/>
    </xf>
    <xf borderId="22" fillId="2" fontId="73" numFmtId="3" xfId="0" applyAlignment="1" applyBorder="1" applyFont="1" applyNumberFormat="1">
      <alignment horizontal="center"/>
    </xf>
    <xf borderId="45" fillId="2" fontId="37" numFmtId="0" xfId="0" applyAlignment="1" applyBorder="1" applyFont="1">
      <alignment horizontal="center"/>
    </xf>
    <xf borderId="22" fillId="2" fontId="36" numFmtId="0" xfId="0" applyBorder="1" applyFont="1"/>
    <xf borderId="22" fillId="2" fontId="5" numFmtId="0" xfId="0" applyBorder="1" applyFont="1"/>
    <xf borderId="22" fillId="0" fontId="36" numFmtId="0" xfId="0" applyBorder="1" applyFont="1"/>
    <xf borderId="0" fillId="0" fontId="37" numFmtId="175" xfId="0" applyAlignment="1" applyFont="1" applyNumberFormat="1">
      <alignment horizontal="center"/>
    </xf>
    <xf borderId="22" fillId="24" fontId="71" numFmtId="175" xfId="0" applyAlignment="1" applyBorder="1" applyFont="1" applyNumberFormat="1">
      <alignment horizontal="center"/>
    </xf>
    <xf borderId="46" fillId="24" fontId="35" numFmtId="175" xfId="0" applyAlignment="1" applyBorder="1" applyFont="1" applyNumberFormat="1">
      <alignment horizontal="center"/>
    </xf>
    <xf borderId="46" fillId="24" fontId="71" numFmtId="175" xfId="0" applyAlignment="1" applyBorder="1" applyFont="1" applyNumberFormat="1">
      <alignment horizontal="center"/>
    </xf>
    <xf borderId="46" fillId="24" fontId="35" numFmtId="174" xfId="0" applyBorder="1" applyFont="1" applyNumberFormat="1"/>
    <xf borderId="41" fillId="0" fontId="35" numFmtId="175" xfId="0" applyAlignment="1" applyBorder="1" applyFont="1" applyNumberFormat="1">
      <alignment horizontal="center"/>
    </xf>
    <xf borderId="48" fillId="2" fontId="35" numFmtId="0" xfId="0" applyAlignment="1" applyBorder="1" applyFont="1">
      <alignment horizontal="center"/>
    </xf>
    <xf borderId="49" fillId="0" fontId="35" numFmtId="175" xfId="0" applyAlignment="1" applyBorder="1" applyFont="1" applyNumberFormat="1">
      <alignment horizontal="center"/>
    </xf>
    <xf borderId="39" fillId="0" fontId="35" numFmtId="0" xfId="0" applyAlignment="1" applyBorder="1" applyFont="1">
      <alignment horizontal="center"/>
    </xf>
    <xf borderId="50" fillId="24" fontId="71" numFmtId="0" xfId="0" applyAlignment="1" applyBorder="1" applyFont="1">
      <alignment horizontal="center"/>
    </xf>
    <xf borderId="51" fillId="25" fontId="35" numFmtId="175" xfId="0" applyAlignment="1" applyBorder="1" applyFont="1" applyNumberFormat="1">
      <alignment horizontal="center"/>
    </xf>
    <xf borderId="52" fillId="25" fontId="35" numFmtId="0" xfId="0" applyAlignment="1" applyBorder="1" applyFont="1">
      <alignment horizontal="center"/>
    </xf>
    <xf borderId="52" fillId="25" fontId="35" numFmtId="175" xfId="0" applyAlignment="1" applyBorder="1" applyFont="1" applyNumberFormat="1">
      <alignment horizontal="center"/>
    </xf>
    <xf borderId="50" fillId="25" fontId="35" numFmtId="0" xfId="0" applyAlignment="1" applyBorder="1" applyFont="1">
      <alignment horizontal="center"/>
    </xf>
    <xf borderId="32" fillId="0" fontId="35" numFmtId="0" xfId="0" applyAlignment="1" applyBorder="1" applyFont="1">
      <alignment horizontal="center"/>
    </xf>
    <xf borderId="50" fillId="2" fontId="43" numFmtId="3" xfId="0" applyAlignment="1" applyBorder="1" applyFont="1" applyNumberFormat="1">
      <alignment horizontal="center"/>
    </xf>
    <xf borderId="50" fillId="2" fontId="35" numFmtId="0" xfId="0" applyAlignment="1" applyBorder="1" applyFont="1">
      <alignment horizontal="center"/>
    </xf>
    <xf borderId="53" fillId="25" fontId="35" numFmtId="175" xfId="0" applyAlignment="1" applyBorder="1" applyFont="1" applyNumberFormat="1">
      <alignment horizontal="center"/>
    </xf>
    <xf borderId="50" fillId="25" fontId="35" numFmtId="175" xfId="0" applyAlignment="1" applyBorder="1" applyFont="1" applyNumberFormat="1">
      <alignment horizontal="center"/>
    </xf>
    <xf borderId="32" fillId="0" fontId="35" numFmtId="175" xfId="0" applyAlignment="1" applyBorder="1" applyFont="1" applyNumberFormat="1">
      <alignment horizontal="center"/>
    </xf>
    <xf borderId="32" fillId="0" fontId="35" numFmtId="193" xfId="0" applyAlignment="1" applyBorder="1" applyFont="1" applyNumberFormat="1">
      <alignment horizontal="center"/>
    </xf>
    <xf borderId="27" fillId="2" fontId="74" numFmtId="0" xfId="0" applyAlignment="1" applyBorder="1" applyFont="1">
      <alignment horizontal="center"/>
    </xf>
    <xf borderId="50" fillId="25" fontId="35" numFmtId="3" xfId="0" applyAlignment="1" applyBorder="1" applyFont="1" applyNumberFormat="1">
      <alignment horizontal="center"/>
    </xf>
    <xf borderId="50" fillId="26" fontId="35" numFmtId="0" xfId="0" applyAlignment="1" applyBorder="1" applyFont="1">
      <alignment horizontal="center"/>
    </xf>
    <xf borderId="32" fillId="0" fontId="35" numFmtId="0" xfId="0" applyBorder="1" applyFont="1"/>
    <xf borderId="50" fillId="18" fontId="35" numFmtId="0" xfId="0" applyAlignment="1" applyBorder="1" applyFont="1">
      <alignment horizontal="center"/>
    </xf>
    <xf borderId="22" fillId="24" fontId="71" numFmtId="0" xfId="0" applyAlignment="1" applyBorder="1" applyFont="1">
      <alignment horizontal="center"/>
    </xf>
    <xf borderId="25" fillId="0" fontId="35" numFmtId="0" xfId="0" applyAlignment="1" applyBorder="1" applyFont="1">
      <alignment horizontal="center"/>
    </xf>
    <xf borderId="25" fillId="0" fontId="35" numFmtId="0" xfId="0" applyBorder="1" applyFont="1"/>
    <xf borderId="25" fillId="0" fontId="39" numFmtId="0" xfId="0" applyAlignment="1" applyBorder="1" applyFont="1">
      <alignment horizontal="center"/>
    </xf>
    <xf borderId="25" fillId="0" fontId="5" numFmtId="0" xfId="0" applyBorder="1" applyFont="1"/>
    <xf borderId="46" fillId="2" fontId="5" numFmtId="0" xfId="0" applyBorder="1" applyFont="1"/>
    <xf borderId="54" fillId="0" fontId="75" numFmtId="0" xfId="0" applyAlignment="1" applyBorder="1" applyFont="1">
      <alignment horizontal="center" shrinkToFit="0" vertical="center" wrapText="1"/>
    </xf>
    <xf borderId="55" fillId="0" fontId="11" numFmtId="0" xfId="0" applyBorder="1" applyFont="1"/>
    <xf borderId="56" fillId="0" fontId="11" numFmtId="0" xfId="0" applyBorder="1" applyFont="1"/>
    <xf borderId="54" fillId="0" fontId="76" numFmtId="174" xfId="0" applyAlignment="1" applyBorder="1" applyFont="1" applyNumberFormat="1">
      <alignment horizontal="center" shrinkToFit="0" vertical="center" wrapText="1"/>
    </xf>
    <xf borderId="57" fillId="0" fontId="76" numFmtId="164" xfId="0" applyAlignment="1" applyBorder="1" applyFont="1" applyNumberFormat="1">
      <alignment horizontal="center" shrinkToFit="0" vertical="center" wrapText="1"/>
    </xf>
    <xf borderId="22" fillId="0" fontId="35" numFmtId="14" xfId="0" applyAlignment="1" applyBorder="1" applyFont="1" applyNumberFormat="1">
      <alignment horizontal="center" vertical="center"/>
    </xf>
    <xf borderId="22" fillId="0" fontId="35" numFmtId="176" xfId="0" applyAlignment="1" applyBorder="1" applyFont="1" applyNumberFormat="1">
      <alignment horizontal="center" shrinkToFit="0" vertical="center" wrapText="1"/>
    </xf>
    <xf borderId="23" fillId="0" fontId="35" numFmtId="0" xfId="0" applyAlignment="1" applyBorder="1" applyFont="1">
      <alignment horizontal="center" shrinkToFit="0" vertical="center" wrapText="1"/>
    </xf>
    <xf borderId="22" fillId="0" fontId="35" numFmtId="164" xfId="0" applyAlignment="1" applyBorder="1" applyFont="1" applyNumberFormat="1">
      <alignment horizontal="center" shrinkToFit="0" vertical="center" wrapText="1"/>
    </xf>
    <xf borderId="58" fillId="0" fontId="49" numFmtId="0" xfId="0" applyAlignment="1" applyBorder="1" applyFont="1">
      <alignment horizontal="center" shrinkToFit="0" vertical="center" wrapText="1"/>
    </xf>
    <xf borderId="22" fillId="0" fontId="49" numFmtId="0" xfId="0" applyAlignment="1" applyBorder="1" applyFont="1">
      <alignment horizontal="center" shrinkToFit="0" vertical="center" wrapText="1"/>
    </xf>
    <xf borderId="22" fillId="0" fontId="35" numFmtId="175" xfId="0" applyBorder="1" applyFont="1" applyNumberFormat="1"/>
    <xf borderId="23" fillId="0" fontId="35" numFmtId="3" xfId="0" applyAlignment="1" applyBorder="1" applyFont="1" applyNumberFormat="1">
      <alignment horizontal="center"/>
    </xf>
    <xf borderId="22" fillId="0" fontId="35" numFmtId="164" xfId="0" applyAlignment="1" applyBorder="1" applyFont="1" applyNumberFormat="1">
      <alignment horizontal="center"/>
    </xf>
    <xf borderId="41" fillId="0" fontId="11" numFmtId="0" xfId="0" applyBorder="1" applyFont="1"/>
    <xf borderId="22" fillId="0" fontId="77" numFmtId="0" xfId="0" applyAlignment="1" applyBorder="1" applyFont="1">
      <alignment shrinkToFit="0" vertical="center" wrapText="1"/>
    </xf>
    <xf borderId="22" fillId="0" fontId="49" numFmtId="0" xfId="0" applyAlignment="1" applyBorder="1" applyFont="1">
      <alignment horizontal="right" shrinkToFit="0" vertical="center" wrapText="1"/>
    </xf>
    <xf borderId="22" fillId="0" fontId="49" numFmtId="0" xfId="0" applyAlignment="1" applyBorder="1" applyFont="1">
      <alignment shrinkToFit="0" vertical="top" wrapText="1"/>
    </xf>
    <xf borderId="22" fillId="0" fontId="5" numFmtId="175" xfId="0" applyBorder="1" applyFont="1" applyNumberFormat="1"/>
    <xf borderId="22" fillId="0" fontId="5" numFmtId="164" xfId="0" applyAlignment="1" applyBorder="1" applyFont="1" applyNumberFormat="1">
      <alignment horizontal="center"/>
    </xf>
    <xf borderId="58" fillId="0" fontId="5" numFmtId="175" xfId="0" applyBorder="1" applyFont="1" applyNumberFormat="1"/>
    <xf borderId="58" fillId="0" fontId="36" numFmtId="175" xfId="0" applyAlignment="1" applyBorder="1" applyFont="1" applyNumberFormat="1">
      <alignment horizontal="center"/>
    </xf>
    <xf borderId="28" fillId="0" fontId="5" numFmtId="0" xfId="0" applyAlignment="1" applyBorder="1" applyFont="1">
      <alignment horizontal="center"/>
    </xf>
    <xf borderId="58" fillId="0" fontId="5" numFmtId="164" xfId="0" applyAlignment="1" applyBorder="1" applyFont="1" applyNumberFormat="1">
      <alignment horizontal="center"/>
    </xf>
    <xf borderId="54" fillId="0" fontId="78" numFmtId="0" xfId="0" applyAlignment="1" applyBorder="1" applyFont="1">
      <alignment horizontal="center" shrinkToFit="0" vertical="center" wrapText="1"/>
    </xf>
    <xf borderId="59" fillId="0" fontId="35" numFmtId="14" xfId="0" applyAlignment="1" applyBorder="1" applyFont="1" applyNumberFormat="1">
      <alignment horizontal="center" vertical="center"/>
    </xf>
    <xf borderId="59" fillId="0" fontId="35" numFmtId="0" xfId="0" applyAlignment="1" applyBorder="1" applyFont="1">
      <alignment horizontal="center" vertical="center"/>
    </xf>
    <xf borderId="59" fillId="0" fontId="35" numFmtId="176" xfId="0" applyAlignment="1" applyBorder="1" applyFont="1" applyNumberFormat="1">
      <alignment horizontal="center" shrinkToFit="0" vertical="center" wrapText="1"/>
    </xf>
    <xf borderId="33" fillId="0" fontId="35" numFmtId="0" xfId="0" applyAlignment="1" applyBorder="1" applyFont="1">
      <alignment horizontal="center" shrinkToFit="0" vertical="center" wrapText="1"/>
    </xf>
    <xf borderId="60" fillId="0" fontId="35" numFmtId="164" xfId="0" applyAlignment="1" applyBorder="1" applyFont="1" applyNumberFormat="1">
      <alignment horizontal="center" shrinkToFit="0" vertical="center" wrapText="1"/>
    </xf>
    <xf borderId="41" fillId="0" fontId="35" numFmtId="175" xfId="0" applyBorder="1" applyFont="1" applyNumberFormat="1"/>
    <xf borderId="30" fillId="0" fontId="35" numFmtId="3" xfId="0" applyAlignment="1" applyBorder="1" applyFont="1" applyNumberFormat="1">
      <alignment horizontal="center"/>
    </xf>
    <xf borderId="41" fillId="0" fontId="35" numFmtId="164" xfId="0" applyAlignment="1" applyBorder="1" applyFont="1" applyNumberFormat="1">
      <alignment horizontal="center"/>
    </xf>
    <xf borderId="22" fillId="0" fontId="49" numFmtId="194" xfId="0" applyAlignment="1" applyBorder="1" applyFont="1" applyNumberFormat="1">
      <alignment horizontal="right" shrinkToFit="0" vertical="center" wrapText="1"/>
    </xf>
    <xf borderId="22" fillId="0" fontId="79" numFmtId="0" xfId="0" applyAlignment="1" applyBorder="1" applyFont="1">
      <alignment horizontal="center"/>
    </xf>
    <xf borderId="22" fillId="0" fontId="79" numFmtId="0" xfId="0" applyBorder="1" applyFont="1"/>
    <xf borderId="23" fillId="0" fontId="78" numFmtId="0" xfId="0" applyAlignment="1" applyBorder="1" applyFont="1">
      <alignment horizontal="center" shrinkToFit="0" vertical="center" wrapText="1"/>
    </xf>
    <xf borderId="23" fillId="0" fontId="76" numFmtId="174" xfId="0" applyAlignment="1" applyBorder="1" applyFont="1" applyNumberFormat="1">
      <alignment horizontal="center" shrinkToFit="0" vertical="center" wrapText="1"/>
    </xf>
    <xf borderId="22" fillId="0" fontId="80" numFmtId="164" xfId="0" applyAlignment="1" applyBorder="1" applyFont="1" applyNumberFormat="1">
      <alignment horizontal="center" shrinkToFit="0" vertical="center" wrapText="1"/>
    </xf>
    <xf borderId="22" fillId="0" fontId="35" numFmtId="14" xfId="0" applyAlignment="1" applyBorder="1" applyFont="1" applyNumberFormat="1">
      <alignment horizontal="center"/>
    </xf>
    <xf borderId="22" fillId="0" fontId="35" numFmtId="190" xfId="0" applyAlignment="1" applyBorder="1" applyFont="1" applyNumberFormat="1">
      <alignment horizontal="center"/>
    </xf>
    <xf borderId="22" fillId="0" fontId="81" numFmtId="0" xfId="0" applyAlignment="1" applyBorder="1" applyFont="1">
      <alignment horizontal="center"/>
    </xf>
    <xf borderId="22" fillId="0" fontId="35" numFmtId="3" xfId="0" applyAlignment="1" applyBorder="1" applyFont="1" applyNumberFormat="1">
      <alignment horizontal="center"/>
    </xf>
    <xf borderId="22" fillId="38" fontId="35" numFmtId="195" xfId="0" applyAlignment="1" applyBorder="1" applyFill="1" applyFont="1" applyNumberFormat="1">
      <alignment horizontal="center"/>
    </xf>
    <xf borderId="22" fillId="38" fontId="39" numFmtId="0" xfId="0" applyAlignment="1" applyBorder="1" applyFont="1">
      <alignment horizontal="center"/>
    </xf>
    <xf borderId="22" fillId="38" fontId="35" numFmtId="175" xfId="0" applyAlignment="1" applyBorder="1" applyFont="1" applyNumberFormat="1">
      <alignment horizontal="center"/>
    </xf>
    <xf borderId="22" fillId="38" fontId="35" numFmtId="0" xfId="0" applyAlignment="1" applyBorder="1" applyFont="1">
      <alignment horizontal="center"/>
    </xf>
    <xf borderId="22" fillId="38" fontId="35" numFmtId="190" xfId="0" applyAlignment="1" applyBorder="1" applyFont="1" applyNumberFormat="1">
      <alignment horizontal="center"/>
    </xf>
    <xf borderId="45" fillId="38" fontId="35" numFmtId="3" xfId="0" applyAlignment="1" applyBorder="1" applyFont="1" applyNumberFormat="1">
      <alignment horizontal="center"/>
    </xf>
    <xf borderId="53" fillId="38" fontId="35" numFmtId="175" xfId="0" applyAlignment="1" applyBorder="1" applyFont="1" applyNumberFormat="1">
      <alignment horizontal="center"/>
    </xf>
    <xf borderId="23" fillId="38" fontId="69" numFmtId="0" xfId="0" applyAlignment="1" applyBorder="1" applyFont="1">
      <alignment horizontal="center" shrinkToFit="0" vertical="center" wrapText="1"/>
    </xf>
    <xf borderId="23" fillId="38" fontId="69" numFmtId="174" xfId="0" applyAlignment="1" applyBorder="1" applyFont="1" applyNumberFormat="1">
      <alignment horizontal="center" shrinkToFit="0" vertical="center" wrapText="1"/>
    </xf>
    <xf borderId="22" fillId="38" fontId="69" numFmtId="190" xfId="0" applyAlignment="1" applyBorder="1" applyFont="1" applyNumberFormat="1">
      <alignment horizontal="center" shrinkToFit="0" vertical="center" wrapText="1"/>
    </xf>
    <xf borderId="22" fillId="38" fontId="35" numFmtId="0" xfId="0" applyBorder="1" applyFont="1"/>
    <xf borderId="22" fillId="38" fontId="35" numFmtId="196" xfId="0" applyAlignment="1" applyBorder="1" applyFont="1" applyNumberFormat="1">
      <alignment horizontal="center"/>
    </xf>
    <xf borderId="22" fillId="38" fontId="35" numFmtId="186" xfId="0" applyAlignment="1" applyBorder="1" applyFont="1" applyNumberFormat="1">
      <alignment horizontal="center"/>
    </xf>
    <xf borderId="22" fillId="38" fontId="71" numFmtId="190" xfId="0" applyAlignment="1" applyBorder="1" applyFont="1" applyNumberFormat="1">
      <alignment horizontal="center"/>
    </xf>
    <xf borderId="22" fillId="0" fontId="37" numFmtId="164" xfId="0" applyAlignment="1" applyBorder="1" applyFont="1" applyNumberFormat="1">
      <alignment horizontal="center"/>
    </xf>
    <xf borderId="23" fillId="0" fontId="80" numFmtId="174" xfId="0" applyAlignment="1" applyBorder="1" applyFont="1" applyNumberFormat="1">
      <alignment horizontal="center" shrinkToFit="0" vertical="center" wrapText="1"/>
    </xf>
    <xf borderId="22" fillId="0" fontId="37" numFmtId="196" xfId="0" applyAlignment="1" applyBorder="1" applyFont="1" applyNumberFormat="1">
      <alignment horizontal="center"/>
    </xf>
    <xf borderId="22" fillId="0" fontId="54" numFmtId="0" xfId="0" applyAlignment="1" applyBorder="1" applyFont="1">
      <alignment horizontal="center"/>
    </xf>
    <xf borderId="0" fillId="0" fontId="37" numFmtId="0" xfId="0" applyAlignment="1" applyFont="1">
      <alignment horizontal="center"/>
    </xf>
    <xf borderId="22" fillId="0" fontId="54" numFmtId="196" xfId="0" applyAlignment="1" applyBorder="1" applyFont="1" applyNumberFormat="1">
      <alignment horizontal="center"/>
    </xf>
    <xf borderId="22" fillId="0" fontId="37" numFmtId="14" xfId="0" applyAlignment="1" applyBorder="1" applyFont="1" applyNumberFormat="1">
      <alignment horizontal="center"/>
    </xf>
    <xf borderId="22" fillId="2" fontId="50" numFmtId="0" xfId="0" applyAlignment="1" applyBorder="1" applyFont="1">
      <alignment horizontal="center"/>
    </xf>
    <xf borderId="22" fillId="2" fontId="37" numFmtId="164" xfId="0" applyAlignment="1" applyBorder="1" applyFont="1" applyNumberFormat="1">
      <alignment horizontal="center"/>
    </xf>
    <xf borderId="22" fillId="0" fontId="56" numFmtId="0" xfId="0" applyAlignment="1" applyBorder="1" applyFont="1">
      <alignment horizontal="right"/>
    </xf>
    <xf borderId="22" fillId="0" fontId="56" numFmtId="0" xfId="0" applyBorder="1" applyFont="1"/>
    <xf borderId="22" fillId="0" fontId="56" numFmtId="164" xfId="0" applyAlignment="1" applyBorder="1" applyFont="1" applyNumberFormat="1">
      <alignment horizontal="center"/>
    </xf>
    <xf borderId="22" fillId="2" fontId="39" numFmtId="196" xfId="0" applyAlignment="1" applyBorder="1" applyFont="1" applyNumberFormat="1">
      <alignment horizontal="center"/>
    </xf>
    <xf borderId="27" fillId="2" fontId="82" numFmtId="0" xfId="0" applyAlignment="1" applyBorder="1" applyFont="1">
      <alignment horizontal="center"/>
    </xf>
    <xf borderId="22" fillId="0" fontId="71" numFmtId="190" xfId="0" applyAlignment="1" applyBorder="1" applyFont="1" applyNumberFormat="1">
      <alignment horizontal="center"/>
    </xf>
    <xf borderId="23" fillId="0" fontId="80" numFmtId="164" xfId="0" applyAlignment="1" applyBorder="1" applyFont="1" applyNumberFormat="1">
      <alignment horizontal="center" shrinkToFit="0" vertical="center" wrapText="1"/>
    </xf>
    <xf borderId="27" fillId="2" fontId="40" numFmtId="0" xfId="0" applyAlignment="1" applyBorder="1" applyFont="1">
      <alignment horizontal="center"/>
    </xf>
    <xf borderId="22" fillId="2" fontId="39" numFmtId="164" xfId="0" applyAlignment="1" applyBorder="1" applyFont="1" applyNumberFormat="1">
      <alignment horizontal="center"/>
    </xf>
    <xf borderId="22" fillId="0" fontId="36" numFmtId="175" xfId="0" applyBorder="1" applyFont="1" applyNumberFormat="1"/>
    <xf borderId="22" fillId="0" fontId="36" numFmtId="164" xfId="0" applyAlignment="1" applyBorder="1" applyFont="1" applyNumberFormat="1">
      <alignment horizontal="center"/>
    </xf>
    <xf borderId="22" fillId="2" fontId="40" numFmtId="164" xfId="0" applyAlignment="1" applyBorder="1" applyFont="1" applyNumberFormat="1">
      <alignment horizontal="center"/>
    </xf>
    <xf borderId="22" fillId="0" fontId="83" numFmtId="0" xfId="0" applyAlignment="1" applyBorder="1" applyFont="1">
      <alignment horizontal="center"/>
    </xf>
    <xf borderId="22" fillId="0" fontId="83" numFmtId="0" xfId="0" applyBorder="1" applyFont="1"/>
    <xf borderId="22" fillId="2" fontId="84" numFmtId="164" xfId="0" applyAlignment="1" applyBorder="1" applyFont="1" applyNumberFormat="1">
      <alignment horizontal="center"/>
    </xf>
    <xf borderId="23" fillId="0" fontId="85" numFmtId="0" xfId="0" applyAlignment="1" applyBorder="1" applyFont="1">
      <alignment horizontal="center" shrinkToFit="0" vertical="center" wrapText="1"/>
    </xf>
    <xf borderId="23" fillId="0" fontId="86" numFmtId="174" xfId="0" applyAlignment="1" applyBorder="1" applyFont="1" applyNumberFormat="1">
      <alignment horizontal="center" shrinkToFit="0" vertical="center" wrapText="1"/>
    </xf>
    <xf borderId="22" fillId="0" fontId="86" numFmtId="164" xfId="0" applyAlignment="1" applyBorder="1" applyFont="1" applyNumberFormat="1">
      <alignment horizontal="center" shrinkToFit="0" vertical="center" wrapText="1"/>
    </xf>
    <xf borderId="22" fillId="0" fontId="36" numFmtId="186" xfId="0" applyBorder="1" applyFont="1" applyNumberFormat="1"/>
    <xf borderId="0" fillId="0" fontId="5" numFmtId="164" xfId="0" applyAlignment="1" applyFont="1" applyNumberFormat="1">
      <alignment horizontal="center"/>
    </xf>
    <xf borderId="33" fillId="0" fontId="87" numFmtId="0" xfId="0" applyAlignment="1" applyBorder="1" applyFont="1">
      <alignment horizontal="center" shrinkToFit="0" vertical="center" wrapText="1"/>
    </xf>
    <xf borderId="33" fillId="0" fontId="76" numFmtId="174" xfId="0" applyAlignment="1" applyBorder="1" applyFont="1" applyNumberFormat="1">
      <alignment horizontal="center" shrinkToFit="0" vertical="center" wrapText="1"/>
    </xf>
    <xf borderId="22" fillId="0" fontId="76" numFmtId="174" xfId="0" applyAlignment="1" applyBorder="1" applyFont="1" applyNumberFormat="1">
      <alignment horizontal="center" shrinkToFit="0" vertical="center" wrapText="1"/>
    </xf>
    <xf borderId="43" fillId="0" fontId="38" numFmtId="14" xfId="0" applyAlignment="1" applyBorder="1" applyFont="1" applyNumberFormat="1">
      <alignment horizontal="center" vertical="center"/>
    </xf>
    <xf borderId="43" fillId="0" fontId="38" numFmtId="0" xfId="0" applyAlignment="1" applyBorder="1" applyFont="1">
      <alignment horizontal="center" vertical="center"/>
    </xf>
    <xf borderId="43" fillId="0" fontId="38" numFmtId="176" xfId="0" applyAlignment="1" applyBorder="1" applyFont="1" applyNumberFormat="1">
      <alignment horizontal="center" shrinkToFit="0" vertical="center" wrapText="1"/>
    </xf>
    <xf borderId="54" fillId="0" fontId="38" numFmtId="0" xfId="0" applyAlignment="1" applyBorder="1" applyFont="1">
      <alignment horizontal="center" shrinkToFit="0" vertical="center" wrapText="1"/>
    </xf>
    <xf borderId="22" fillId="0" fontId="38" numFmtId="0" xfId="0" applyAlignment="1" applyBorder="1" applyFont="1">
      <alignment horizontal="center" shrinkToFit="0" vertical="center" wrapText="1"/>
    </xf>
    <xf borderId="22" fillId="0" fontId="5" numFmtId="175" xfId="0" applyAlignment="1" applyBorder="1" applyFont="1" applyNumberFormat="1">
      <alignment horizontal="center"/>
    </xf>
    <xf borderId="33" fillId="0" fontId="80" numFmtId="174" xfId="0" applyAlignment="1" applyBorder="1" applyFont="1" applyNumberFormat="1">
      <alignment horizontal="center" shrinkToFit="0" vertical="center" wrapText="1"/>
    </xf>
    <xf borderId="33" fillId="0" fontId="75" numFmtId="175" xfId="0" applyAlignment="1" applyBorder="1" applyFont="1" applyNumberFormat="1">
      <alignment horizontal="center" shrinkToFit="0" wrapText="1"/>
    </xf>
    <xf borderId="34" fillId="0" fontId="80" numFmtId="174" xfId="0" applyAlignment="1" applyBorder="1" applyFont="1" applyNumberFormat="1">
      <alignment horizontal="center" shrinkToFit="0" wrapText="1"/>
    </xf>
    <xf borderId="25" fillId="0" fontId="80" numFmtId="174" xfId="0" applyAlignment="1" applyBorder="1" applyFont="1" applyNumberFormat="1">
      <alignment horizontal="center" shrinkToFit="0" wrapText="1"/>
    </xf>
    <xf borderId="22" fillId="2" fontId="88" numFmtId="0" xfId="0" applyAlignment="1" applyBorder="1" applyFont="1">
      <alignment horizontal="center"/>
    </xf>
    <xf borderId="58" fillId="0" fontId="5" numFmtId="0" xfId="0" applyBorder="1" applyFont="1"/>
    <xf borderId="22" fillId="2" fontId="89" numFmtId="174" xfId="0" applyAlignment="1" applyBorder="1" applyFont="1" applyNumberFormat="1">
      <alignment horizontal="center"/>
    </xf>
    <xf borderId="22" fillId="0" fontId="80" numFmtId="174" xfId="0" applyAlignment="1" applyBorder="1" applyFont="1" applyNumberFormat="1">
      <alignment horizontal="center" shrinkToFit="0" wrapText="1"/>
    </xf>
    <xf borderId="41" fillId="0" fontId="5" numFmtId="0" xfId="0" applyBorder="1" applyFont="1"/>
    <xf borderId="33" fillId="0" fontId="75" numFmtId="0" xfId="0" applyAlignment="1" applyBorder="1" applyFont="1">
      <alignment horizontal="center" shrinkToFit="0" vertical="center" wrapText="1"/>
    </xf>
    <xf borderId="22" fillId="0" fontId="22" numFmtId="0" xfId="0" applyBorder="1" applyFont="1"/>
    <xf borderId="22" fillId="2" fontId="49" numFmtId="14" xfId="0" applyAlignment="1" applyBorder="1" applyFont="1" applyNumberFormat="1">
      <alignment horizontal="center"/>
    </xf>
    <xf borderId="22" fillId="2" fontId="49" numFmtId="0" xfId="0" applyAlignment="1" applyBorder="1" applyFont="1">
      <alignment horizontal="center"/>
    </xf>
    <xf borderId="23" fillId="0" fontId="5" numFmtId="3" xfId="0" applyAlignment="1" applyBorder="1" applyFont="1" applyNumberFormat="1">
      <alignment horizontal="center"/>
    </xf>
    <xf borderId="22" fillId="39" fontId="5" numFmtId="0" xfId="0" applyAlignment="1" applyBorder="1" applyFill="1" applyFont="1">
      <alignment horizontal="center"/>
    </xf>
    <xf borderId="22" fillId="26" fontId="5" numFmtId="0" xfId="0" applyBorder="1" applyFont="1"/>
    <xf borderId="22" fillId="40" fontId="5" numFmtId="0" xfId="0" applyBorder="1" applyFill="1" applyFont="1"/>
    <xf borderId="22" fillId="41" fontId="5" numFmtId="0" xfId="0" applyBorder="1" applyFill="1" applyFont="1"/>
    <xf borderId="22" fillId="39" fontId="5" numFmtId="0" xfId="0" applyBorder="1" applyFont="1"/>
    <xf borderId="22" fillId="0" fontId="5" numFmtId="195" xfId="0" applyAlignment="1" applyBorder="1" applyFont="1" applyNumberFormat="1">
      <alignment horizontal="center"/>
    </xf>
    <xf borderId="22" fillId="2" fontId="5" numFmtId="195" xfId="0" applyAlignment="1" applyBorder="1" applyFont="1" applyNumberFormat="1">
      <alignment horizontal="center"/>
    </xf>
    <xf borderId="22" fillId="2" fontId="5" numFmtId="14" xfId="0" applyAlignment="1" applyBorder="1" applyFont="1" applyNumberFormat="1">
      <alignment horizontal="center"/>
    </xf>
    <xf borderId="53" fillId="2" fontId="37" numFmtId="175" xfId="0" applyAlignment="1" applyBorder="1" applyFont="1" applyNumberFormat="1">
      <alignment horizontal="center"/>
    </xf>
    <xf borderId="46" fillId="2" fontId="37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7" fillId="2" fontId="1" numFmtId="0" xfId="0" applyAlignment="1" applyBorder="1" applyFont="1">
      <alignment horizontal="center"/>
    </xf>
    <xf borderId="27" fillId="2" fontId="49" numFmtId="0" xfId="0" applyAlignment="1" applyBorder="1" applyFont="1">
      <alignment horizontal="center"/>
    </xf>
    <xf borderId="0" fillId="0" fontId="5" numFmtId="175" xfId="0" applyFont="1" applyNumberFormat="1"/>
    <xf borderId="22" fillId="2" fontId="49" numFmtId="196" xfId="0" applyAlignment="1" applyBorder="1" applyFont="1" applyNumberFormat="1">
      <alignment horizontal="center"/>
    </xf>
    <xf borderId="22" fillId="2" fontId="82" numFmtId="0" xfId="0" applyAlignment="1" applyBorder="1" applyFont="1">
      <alignment horizontal="center"/>
    </xf>
    <xf borderId="27" fillId="2" fontId="24" numFmtId="0" xfId="0" applyAlignment="1" applyBorder="1" applyFont="1">
      <alignment horizontal="center"/>
    </xf>
    <xf borderId="22" fillId="2" fontId="24" numFmtId="0" xfId="0" applyAlignment="1" applyBorder="1" applyFont="1">
      <alignment horizontal="center"/>
    </xf>
    <xf borderId="22" fillId="0" fontId="5" numFmtId="14" xfId="0" applyAlignment="1" applyBorder="1" applyFont="1" applyNumberFormat="1">
      <alignment horizontal="center"/>
    </xf>
    <xf borderId="32" fillId="0" fontId="5" numFmtId="175" xfId="0" applyBorder="1" applyFont="1" applyNumberFormat="1"/>
    <xf borderId="22" fillId="26" fontId="5" numFmtId="0" xfId="0" applyAlignment="1" applyBorder="1" applyFont="1">
      <alignment horizontal="center"/>
    </xf>
    <xf borderId="22" fillId="40" fontId="5" numFmtId="0" xfId="0" applyAlignment="1" applyBorder="1" applyFont="1">
      <alignment horizontal="center"/>
    </xf>
    <xf borderId="53" fillId="2" fontId="5" numFmtId="196" xfId="0" applyAlignment="1" applyBorder="1" applyFont="1" applyNumberFormat="1">
      <alignment horizontal="center"/>
    </xf>
    <xf borderId="50" fillId="2" fontId="37" numFmtId="175" xfId="0" applyAlignment="1" applyBorder="1" applyFont="1" applyNumberFormat="1">
      <alignment horizontal="center"/>
    </xf>
    <xf borderId="50" fillId="2" fontId="5" numFmtId="175" xfId="0" applyAlignment="1" applyBorder="1" applyFont="1" applyNumberFormat="1">
      <alignment horizontal="center"/>
    </xf>
    <xf borderId="32" fillId="0" fontId="5" numFmtId="0" xfId="0" applyBorder="1" applyFont="1"/>
    <xf borderId="50" fillId="2" fontId="5" numFmtId="0" xfId="0" applyAlignment="1" applyBorder="1" applyFont="1">
      <alignment horizontal="center"/>
    </xf>
    <xf borderId="41" fillId="0" fontId="5" numFmtId="175" xfId="0" applyBorder="1" applyFont="1" applyNumberFormat="1"/>
    <xf borderId="50" fillId="2" fontId="5" numFmtId="175" xfId="0" applyBorder="1" applyFont="1" applyNumberFormat="1"/>
    <xf borderId="41" fillId="0" fontId="5" numFmtId="175" xfId="0" applyAlignment="1" applyBorder="1" applyFont="1" applyNumberFormat="1">
      <alignment horizontal="center"/>
    </xf>
    <xf borderId="32" fillId="0" fontId="5" numFmtId="0" xfId="0" applyAlignment="1" applyBorder="1" applyFont="1">
      <alignment horizontal="center"/>
    </xf>
    <xf borderId="44" fillId="0" fontId="75" numFmtId="175" xfId="0" applyAlignment="1" applyBorder="1" applyFont="1" applyNumberFormat="1">
      <alignment horizontal="center" shrinkToFit="0" wrapText="1"/>
    </xf>
    <xf borderId="61" fillId="0" fontId="11" numFmtId="0" xfId="0" applyBorder="1" applyFont="1"/>
    <xf borderId="62" fillId="0" fontId="11" numFmtId="0" xfId="0" applyBorder="1" applyFont="1"/>
    <xf borderId="61" fillId="0" fontId="80" numFmtId="174" xfId="0" applyAlignment="1" applyBorder="1" applyFont="1" applyNumberFormat="1">
      <alignment horizontal="center" shrinkToFit="0" wrapText="1"/>
    </xf>
    <xf borderId="22" fillId="0" fontId="90" numFmtId="0" xfId="0" applyAlignment="1" applyBorder="1" applyFont="1">
      <alignment horizontal="center"/>
    </xf>
    <xf borderId="43" fillId="0" fontId="39" numFmtId="0" xfId="0" applyAlignment="1" applyBorder="1" applyFont="1">
      <alignment horizontal="center" vertical="center"/>
    </xf>
    <xf borderId="43" fillId="0" fontId="35" numFmtId="176" xfId="0" applyAlignment="1" applyBorder="1" applyFont="1" applyNumberFormat="1">
      <alignment horizontal="center" shrinkToFit="0" vertical="center" wrapText="1"/>
    </xf>
    <xf borderId="22" fillId="0" fontId="35" numFmtId="0" xfId="0" applyAlignment="1" applyBorder="1" applyFont="1">
      <alignment horizontal="center" shrinkToFit="0" vertical="center" wrapText="1"/>
    </xf>
    <xf borderId="22" fillId="2" fontId="54" numFmtId="14" xfId="0" applyAlignment="1" applyBorder="1" applyFont="1" applyNumberFormat="1">
      <alignment horizontal="center"/>
    </xf>
    <xf borderId="22" fillId="0" fontId="37" numFmtId="175" xfId="0" applyBorder="1" applyFont="1" applyNumberFormat="1"/>
    <xf borderId="22" fillId="0" fontId="37" numFmtId="193" xfId="0" applyAlignment="1" applyBorder="1" applyFont="1" applyNumberFormat="1">
      <alignment horizontal="center"/>
    </xf>
    <xf borderId="22" fillId="41" fontId="35" numFmtId="0" xfId="0" applyAlignment="1" applyBorder="1" applyFont="1">
      <alignment horizontal="center"/>
    </xf>
    <xf borderId="22" fillId="2" fontId="5" numFmtId="175" xfId="0" applyBorder="1" applyFont="1" applyNumberFormat="1"/>
    <xf borderId="22" fillId="2" fontId="69" numFmtId="174" xfId="0" applyAlignment="1" applyBorder="1" applyFont="1" applyNumberFormat="1">
      <alignment horizontal="center" shrinkToFit="0" vertical="center" wrapText="1"/>
    </xf>
    <xf borderId="22" fillId="2" fontId="39" numFmtId="14" xfId="0" applyAlignment="1" applyBorder="1" applyFont="1" applyNumberFormat="1">
      <alignment horizontal="center"/>
    </xf>
    <xf borderId="22" fillId="2" fontId="35" numFmtId="195" xfId="0" applyAlignment="1" applyBorder="1" applyFont="1" applyNumberFormat="1">
      <alignment horizontal="center"/>
    </xf>
    <xf borderId="22" fillId="2" fontId="35" numFmtId="14" xfId="0" applyAlignment="1" applyBorder="1" applyFont="1" applyNumberFormat="1">
      <alignment horizontal="center"/>
    </xf>
    <xf borderId="22" fillId="2" fontId="91" numFmtId="0" xfId="0" applyAlignment="1" applyBorder="1" applyFont="1">
      <alignment horizontal="center"/>
    </xf>
    <xf borderId="22" fillId="2" fontId="40" numFmtId="14" xfId="0" applyAlignment="1" applyBorder="1" applyFont="1" applyNumberFormat="1">
      <alignment horizontal="center"/>
    </xf>
    <xf borderId="22" fillId="2" fontId="37" numFmtId="14" xfId="0" applyAlignment="1" applyBorder="1" applyFont="1" applyNumberFormat="1">
      <alignment horizontal="center"/>
    </xf>
    <xf borderId="22" fillId="41" fontId="92" numFmtId="0" xfId="0" applyAlignment="1" applyBorder="1" applyFont="1">
      <alignment horizontal="center"/>
    </xf>
    <xf borderId="49" fillId="0" fontId="45" numFmtId="0" xfId="0" applyAlignment="1" applyBorder="1" applyFont="1">
      <alignment horizontal="center" shrinkToFit="0" vertical="center" wrapText="1"/>
    </xf>
    <xf borderId="40" fillId="0" fontId="33" numFmtId="0" xfId="0" applyAlignment="1" applyBorder="1" applyFont="1">
      <alignment horizontal="center" shrinkToFit="0" vertical="center" wrapText="1"/>
    </xf>
    <xf borderId="63" fillId="0" fontId="80" numFmtId="174" xfId="0" applyAlignment="1" applyBorder="1" applyFont="1" applyNumberFormat="1">
      <alignment horizontal="center" shrinkToFit="0" vertical="center" wrapText="1"/>
    </xf>
    <xf borderId="40" fillId="0" fontId="11" numFmtId="0" xfId="0" applyBorder="1" applyFont="1"/>
    <xf borderId="53" fillId="2" fontId="39" numFmtId="0" xfId="0" applyAlignment="1" applyBorder="1" applyFont="1">
      <alignment horizontal="center"/>
    </xf>
    <xf borderId="22" fillId="12" fontId="35" numFmtId="0" xfId="0" applyAlignment="1" applyBorder="1" applyFont="1">
      <alignment horizontal="center"/>
    </xf>
    <xf borderId="58" fillId="0" fontId="39" numFmtId="0" xfId="0" applyAlignment="1" applyBorder="1" applyFont="1">
      <alignment horizontal="center"/>
    </xf>
    <xf borderId="58" fillId="0" fontId="35" numFmtId="0" xfId="0" applyAlignment="1" applyBorder="1" applyFont="1">
      <alignment horizontal="center"/>
    </xf>
    <xf borderId="22" fillId="41" fontId="39" numFmtId="0" xfId="0" applyAlignment="1" applyBorder="1" applyFont="1">
      <alignment horizontal="center"/>
    </xf>
    <xf borderId="24" fillId="0" fontId="45" numFmtId="0" xfId="0" applyAlignment="1" applyBorder="1" applyFont="1">
      <alignment horizontal="center" shrinkToFit="0" vertical="center" wrapText="1"/>
    </xf>
    <xf borderId="64" fillId="0" fontId="33" numFmtId="0" xfId="0" applyAlignment="1" applyBorder="1" applyFont="1">
      <alignment horizontal="center" shrinkToFit="0" vertical="center" wrapText="1"/>
    </xf>
    <xf borderId="65" fillId="0" fontId="80" numFmtId="174" xfId="0" applyAlignment="1" applyBorder="1" applyFont="1" applyNumberFormat="1">
      <alignment horizontal="center" shrinkToFit="0" vertical="center" wrapText="1"/>
    </xf>
    <xf borderId="64" fillId="0" fontId="11" numFmtId="0" xfId="0" applyBorder="1" applyFont="1"/>
    <xf borderId="22" fillId="0" fontId="49" numFmtId="175" xfId="0" applyBorder="1" applyFont="1" applyNumberFormat="1"/>
    <xf borderId="22" fillId="0" fontId="54" numFmtId="193" xfId="0" applyAlignment="1" applyBorder="1" applyFont="1" applyNumberFormat="1">
      <alignment horizontal="center"/>
    </xf>
    <xf borderId="22" fillId="41" fontId="93" numFmtId="0" xfId="0" applyAlignment="1" applyBorder="1" applyFont="1">
      <alignment horizontal="center"/>
    </xf>
    <xf borderId="23" fillId="0" fontId="54" numFmtId="193" xfId="0" applyAlignment="1" applyBorder="1" applyFont="1" applyNumberFormat="1">
      <alignment horizontal="center"/>
    </xf>
    <xf borderId="25" fillId="0" fontId="39" numFmtId="193" xfId="0" applyAlignment="1" applyBorder="1" applyFont="1" applyNumberFormat="1">
      <alignment horizontal="center"/>
    </xf>
    <xf borderId="32" fillId="0" fontId="39" numFmtId="0" xfId="0" applyAlignment="1" applyBorder="1" applyFont="1">
      <alignment horizontal="center"/>
    </xf>
    <xf borderId="32" fillId="0" fontId="49" numFmtId="175" xfId="0" applyBorder="1" applyFont="1" applyNumberFormat="1"/>
    <xf borderId="22" fillId="0" fontId="49" numFmtId="0" xfId="0" applyBorder="1" applyFont="1"/>
    <xf borderId="22" fillId="0" fontId="39" numFmtId="193" xfId="0" applyAlignment="1" applyBorder="1" applyFont="1" applyNumberFormat="1">
      <alignment horizontal="center"/>
    </xf>
    <xf borderId="22" fillId="0" fontId="49" numFmtId="0" xfId="0" applyAlignment="1" applyBorder="1" applyFont="1">
      <alignment horizontal="center"/>
    </xf>
    <xf borderId="22" fillId="41" fontId="94" numFmtId="0" xfId="0" applyAlignment="1" applyBorder="1" applyFont="1">
      <alignment horizontal="center"/>
    </xf>
    <xf borderId="27" fillId="2" fontId="54" numFmtId="175" xfId="0" applyAlignment="1" applyBorder="1" applyFont="1" applyNumberFormat="1">
      <alignment horizontal="center"/>
    </xf>
    <xf borderId="22" fillId="2" fontId="95" numFmtId="0" xfId="0" applyAlignment="1" applyBorder="1" applyFont="1">
      <alignment horizontal="center"/>
    </xf>
    <xf borderId="27" fillId="2" fontId="95" numFmtId="0" xfId="0" applyAlignment="1" applyBorder="1" applyFont="1">
      <alignment horizontal="center"/>
    </xf>
    <xf borderId="0" fillId="0" fontId="39" numFmtId="0" xfId="0" applyAlignment="1" applyFont="1">
      <alignment horizontal="center"/>
    </xf>
    <xf borderId="0" fillId="42" fontId="56" numFmtId="0" xfId="0" applyAlignment="1" applyFill="1" applyFont="1">
      <alignment horizontal="center" vertical="bottom"/>
    </xf>
    <xf borderId="0" fillId="35" fontId="22" numFmtId="0" xfId="0" applyAlignment="1" applyFont="1">
      <alignment horizontal="center" vertical="bottom"/>
    </xf>
    <xf borderId="22" fillId="0" fontId="22" numFmtId="0" xfId="0" applyAlignment="1" applyBorder="1" applyFont="1">
      <alignment vertical="bottom"/>
    </xf>
    <xf borderId="22" fillId="35" fontId="22" numFmtId="0" xfId="0" applyAlignment="1" applyBorder="1" applyFont="1">
      <alignment vertical="bottom"/>
    </xf>
    <xf borderId="22" fillId="35" fontId="5" numFmtId="0" xfId="0" applyAlignment="1" applyBorder="1" applyFont="1">
      <alignment vertical="bottom"/>
    </xf>
    <xf borderId="22" fillId="0" fontId="5" numFmtId="187" xfId="0" applyAlignment="1" applyBorder="1" applyFont="1" applyNumberFormat="1">
      <alignment horizontal="right" vertical="bottom"/>
    </xf>
    <xf borderId="22" fillId="0" fontId="5" numFmtId="4" xfId="0" applyAlignment="1" applyBorder="1" applyFont="1" applyNumberFormat="1">
      <alignment readingOrder="0" vertical="bottom"/>
    </xf>
    <xf borderId="22" fillId="0" fontId="5" numFmtId="164" xfId="0" applyAlignment="1" applyBorder="1" applyFont="1" applyNumberFormat="1">
      <alignment vertical="bottom"/>
    </xf>
    <xf borderId="22" fillId="0" fontId="5" numFmtId="4" xfId="0" applyAlignment="1" applyBorder="1" applyFont="1" applyNumberFormat="1">
      <alignment horizontal="right" vertical="bottom"/>
    </xf>
    <xf borderId="22" fillId="0" fontId="5" numFmtId="164" xfId="0" applyAlignment="1" applyBorder="1" applyFont="1" applyNumberFormat="1">
      <alignment horizontal="right" vertical="bottom"/>
    </xf>
    <xf borderId="22" fillId="0" fontId="5" numFmtId="10" xfId="0" applyAlignment="1" applyBorder="1" applyFont="1" applyNumberFormat="1">
      <alignment horizontal="right" vertical="bottom"/>
    </xf>
    <xf borderId="22" fillId="0" fontId="5" numFmtId="4" xfId="0" applyAlignment="1" applyBorder="1" applyFont="1" applyNumberFormat="1">
      <alignment vertical="bottom"/>
    </xf>
    <xf borderId="23" fillId="35" fontId="22" numFmtId="0" xfId="0" applyAlignment="1" applyBorder="1" applyFont="1">
      <alignment horizontal="center" vertical="bottom"/>
    </xf>
    <xf borderId="22" fillId="0" fontId="5" numFmtId="0" xfId="0" applyAlignment="1" applyBorder="1" applyFont="1">
      <alignment readingOrder="0" vertical="bottom"/>
    </xf>
    <xf borderId="22" fillId="0" fontId="5" numFmtId="187" xfId="0" applyAlignment="1" applyBorder="1" applyFont="1" applyNumberFormat="1">
      <alignment horizontal="right" readingOrder="0" vertical="bottom"/>
    </xf>
    <xf borderId="22" fillId="0" fontId="5" numFmtId="0" xfId="0" applyAlignment="1" applyBorder="1" applyFont="1">
      <alignment horizontal="right" readingOrder="0" vertical="bottom"/>
    </xf>
    <xf borderId="22" fillId="0" fontId="5" numFmtId="164" xfId="0" applyAlignment="1" applyBorder="1" applyFont="1" applyNumberFormat="1">
      <alignment readingOrder="0" vertical="bottom"/>
    </xf>
    <xf borderId="23" fillId="0" fontId="96" numFmtId="0" xfId="0" applyAlignment="1" applyBorder="1" applyFont="1">
      <alignment horizontal="center" readingOrder="0"/>
    </xf>
    <xf borderId="23" fillId="0" fontId="97" numFmtId="0" xfId="0" applyAlignment="1" applyBorder="1" applyFont="1">
      <alignment horizontal="center" readingOrder="0"/>
    </xf>
    <xf borderId="23" fillId="0" fontId="98" numFmtId="0" xfId="0" applyAlignment="1" applyBorder="1" applyFont="1">
      <alignment horizontal="center" readingOrder="0"/>
    </xf>
    <xf borderId="23" fillId="0" fontId="99" numFmtId="0" xfId="0" applyAlignment="1" applyBorder="1" applyFont="1">
      <alignment horizontal="center" readingOrder="0"/>
    </xf>
    <xf borderId="22" fillId="0" fontId="100" numFmtId="0" xfId="0" applyBorder="1" applyFont="1"/>
    <xf borderId="22" fillId="0" fontId="21" numFmtId="0" xfId="0" applyAlignment="1" applyBorder="1" applyFont="1">
      <alignment readingOrder="0"/>
    </xf>
    <xf borderId="22" fillId="0" fontId="100" numFmtId="0" xfId="0" applyAlignment="1" applyBorder="1" applyFont="1">
      <alignment readingOrder="0"/>
    </xf>
    <xf borderId="22" fillId="0" fontId="100" numFmtId="4" xfId="0" applyAlignment="1" applyBorder="1" applyFont="1" applyNumberFormat="1">
      <alignment readingOrder="0"/>
    </xf>
    <xf borderId="22" fillId="0" fontId="21" numFmtId="4" xfId="0" applyAlignment="1" applyBorder="1" applyFont="1" applyNumberFormat="1">
      <alignment readingOrder="0"/>
    </xf>
    <xf borderId="36" fillId="0" fontId="55" numFmtId="0" xfId="0" applyAlignment="1" applyBorder="1" applyFont="1">
      <alignment readingOrder="0"/>
    </xf>
    <xf borderId="22" fillId="0" fontId="21" numFmtId="4" xfId="0" applyAlignment="1" applyBorder="1" applyFont="1" applyNumberFormat="1">
      <alignment readingOrder="0"/>
    </xf>
    <xf borderId="22" fillId="0" fontId="100" numFmtId="4" xfId="0" applyBorder="1" applyFont="1" applyNumberFormat="1"/>
    <xf borderId="22" fillId="0" fontId="21" numFmtId="3" xfId="0" applyAlignment="1" applyBorder="1" applyFont="1" applyNumberFormat="1">
      <alignment readingOrder="0"/>
    </xf>
    <xf borderId="22" fillId="0" fontId="21" numFmtId="1" xfId="0" applyAlignment="1" applyBorder="1" applyFont="1" applyNumberFormat="1">
      <alignment readingOrder="0"/>
    </xf>
    <xf borderId="22" fillId="0" fontId="100" numFmtId="3" xfId="0" applyAlignment="1" applyBorder="1" applyFont="1" applyNumberFormat="1">
      <alignment readingOrder="0"/>
    </xf>
    <xf borderId="22" fillId="0" fontId="100" numFmtId="1" xfId="0" applyAlignment="1" applyBorder="1" applyFont="1" applyNumberFormat="1">
      <alignment readingOrder="0"/>
    </xf>
    <xf borderId="0" fillId="0" fontId="100" numFmtId="0" xfId="0" applyFont="1"/>
    <xf borderId="22" fillId="0" fontId="21" numFmtId="3" xfId="0" applyBorder="1" applyFont="1" applyNumberFormat="1"/>
    <xf borderId="22" fillId="0" fontId="21" numFmtId="1" xfId="0" applyBorder="1" applyFont="1" applyNumberFormat="1"/>
    <xf borderId="22" fillId="0" fontId="100" numFmtId="3" xfId="0" applyBorder="1" applyFont="1" applyNumberFormat="1"/>
    <xf borderId="22" fillId="0" fontId="100" numFmtId="1" xfId="0" applyBorder="1" applyFont="1" applyNumberFormat="1"/>
    <xf borderId="22" fillId="0" fontId="21" numFmtId="4" xfId="0" applyBorder="1" applyFont="1" applyNumberFormat="1"/>
    <xf borderId="22" fillId="0" fontId="21" numFmtId="197" xfId="0" applyAlignment="1" applyBorder="1" applyFont="1" applyNumberFormat="1">
      <alignment readingOrder="0"/>
    </xf>
    <xf borderId="22" fillId="0" fontId="100" numFmtId="197" xfId="0" applyAlignment="1" applyBorder="1" applyFont="1" applyNumberFormat="1">
      <alignment readingOrder="0"/>
    </xf>
    <xf borderId="23" fillId="30" fontId="96" numFmtId="0" xfId="0" applyAlignment="1" applyBorder="1" applyFont="1">
      <alignment horizontal="center" readingOrder="0"/>
    </xf>
    <xf borderId="0" fillId="0" fontId="21" numFmtId="197" xfId="0" applyAlignment="1" applyFont="1" applyNumberFormat="1">
      <alignment readingOrder="0"/>
    </xf>
    <xf borderId="16" fillId="0" fontId="101" numFmtId="0" xfId="0" applyAlignment="1" applyBorder="1" applyFont="1">
      <alignment horizontal="center" readingOrder="0"/>
    </xf>
    <xf borderId="22" fillId="0" fontId="101" numFmtId="0" xfId="0" applyAlignment="1" applyBorder="1" applyFont="1">
      <alignment horizontal="center" readingOrder="0"/>
    </xf>
    <xf borderId="23" fillId="30" fontId="101" numFmtId="0" xfId="0" applyAlignment="1" applyBorder="1" applyFont="1">
      <alignment horizontal="center" readingOrder="0"/>
    </xf>
    <xf borderId="31" fillId="18" fontId="101" numFmtId="0" xfId="0" applyAlignment="1" applyBorder="1" applyFont="1">
      <alignment horizontal="center" readingOrder="0"/>
    </xf>
    <xf borderId="23" fillId="18" fontId="101" numFmtId="0" xfId="0" applyAlignment="1" applyBorder="1" applyFont="1">
      <alignment horizontal="center" readingOrder="0"/>
    </xf>
    <xf borderId="27" fillId="24" fontId="56" numFmtId="0" xfId="0" applyBorder="1" applyFont="1"/>
    <xf borderId="27" fillId="24" fontId="56" numFmtId="0" xfId="0" applyAlignment="1" applyBorder="1" applyFont="1">
      <alignment horizontal="left"/>
    </xf>
    <xf borderId="27" fillId="24" fontId="56" numFmtId="190" xfId="0" applyBorder="1" applyFont="1" applyNumberFormat="1"/>
    <xf borderId="0" fillId="0" fontId="5" numFmtId="0" xfId="0" applyAlignment="1" applyFont="1">
      <alignment horizontal="left"/>
    </xf>
    <xf borderId="0" fillId="0" fontId="49" numFmtId="175" xfId="0" applyFont="1" applyNumberFormat="1"/>
    <xf borderId="0" fillId="0" fontId="5" numFmtId="175" xfId="0" applyAlignment="1" applyFont="1" applyNumberFormat="1">
      <alignment readingOrder="0"/>
    </xf>
    <xf borderId="0" fillId="0" fontId="5" numFmtId="3" xfId="0" applyFont="1" applyNumberFormat="1"/>
    <xf borderId="0" fillId="0" fontId="5" numFmtId="190" xfId="0" applyFont="1" applyNumberFormat="1"/>
    <xf borderId="27" fillId="28" fontId="5" numFmtId="0" xfId="0" applyAlignment="1" applyBorder="1" applyFont="1">
      <alignment horizontal="left"/>
    </xf>
    <xf borderId="27" fillId="28" fontId="49" numFmtId="175" xfId="0" applyBorder="1" applyFont="1" applyNumberFormat="1"/>
    <xf borderId="27" fillId="28" fontId="5" numFmtId="175" xfId="0" applyBorder="1" applyFont="1" applyNumberFormat="1"/>
    <xf borderId="27" fillId="28" fontId="5" numFmtId="190" xfId="0" applyBorder="1" applyFont="1" applyNumberFormat="1"/>
    <xf borderId="27" fillId="28" fontId="49" numFmtId="190" xfId="0" applyAlignment="1" applyBorder="1" applyFont="1" applyNumberFormat="1">
      <alignment horizontal="right"/>
    </xf>
    <xf borderId="27" fillId="43" fontId="49" numFmtId="175" xfId="0" applyBorder="1" applyFill="1" applyFont="1" applyNumberFormat="1"/>
    <xf borderId="27" fillId="43" fontId="5" numFmtId="175" xfId="0" applyBorder="1" applyFont="1" applyNumberFormat="1"/>
    <xf borderId="27" fillId="43" fontId="5" numFmtId="0" xfId="0" applyBorder="1" applyFont="1"/>
    <xf borderId="27" fillId="43" fontId="5" numFmtId="190" xfId="0" applyBorder="1" applyFont="1" applyNumberFormat="1"/>
    <xf borderId="27" fillId="43" fontId="49" numFmtId="190" xfId="0" applyAlignment="1" applyBorder="1" applyFont="1" applyNumberFormat="1">
      <alignment horizontal="right"/>
    </xf>
    <xf borderId="27" fillId="12" fontId="5" numFmtId="190" xfId="0" applyBorder="1" applyFont="1" applyNumberFormat="1"/>
    <xf borderId="0" fillId="28" fontId="5" numFmtId="0" xfId="0" applyFont="1"/>
    <xf borderId="0" fillId="28" fontId="5" numFmtId="0" xfId="0" applyAlignment="1" applyFont="1">
      <alignment horizontal="left"/>
    </xf>
    <xf borderId="0" fillId="28" fontId="49" numFmtId="175" xfId="0" applyAlignment="1" applyFont="1" applyNumberFormat="1">
      <alignment readingOrder="0"/>
    </xf>
    <xf borderId="0" fillId="28" fontId="5" numFmtId="175" xfId="0" applyAlignment="1" applyFont="1" applyNumberFormat="1">
      <alignment readingOrder="0"/>
    </xf>
    <xf borderId="0" fillId="28" fontId="21" numFmtId="0" xfId="0" applyAlignment="1" applyFont="1">
      <alignment readingOrder="0"/>
    </xf>
    <xf borderId="0" fillId="28" fontId="5" numFmtId="190" xfId="0" applyFont="1" applyNumberFormat="1"/>
    <xf borderId="0" fillId="28" fontId="5" numFmtId="190" xfId="0" applyAlignment="1" applyFont="1" applyNumberFormat="1">
      <alignment readingOrder="0"/>
    </xf>
    <xf borderId="0" fillId="28" fontId="21" numFmtId="0" xfId="0" applyFont="1"/>
    <xf borderId="0" fillId="0" fontId="49" numFmtId="175" xfId="0" applyAlignment="1" applyFont="1" applyNumberFormat="1">
      <alignment readingOrder="0"/>
    </xf>
    <xf borderId="0" fillId="0" fontId="5" numFmtId="190" xfId="0" applyAlignment="1" applyFont="1" applyNumberFormat="1">
      <alignment readingOrder="0"/>
    </xf>
    <xf borderId="0" fillId="0" fontId="35" numFmtId="0" xfId="0" applyAlignment="1" applyFont="1">
      <alignment horizontal="left"/>
    </xf>
    <xf borderId="0" fillId="28" fontId="49" numFmtId="175" xfId="0" applyFont="1" applyNumberFormat="1"/>
    <xf borderId="0" fillId="28" fontId="21" numFmtId="0" xfId="0" applyAlignment="1" applyFont="1">
      <alignment horizontal="left" readingOrder="0"/>
    </xf>
    <xf borderId="0" fillId="28" fontId="5" numFmtId="0" xfId="0" applyAlignment="1" applyFont="1">
      <alignment readingOrder="0"/>
    </xf>
    <xf borderId="0" fillId="0" fontId="21" numFmtId="175" xfId="0" applyAlignment="1" applyFont="1" applyNumberFormat="1">
      <alignment readingOrder="0"/>
    </xf>
    <xf borderId="0" fillId="0" fontId="39" numFmtId="0" xfId="0" applyAlignment="1" applyFont="1">
      <alignment horizontal="center" readingOrder="0"/>
    </xf>
    <xf borderId="0" fillId="0" fontId="40" numFmtId="0" xfId="0" applyAlignment="1" applyFont="1">
      <alignment horizontal="center"/>
    </xf>
    <xf borderId="0" fillId="0" fontId="39" numFmtId="3" xfId="0" applyAlignment="1" applyFont="1" applyNumberFormat="1">
      <alignment horizontal="center"/>
    </xf>
    <xf borderId="0" fillId="0" fontId="41" numFmtId="0" xfId="0" applyAlignment="1" applyFont="1">
      <alignment horizontal="center"/>
    </xf>
    <xf borderId="0" fillId="0" fontId="39" numFmtId="175" xfId="0" applyAlignment="1" applyFont="1" applyNumberFormat="1">
      <alignment horizontal="center"/>
    </xf>
    <xf borderId="0" fillId="0" fontId="35" numFmtId="3" xfId="0" applyAlignment="1" applyFont="1" applyNumberFormat="1">
      <alignment horizontal="center"/>
    </xf>
    <xf borderId="0" fillId="0" fontId="35" numFmtId="175" xfId="0" applyAlignment="1" applyFont="1" applyNumberFormat="1">
      <alignment horizontal="center"/>
    </xf>
    <xf borderId="0" fillId="0" fontId="33" numFmtId="175" xfId="0" applyAlignment="1" applyFont="1" applyNumberFormat="1">
      <alignment horizontal="center" shrinkToFit="0" vertical="center" wrapText="1"/>
    </xf>
    <xf borderId="0" fillId="0" fontId="33" numFmtId="174" xfId="0" applyAlignment="1" applyFont="1" applyNumberFormat="1">
      <alignment horizontal="center" shrinkToFit="0" vertical="center" wrapText="1"/>
    </xf>
    <xf borderId="0" fillId="0" fontId="34" numFmtId="174" xfId="0" applyAlignment="1" applyFont="1" applyNumberFormat="1">
      <alignment horizontal="center" shrinkToFit="0" vertical="center" wrapText="1"/>
    </xf>
    <xf borderId="0" fillId="0" fontId="35" numFmtId="175" xfId="0" applyAlignment="1" applyFont="1" applyNumberFormat="1">
      <alignment horizontal="center" vertical="center"/>
    </xf>
    <xf borderId="0" fillId="0" fontId="35" numFmtId="0" xfId="0" applyAlignment="1" applyFont="1">
      <alignment horizontal="center" vertical="center"/>
    </xf>
    <xf borderId="0" fillId="0" fontId="35" numFmtId="176" xfId="0" applyAlignment="1" applyFont="1" applyNumberFormat="1">
      <alignment horizontal="center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0" fillId="0" fontId="39" numFmtId="0" xfId="0" applyFont="1"/>
    <xf borderId="0" fillId="0" fontId="42" numFmtId="0" xfId="0" applyAlignment="1" applyFont="1">
      <alignment horizontal="center"/>
    </xf>
    <xf borderId="0" fillId="0" fontId="42" numFmtId="3" xfId="0" applyAlignment="1" applyFont="1" applyNumberFormat="1">
      <alignment horizontal="center"/>
    </xf>
    <xf borderId="0" fillId="0" fontId="43" numFmtId="3" xfId="0" applyAlignment="1" applyFont="1" applyNumberFormat="1">
      <alignment horizontal="center"/>
    </xf>
    <xf borderId="0" fillId="0" fontId="36" numFmtId="176" xfId="0" applyAlignment="1" applyFont="1" applyNumberForma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0" fillId="0" fontId="45" numFmtId="3" xfId="0" applyAlignment="1" applyFont="1" applyNumberFormat="1">
      <alignment horizontal="center"/>
    </xf>
    <xf borderId="0" fillId="0" fontId="46" numFmtId="0" xfId="0" applyAlignment="1" applyFont="1">
      <alignment horizontal="center"/>
    </xf>
    <xf borderId="0" fillId="0" fontId="47" numFmtId="0" xfId="0" applyAlignment="1" applyFont="1">
      <alignment horizontal="center"/>
    </xf>
    <xf borderId="0" fillId="0" fontId="39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45" numFmtId="0" xfId="0" applyAlignment="1" applyFont="1">
      <alignment horizontal="center"/>
    </xf>
    <xf borderId="0" fillId="0" fontId="48" numFmtId="0" xfId="0" applyAlignment="1" applyFont="1">
      <alignment horizontal="center"/>
    </xf>
    <xf borderId="0" fillId="0" fontId="39" numFmtId="177" xfId="0" applyAlignment="1" applyFont="1" applyNumberFormat="1">
      <alignment horizontal="center"/>
    </xf>
    <xf borderId="0" fillId="0" fontId="33" numFmtId="0" xfId="0" applyAlignment="1" applyFont="1">
      <alignment horizontal="center" shrinkToFit="0" wrapText="1"/>
    </xf>
    <xf borderId="0" fillId="0" fontId="33" numFmtId="174" xfId="0" applyAlignment="1" applyFont="1" applyNumberFormat="1">
      <alignment horizontal="center" shrinkToFit="0" wrapText="1"/>
    </xf>
    <xf borderId="0" fillId="0" fontId="34" numFmtId="174" xfId="0" applyAlignment="1" applyFont="1" applyNumberFormat="1">
      <alignment horizontal="center" shrinkToFit="0" wrapText="1"/>
    </xf>
    <xf borderId="0" fillId="0" fontId="5" numFmtId="3" xfId="0" applyAlignment="1" applyFont="1" applyNumberFormat="1">
      <alignment horizontal="center"/>
    </xf>
    <xf borderId="27" fillId="2" fontId="24" numFmtId="0" xfId="0" applyAlignment="1" applyBorder="1" applyFont="1">
      <alignment horizontal="left"/>
    </xf>
    <xf borderId="0" fillId="0" fontId="35" numFmtId="177" xfId="0" applyAlignment="1" applyFont="1" applyNumberFormat="1">
      <alignment horizontal="center"/>
    </xf>
    <xf borderId="0" fillId="0" fontId="35" numFmtId="178" xfId="0" applyAlignment="1" applyFont="1" applyNumberFormat="1">
      <alignment horizontal="center"/>
    </xf>
    <xf borderId="0" fillId="0" fontId="39" numFmtId="0" xfId="0" applyAlignment="1" applyFont="1">
      <alignment horizontal="center" shrinkToFit="0" vertical="center" wrapText="1"/>
    </xf>
    <xf borderId="0" fillId="0" fontId="39" numFmtId="3" xfId="0" applyAlignment="1" applyFont="1" applyNumberFormat="1">
      <alignment horizontal="center" shrinkToFit="0" vertical="center" wrapText="1"/>
    </xf>
    <xf borderId="0" fillId="0" fontId="24" numFmtId="0" xfId="0" applyFont="1"/>
    <xf borderId="0" fillId="0" fontId="35" numFmtId="179" xfId="0" applyAlignment="1" applyFont="1" applyNumberFormat="1">
      <alignment horizontal="center"/>
    </xf>
    <xf borderId="0" fillId="0" fontId="35" numFmtId="180" xfId="0" applyAlignment="1" applyFont="1" applyNumberFormat="1">
      <alignment horizontal="center"/>
    </xf>
    <xf borderId="0" fillId="0" fontId="33" numFmtId="198" xfId="0" applyAlignment="1" applyFont="1" applyNumberFormat="1">
      <alignment horizontal="center" shrinkToFit="0" vertical="center" wrapText="1"/>
    </xf>
    <xf borderId="0" fillId="0" fontId="35" numFmtId="175" xfId="0" applyFont="1" applyNumberFormat="1"/>
    <xf borderId="25" fillId="0" fontId="5" numFmtId="0" xfId="0" applyAlignment="1" applyBorder="1" applyFont="1">
      <alignment horizontal="center"/>
    </xf>
    <xf borderId="27" fillId="2" fontId="36" numFmtId="0" xfId="0" applyBorder="1" applyFont="1"/>
    <xf borderId="33" fillId="0" fontId="53" numFmtId="0" xfId="0" applyAlignment="1" applyBorder="1" applyFont="1">
      <alignment horizontal="center" readingOrder="0"/>
    </xf>
    <xf borderId="32" fillId="0" fontId="55" numFmtId="188" xfId="0" applyAlignment="1" applyBorder="1" applyFont="1" applyNumberFormat="1">
      <alignment readingOrder="0"/>
    </xf>
    <xf borderId="37" fillId="0" fontId="55" numFmtId="0" xfId="0" applyAlignment="1" applyBorder="1" applyFont="1">
      <alignment readingOrder="0"/>
    </xf>
    <xf borderId="37" fillId="0" fontId="55" numFmtId="190" xfId="0" applyAlignment="1" applyBorder="1" applyFont="1" applyNumberFormat="1">
      <alignment horizontal="right" readingOrder="0"/>
    </xf>
    <xf borderId="32" fillId="0" fontId="55" numFmtId="199" xfId="0" applyAlignment="1" applyBorder="1" applyFont="1" applyNumberFormat="1">
      <alignment readingOrder="0"/>
    </xf>
    <xf borderId="32" fillId="23" fontId="55" numFmtId="0" xfId="0" applyBorder="1" applyFont="1"/>
    <xf borderId="41" fillId="23" fontId="55" numFmtId="0" xfId="0" applyAlignment="1" applyBorder="1" applyFont="1">
      <alignment shrinkToFit="0" wrapText="1"/>
    </xf>
    <xf borderId="32" fillId="0" fontId="55" numFmtId="3" xfId="0" applyAlignment="1" applyBorder="1" applyFont="1" applyNumberFormat="1">
      <alignment horizontal="right" shrinkToFit="0" wrapText="1"/>
    </xf>
    <xf borderId="32" fillId="23" fontId="55" numFmtId="3" xfId="0" applyAlignment="1" applyBorder="1" applyFont="1" applyNumberFormat="1">
      <alignment horizontal="right" shrinkToFit="0" wrapText="1"/>
    </xf>
    <xf borderId="32" fillId="23" fontId="55" numFmtId="190" xfId="0" applyAlignment="1" applyBorder="1" applyFont="1" applyNumberFormat="1">
      <alignment horizontal="right"/>
    </xf>
    <xf borderId="32" fillId="0" fontId="55" numFmtId="190" xfId="0" applyAlignment="1" applyBorder="1" applyFont="1" applyNumberFormat="1">
      <alignment horizontal="right"/>
    </xf>
    <xf borderId="32" fillId="23" fontId="55" numFmtId="190" xfId="0" applyAlignment="1" applyBorder="1" applyFont="1" applyNumberFormat="1">
      <alignment horizontal="right" readingOrder="0"/>
    </xf>
    <xf borderId="32" fillId="0" fontId="55" numFmtId="190" xfId="0" applyAlignment="1" applyBorder="1" applyFont="1" applyNumberFormat="1">
      <alignment horizontal="right" readingOrder="0"/>
    </xf>
    <xf borderId="0" fillId="0" fontId="56" numFmtId="0" xfId="0" applyAlignment="1" applyFont="1">
      <alignment horizontal="center"/>
    </xf>
    <xf borderId="0" fillId="0" fontId="5" numFmtId="175" xfId="0" applyAlignment="1" applyFont="1" applyNumberFormat="1">
      <alignment horizontal="center"/>
    </xf>
    <xf borderId="0" fillId="0" fontId="20" numFmtId="0" xfId="0" applyAlignment="1" applyFont="1">
      <alignment horizontal="center"/>
    </xf>
    <xf borderId="0" fillId="0" fontId="56" numFmtId="200" xfId="0" applyAlignment="1" applyFont="1" applyNumberFormat="1">
      <alignment horizontal="center" readingOrder="0"/>
    </xf>
    <xf borderId="0" fillId="0" fontId="56" numFmtId="164" xfId="0" applyAlignment="1" applyFont="1" applyNumberFormat="1">
      <alignment horizontal="right"/>
    </xf>
    <xf borderId="0" fillId="0" fontId="56" numFmtId="164" xfId="0" applyAlignment="1" applyFont="1" applyNumberFormat="1">
      <alignment horizontal="center"/>
    </xf>
    <xf borderId="0" fillId="0" fontId="5" numFmtId="164" xfId="0" applyAlignment="1" applyFont="1" applyNumberFormat="1">
      <alignment horizontal="right"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/>
    </xf>
    <xf borderId="0" fillId="0" fontId="21" numFmtId="164" xfId="0" applyAlignment="1" applyFont="1" applyNumberFormat="1">
      <alignment horizontal="right" readingOrder="0"/>
    </xf>
    <xf borderId="0" fillId="0" fontId="21" numFmtId="164" xfId="0" applyAlignment="1" applyFont="1" applyNumberFormat="1">
      <alignment horizontal="right"/>
    </xf>
    <xf borderId="0" fillId="0" fontId="21" numFmtId="184" xfId="0" applyAlignment="1" applyFont="1" applyNumberFormat="1">
      <alignment readingOrder="0"/>
    </xf>
    <xf borderId="0" fillId="11" fontId="21" numFmtId="0" xfId="0" applyAlignment="1" applyFont="1">
      <alignment readingOrder="0"/>
    </xf>
    <xf borderId="0" fillId="11" fontId="21" numFmtId="186" xfId="0" applyAlignment="1" applyFont="1" applyNumberFormat="1">
      <alignment readingOrder="0"/>
    </xf>
    <xf borderId="22" fillId="0" fontId="21" numFmtId="183" xfId="0" applyAlignment="1" applyBorder="1" applyFont="1" applyNumberFormat="1">
      <alignment readingOrder="0"/>
    </xf>
    <xf borderId="22" fillId="0" fontId="21" numFmtId="175" xfId="0" applyAlignment="1" applyBorder="1" applyFont="1" applyNumberFormat="1">
      <alignment readingOrder="0"/>
    </xf>
    <xf borderId="0" fillId="11" fontId="21" numFmtId="175" xfId="0" applyAlignment="1" applyFont="1" applyNumberFormat="1">
      <alignment readingOrder="0"/>
    </xf>
    <xf borderId="22" fillId="0" fontId="21" numFmtId="2" xfId="0" applyBorder="1" applyFont="1" applyNumberFormat="1"/>
    <xf borderId="22" fillId="0" fontId="21" numFmtId="2" xfId="0" applyAlignment="1" applyBorder="1" applyFont="1" applyNumberFormat="1">
      <alignment readingOrder="0"/>
    </xf>
    <xf borderId="0" fillId="11" fontId="21" numFmtId="0" xfId="0" applyFont="1"/>
    <xf borderId="0" fillId="0" fontId="21" numFmtId="183" xfId="0" applyAlignment="1" applyFont="1" applyNumberFormat="1">
      <alignment readingOrder="0"/>
    </xf>
    <xf borderId="0" fillId="11" fontId="21" numFmtId="183" xfId="0" applyAlignment="1" applyFont="1" applyNumberFormat="1">
      <alignment readingOrder="0"/>
    </xf>
    <xf borderId="0" fillId="11" fontId="21" numFmtId="170" xfId="0" applyAlignment="1" applyFont="1" applyNumberFormat="1">
      <alignment readingOrder="0"/>
    </xf>
    <xf borderId="0" fillId="0" fontId="21" numFmtId="170" xfId="0" applyAlignment="1" applyFont="1" applyNumberFormat="1">
      <alignment readingOrder="0"/>
    </xf>
    <xf borderId="0" fillId="0" fontId="21" numFmtId="0" xfId="0" applyFont="1"/>
    <xf borderId="66" fillId="0" fontId="102" numFmtId="187" xfId="0" applyAlignment="1" applyBorder="1" applyFont="1" applyNumberFormat="1">
      <alignment horizontal="center"/>
    </xf>
    <xf borderId="66" fillId="0" fontId="102" numFmtId="0" xfId="0" applyAlignment="1" applyBorder="1" applyFont="1">
      <alignment horizontal="center"/>
    </xf>
    <xf borderId="66" fillId="0" fontId="102" numFmtId="0" xfId="0" applyBorder="1" applyFont="1"/>
    <xf borderId="66" fillId="0" fontId="102" numFmtId="164" xfId="0" applyAlignment="1" applyBorder="1" applyFont="1" applyNumberFormat="1">
      <alignment horizontal="right"/>
    </xf>
    <xf borderId="0" fillId="0" fontId="103" numFmtId="0" xfId="0" applyAlignment="1" applyFont="1">
      <alignment vertical="bottom"/>
    </xf>
    <xf borderId="66" fillId="38" fontId="102" numFmtId="0" xfId="0" applyAlignment="1" applyBorder="1" applyFont="1">
      <alignment horizontal="center"/>
    </xf>
    <xf borderId="66" fillId="0" fontId="102" numFmtId="4" xfId="0" applyAlignment="1" applyBorder="1" applyFont="1" applyNumberFormat="1">
      <alignment horizontal="right"/>
    </xf>
    <xf borderId="66" fillId="0" fontId="102" numFmtId="183" xfId="0" applyAlignment="1" applyBorder="1" applyFont="1" applyNumberFormat="1">
      <alignment horizontal="center" readingOrder="0"/>
    </xf>
    <xf borderId="66" fillId="0" fontId="102" numFmtId="0" xfId="0" applyAlignment="1" applyBorder="1" applyFont="1">
      <alignment horizontal="center" readingOrder="0"/>
    </xf>
    <xf borderId="66" fillId="0" fontId="102" numFmtId="0" xfId="0" applyAlignment="1" applyBorder="1" applyFont="1">
      <alignment readingOrder="0"/>
    </xf>
    <xf borderId="67" fillId="0" fontId="102" numFmtId="164" xfId="0" applyAlignment="1" applyBorder="1" applyFont="1" applyNumberFormat="1">
      <alignment horizontal="right" readingOrder="0"/>
    </xf>
    <xf borderId="67" fillId="0" fontId="102" numFmtId="164" xfId="0" applyAlignment="1" applyBorder="1" applyFont="1" applyNumberFormat="1">
      <alignment horizontal="right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Reservas Sofitel-style">
      <tableStyleElement dxfId="3" type="headerRow"/>
      <tableStyleElement dxfId="4" type="firstRowStripe"/>
      <tableStyleElement dxfId="5" type="secondRowStripe"/>
    </tableStyle>
    <tableStyle count="3" pivot="0" name="Passeios Diarios-style">
      <tableStyleElement dxfId="3" type="headerRow"/>
      <tableStyleElement dxfId="4" type="firstRowStripe"/>
      <tableStyleElement dxfId="5" type="secondRowStripe"/>
    </tableStyle>
  </tableStyles>
</styleSheet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45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K3" displayName="Table_1" name="Table_1" id="1">
  <tableColumns count="1">
    <tableColumn name="Column1" id="1"/>
  </tableColumns>
  <tableStyleInfo name="Reservas Sofite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K3" displayName="Table_2" name="Table_2" id="2">
  <tableColumns count="1">
    <tableColumn name="Column1" id="1"/>
  </tableColumns>
  <tableStyleInfo name="Passeios Diari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6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4.0" topLeftCell="E35" activePane="bottomRight" state="frozen"/>
      <selection activeCell="E1" sqref="E1" pane="topRight"/>
      <selection activeCell="A35" sqref="A35" pane="bottomLeft"/>
      <selection activeCell="E35" sqref="E35" pane="bottomRight"/>
    </sheetView>
  </sheetViews>
  <sheetFormatPr customHeight="1" defaultColWidth="14.43" defaultRowHeight="15.0"/>
  <cols>
    <col customWidth="1" min="1" max="2" width="0.43"/>
    <col customWidth="1" min="3" max="3" width="33.86"/>
    <col customWidth="1" min="4" max="4" width="49.0"/>
    <col customWidth="1" min="5" max="5" width="23.0"/>
    <col customWidth="1" min="6" max="6" width="23.43"/>
    <col hidden="1" min="12" max="12" width="14.43"/>
    <col hidden="1" min="14" max="15" width="14.43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8" t="s">
        <v>11</v>
      </c>
      <c r="N1" s="6" t="s">
        <v>12</v>
      </c>
      <c r="O1" s="8" t="s">
        <v>13</v>
      </c>
      <c r="P1" s="7" t="s">
        <v>14</v>
      </c>
      <c r="Q1" s="8" t="s">
        <v>15</v>
      </c>
      <c r="R1" s="9" t="s">
        <v>16</v>
      </c>
      <c r="S1" s="10" t="s">
        <v>17</v>
      </c>
      <c r="T1" s="7" t="s">
        <v>18</v>
      </c>
      <c r="U1" s="11" t="s">
        <v>19</v>
      </c>
      <c r="V1" s="11" t="s">
        <v>20</v>
      </c>
      <c r="W1" s="11" t="s">
        <v>21</v>
      </c>
      <c r="X1" s="12"/>
    </row>
    <row r="2" hidden="1">
      <c r="A2" s="13"/>
      <c r="B2" s="13"/>
      <c r="C2" s="14" t="s">
        <v>22</v>
      </c>
      <c r="D2" s="15" t="s">
        <v>23</v>
      </c>
      <c r="E2" s="16">
        <f>E45</f>
        <v>6395050</v>
      </c>
      <c r="F2" s="16">
        <v>1.07033255E7</v>
      </c>
      <c r="G2" s="17">
        <f t="shared" ref="G2:G15" si="1">(E2*M2)*(1+H2)</f>
        <v>9262.820162</v>
      </c>
      <c r="H2" s="18">
        <v>0.035</v>
      </c>
      <c r="I2" s="19">
        <f t="shared" ref="I2:I24" si="2">G2*(1-H2)</f>
        <v>8938.621456</v>
      </c>
      <c r="J2" s="20">
        <f t="shared" ref="J2:J24" si="3">G2-I2</f>
        <v>324.1987057</v>
      </c>
      <c r="K2" s="21">
        <v>0.00137</v>
      </c>
      <c r="L2" s="18">
        <v>0.0215</v>
      </c>
      <c r="M2" s="22">
        <f t="shared" ref="M2:M7" si="4">K2*(1+L2)</f>
        <v>0.001399455</v>
      </c>
      <c r="N2" s="19">
        <f t="shared" ref="N2:N24" si="5">(I2*L2)+15</f>
        <v>207.1803613</v>
      </c>
      <c r="O2" s="19">
        <f t="shared" ref="O2:O3" si="6">(I2*M2)+L20</f>
        <v>12.53069849</v>
      </c>
      <c r="P2" s="17">
        <f>(F2*M2)*(1+H2)</f>
        <v>15503.08117</v>
      </c>
      <c r="Q2" s="18">
        <v>0.06</v>
      </c>
      <c r="R2" s="23"/>
      <c r="S2" s="19">
        <f t="shared" ref="S2:S24" si="7">(P2-G2)*0.2</f>
        <v>1248.052202</v>
      </c>
      <c r="T2" s="24">
        <f t="shared" ref="T2:T24" si="8">P2-(G2+S2)-(P2*R2)</f>
        <v>4992.208807</v>
      </c>
      <c r="U2" s="25">
        <f t="shared" ref="U2:U24" si="9">IFERROR((P2-G2)/G2,"")</f>
        <v>0.6736891033</v>
      </c>
      <c r="V2" s="25">
        <f t="shared" ref="V2:V24" si="10">IFERROR((P2-G2)/P2,"")</f>
        <v>0.4025174699</v>
      </c>
      <c r="W2" s="25">
        <f t="shared" ref="W2:W24" si="11">IFERROR(T2/P2,"")</f>
        <v>0.3220139759</v>
      </c>
      <c r="X2" s="26"/>
    </row>
    <row r="3" hidden="1">
      <c r="A3" s="13"/>
      <c r="B3" s="13"/>
      <c r="C3" s="14" t="s">
        <v>24</v>
      </c>
      <c r="D3" s="15" t="s">
        <v>25</v>
      </c>
      <c r="E3" s="16">
        <v>3670000.0</v>
      </c>
      <c r="F3" s="27"/>
      <c r="G3" s="17">
        <f t="shared" si="1"/>
        <v>5315.759845</v>
      </c>
      <c r="H3" s="18">
        <v>0.035</v>
      </c>
      <c r="I3" s="19">
        <f t="shared" si="2"/>
        <v>5129.70825</v>
      </c>
      <c r="J3" s="20">
        <f t="shared" si="3"/>
        <v>186.0515946</v>
      </c>
      <c r="K3" s="21">
        <v>0.00137</v>
      </c>
      <c r="L3" s="18">
        <v>0.0215</v>
      </c>
      <c r="M3" s="22">
        <f t="shared" si="4"/>
        <v>0.001399455</v>
      </c>
      <c r="N3" s="19">
        <f t="shared" si="5"/>
        <v>125.2887274</v>
      </c>
      <c r="O3" s="19">
        <f t="shared" si="6"/>
        <v>7.200295859</v>
      </c>
      <c r="P3" s="17">
        <f>G3*1.75</f>
        <v>9302.579728</v>
      </c>
      <c r="Q3" s="18">
        <v>0.06</v>
      </c>
      <c r="R3" s="23"/>
      <c r="S3" s="19">
        <f t="shared" si="7"/>
        <v>797.3639767</v>
      </c>
      <c r="T3" s="24">
        <f t="shared" si="8"/>
        <v>3189.455907</v>
      </c>
      <c r="U3" s="25">
        <f t="shared" si="9"/>
        <v>0.75</v>
      </c>
      <c r="V3" s="25">
        <f t="shared" si="10"/>
        <v>0.4285714286</v>
      </c>
      <c r="W3" s="25">
        <f t="shared" si="11"/>
        <v>0.3428571429</v>
      </c>
      <c r="X3" s="26"/>
    </row>
    <row r="4" hidden="1">
      <c r="A4" s="13"/>
      <c r="B4" s="13"/>
      <c r="C4" s="14" t="s">
        <v>26</v>
      </c>
      <c r="D4" s="15" t="s">
        <v>27</v>
      </c>
      <c r="E4" s="16">
        <v>1.214E7</v>
      </c>
      <c r="F4" s="27"/>
      <c r="G4" s="17">
        <f t="shared" si="1"/>
        <v>17767.29658</v>
      </c>
      <c r="H4" s="18">
        <v>0.035</v>
      </c>
      <c r="I4" s="19">
        <f t="shared" si="2"/>
        <v>17145.4412</v>
      </c>
      <c r="J4" s="20">
        <f t="shared" si="3"/>
        <v>621.8553802</v>
      </c>
      <c r="K4" s="21">
        <v>0.00138428</v>
      </c>
      <c r="L4" s="18">
        <v>0.0215</v>
      </c>
      <c r="M4" s="22">
        <f t="shared" si="4"/>
        <v>0.00141404202</v>
      </c>
      <c r="N4" s="19">
        <f t="shared" si="5"/>
        <v>383.6269857</v>
      </c>
      <c r="O4" s="19">
        <f>(I4*M4)+L27</f>
        <v>24.2658743</v>
      </c>
      <c r="P4" s="17">
        <f>G4*1.5069</f>
        <v>26773.53921</v>
      </c>
      <c r="Q4" s="18">
        <v>0.06</v>
      </c>
      <c r="R4" s="23"/>
      <c r="S4" s="19">
        <f t="shared" si="7"/>
        <v>1801.248527</v>
      </c>
      <c r="T4" s="24">
        <f t="shared" si="8"/>
        <v>7204.994108</v>
      </c>
      <c r="U4" s="25">
        <f t="shared" si="9"/>
        <v>0.5069</v>
      </c>
      <c r="V4" s="25">
        <f t="shared" si="10"/>
        <v>0.3363859579</v>
      </c>
      <c r="W4" s="25">
        <f t="shared" si="11"/>
        <v>0.2691087663</v>
      </c>
      <c r="X4" s="26"/>
    </row>
    <row r="5" hidden="1">
      <c r="A5" s="13"/>
      <c r="B5" s="13"/>
      <c r="C5" s="14" t="s">
        <v>28</v>
      </c>
      <c r="D5" s="15" t="s">
        <v>29</v>
      </c>
      <c r="E5" s="16">
        <v>1.284E7</v>
      </c>
      <c r="F5" s="27"/>
      <c r="G5" s="17">
        <f t="shared" si="1"/>
        <v>18791.77002</v>
      </c>
      <c r="H5" s="18">
        <v>0.035</v>
      </c>
      <c r="I5" s="19">
        <f t="shared" si="2"/>
        <v>18134.05807</v>
      </c>
      <c r="J5" s="20">
        <f t="shared" si="3"/>
        <v>657.7119507</v>
      </c>
      <c r="K5" s="21">
        <v>0.00138428</v>
      </c>
      <c r="L5" s="18">
        <v>0.0215</v>
      </c>
      <c r="M5" s="22">
        <f t="shared" si="4"/>
        <v>0.00141404202</v>
      </c>
      <c r="N5" s="19">
        <f t="shared" si="5"/>
        <v>404.8822485</v>
      </c>
      <c r="O5" s="19">
        <f t="shared" ref="O5:O6" si="12">(I5*M5)+L33</f>
        <v>25.6638201</v>
      </c>
      <c r="P5" s="17">
        <f>G5*1.51</f>
        <v>28375.57273</v>
      </c>
      <c r="Q5" s="18">
        <v>0.06</v>
      </c>
      <c r="R5" s="23"/>
      <c r="S5" s="19">
        <f t="shared" si="7"/>
        <v>1916.760542</v>
      </c>
      <c r="T5" s="24">
        <f t="shared" si="8"/>
        <v>7667.042168</v>
      </c>
      <c r="U5" s="25">
        <f t="shared" si="9"/>
        <v>0.51</v>
      </c>
      <c r="V5" s="25">
        <f t="shared" si="10"/>
        <v>0.3377483444</v>
      </c>
      <c r="W5" s="25">
        <f t="shared" si="11"/>
        <v>0.2701986755</v>
      </c>
      <c r="X5" s="26"/>
    </row>
    <row r="6" hidden="1">
      <c r="A6" s="13"/>
      <c r="B6" s="13"/>
      <c r="C6" s="14" t="s">
        <v>30</v>
      </c>
      <c r="D6" s="15" t="s">
        <v>31</v>
      </c>
      <c r="E6" s="16">
        <v>9457000.0</v>
      </c>
      <c r="F6" s="27"/>
      <c r="G6" s="17">
        <f t="shared" si="1"/>
        <v>13697.85854</v>
      </c>
      <c r="H6" s="18">
        <v>0.035</v>
      </c>
      <c r="I6" s="19">
        <f t="shared" si="2"/>
        <v>13218.43349</v>
      </c>
      <c r="J6" s="20">
        <f t="shared" si="3"/>
        <v>479.425049</v>
      </c>
      <c r="K6" s="21">
        <v>0.00137</v>
      </c>
      <c r="L6" s="18">
        <v>0.0215</v>
      </c>
      <c r="M6" s="22">
        <f t="shared" si="4"/>
        <v>0.001399455</v>
      </c>
      <c r="N6" s="19">
        <f t="shared" si="5"/>
        <v>299.1963201</v>
      </c>
      <c r="O6" s="19">
        <f t="shared" si="12"/>
        <v>18.49860284</v>
      </c>
      <c r="P6" s="17">
        <f t="shared" ref="P6:P7" si="13">G6*1.4169</f>
        <v>19408.49577</v>
      </c>
      <c r="Q6" s="18">
        <v>0.06</v>
      </c>
      <c r="R6" s="23"/>
      <c r="S6" s="19">
        <f t="shared" si="7"/>
        <v>1142.127445</v>
      </c>
      <c r="T6" s="24">
        <f t="shared" si="8"/>
        <v>4568.509781</v>
      </c>
      <c r="U6" s="25">
        <f t="shared" si="9"/>
        <v>0.4169</v>
      </c>
      <c r="V6" s="25">
        <f t="shared" si="10"/>
        <v>0.2942338909</v>
      </c>
      <c r="W6" s="25">
        <f t="shared" si="11"/>
        <v>0.2353871127</v>
      </c>
      <c r="X6" s="26"/>
    </row>
    <row r="7" hidden="1">
      <c r="A7" s="28"/>
      <c r="B7" s="28"/>
      <c r="C7" s="29" t="s">
        <v>32</v>
      </c>
      <c r="D7" s="30" t="s">
        <v>31</v>
      </c>
      <c r="E7" s="31">
        <v>9457000.0</v>
      </c>
      <c r="F7" s="32"/>
      <c r="G7" s="33">
        <f t="shared" si="1"/>
        <v>13697.85854</v>
      </c>
      <c r="H7" s="34">
        <v>0.035</v>
      </c>
      <c r="I7" s="35">
        <f t="shared" si="2"/>
        <v>13218.43349</v>
      </c>
      <c r="J7" s="36">
        <f t="shared" si="3"/>
        <v>479.425049</v>
      </c>
      <c r="K7" s="37">
        <v>0.00137</v>
      </c>
      <c r="L7" s="34">
        <v>0.0215</v>
      </c>
      <c r="M7" s="38">
        <f t="shared" si="4"/>
        <v>0.001399455</v>
      </c>
      <c r="N7" s="35">
        <f t="shared" si="5"/>
        <v>299.1963201</v>
      </c>
      <c r="O7" s="35">
        <f t="shared" ref="O7:O18" si="15">(I7*M7)+L34</f>
        <v>18.49860284</v>
      </c>
      <c r="P7" s="33">
        <f t="shared" si="13"/>
        <v>19408.49577</v>
      </c>
      <c r="Q7" s="34">
        <v>0.06</v>
      </c>
      <c r="R7" s="39"/>
      <c r="S7" s="35">
        <f t="shared" si="7"/>
        <v>1142.127445</v>
      </c>
      <c r="T7" s="40">
        <f t="shared" si="8"/>
        <v>4568.509781</v>
      </c>
      <c r="U7" s="41">
        <f t="shared" si="9"/>
        <v>0.4169</v>
      </c>
      <c r="V7" s="41">
        <f t="shared" si="10"/>
        <v>0.2942338909</v>
      </c>
      <c r="W7" s="41">
        <f t="shared" si="11"/>
        <v>0.2353871127</v>
      </c>
      <c r="X7" s="42"/>
    </row>
    <row r="8" hidden="1">
      <c r="A8" s="13"/>
      <c r="B8" s="13"/>
      <c r="C8" s="14" t="s">
        <v>33</v>
      </c>
      <c r="D8" s="43" t="s">
        <v>34</v>
      </c>
      <c r="E8" s="44">
        <f t="shared" ref="E8:F8" si="14">E173</f>
        <v>7861600</v>
      </c>
      <c r="F8" s="45">
        <f t="shared" si="14"/>
        <v>12232000</v>
      </c>
      <c r="G8" s="17">
        <f t="shared" si="1"/>
        <v>11505.71489</v>
      </c>
      <c r="H8" s="46">
        <v>0.035</v>
      </c>
      <c r="I8" s="47">
        <f t="shared" si="2"/>
        <v>11103.01487</v>
      </c>
      <c r="J8" s="48">
        <f t="shared" si="3"/>
        <v>402.7000212</v>
      </c>
      <c r="K8" s="49">
        <v>0.00137</v>
      </c>
      <c r="L8" s="46">
        <v>0.0215</v>
      </c>
      <c r="M8" s="50">
        <f>M4</f>
        <v>0.00141404202</v>
      </c>
      <c r="N8" s="47">
        <f t="shared" si="5"/>
        <v>253.7148197</v>
      </c>
      <c r="O8" s="19">
        <f t="shared" si="15"/>
        <v>15.70012957</v>
      </c>
      <c r="P8" s="51">
        <v>18096.0</v>
      </c>
      <c r="Q8" s="46">
        <v>0.06</v>
      </c>
      <c r="R8" s="52"/>
      <c r="S8" s="47">
        <f t="shared" si="7"/>
        <v>1318.057022</v>
      </c>
      <c r="T8" s="24">
        <f t="shared" si="8"/>
        <v>5272.228088</v>
      </c>
      <c r="U8" s="25">
        <f t="shared" si="9"/>
        <v>0.5727836273</v>
      </c>
      <c r="V8" s="25">
        <f t="shared" si="10"/>
        <v>0.3641846325</v>
      </c>
      <c r="W8" s="25">
        <f t="shared" si="11"/>
        <v>0.291347706</v>
      </c>
      <c r="X8" s="53"/>
    </row>
    <row r="9" hidden="1">
      <c r="A9" s="13"/>
      <c r="B9" s="13"/>
      <c r="C9" s="54" t="s">
        <v>35</v>
      </c>
      <c r="D9" s="55" t="s">
        <v>36</v>
      </c>
      <c r="E9" s="56">
        <f t="shared" ref="E9:F9" si="16">E187</f>
        <v>7648800</v>
      </c>
      <c r="F9" s="57">
        <f t="shared" si="16"/>
        <v>11632000</v>
      </c>
      <c r="G9" s="17">
        <f t="shared" si="1"/>
        <v>11078.7967</v>
      </c>
      <c r="H9" s="18">
        <v>0.035</v>
      </c>
      <c r="I9" s="19">
        <f t="shared" si="2"/>
        <v>10691.03882</v>
      </c>
      <c r="J9" s="20">
        <f t="shared" si="3"/>
        <v>387.7578846</v>
      </c>
      <c r="K9" s="21">
        <v>0.00137</v>
      </c>
      <c r="L9" s="18">
        <v>0.0215</v>
      </c>
      <c r="M9" s="22">
        <f t="shared" ref="M9:M24" si="17">K9*(1+L9)</f>
        <v>0.001399455</v>
      </c>
      <c r="N9" s="19">
        <f t="shared" si="5"/>
        <v>244.8573346</v>
      </c>
      <c r="O9" s="19">
        <f t="shared" si="15"/>
        <v>14.96162773</v>
      </c>
      <c r="P9" s="51">
        <v>17208.0</v>
      </c>
      <c r="Q9" s="18">
        <v>0.06</v>
      </c>
      <c r="R9" s="23"/>
      <c r="S9" s="19">
        <f t="shared" si="7"/>
        <v>1225.840659</v>
      </c>
      <c r="T9" s="24">
        <f t="shared" si="8"/>
        <v>4903.362637</v>
      </c>
      <c r="U9" s="25">
        <f t="shared" si="9"/>
        <v>0.5532372749</v>
      </c>
      <c r="V9" s="25">
        <f t="shared" si="10"/>
        <v>0.3561833622</v>
      </c>
      <c r="W9" s="25">
        <f t="shared" si="11"/>
        <v>0.2849466898</v>
      </c>
      <c r="X9" s="26"/>
    </row>
    <row r="10" hidden="1">
      <c r="A10" s="13"/>
      <c r="B10" s="13"/>
      <c r="C10" s="14" t="s">
        <v>37</v>
      </c>
      <c r="D10" s="15" t="s">
        <v>38</v>
      </c>
      <c r="E10" s="16">
        <v>8207280.0</v>
      </c>
      <c r="F10" s="27"/>
      <c r="G10" s="17">
        <f t="shared" si="1"/>
        <v>12011.62915</v>
      </c>
      <c r="H10" s="18">
        <v>0.035</v>
      </c>
      <c r="I10" s="19">
        <f t="shared" si="2"/>
        <v>11591.22213</v>
      </c>
      <c r="J10" s="20">
        <f t="shared" si="3"/>
        <v>420.4070202</v>
      </c>
      <c r="K10" s="21">
        <v>0.00138428</v>
      </c>
      <c r="L10" s="18">
        <v>0.0215</v>
      </c>
      <c r="M10" s="22">
        <f t="shared" si="17"/>
        <v>0.00141404202</v>
      </c>
      <c r="N10" s="19">
        <f t="shared" si="5"/>
        <v>264.2112757</v>
      </c>
      <c r="O10" s="19">
        <f t="shared" si="15"/>
        <v>16.39047515</v>
      </c>
      <c r="P10" s="17">
        <f>G10*1.7483</f>
        <v>20999.93124</v>
      </c>
      <c r="Q10" s="18">
        <v>0.06</v>
      </c>
      <c r="R10" s="23"/>
      <c r="S10" s="19">
        <f t="shared" si="7"/>
        <v>1797.660418</v>
      </c>
      <c r="T10" s="24">
        <f t="shared" si="8"/>
        <v>7190.641673</v>
      </c>
      <c r="U10" s="25">
        <f t="shared" si="9"/>
        <v>0.7483</v>
      </c>
      <c r="V10" s="25">
        <f t="shared" si="10"/>
        <v>0.4280157868</v>
      </c>
      <c r="W10" s="25">
        <f t="shared" si="11"/>
        <v>0.3424126294</v>
      </c>
      <c r="X10" s="26"/>
    </row>
    <row r="11" hidden="1">
      <c r="A11" s="13"/>
      <c r="B11" s="13"/>
      <c r="C11" s="14" t="s">
        <v>39</v>
      </c>
      <c r="D11" s="15" t="s">
        <v>40</v>
      </c>
      <c r="E11" s="58">
        <v>6887280.0</v>
      </c>
      <c r="F11" s="27"/>
      <c r="G11" s="17">
        <f t="shared" si="1"/>
        <v>10079.76494</v>
      </c>
      <c r="H11" s="18">
        <v>0.035</v>
      </c>
      <c r="I11" s="19">
        <f t="shared" si="2"/>
        <v>9726.973167</v>
      </c>
      <c r="J11" s="20">
        <f t="shared" si="3"/>
        <v>352.7917729</v>
      </c>
      <c r="K11" s="21">
        <v>0.00138428</v>
      </c>
      <c r="L11" s="18">
        <v>0.0215</v>
      </c>
      <c r="M11" s="22">
        <f t="shared" si="17"/>
        <v>0.00141404202</v>
      </c>
      <c r="N11" s="19">
        <f t="shared" si="5"/>
        <v>224.1299231</v>
      </c>
      <c r="O11" s="19">
        <f t="shared" si="15"/>
        <v>13.75434879</v>
      </c>
      <c r="P11" s="17">
        <f>G11*1.6827</f>
        <v>16961.22046</v>
      </c>
      <c r="Q11" s="18">
        <v>0.06</v>
      </c>
      <c r="R11" s="23"/>
      <c r="S11" s="19">
        <f t="shared" si="7"/>
        <v>1376.291105</v>
      </c>
      <c r="T11" s="24">
        <f t="shared" si="8"/>
        <v>5505.16442</v>
      </c>
      <c r="U11" s="25">
        <f t="shared" si="9"/>
        <v>0.6827</v>
      </c>
      <c r="V11" s="25">
        <f t="shared" si="10"/>
        <v>0.4057170024</v>
      </c>
      <c r="W11" s="25">
        <f t="shared" si="11"/>
        <v>0.3245736019</v>
      </c>
      <c r="X11" s="26"/>
    </row>
    <row r="12" hidden="1">
      <c r="A12" s="13"/>
      <c r="B12" s="13"/>
      <c r="C12" s="14" t="s">
        <v>41</v>
      </c>
      <c r="D12" s="59" t="s">
        <v>42</v>
      </c>
      <c r="E12" s="60">
        <v>7612000.0</v>
      </c>
      <c r="F12" s="61"/>
      <c r="G12" s="17">
        <f t="shared" si="1"/>
        <v>11025.49426</v>
      </c>
      <c r="H12" s="62">
        <v>0.035</v>
      </c>
      <c r="I12" s="63">
        <f t="shared" si="2"/>
        <v>10639.60196</v>
      </c>
      <c r="J12" s="64">
        <f t="shared" si="3"/>
        <v>385.8922991</v>
      </c>
      <c r="K12" s="65">
        <v>0.00137</v>
      </c>
      <c r="L12" s="62">
        <v>0.0215</v>
      </c>
      <c r="M12" s="66">
        <f t="shared" si="17"/>
        <v>0.001399455</v>
      </c>
      <c r="N12" s="63">
        <f t="shared" si="5"/>
        <v>243.7514422</v>
      </c>
      <c r="O12" s="19">
        <f t="shared" si="15"/>
        <v>14.88964416</v>
      </c>
      <c r="P12" s="67">
        <f>G12</f>
        <v>11025.49426</v>
      </c>
      <c r="Q12" s="62">
        <v>0.06</v>
      </c>
      <c r="R12" s="68"/>
      <c r="S12" s="63">
        <f t="shared" si="7"/>
        <v>0</v>
      </c>
      <c r="T12" s="24">
        <f t="shared" si="8"/>
        <v>0</v>
      </c>
      <c r="U12" s="25">
        <f t="shared" si="9"/>
        <v>0</v>
      </c>
      <c r="V12" s="25">
        <f t="shared" si="10"/>
        <v>0</v>
      </c>
      <c r="W12" s="25">
        <f t="shared" si="11"/>
        <v>0</v>
      </c>
      <c r="X12" s="69"/>
    </row>
    <row r="13" hidden="1">
      <c r="A13" s="13"/>
      <c r="B13" s="13"/>
      <c r="C13" s="14" t="s">
        <v>43</v>
      </c>
      <c r="D13" s="59" t="s">
        <v>44</v>
      </c>
      <c r="E13" s="60">
        <v>1.7332E7</v>
      </c>
      <c r="F13" s="61"/>
      <c r="G13" s="17">
        <f t="shared" si="1"/>
        <v>25104.29145</v>
      </c>
      <c r="H13" s="62">
        <v>0.035</v>
      </c>
      <c r="I13" s="63">
        <f t="shared" si="2"/>
        <v>24225.64125</v>
      </c>
      <c r="J13" s="64">
        <f t="shared" si="3"/>
        <v>878.6502008</v>
      </c>
      <c r="K13" s="65">
        <v>0.00137</v>
      </c>
      <c r="L13" s="62">
        <v>0.0215</v>
      </c>
      <c r="M13" s="66">
        <f t="shared" si="17"/>
        <v>0.001399455</v>
      </c>
      <c r="N13" s="63">
        <f t="shared" si="5"/>
        <v>535.8512869</v>
      </c>
      <c r="O13" s="19">
        <f t="shared" si="15"/>
        <v>33.90269478</v>
      </c>
      <c r="P13" s="17">
        <f>G13*1.4476</f>
        <v>36340.97231</v>
      </c>
      <c r="Q13" s="62">
        <v>0.06</v>
      </c>
      <c r="R13" s="68"/>
      <c r="S13" s="63">
        <f t="shared" si="7"/>
        <v>2247.336171</v>
      </c>
      <c r="T13" s="24">
        <f t="shared" si="8"/>
        <v>8989.344683</v>
      </c>
      <c r="U13" s="25">
        <f t="shared" si="9"/>
        <v>0.4476</v>
      </c>
      <c r="V13" s="25">
        <f t="shared" si="10"/>
        <v>0.3092014369</v>
      </c>
      <c r="W13" s="25">
        <f t="shared" si="11"/>
        <v>0.2473611495</v>
      </c>
      <c r="X13" s="69"/>
    </row>
    <row r="14" hidden="1">
      <c r="A14" s="13"/>
      <c r="B14" s="13"/>
      <c r="C14" s="14" t="s">
        <v>45</v>
      </c>
      <c r="D14" s="15" t="s">
        <v>46</v>
      </c>
      <c r="E14" s="58">
        <v>4100000.0</v>
      </c>
      <c r="F14" s="27"/>
      <c r="G14" s="17">
        <f t="shared" si="1"/>
        <v>6000.487312</v>
      </c>
      <c r="H14" s="18">
        <v>0.035</v>
      </c>
      <c r="I14" s="19">
        <f t="shared" si="2"/>
        <v>5790.470256</v>
      </c>
      <c r="J14" s="20">
        <f t="shared" si="3"/>
        <v>210.0170559</v>
      </c>
      <c r="K14" s="21">
        <v>0.00138428</v>
      </c>
      <c r="L14" s="18">
        <v>0.0215</v>
      </c>
      <c r="M14" s="22">
        <f t="shared" si="17"/>
        <v>0.00141404202</v>
      </c>
      <c r="N14" s="19">
        <f t="shared" si="5"/>
        <v>139.4951105</v>
      </c>
      <c r="O14" s="19">
        <f t="shared" si="15"/>
        <v>8.187968257</v>
      </c>
      <c r="P14" s="17">
        <f>G14*1.2929</f>
        <v>7758.030046</v>
      </c>
      <c r="Q14" s="18">
        <v>0.06</v>
      </c>
      <c r="R14" s="23"/>
      <c r="S14" s="19">
        <f t="shared" si="7"/>
        <v>351.5085467</v>
      </c>
      <c r="T14" s="24">
        <f t="shared" si="8"/>
        <v>1406.034187</v>
      </c>
      <c r="U14" s="25">
        <f t="shared" si="9"/>
        <v>0.2929</v>
      </c>
      <c r="V14" s="25">
        <f t="shared" si="10"/>
        <v>0.2265449764</v>
      </c>
      <c r="W14" s="25">
        <f t="shared" si="11"/>
        <v>0.1812359811</v>
      </c>
      <c r="X14" s="26"/>
    </row>
    <row r="15" hidden="1">
      <c r="A15" s="13"/>
      <c r="B15" s="13"/>
      <c r="C15" s="14" t="s">
        <v>47</v>
      </c>
      <c r="D15" s="15" t="s">
        <v>48</v>
      </c>
      <c r="E15" s="16">
        <v>1.0145E7</v>
      </c>
      <c r="F15" s="27"/>
      <c r="G15" s="17">
        <f t="shared" si="1"/>
        <v>14847.54726</v>
      </c>
      <c r="H15" s="18">
        <v>0.035</v>
      </c>
      <c r="I15" s="19">
        <f t="shared" si="2"/>
        <v>14327.88311</v>
      </c>
      <c r="J15" s="20">
        <f t="shared" si="3"/>
        <v>519.6641542</v>
      </c>
      <c r="K15" s="21">
        <v>0.00138428</v>
      </c>
      <c r="L15" s="18">
        <v>0.0215</v>
      </c>
      <c r="M15" s="22">
        <f t="shared" si="17"/>
        <v>0.00141404202</v>
      </c>
      <c r="N15" s="19">
        <f t="shared" si="5"/>
        <v>323.0494868</v>
      </c>
      <c r="O15" s="19">
        <f t="shared" si="15"/>
        <v>20.26022877</v>
      </c>
      <c r="P15" s="17">
        <f>G15*1.27</f>
        <v>18856.38502</v>
      </c>
      <c r="Q15" s="18">
        <v>0.06</v>
      </c>
      <c r="R15" s="23"/>
      <c r="S15" s="19">
        <f t="shared" si="7"/>
        <v>801.7675522</v>
      </c>
      <c r="T15" s="24">
        <f t="shared" si="8"/>
        <v>3207.070209</v>
      </c>
      <c r="U15" s="25">
        <f t="shared" si="9"/>
        <v>0.27</v>
      </c>
      <c r="V15" s="25">
        <f t="shared" si="10"/>
        <v>0.2125984252</v>
      </c>
      <c r="W15" s="25">
        <f t="shared" si="11"/>
        <v>0.1700787402</v>
      </c>
      <c r="X15" s="26"/>
    </row>
    <row r="16" hidden="1">
      <c r="A16" s="70"/>
      <c r="B16" s="70"/>
      <c r="C16" s="71" t="s">
        <v>49</v>
      </c>
      <c r="D16" s="59" t="s">
        <v>50</v>
      </c>
      <c r="E16" s="60">
        <v>5624000.0</v>
      </c>
      <c r="F16" s="72">
        <v>9864.0</v>
      </c>
      <c r="G16" s="17">
        <f>F16*(1+H16)</f>
        <v>10209.24</v>
      </c>
      <c r="H16" s="62">
        <v>0.035</v>
      </c>
      <c r="I16" s="63">
        <f t="shared" si="2"/>
        <v>9851.9166</v>
      </c>
      <c r="J16" s="64">
        <f t="shared" si="3"/>
        <v>357.3234</v>
      </c>
      <c r="K16" s="65">
        <v>0.00138428</v>
      </c>
      <c r="L16" s="62">
        <v>0.0215</v>
      </c>
      <c r="M16" s="66">
        <f t="shared" si="17"/>
        <v>0.00141404202</v>
      </c>
      <c r="N16" s="63">
        <f t="shared" si="5"/>
        <v>226.8162069</v>
      </c>
      <c r="O16" s="19">
        <f t="shared" si="15"/>
        <v>13.93102405</v>
      </c>
      <c r="P16" s="17">
        <f>G16*1.7539</f>
        <v>17905.98604</v>
      </c>
      <c r="Q16" s="62">
        <v>0.06</v>
      </c>
      <c r="R16" s="68"/>
      <c r="S16" s="63">
        <f t="shared" si="7"/>
        <v>1539.349207</v>
      </c>
      <c r="T16" s="24">
        <f t="shared" si="8"/>
        <v>6157.396829</v>
      </c>
      <c r="U16" s="25">
        <f t="shared" si="9"/>
        <v>0.7539</v>
      </c>
      <c r="V16" s="25">
        <f t="shared" si="10"/>
        <v>0.4298420663</v>
      </c>
      <c r="W16" s="25">
        <f t="shared" si="11"/>
        <v>0.343873653</v>
      </c>
      <c r="X16" s="69"/>
    </row>
    <row r="17" hidden="1">
      <c r="A17" s="13"/>
      <c r="B17" s="13"/>
      <c r="C17" s="14" t="s">
        <v>51</v>
      </c>
      <c r="D17" s="15" t="s">
        <v>52</v>
      </c>
      <c r="E17" s="58">
        <v>1.2212E7</v>
      </c>
      <c r="F17" s="27"/>
      <c r="G17" s="17">
        <f t="shared" ref="G17:G28" si="18">(E17*M17)*(1+H17)</f>
        <v>17872.67099</v>
      </c>
      <c r="H17" s="18">
        <v>0.035</v>
      </c>
      <c r="I17" s="19">
        <f t="shared" si="2"/>
        <v>17247.1275</v>
      </c>
      <c r="J17" s="20">
        <f t="shared" si="3"/>
        <v>625.5434846</v>
      </c>
      <c r="K17" s="21">
        <v>0.00138428</v>
      </c>
      <c r="L17" s="18">
        <v>0.0215</v>
      </c>
      <c r="M17" s="22">
        <f t="shared" si="17"/>
        <v>0.00141404202</v>
      </c>
      <c r="N17" s="19">
        <f t="shared" si="5"/>
        <v>385.8132413</v>
      </c>
      <c r="O17" s="19">
        <f t="shared" si="15"/>
        <v>24.38816301</v>
      </c>
      <c r="P17" s="17">
        <f>G17*1.51</f>
        <v>26987.73319</v>
      </c>
      <c r="Q17" s="18">
        <v>0.06</v>
      </c>
      <c r="R17" s="23"/>
      <c r="S17" s="19">
        <f t="shared" si="7"/>
        <v>1823.012441</v>
      </c>
      <c r="T17" s="24">
        <f t="shared" si="8"/>
        <v>7292.049763</v>
      </c>
      <c r="U17" s="25">
        <f t="shared" si="9"/>
        <v>0.51</v>
      </c>
      <c r="V17" s="25">
        <f t="shared" si="10"/>
        <v>0.3377483444</v>
      </c>
      <c r="W17" s="25">
        <f t="shared" si="11"/>
        <v>0.2701986755</v>
      </c>
      <c r="X17" s="26"/>
    </row>
    <row r="18" hidden="1">
      <c r="A18" s="13"/>
      <c r="B18" s="13"/>
      <c r="C18" s="14" t="s">
        <v>53</v>
      </c>
      <c r="D18" s="15" t="s">
        <v>54</v>
      </c>
      <c r="E18" s="16">
        <v>7671000.0</v>
      </c>
      <c r="F18" s="16">
        <v>1.2094E7</v>
      </c>
      <c r="G18" s="17">
        <f t="shared" si="18"/>
        <v>11226.76541</v>
      </c>
      <c r="H18" s="18">
        <v>0.035</v>
      </c>
      <c r="I18" s="19">
        <f t="shared" si="2"/>
        <v>10833.82862</v>
      </c>
      <c r="J18" s="20">
        <f t="shared" si="3"/>
        <v>392.9367893</v>
      </c>
      <c r="K18" s="21">
        <v>0.00138428</v>
      </c>
      <c r="L18" s="18">
        <v>0.0215</v>
      </c>
      <c r="M18" s="22">
        <f t="shared" si="17"/>
        <v>0.00141404202</v>
      </c>
      <c r="N18" s="19">
        <f t="shared" si="5"/>
        <v>247.9273153</v>
      </c>
      <c r="O18" s="19">
        <f t="shared" si="15"/>
        <v>15.3194889</v>
      </c>
      <c r="P18" s="17">
        <v>16991.0</v>
      </c>
      <c r="Q18" s="18">
        <v>0.06</v>
      </c>
      <c r="R18" s="23"/>
      <c r="S18" s="19">
        <f t="shared" si="7"/>
        <v>1152.846919</v>
      </c>
      <c r="T18" s="24">
        <f t="shared" si="8"/>
        <v>4611.387674</v>
      </c>
      <c r="U18" s="25">
        <f t="shared" si="9"/>
        <v>0.5134368078</v>
      </c>
      <c r="V18" s="25">
        <f t="shared" si="10"/>
        <v>0.3392522272</v>
      </c>
      <c r="W18" s="25">
        <f t="shared" si="11"/>
        <v>0.2714017818</v>
      </c>
      <c r="X18" s="26"/>
    </row>
    <row r="19" hidden="1">
      <c r="A19" s="13"/>
      <c r="B19" s="13"/>
      <c r="C19" s="14" t="s">
        <v>55</v>
      </c>
      <c r="D19" s="15" t="s">
        <v>56</v>
      </c>
      <c r="E19" s="16">
        <v>4790000.0</v>
      </c>
      <c r="F19" s="16">
        <v>6795000.0</v>
      </c>
      <c r="G19" s="17">
        <f t="shared" si="18"/>
        <v>7010.32542</v>
      </c>
      <c r="H19" s="18">
        <v>0.035</v>
      </c>
      <c r="I19" s="19">
        <f t="shared" si="2"/>
        <v>6764.964031</v>
      </c>
      <c r="J19" s="20">
        <f t="shared" si="3"/>
        <v>245.3613897</v>
      </c>
      <c r="K19" s="21">
        <v>0.00138428</v>
      </c>
      <c r="L19" s="18">
        <v>0.0215</v>
      </c>
      <c r="M19" s="22">
        <f t="shared" si="17"/>
        <v>0.00141404202</v>
      </c>
      <c r="N19" s="19">
        <f t="shared" si="5"/>
        <v>160.4467267</v>
      </c>
      <c r="O19" s="19">
        <f t="shared" ref="O19:O21" si="19">(I19*M19)+L47</f>
        <v>9.565943403</v>
      </c>
      <c r="P19" s="17">
        <f t="shared" ref="P19:P24" si="20">(F19*M19)*(1+H19)</f>
        <v>9944.710069</v>
      </c>
      <c r="Q19" s="18">
        <v>0.06</v>
      </c>
      <c r="R19" s="23"/>
      <c r="S19" s="19">
        <f t="shared" si="7"/>
        <v>586.8769298</v>
      </c>
      <c r="T19" s="24">
        <f t="shared" si="8"/>
        <v>2347.507719</v>
      </c>
      <c r="U19" s="25">
        <f t="shared" si="9"/>
        <v>0.4185803758</v>
      </c>
      <c r="V19" s="25">
        <f t="shared" si="10"/>
        <v>0.2950699043</v>
      </c>
      <c r="W19" s="25">
        <f t="shared" si="11"/>
        <v>0.2360559235</v>
      </c>
      <c r="X19" s="26"/>
    </row>
    <row r="20" hidden="1">
      <c r="A20" s="13"/>
      <c r="B20" s="13"/>
      <c r="C20" s="14" t="s">
        <v>57</v>
      </c>
      <c r="D20" s="15" t="s">
        <v>58</v>
      </c>
      <c r="E20" s="73">
        <v>350000.0</v>
      </c>
      <c r="F20" s="74">
        <v>2.686E7</v>
      </c>
      <c r="G20" s="17">
        <f t="shared" si="18"/>
        <v>512.2367217</v>
      </c>
      <c r="H20" s="18">
        <v>0.035</v>
      </c>
      <c r="I20" s="19">
        <f t="shared" si="2"/>
        <v>494.3084365</v>
      </c>
      <c r="J20" s="20">
        <f t="shared" si="3"/>
        <v>17.92828526</v>
      </c>
      <c r="K20" s="21">
        <v>0.00138428</v>
      </c>
      <c r="L20" s="18">
        <v>0.0215</v>
      </c>
      <c r="M20" s="22">
        <f t="shared" si="17"/>
        <v>0.00141404202</v>
      </c>
      <c r="N20" s="19">
        <f t="shared" si="5"/>
        <v>25.62763138</v>
      </c>
      <c r="O20" s="19">
        <f t="shared" si="19"/>
        <v>0.6989729</v>
      </c>
      <c r="P20" s="17">
        <f t="shared" si="20"/>
        <v>39310.50956</v>
      </c>
      <c r="Q20" s="18">
        <v>0.06</v>
      </c>
      <c r="R20" s="23"/>
      <c r="S20" s="19">
        <f t="shared" si="7"/>
        <v>7759.654568</v>
      </c>
      <c r="T20" s="24">
        <f t="shared" si="8"/>
        <v>31038.61827</v>
      </c>
      <c r="U20" s="25">
        <f t="shared" si="9"/>
        <v>75.74285714</v>
      </c>
      <c r="V20" s="25">
        <f t="shared" si="10"/>
        <v>0.9869694713</v>
      </c>
      <c r="W20" s="25">
        <f t="shared" si="11"/>
        <v>0.7895755771</v>
      </c>
      <c r="X20" s="26"/>
    </row>
    <row r="21" hidden="1">
      <c r="A21" s="13"/>
      <c r="B21" s="13"/>
      <c r="C21" s="14" t="s">
        <v>59</v>
      </c>
      <c r="D21" s="15" t="s">
        <v>60</v>
      </c>
      <c r="E21" s="16">
        <v>844000.0</v>
      </c>
      <c r="F21" s="16">
        <v>1200000.0</v>
      </c>
      <c r="G21" s="17">
        <f t="shared" si="18"/>
        <v>1235.222266</v>
      </c>
      <c r="H21" s="18">
        <v>0.035</v>
      </c>
      <c r="I21" s="19">
        <f t="shared" si="2"/>
        <v>1191.989487</v>
      </c>
      <c r="J21" s="20">
        <f t="shared" si="3"/>
        <v>43.23277932</v>
      </c>
      <c r="K21" s="21">
        <v>0.00138428</v>
      </c>
      <c r="L21" s="18">
        <v>0.0215</v>
      </c>
      <c r="M21" s="22">
        <f t="shared" si="17"/>
        <v>0.00141404202</v>
      </c>
      <c r="N21" s="19">
        <f t="shared" si="5"/>
        <v>40.62777397</v>
      </c>
      <c r="O21" s="19">
        <f t="shared" si="19"/>
        <v>1.685523222</v>
      </c>
      <c r="P21" s="17">
        <f t="shared" si="20"/>
        <v>1756.240189</v>
      </c>
      <c r="Q21" s="18">
        <v>0.06</v>
      </c>
      <c r="R21" s="23"/>
      <c r="S21" s="19">
        <f t="shared" si="7"/>
        <v>104.2035845</v>
      </c>
      <c r="T21" s="24">
        <f t="shared" si="8"/>
        <v>416.8143382</v>
      </c>
      <c r="U21" s="25">
        <f t="shared" si="9"/>
        <v>0.4218009479</v>
      </c>
      <c r="V21" s="25">
        <f t="shared" si="10"/>
        <v>0.2966666667</v>
      </c>
      <c r="W21" s="25">
        <f t="shared" si="11"/>
        <v>0.2373333333</v>
      </c>
      <c r="X21" s="26"/>
    </row>
    <row r="22" hidden="1">
      <c r="A22" s="13"/>
      <c r="B22" s="13"/>
      <c r="C22" s="29" t="s">
        <v>61</v>
      </c>
      <c r="D22" s="75" t="s">
        <v>62</v>
      </c>
      <c r="E22" s="74">
        <v>490000.0</v>
      </c>
      <c r="F22" s="74">
        <f>F582</f>
        <v>650000</v>
      </c>
      <c r="G22" s="17">
        <f t="shared" si="18"/>
        <v>717.1314104</v>
      </c>
      <c r="H22" s="18">
        <v>0.035</v>
      </c>
      <c r="I22" s="19">
        <f t="shared" si="2"/>
        <v>692.0318111</v>
      </c>
      <c r="J22" s="20">
        <f t="shared" si="3"/>
        <v>25.09959937</v>
      </c>
      <c r="K22" s="21">
        <v>0.00138428</v>
      </c>
      <c r="L22" s="18">
        <v>0.0215</v>
      </c>
      <c r="M22" s="22">
        <f t="shared" si="17"/>
        <v>0.00141404202</v>
      </c>
      <c r="N22" s="19">
        <f t="shared" si="5"/>
        <v>29.87868394</v>
      </c>
      <c r="O22" s="19">
        <f t="shared" ref="O22:O23" si="22">(I22*M22)+L49</f>
        <v>0.97856206</v>
      </c>
      <c r="P22" s="17">
        <f t="shared" si="20"/>
        <v>951.296769</v>
      </c>
      <c r="Q22" s="18">
        <v>0.06</v>
      </c>
      <c r="R22" s="23"/>
      <c r="S22" s="19">
        <f t="shared" si="7"/>
        <v>46.8330717</v>
      </c>
      <c r="T22" s="24">
        <f t="shared" si="8"/>
        <v>187.3322868</v>
      </c>
      <c r="U22" s="25">
        <f t="shared" si="9"/>
        <v>0.3265306122</v>
      </c>
      <c r="V22" s="25">
        <f t="shared" si="10"/>
        <v>0.2461538462</v>
      </c>
      <c r="W22" s="25">
        <f t="shared" si="11"/>
        <v>0.1969230769</v>
      </c>
      <c r="X22" s="26"/>
    </row>
    <row r="23" hidden="1">
      <c r="A23" s="13"/>
      <c r="B23" s="13"/>
      <c r="C23" s="29" t="s">
        <v>63</v>
      </c>
      <c r="D23" s="75" t="s">
        <v>64</v>
      </c>
      <c r="E23" s="16">
        <f t="shared" ref="E23:F23" si="21">E563</f>
        <v>5650000</v>
      </c>
      <c r="F23" s="16">
        <f t="shared" si="21"/>
        <v>7710000</v>
      </c>
      <c r="G23" s="17">
        <f t="shared" si="18"/>
        <v>8268.964222</v>
      </c>
      <c r="H23" s="18">
        <v>0.035</v>
      </c>
      <c r="I23" s="19">
        <f t="shared" si="2"/>
        <v>7979.550475</v>
      </c>
      <c r="J23" s="20">
        <f t="shared" si="3"/>
        <v>289.4137478</v>
      </c>
      <c r="K23" s="21">
        <v>0.00138428</v>
      </c>
      <c r="L23" s="18">
        <v>0.0215</v>
      </c>
      <c r="M23" s="22">
        <f t="shared" si="17"/>
        <v>0.00141404202</v>
      </c>
      <c r="N23" s="19">
        <f t="shared" si="5"/>
        <v>186.5603352</v>
      </c>
      <c r="O23" s="19">
        <f t="shared" si="22"/>
        <v>11.28341967</v>
      </c>
      <c r="P23" s="17">
        <f t="shared" si="20"/>
        <v>11283.84321</v>
      </c>
      <c r="Q23" s="18">
        <v>0.06</v>
      </c>
      <c r="R23" s="23"/>
      <c r="S23" s="19">
        <f t="shared" si="7"/>
        <v>602.9757982</v>
      </c>
      <c r="T23" s="24">
        <f t="shared" si="8"/>
        <v>2411.903193</v>
      </c>
      <c r="U23" s="25">
        <f t="shared" si="9"/>
        <v>0.3646017699</v>
      </c>
      <c r="V23" s="25">
        <f t="shared" si="10"/>
        <v>0.2671854734</v>
      </c>
      <c r="W23" s="25">
        <f t="shared" si="11"/>
        <v>0.2137483787</v>
      </c>
      <c r="X23" s="26"/>
    </row>
    <row r="24" hidden="1">
      <c r="A24" s="76"/>
      <c r="B24" s="76"/>
      <c r="C24" s="77" t="s">
        <v>65</v>
      </c>
      <c r="D24" s="78" t="s">
        <v>66</v>
      </c>
      <c r="E24" s="79">
        <v>3462000.0</v>
      </c>
      <c r="F24" s="80">
        <v>4910000.0</v>
      </c>
      <c r="G24" s="17">
        <f t="shared" si="18"/>
        <v>5066.752945</v>
      </c>
      <c r="H24" s="18">
        <v>0.035</v>
      </c>
      <c r="I24" s="19">
        <f t="shared" si="2"/>
        <v>4889.416592</v>
      </c>
      <c r="J24" s="20">
        <f t="shared" si="3"/>
        <v>177.3363531</v>
      </c>
      <c r="K24" s="21">
        <v>0.00138428</v>
      </c>
      <c r="L24" s="18">
        <v>0.0215</v>
      </c>
      <c r="M24" s="22">
        <f t="shared" si="17"/>
        <v>0.00141404202</v>
      </c>
      <c r="N24" s="19">
        <f t="shared" si="5"/>
        <v>120.1224567</v>
      </c>
      <c r="O24" s="19">
        <f>(I24*M24)+L50</f>
        <v>6.913840514</v>
      </c>
      <c r="P24" s="17">
        <f t="shared" si="20"/>
        <v>7185.949439</v>
      </c>
      <c r="Q24" s="18">
        <v>0.06</v>
      </c>
      <c r="R24" s="23"/>
      <c r="S24" s="19">
        <f t="shared" si="7"/>
        <v>423.8392989</v>
      </c>
      <c r="T24" s="24">
        <f t="shared" si="8"/>
        <v>1695.357196</v>
      </c>
      <c r="U24" s="25">
        <f t="shared" si="9"/>
        <v>0.4182553437</v>
      </c>
      <c r="V24" s="25">
        <f t="shared" si="10"/>
        <v>0.2949083503</v>
      </c>
      <c r="W24" s="25">
        <f t="shared" si="11"/>
        <v>0.2359266802</v>
      </c>
      <c r="X24" s="26"/>
    </row>
    <row r="25" hidden="1">
      <c r="A25" s="81"/>
      <c r="B25" s="81"/>
      <c r="C25" s="82" t="s">
        <v>67</v>
      </c>
      <c r="D25" s="83"/>
      <c r="E25" s="84">
        <v>2230000.0</v>
      </c>
      <c r="F25" s="74">
        <v>3700000.0</v>
      </c>
      <c r="G25" s="17">
        <f t="shared" si="18"/>
        <v>0</v>
      </c>
      <c r="H25" s="18"/>
      <c r="I25" s="19"/>
      <c r="J25" s="20"/>
      <c r="K25" s="21"/>
      <c r="L25" s="18"/>
      <c r="M25" s="22"/>
      <c r="N25" s="19"/>
      <c r="O25" s="19"/>
      <c r="P25" s="17"/>
      <c r="Q25" s="18"/>
      <c r="R25" s="23"/>
      <c r="S25" s="19"/>
      <c r="T25" s="24"/>
      <c r="U25" s="25"/>
      <c r="V25" s="25"/>
      <c r="W25" s="25"/>
      <c r="X25" s="26"/>
    </row>
    <row r="26" hidden="1">
      <c r="A26" s="81"/>
      <c r="B26" s="81"/>
      <c r="C26" s="82" t="s">
        <v>57</v>
      </c>
      <c r="D26" s="83"/>
      <c r="E26" s="58">
        <v>1.5736E7</v>
      </c>
      <c r="F26" s="74">
        <v>2.376E7</v>
      </c>
      <c r="G26" s="17">
        <f t="shared" si="18"/>
        <v>23030.16301</v>
      </c>
      <c r="H26" s="18">
        <v>0.035</v>
      </c>
      <c r="I26" s="19">
        <f t="shared" ref="I26:I28" si="23">G26*(1-H26)</f>
        <v>22224.1073</v>
      </c>
      <c r="J26" s="20">
        <f t="shared" ref="J26:J28" si="24">G26-I26</f>
        <v>806.0557053</v>
      </c>
      <c r="K26" s="21">
        <v>0.00138428</v>
      </c>
      <c r="L26" s="18">
        <v>0.0215</v>
      </c>
      <c r="M26" s="22">
        <f t="shared" ref="M26:M28" si="25">K26*(1+L26)</f>
        <v>0.00141404202</v>
      </c>
      <c r="N26" s="19">
        <f t="shared" ref="N26:N28" si="26">(I26*L26)+15</f>
        <v>492.818307</v>
      </c>
      <c r="O26" s="19">
        <f t="shared" ref="O26:O28" si="27">(I26*M26)+L51</f>
        <v>31.42582159</v>
      </c>
      <c r="P26" s="17">
        <f t="shared" ref="P26:P33" si="28">G26*1.664</f>
        <v>38322.19125</v>
      </c>
      <c r="Q26" s="18">
        <v>0.06</v>
      </c>
      <c r="R26" s="23"/>
      <c r="S26" s="19">
        <f t="shared" ref="S26:S28" si="29">(P26-G26)*0.2</f>
        <v>3058.405648</v>
      </c>
      <c r="T26" s="24">
        <f t="shared" ref="T26:T121" si="30">P26-(G26+S26)-(P26*R26)</f>
        <v>12233.62259</v>
      </c>
      <c r="U26" s="25">
        <f t="shared" ref="U26:U121" si="31">IFERROR((P26-G26)/G26,"")</f>
        <v>0.664</v>
      </c>
      <c r="V26" s="25">
        <f t="shared" ref="V26:V121" si="32">IFERROR((P26-G26)/P26,"")</f>
        <v>0.3990384615</v>
      </c>
      <c r="W26" s="25">
        <f t="shared" ref="W26:W121" si="33">IFERROR(T26/P26,"")</f>
        <v>0.3192307692</v>
      </c>
      <c r="X26" s="26"/>
    </row>
    <row r="27">
      <c r="A27" s="81"/>
      <c r="B27" s="81"/>
      <c r="C27" s="82" t="s">
        <v>68</v>
      </c>
      <c r="D27" s="83"/>
      <c r="E27" s="84">
        <v>142500.0</v>
      </c>
      <c r="F27" s="74"/>
      <c r="G27" s="17">
        <f t="shared" si="18"/>
        <v>208.5535224</v>
      </c>
      <c r="H27" s="18">
        <v>0.035</v>
      </c>
      <c r="I27" s="19">
        <f t="shared" si="23"/>
        <v>201.2541491</v>
      </c>
      <c r="J27" s="20">
        <f t="shared" si="24"/>
        <v>7.299373285</v>
      </c>
      <c r="K27" s="21">
        <v>0.00138428</v>
      </c>
      <c r="L27" s="18">
        <v>0.0215</v>
      </c>
      <c r="M27" s="22">
        <f t="shared" si="25"/>
        <v>0.00141404202</v>
      </c>
      <c r="N27" s="19">
        <f t="shared" si="26"/>
        <v>19.32696421</v>
      </c>
      <c r="O27" s="19">
        <f t="shared" si="27"/>
        <v>0.2845818236</v>
      </c>
      <c r="P27" s="17">
        <f t="shared" si="28"/>
        <v>347.0330613</v>
      </c>
      <c r="Q27" s="18">
        <v>0.06</v>
      </c>
      <c r="R27" s="23"/>
      <c r="S27" s="19">
        <f t="shared" si="29"/>
        <v>27.69590778</v>
      </c>
      <c r="T27" s="24">
        <f t="shared" si="30"/>
        <v>110.7836311</v>
      </c>
      <c r="U27" s="25">
        <f t="shared" si="31"/>
        <v>0.664</v>
      </c>
      <c r="V27" s="25">
        <f t="shared" si="32"/>
        <v>0.3990384615</v>
      </c>
      <c r="W27" s="25">
        <f t="shared" si="33"/>
        <v>0.3192307692</v>
      </c>
      <c r="X27" s="26"/>
    </row>
    <row r="28" hidden="1">
      <c r="A28" s="85"/>
      <c r="B28" s="85"/>
      <c r="C28" s="86"/>
      <c r="D28" s="83"/>
      <c r="E28" s="58"/>
      <c r="F28" s="74"/>
      <c r="G28" s="17">
        <f t="shared" si="18"/>
        <v>0</v>
      </c>
      <c r="H28" s="18">
        <v>0.035</v>
      </c>
      <c r="I28" s="19">
        <f t="shared" si="23"/>
        <v>0</v>
      </c>
      <c r="J28" s="20">
        <f t="shared" si="24"/>
        <v>0</v>
      </c>
      <c r="K28" s="21">
        <v>0.00138428</v>
      </c>
      <c r="L28" s="18">
        <v>0.0215</v>
      </c>
      <c r="M28" s="22">
        <f t="shared" si="25"/>
        <v>0.00141404202</v>
      </c>
      <c r="N28" s="19">
        <f t="shared" si="26"/>
        <v>15</v>
      </c>
      <c r="O28" s="19">
        <f t="shared" si="27"/>
        <v>0</v>
      </c>
      <c r="P28" s="17">
        <f t="shared" si="28"/>
        <v>0</v>
      </c>
      <c r="Q28" s="18">
        <v>0.06</v>
      </c>
      <c r="R28" s="23"/>
      <c r="S28" s="19">
        <f t="shared" si="29"/>
        <v>0</v>
      </c>
      <c r="T28" s="24">
        <f t="shared" si="30"/>
        <v>0</v>
      </c>
      <c r="U28" s="25" t="str">
        <f t="shared" si="31"/>
        <v/>
      </c>
      <c r="V28" s="25" t="str">
        <f t="shared" si="32"/>
        <v/>
      </c>
      <c r="W28" s="25" t="str">
        <f t="shared" si="33"/>
        <v/>
      </c>
      <c r="X28" s="26"/>
    </row>
    <row r="29" hidden="1">
      <c r="A29" s="85"/>
      <c r="B29" s="85"/>
      <c r="C29" s="86"/>
      <c r="D29" s="83"/>
      <c r="E29" s="58"/>
      <c r="F29" s="74"/>
      <c r="G29" s="17"/>
      <c r="H29" s="18"/>
      <c r="I29" s="19"/>
      <c r="J29" s="20"/>
      <c r="K29" s="21"/>
      <c r="L29" s="18"/>
      <c r="M29" s="22"/>
      <c r="N29" s="19"/>
      <c r="O29" s="19"/>
      <c r="P29" s="17">
        <f t="shared" si="28"/>
        <v>0</v>
      </c>
      <c r="Q29" s="18"/>
      <c r="R29" s="23"/>
      <c r="S29" s="19"/>
      <c r="T29" s="24">
        <f t="shared" si="30"/>
        <v>0</v>
      </c>
      <c r="U29" s="25" t="str">
        <f t="shared" si="31"/>
        <v/>
      </c>
      <c r="V29" s="25" t="str">
        <f t="shared" si="32"/>
        <v/>
      </c>
      <c r="W29" s="25" t="str">
        <f t="shared" si="33"/>
        <v/>
      </c>
      <c r="X29" s="26"/>
    </row>
    <row r="30" hidden="1">
      <c r="A30" s="85"/>
      <c r="B30" s="85"/>
      <c r="C30" s="86" t="s">
        <v>69</v>
      </c>
      <c r="D30" s="83" t="s">
        <v>70</v>
      </c>
      <c r="E30" s="84">
        <v>180000.0</v>
      </c>
      <c r="F30" s="74">
        <v>300000.0</v>
      </c>
      <c r="G30" s="17">
        <f t="shared" ref="G30:G33" si="35">(E30*M30)*(1+H30)</f>
        <v>282.4665733</v>
      </c>
      <c r="H30" s="18">
        <v>0.035</v>
      </c>
      <c r="I30" s="19">
        <f t="shared" ref="I30:I33" si="36">G30*(1-H30)</f>
        <v>272.5802433</v>
      </c>
      <c r="J30" s="20">
        <f t="shared" ref="J30:J33" si="37">G30-I30</f>
        <v>9.886330066</v>
      </c>
      <c r="K30" s="87">
        <v>0.00148428</v>
      </c>
      <c r="L30" s="18">
        <v>0.0215</v>
      </c>
      <c r="M30" s="22">
        <f t="shared" ref="M30:M33" si="38">K30*(1+L30)</f>
        <v>0.00151619202</v>
      </c>
      <c r="N30" s="19">
        <f t="shared" ref="N30:N33" si="39">(I30*L30)+15</f>
        <v>20.86047523</v>
      </c>
      <c r="O30" s="19">
        <f t="shared" ref="O30:O33" si="40">(I30*M30)+L50</f>
        <v>0.4132839896</v>
      </c>
      <c r="P30" s="17">
        <f t="shared" si="28"/>
        <v>470.024378</v>
      </c>
      <c r="Q30" s="18">
        <v>0.06</v>
      </c>
      <c r="R30" s="23"/>
      <c r="S30" s="19">
        <f t="shared" ref="S30:S33" si="41">(P30-G30)*0.2</f>
        <v>37.51156094</v>
      </c>
      <c r="T30" s="24">
        <f t="shared" si="30"/>
        <v>150.0462438</v>
      </c>
      <c r="U30" s="25">
        <f t="shared" si="31"/>
        <v>0.664</v>
      </c>
      <c r="V30" s="25">
        <f t="shared" si="32"/>
        <v>0.3990384615</v>
      </c>
      <c r="W30" s="25">
        <f t="shared" si="33"/>
        <v>0.3192307692</v>
      </c>
      <c r="X30" s="26"/>
    </row>
    <row r="31">
      <c r="A31" s="85"/>
      <c r="B31" s="85"/>
      <c r="C31" s="86" t="s">
        <v>71</v>
      </c>
      <c r="D31" s="83" t="s">
        <v>70</v>
      </c>
      <c r="E31" s="84">
        <f t="shared" ref="E31:F31" si="34">E792</f>
        <v>6600000</v>
      </c>
      <c r="F31" s="74">
        <f t="shared" si="34"/>
        <v>9050000</v>
      </c>
      <c r="G31" s="17">
        <f t="shared" si="35"/>
        <v>9659.321039</v>
      </c>
      <c r="H31" s="18">
        <v>0.035</v>
      </c>
      <c r="I31" s="19">
        <f t="shared" si="36"/>
        <v>9321.244802</v>
      </c>
      <c r="J31" s="20">
        <f t="shared" si="37"/>
        <v>338.0762364</v>
      </c>
      <c r="K31" s="21">
        <v>0.00138428</v>
      </c>
      <c r="L31" s="18">
        <v>0.0215</v>
      </c>
      <c r="M31" s="22">
        <f t="shared" si="38"/>
        <v>0.00141404202</v>
      </c>
      <c r="N31" s="19">
        <f t="shared" si="39"/>
        <v>215.4067632</v>
      </c>
      <c r="O31" s="19">
        <f t="shared" si="40"/>
        <v>13.18063183</v>
      </c>
      <c r="P31" s="17">
        <f t="shared" si="28"/>
        <v>16073.11021</v>
      </c>
      <c r="Q31" s="18">
        <v>0.06</v>
      </c>
      <c r="R31" s="23"/>
      <c r="S31" s="19">
        <f t="shared" si="41"/>
        <v>1282.757834</v>
      </c>
      <c r="T31" s="24">
        <f t="shared" si="30"/>
        <v>5131.031336</v>
      </c>
      <c r="U31" s="25">
        <f t="shared" si="31"/>
        <v>0.664</v>
      </c>
      <c r="V31" s="25">
        <f t="shared" si="32"/>
        <v>0.3990384615</v>
      </c>
      <c r="W31" s="25">
        <f t="shared" si="33"/>
        <v>0.3192307692</v>
      </c>
      <c r="X31" s="26"/>
    </row>
    <row r="32">
      <c r="A32" s="85"/>
      <c r="B32" s="85"/>
      <c r="C32" s="86" t="s">
        <v>72</v>
      </c>
      <c r="D32" s="83" t="s">
        <v>73</v>
      </c>
      <c r="E32" s="84">
        <v>2928400.0</v>
      </c>
      <c r="F32" s="74">
        <v>3810000.0</v>
      </c>
      <c r="G32" s="17">
        <f t="shared" si="35"/>
        <v>4285.811474</v>
      </c>
      <c r="H32" s="18">
        <v>0.035</v>
      </c>
      <c r="I32" s="19">
        <f t="shared" si="36"/>
        <v>4135.808073</v>
      </c>
      <c r="J32" s="20">
        <f t="shared" si="37"/>
        <v>150.0034016</v>
      </c>
      <c r="K32" s="21">
        <v>0.00138428</v>
      </c>
      <c r="L32" s="18">
        <v>0.0215</v>
      </c>
      <c r="M32" s="22">
        <f t="shared" si="38"/>
        <v>0.00141404202</v>
      </c>
      <c r="N32" s="19">
        <f t="shared" si="39"/>
        <v>103.9198736</v>
      </c>
      <c r="O32" s="19">
        <f t="shared" si="40"/>
        <v>5.848206401</v>
      </c>
      <c r="P32" s="17">
        <f t="shared" si="28"/>
        <v>7131.590293</v>
      </c>
      <c r="Q32" s="18">
        <v>0.06</v>
      </c>
      <c r="R32" s="23"/>
      <c r="S32" s="19">
        <f t="shared" si="41"/>
        <v>569.1557638</v>
      </c>
      <c r="T32" s="24">
        <f t="shared" si="30"/>
        <v>2276.623055</v>
      </c>
      <c r="U32" s="25">
        <f t="shared" si="31"/>
        <v>0.664</v>
      </c>
      <c r="V32" s="25">
        <f t="shared" si="32"/>
        <v>0.3990384615</v>
      </c>
      <c r="W32" s="25">
        <f t="shared" si="33"/>
        <v>0.3192307692</v>
      </c>
      <c r="X32" s="26"/>
    </row>
    <row r="33">
      <c r="A33" s="85"/>
      <c r="B33" s="85"/>
      <c r="C33" s="82" t="s">
        <v>74</v>
      </c>
      <c r="D33" s="83" t="s">
        <v>75</v>
      </c>
      <c r="E33" s="84">
        <f t="shared" ref="E33:F33" si="42">E618</f>
        <v>1648000</v>
      </c>
      <c r="F33" s="74">
        <f t="shared" si="42"/>
        <v>2360000</v>
      </c>
      <c r="G33" s="17">
        <f t="shared" si="35"/>
        <v>2411.903193</v>
      </c>
      <c r="H33" s="18">
        <v>0.035</v>
      </c>
      <c r="I33" s="19">
        <f t="shared" si="36"/>
        <v>2327.486581</v>
      </c>
      <c r="J33" s="20">
        <f t="shared" si="37"/>
        <v>84.41661174</v>
      </c>
      <c r="K33" s="21">
        <v>0.00138428</v>
      </c>
      <c r="L33" s="18">
        <v>0.0215</v>
      </c>
      <c r="M33" s="22">
        <f t="shared" si="38"/>
        <v>0.00141404202</v>
      </c>
      <c r="N33" s="19">
        <f t="shared" si="39"/>
        <v>65.04096149</v>
      </c>
      <c r="O33" s="19">
        <f t="shared" si="40"/>
        <v>3.291163826</v>
      </c>
      <c r="P33" s="17">
        <f t="shared" si="28"/>
        <v>4013.406913</v>
      </c>
      <c r="Q33" s="18">
        <v>0.06</v>
      </c>
      <c r="R33" s="23"/>
      <c r="S33" s="19">
        <f t="shared" si="41"/>
        <v>320.300744</v>
      </c>
      <c r="T33" s="24">
        <f t="shared" si="30"/>
        <v>1281.202976</v>
      </c>
      <c r="U33" s="25">
        <f t="shared" si="31"/>
        <v>0.664</v>
      </c>
      <c r="V33" s="25">
        <f t="shared" si="32"/>
        <v>0.3990384615</v>
      </c>
      <c r="W33" s="25">
        <f t="shared" si="33"/>
        <v>0.3192307692</v>
      </c>
      <c r="X33" s="26"/>
    </row>
    <row r="34" ht="1.5" customHeight="1">
      <c r="A34" s="88"/>
      <c r="B34" s="88"/>
      <c r="C34" s="89"/>
      <c r="D34" s="90"/>
      <c r="E34" s="91"/>
      <c r="F34" s="91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3"/>
      <c r="S34" s="94"/>
      <c r="T34" s="24">
        <f t="shared" si="30"/>
        <v>0</v>
      </c>
      <c r="U34" s="25" t="str">
        <f t="shared" si="31"/>
        <v/>
      </c>
      <c r="V34" s="25" t="str">
        <f t="shared" si="32"/>
        <v/>
      </c>
      <c r="W34" s="25" t="str">
        <f t="shared" si="33"/>
        <v/>
      </c>
      <c r="X34" s="95"/>
    </row>
    <row r="35">
      <c r="A35" s="96"/>
      <c r="B35" s="96"/>
      <c r="C35" s="97"/>
      <c r="D35" s="97"/>
      <c r="E35" s="58" t="s">
        <v>76</v>
      </c>
      <c r="F35" s="58" t="s">
        <v>77</v>
      </c>
      <c r="G35" s="15" t="s">
        <v>78</v>
      </c>
      <c r="H35" s="98" t="s">
        <v>79</v>
      </c>
      <c r="I35" s="99"/>
      <c r="J35" s="99"/>
      <c r="K35" s="99"/>
      <c r="L35" s="99"/>
      <c r="M35" s="99"/>
      <c r="N35" s="99"/>
      <c r="O35" s="99"/>
      <c r="P35" s="99"/>
      <c r="Q35" s="23"/>
      <c r="R35" s="23"/>
      <c r="S35" s="100"/>
      <c r="T35" s="24" t="str">
        <f t="shared" si="30"/>
        <v>#VALUE!</v>
      </c>
      <c r="U35" s="25" t="str">
        <f t="shared" si="31"/>
        <v/>
      </c>
      <c r="V35" s="25" t="str">
        <f t="shared" si="32"/>
        <v/>
      </c>
      <c r="W35" s="25" t="str">
        <f t="shared" si="33"/>
        <v/>
      </c>
      <c r="X35" s="26"/>
    </row>
    <row r="36" hidden="1">
      <c r="A36" s="101"/>
      <c r="B36" s="101"/>
      <c r="C36" s="102" t="s">
        <v>23</v>
      </c>
      <c r="D36" s="103" t="s">
        <v>80</v>
      </c>
      <c r="E36" s="16">
        <v>170000.0</v>
      </c>
      <c r="F36" s="16">
        <v>350000.0</v>
      </c>
      <c r="G36" s="18">
        <f t="shared" ref="G36:G45" si="43">F36/E36</f>
        <v>2.058823529</v>
      </c>
      <c r="H36" s="99"/>
      <c r="I36" s="99"/>
      <c r="J36" s="99"/>
      <c r="K36" s="99"/>
      <c r="L36" s="99"/>
      <c r="M36" s="99"/>
      <c r="N36" s="99"/>
      <c r="O36" s="99"/>
      <c r="P36" s="99"/>
      <c r="Q36" s="23"/>
      <c r="R36" s="23"/>
      <c r="S36" s="100"/>
      <c r="T36" s="24">
        <f t="shared" si="30"/>
        <v>-2.058823529</v>
      </c>
      <c r="U36" s="25">
        <f t="shared" si="31"/>
        <v>-1</v>
      </c>
      <c r="V36" s="25" t="str">
        <f t="shared" si="32"/>
        <v/>
      </c>
      <c r="W36" s="25" t="str">
        <f t="shared" si="33"/>
        <v/>
      </c>
      <c r="X36" s="26"/>
    </row>
    <row r="37" hidden="1">
      <c r="A37" s="101"/>
      <c r="B37" s="101"/>
      <c r="C37" s="104"/>
      <c r="D37" s="103" t="s">
        <v>81</v>
      </c>
      <c r="E37" s="16">
        <v>600000.0</v>
      </c>
      <c r="F37" s="16">
        <f>400000*5</f>
        <v>2000000</v>
      </c>
      <c r="G37" s="18">
        <f t="shared" si="43"/>
        <v>3.333333333</v>
      </c>
      <c r="H37" s="99"/>
      <c r="I37" s="99"/>
      <c r="J37" s="99"/>
      <c r="K37" s="99"/>
      <c r="L37" s="99"/>
      <c r="M37" s="99"/>
      <c r="N37" s="99"/>
      <c r="O37" s="99"/>
      <c r="P37" s="99"/>
      <c r="Q37" s="23"/>
      <c r="R37" s="23"/>
      <c r="S37" s="100"/>
      <c r="T37" s="24">
        <f t="shared" si="30"/>
        <v>-3.333333333</v>
      </c>
      <c r="U37" s="25">
        <f t="shared" si="31"/>
        <v>-1</v>
      </c>
      <c r="V37" s="25" t="str">
        <f t="shared" si="32"/>
        <v/>
      </c>
      <c r="W37" s="25" t="str">
        <f t="shared" si="33"/>
        <v/>
      </c>
      <c r="X37" s="26"/>
    </row>
    <row r="38" hidden="1">
      <c r="A38" s="101"/>
      <c r="B38" s="101"/>
      <c r="C38" s="104"/>
      <c r="D38" s="103" t="s">
        <v>82</v>
      </c>
      <c r="E38" s="16">
        <f>36000*5</f>
        <v>180000</v>
      </c>
      <c r="F38" s="105"/>
      <c r="G38" s="18">
        <f t="shared" si="43"/>
        <v>0</v>
      </c>
      <c r="H38" s="99"/>
      <c r="I38" s="99"/>
      <c r="J38" s="99"/>
      <c r="K38" s="99"/>
      <c r="L38" s="99"/>
      <c r="M38" s="99"/>
      <c r="N38" s="99"/>
      <c r="O38" s="99"/>
      <c r="P38" s="99"/>
      <c r="Q38" s="23"/>
      <c r="R38" s="23"/>
      <c r="S38" s="100"/>
      <c r="T38" s="24">
        <f t="shared" si="30"/>
        <v>0</v>
      </c>
      <c r="U38" s="25" t="str">
        <f t="shared" si="31"/>
        <v/>
      </c>
      <c r="V38" s="25" t="str">
        <f t="shared" si="32"/>
        <v/>
      </c>
      <c r="W38" s="25" t="str">
        <f t="shared" si="33"/>
        <v/>
      </c>
      <c r="X38" s="26"/>
    </row>
    <row r="39" hidden="1">
      <c r="A39" s="101"/>
      <c r="B39" s="101"/>
      <c r="C39" s="104"/>
      <c r="D39" s="103" t="s">
        <v>83</v>
      </c>
      <c r="E39" s="16">
        <v>350000.0</v>
      </c>
      <c r="F39" s="105"/>
      <c r="G39" s="18">
        <f t="shared" si="43"/>
        <v>0</v>
      </c>
      <c r="H39" s="99"/>
      <c r="I39" s="99"/>
      <c r="J39" s="99"/>
      <c r="K39" s="99"/>
      <c r="L39" s="99"/>
      <c r="M39" s="99"/>
      <c r="N39" s="99"/>
      <c r="O39" s="99"/>
      <c r="P39" s="99"/>
      <c r="Q39" s="23"/>
      <c r="R39" s="23"/>
      <c r="S39" s="100"/>
      <c r="T39" s="24">
        <f t="shared" si="30"/>
        <v>0</v>
      </c>
      <c r="U39" s="25" t="str">
        <f t="shared" si="31"/>
        <v/>
      </c>
      <c r="V39" s="25" t="str">
        <f t="shared" si="32"/>
        <v/>
      </c>
      <c r="W39" s="25" t="str">
        <f t="shared" si="33"/>
        <v/>
      </c>
      <c r="X39" s="26"/>
    </row>
    <row r="40" hidden="1">
      <c r="A40" s="101"/>
      <c r="B40" s="101"/>
      <c r="C40" s="104"/>
      <c r="D40" s="103" t="s">
        <v>84</v>
      </c>
      <c r="E40" s="16">
        <v>50000.0</v>
      </c>
      <c r="F40" s="105"/>
      <c r="G40" s="18">
        <f t="shared" si="43"/>
        <v>0</v>
      </c>
      <c r="H40" s="99"/>
      <c r="I40" s="99"/>
      <c r="J40" s="99"/>
      <c r="K40" s="99"/>
      <c r="L40" s="99"/>
      <c r="M40" s="99"/>
      <c r="N40" s="99"/>
      <c r="O40" s="99"/>
      <c r="P40" s="99"/>
      <c r="Q40" s="23"/>
      <c r="R40" s="23"/>
      <c r="S40" s="100"/>
      <c r="T40" s="24">
        <f t="shared" si="30"/>
        <v>0</v>
      </c>
      <c r="U40" s="25" t="str">
        <f t="shared" si="31"/>
        <v/>
      </c>
      <c r="V40" s="25" t="str">
        <f t="shared" si="32"/>
        <v/>
      </c>
      <c r="W40" s="25" t="str">
        <f t="shared" si="33"/>
        <v/>
      </c>
      <c r="X40" s="26"/>
    </row>
    <row r="41" hidden="1">
      <c r="A41" s="101"/>
      <c r="B41" s="101"/>
      <c r="C41" s="104"/>
      <c r="D41" s="103" t="s">
        <v>85</v>
      </c>
      <c r="E41" s="16">
        <v>4075050.0</v>
      </c>
      <c r="F41" s="58">
        <f>E41*1.51</f>
        <v>6153325.5</v>
      </c>
      <c r="G41" s="18">
        <f t="shared" si="43"/>
        <v>1.51</v>
      </c>
      <c r="H41" s="99"/>
      <c r="I41" s="99"/>
      <c r="J41" s="99"/>
      <c r="K41" s="99"/>
      <c r="L41" s="99"/>
      <c r="M41" s="99"/>
      <c r="N41" s="99"/>
      <c r="O41" s="99"/>
      <c r="P41" s="99"/>
      <c r="Q41" s="23"/>
      <c r="R41" s="23"/>
      <c r="S41" s="100"/>
      <c r="T41" s="24">
        <f t="shared" si="30"/>
        <v>-1.51</v>
      </c>
      <c r="U41" s="25">
        <f t="shared" si="31"/>
        <v>-1</v>
      </c>
      <c r="V41" s="25" t="str">
        <f t="shared" si="32"/>
        <v/>
      </c>
      <c r="W41" s="25" t="str">
        <f t="shared" si="33"/>
        <v/>
      </c>
      <c r="X41" s="26"/>
    </row>
    <row r="42" hidden="1">
      <c r="A42" s="101"/>
      <c r="B42" s="101"/>
      <c r="C42" s="104"/>
      <c r="D42" s="103" t="s">
        <v>86</v>
      </c>
      <c r="E42" s="16">
        <f>110000*5</f>
        <v>550000</v>
      </c>
      <c r="F42" s="16">
        <f>250000*5</f>
        <v>1250000</v>
      </c>
      <c r="G42" s="18">
        <f t="shared" si="43"/>
        <v>2.272727273</v>
      </c>
      <c r="H42" s="99"/>
      <c r="I42" s="99"/>
      <c r="J42" s="99"/>
      <c r="K42" s="99"/>
      <c r="L42" s="99"/>
      <c r="M42" s="99"/>
      <c r="N42" s="99"/>
      <c r="O42" s="99"/>
      <c r="P42" s="99"/>
      <c r="Q42" s="23"/>
      <c r="R42" s="23"/>
      <c r="S42" s="100"/>
      <c r="T42" s="24">
        <f t="shared" si="30"/>
        <v>-2.272727273</v>
      </c>
      <c r="U42" s="25">
        <f t="shared" si="31"/>
        <v>-1</v>
      </c>
      <c r="V42" s="25" t="str">
        <f t="shared" si="32"/>
        <v/>
      </c>
      <c r="W42" s="25" t="str">
        <f t="shared" si="33"/>
        <v/>
      </c>
      <c r="X42" s="26"/>
    </row>
    <row r="43" hidden="1">
      <c r="A43" s="101"/>
      <c r="B43" s="101"/>
      <c r="C43" s="104"/>
      <c r="D43" s="103" t="s">
        <v>87</v>
      </c>
      <c r="E43" s="16">
        <f>50000*5</f>
        <v>250000</v>
      </c>
      <c r="F43" s="58">
        <v>600000.0</v>
      </c>
      <c r="G43" s="18">
        <f t="shared" si="43"/>
        <v>2.4</v>
      </c>
      <c r="H43" s="99"/>
      <c r="I43" s="99"/>
      <c r="J43" s="99"/>
      <c r="K43" s="99"/>
      <c r="L43" s="99"/>
      <c r="M43" s="99"/>
      <c r="N43" s="99"/>
      <c r="O43" s="99"/>
      <c r="P43" s="99"/>
      <c r="Q43" s="23"/>
      <c r="R43" s="23"/>
      <c r="S43" s="100"/>
      <c r="T43" s="24">
        <f t="shared" si="30"/>
        <v>-2.4</v>
      </c>
      <c r="U43" s="25">
        <f t="shared" si="31"/>
        <v>-1</v>
      </c>
      <c r="V43" s="25" t="str">
        <f t="shared" si="32"/>
        <v/>
      </c>
      <c r="W43" s="25" t="str">
        <f t="shared" si="33"/>
        <v/>
      </c>
      <c r="X43" s="26"/>
    </row>
    <row r="44" hidden="1">
      <c r="A44" s="101"/>
      <c r="B44" s="101"/>
      <c r="C44" s="104"/>
      <c r="D44" s="103" t="s">
        <v>88</v>
      </c>
      <c r="E44" s="16">
        <v>170000.0</v>
      </c>
      <c r="F44" s="58">
        <v>350000.0</v>
      </c>
      <c r="G44" s="18">
        <f t="shared" si="43"/>
        <v>2.058823529</v>
      </c>
      <c r="H44" s="99"/>
      <c r="I44" s="99"/>
      <c r="J44" s="99"/>
      <c r="K44" s="99"/>
      <c r="L44" s="99"/>
      <c r="M44" s="99"/>
      <c r="N44" s="99"/>
      <c r="O44" s="99"/>
      <c r="P44" s="99"/>
      <c r="Q44" s="23"/>
      <c r="R44" s="23"/>
      <c r="S44" s="100"/>
      <c r="T44" s="24">
        <f t="shared" si="30"/>
        <v>-2.058823529</v>
      </c>
      <c r="U44" s="25">
        <f t="shared" si="31"/>
        <v>-1</v>
      </c>
      <c r="V44" s="25" t="str">
        <f t="shared" si="32"/>
        <v/>
      </c>
      <c r="W44" s="25" t="str">
        <f t="shared" si="33"/>
        <v/>
      </c>
      <c r="X44" s="26"/>
    </row>
    <row r="45" hidden="1">
      <c r="A45" s="101"/>
      <c r="B45" s="101"/>
      <c r="C45" s="106"/>
      <c r="D45" s="103" t="s">
        <v>89</v>
      </c>
      <c r="E45" s="16">
        <v>6395050.0</v>
      </c>
      <c r="F45" s="58">
        <f>SUM(F36,F37,F41,F42,F43,F44)</f>
        <v>10703325.5</v>
      </c>
      <c r="G45" s="18">
        <f t="shared" si="43"/>
        <v>1.673689103</v>
      </c>
      <c r="H45" s="99"/>
      <c r="I45" s="99"/>
      <c r="J45" s="99"/>
      <c r="K45" s="99"/>
      <c r="L45" s="99"/>
      <c r="M45" s="99"/>
      <c r="N45" s="99"/>
      <c r="O45" s="99"/>
      <c r="P45" s="99"/>
      <c r="Q45" s="23"/>
      <c r="R45" s="23"/>
      <c r="S45" s="100"/>
      <c r="T45" s="24">
        <f t="shared" si="30"/>
        <v>-1.673689103</v>
      </c>
      <c r="U45" s="25">
        <f t="shared" si="31"/>
        <v>-1</v>
      </c>
      <c r="V45" s="25" t="str">
        <f t="shared" si="32"/>
        <v/>
      </c>
      <c r="W45" s="25" t="str">
        <f t="shared" si="33"/>
        <v/>
      </c>
      <c r="X45" s="26"/>
    </row>
    <row r="46" hidden="1">
      <c r="A46" s="28"/>
      <c r="B46" s="28"/>
      <c r="C46" s="107"/>
      <c r="D46" s="97"/>
      <c r="E46" s="105"/>
      <c r="F46" s="105"/>
      <c r="G46" s="108"/>
      <c r="H46" s="99"/>
      <c r="I46" s="99"/>
      <c r="J46" s="99"/>
      <c r="K46" s="99"/>
      <c r="L46" s="99"/>
      <c r="M46" s="99"/>
      <c r="N46" s="99"/>
      <c r="O46" s="99"/>
      <c r="P46" s="99"/>
      <c r="Q46" s="23"/>
      <c r="R46" s="23"/>
      <c r="S46" s="100"/>
      <c r="T46" s="24">
        <f t="shared" si="30"/>
        <v>0</v>
      </c>
      <c r="U46" s="25" t="str">
        <f t="shared" si="31"/>
        <v/>
      </c>
      <c r="V46" s="25" t="str">
        <f t="shared" si="32"/>
        <v/>
      </c>
      <c r="W46" s="25" t="str">
        <f t="shared" si="33"/>
        <v/>
      </c>
      <c r="X46" s="26"/>
    </row>
    <row r="47" hidden="1">
      <c r="A47" s="101"/>
      <c r="B47" s="101"/>
      <c r="C47" s="102" t="s">
        <v>90</v>
      </c>
      <c r="D47" s="103" t="s">
        <v>80</v>
      </c>
      <c r="E47" s="16">
        <v>170000.0</v>
      </c>
      <c r="F47" s="16">
        <v>350000.0</v>
      </c>
      <c r="G47" s="18">
        <f t="shared" ref="G47:G56" si="44">F47/E47</f>
        <v>2.058823529</v>
      </c>
      <c r="H47" s="99"/>
      <c r="I47" s="99"/>
      <c r="J47" s="99"/>
      <c r="K47" s="99"/>
      <c r="L47" s="99"/>
      <c r="M47" s="99"/>
      <c r="N47" s="99"/>
      <c r="O47" s="99"/>
      <c r="P47" s="99"/>
      <c r="Q47" s="23"/>
      <c r="R47" s="23"/>
      <c r="S47" s="100"/>
      <c r="T47" s="24">
        <f t="shared" si="30"/>
        <v>-2.058823529</v>
      </c>
      <c r="U47" s="25">
        <f t="shared" si="31"/>
        <v>-1</v>
      </c>
      <c r="V47" s="25" t="str">
        <f t="shared" si="32"/>
        <v/>
      </c>
      <c r="W47" s="25" t="str">
        <f t="shared" si="33"/>
        <v/>
      </c>
      <c r="X47" s="26"/>
    </row>
    <row r="48" hidden="1">
      <c r="A48" s="101"/>
      <c r="B48" s="101"/>
      <c r="C48" s="104"/>
      <c r="D48" s="103" t="s">
        <v>81</v>
      </c>
      <c r="E48" s="16">
        <v>600000.0</v>
      </c>
      <c r="F48" s="16">
        <f>400000*5</f>
        <v>2000000</v>
      </c>
      <c r="G48" s="18">
        <f t="shared" si="44"/>
        <v>3.333333333</v>
      </c>
      <c r="H48" s="99"/>
      <c r="I48" s="99"/>
      <c r="J48" s="99"/>
      <c r="K48" s="99"/>
      <c r="L48" s="99"/>
      <c r="M48" s="99"/>
      <c r="N48" s="99"/>
      <c r="O48" s="99"/>
      <c r="P48" s="99"/>
      <c r="Q48" s="23"/>
      <c r="R48" s="23"/>
      <c r="S48" s="100"/>
      <c r="T48" s="24">
        <f t="shared" si="30"/>
        <v>-3.333333333</v>
      </c>
      <c r="U48" s="25">
        <f t="shared" si="31"/>
        <v>-1</v>
      </c>
      <c r="V48" s="25" t="str">
        <f t="shared" si="32"/>
        <v/>
      </c>
      <c r="W48" s="25" t="str">
        <f t="shared" si="33"/>
        <v/>
      </c>
      <c r="X48" s="26"/>
    </row>
    <row r="49" hidden="1">
      <c r="A49" s="101"/>
      <c r="B49" s="101"/>
      <c r="C49" s="104"/>
      <c r="D49" s="103" t="s">
        <v>82</v>
      </c>
      <c r="E49" s="16">
        <f>36000*5</f>
        <v>180000</v>
      </c>
      <c r="F49" s="27"/>
      <c r="G49" s="18">
        <f t="shared" si="44"/>
        <v>0</v>
      </c>
      <c r="H49" s="99"/>
      <c r="I49" s="99"/>
      <c r="J49" s="99"/>
      <c r="K49" s="99"/>
      <c r="L49" s="99"/>
      <c r="M49" s="99"/>
      <c r="N49" s="99"/>
      <c r="O49" s="99"/>
      <c r="P49" s="99"/>
      <c r="Q49" s="23"/>
      <c r="R49" s="23"/>
      <c r="S49" s="100"/>
      <c r="T49" s="24">
        <f t="shared" si="30"/>
        <v>0</v>
      </c>
      <c r="U49" s="25" t="str">
        <f t="shared" si="31"/>
        <v/>
      </c>
      <c r="V49" s="25" t="str">
        <f t="shared" si="32"/>
        <v/>
      </c>
      <c r="W49" s="25" t="str">
        <f t="shared" si="33"/>
        <v/>
      </c>
      <c r="X49" s="26"/>
    </row>
    <row r="50" hidden="1">
      <c r="A50" s="101"/>
      <c r="B50" s="101"/>
      <c r="C50" s="104"/>
      <c r="D50" s="103" t="s">
        <v>83</v>
      </c>
      <c r="E50" s="16">
        <v>350000.0</v>
      </c>
      <c r="F50" s="27"/>
      <c r="G50" s="18">
        <f t="shared" si="44"/>
        <v>0</v>
      </c>
      <c r="H50" s="99"/>
      <c r="I50" s="99"/>
      <c r="J50" s="99"/>
      <c r="K50" s="99"/>
      <c r="L50" s="99"/>
      <c r="M50" s="99"/>
      <c r="N50" s="99"/>
      <c r="O50" s="99"/>
      <c r="P50" s="99"/>
      <c r="Q50" s="23"/>
      <c r="R50" s="23"/>
      <c r="S50" s="100"/>
      <c r="T50" s="24">
        <f t="shared" si="30"/>
        <v>0</v>
      </c>
      <c r="U50" s="25" t="str">
        <f t="shared" si="31"/>
        <v/>
      </c>
      <c r="V50" s="25" t="str">
        <f t="shared" si="32"/>
        <v/>
      </c>
      <c r="W50" s="25" t="str">
        <f t="shared" si="33"/>
        <v/>
      </c>
      <c r="X50" s="26"/>
    </row>
    <row r="51" hidden="1">
      <c r="A51" s="101"/>
      <c r="B51" s="101"/>
      <c r="C51" s="104"/>
      <c r="D51" s="103" t="s">
        <v>84</v>
      </c>
      <c r="E51" s="16">
        <v>50000.0</v>
      </c>
      <c r="F51" s="27"/>
      <c r="G51" s="18">
        <f t="shared" si="44"/>
        <v>0</v>
      </c>
      <c r="H51" s="99"/>
      <c r="I51" s="99"/>
      <c r="J51" s="99"/>
      <c r="K51" s="99"/>
      <c r="L51" s="99"/>
      <c r="M51" s="99"/>
      <c r="N51" s="99"/>
      <c r="O51" s="99"/>
      <c r="P51" s="99"/>
      <c r="Q51" s="23"/>
      <c r="R51" s="23"/>
      <c r="S51" s="100"/>
      <c r="T51" s="24">
        <f t="shared" si="30"/>
        <v>0</v>
      </c>
      <c r="U51" s="25" t="str">
        <f t="shared" si="31"/>
        <v/>
      </c>
      <c r="V51" s="25" t="str">
        <f t="shared" si="32"/>
        <v/>
      </c>
      <c r="W51" s="25" t="str">
        <f t="shared" si="33"/>
        <v/>
      </c>
      <c r="X51" s="26"/>
    </row>
    <row r="52" hidden="1">
      <c r="A52" s="101"/>
      <c r="B52" s="101"/>
      <c r="C52" s="104"/>
      <c r="D52" s="103" t="s">
        <v>85</v>
      </c>
      <c r="E52" s="27"/>
      <c r="F52" s="27"/>
      <c r="G52" s="18" t="str">
        <f t="shared" si="44"/>
        <v>#DIV/0!</v>
      </c>
      <c r="H52" s="99"/>
      <c r="I52" s="99"/>
      <c r="J52" s="99"/>
      <c r="K52" s="99"/>
      <c r="L52" s="99"/>
      <c r="M52" s="99"/>
      <c r="N52" s="99"/>
      <c r="O52" s="99"/>
      <c r="P52" s="99"/>
      <c r="Q52" s="23"/>
      <c r="R52" s="23"/>
      <c r="S52" s="100"/>
      <c r="T52" s="24" t="str">
        <f t="shared" si="30"/>
        <v>#DIV/0!</v>
      </c>
      <c r="U52" s="25" t="str">
        <f t="shared" si="31"/>
        <v/>
      </c>
      <c r="V52" s="25" t="str">
        <f t="shared" si="32"/>
        <v/>
      </c>
      <c r="W52" s="25" t="str">
        <f t="shared" si="33"/>
        <v/>
      </c>
      <c r="X52" s="26"/>
    </row>
    <row r="53" hidden="1">
      <c r="A53" s="101"/>
      <c r="B53" s="101"/>
      <c r="C53" s="104"/>
      <c r="D53" s="103" t="s">
        <v>86</v>
      </c>
      <c r="E53" s="16">
        <f>110000*5</f>
        <v>550000</v>
      </c>
      <c r="F53" s="16">
        <f>250000*5</f>
        <v>1250000</v>
      </c>
      <c r="G53" s="18">
        <f t="shared" si="44"/>
        <v>2.272727273</v>
      </c>
      <c r="H53" s="99"/>
      <c r="I53" s="99"/>
      <c r="J53" s="99"/>
      <c r="K53" s="99"/>
      <c r="L53" s="99"/>
      <c r="M53" s="99"/>
      <c r="N53" s="99"/>
      <c r="O53" s="99"/>
      <c r="P53" s="99"/>
      <c r="Q53" s="23"/>
      <c r="R53" s="23"/>
      <c r="S53" s="100"/>
      <c r="T53" s="24">
        <f t="shared" si="30"/>
        <v>-2.272727273</v>
      </c>
      <c r="U53" s="25">
        <f t="shared" si="31"/>
        <v>-1</v>
      </c>
      <c r="V53" s="25" t="str">
        <f t="shared" si="32"/>
        <v/>
      </c>
      <c r="W53" s="25" t="str">
        <f t="shared" si="33"/>
        <v/>
      </c>
      <c r="X53" s="26"/>
    </row>
    <row r="54" hidden="1">
      <c r="A54" s="101"/>
      <c r="B54" s="101"/>
      <c r="C54" s="104"/>
      <c r="D54" s="103" t="s">
        <v>91</v>
      </c>
      <c r="E54" s="16">
        <f>330000*5</f>
        <v>1650000</v>
      </c>
      <c r="F54" s="16">
        <f>510000*5</f>
        <v>2550000</v>
      </c>
      <c r="G54" s="18">
        <f t="shared" si="44"/>
        <v>1.545454545</v>
      </c>
      <c r="H54" s="99"/>
      <c r="I54" s="99"/>
      <c r="J54" s="99"/>
      <c r="K54" s="99"/>
      <c r="L54" s="18">
        <v>0.0565</v>
      </c>
      <c r="M54" s="109" t="s">
        <v>92</v>
      </c>
      <c r="N54" s="99"/>
      <c r="O54" s="99"/>
      <c r="P54" s="99"/>
      <c r="Q54" s="23"/>
      <c r="R54" s="23"/>
      <c r="S54" s="100"/>
      <c r="T54" s="24">
        <f t="shared" si="30"/>
        <v>-1.545454545</v>
      </c>
      <c r="U54" s="25">
        <f t="shared" si="31"/>
        <v>-1</v>
      </c>
      <c r="V54" s="25" t="str">
        <f t="shared" si="32"/>
        <v/>
      </c>
      <c r="W54" s="25" t="str">
        <f t="shared" si="33"/>
        <v/>
      </c>
      <c r="X54" s="26"/>
    </row>
    <row r="55" hidden="1">
      <c r="A55" s="101"/>
      <c r="B55" s="101"/>
      <c r="C55" s="104"/>
      <c r="D55" s="103" t="s">
        <v>88</v>
      </c>
      <c r="E55" s="16">
        <v>170000.0</v>
      </c>
      <c r="F55" s="16">
        <v>350000.0</v>
      </c>
      <c r="G55" s="18">
        <f t="shared" si="44"/>
        <v>2.058823529</v>
      </c>
      <c r="H55" s="99"/>
      <c r="I55" s="99"/>
      <c r="J55" s="99"/>
      <c r="K55" s="99"/>
      <c r="L55" s="108"/>
      <c r="M55" s="99"/>
      <c r="N55" s="99"/>
      <c r="O55" s="99"/>
      <c r="P55" s="99"/>
      <c r="Q55" s="23"/>
      <c r="R55" s="23"/>
      <c r="S55" s="100"/>
      <c r="T55" s="24">
        <f t="shared" si="30"/>
        <v>-2.058823529</v>
      </c>
      <c r="U55" s="25">
        <f t="shared" si="31"/>
        <v>-1</v>
      </c>
      <c r="V55" s="25" t="str">
        <f t="shared" si="32"/>
        <v/>
      </c>
      <c r="W55" s="25" t="str">
        <f t="shared" si="33"/>
        <v/>
      </c>
      <c r="X55" s="26"/>
    </row>
    <row r="56" hidden="1">
      <c r="A56" s="101"/>
      <c r="B56" s="101"/>
      <c r="C56" s="106"/>
      <c r="D56" s="103" t="s">
        <v>89</v>
      </c>
      <c r="E56" s="16">
        <f t="shared" ref="E56:F56" si="45">SUM(E47:E55)</f>
        <v>3720000</v>
      </c>
      <c r="F56" s="16">
        <f t="shared" si="45"/>
        <v>6500000</v>
      </c>
      <c r="G56" s="18">
        <f t="shared" si="44"/>
        <v>1.747311828</v>
      </c>
      <c r="H56" s="99"/>
      <c r="I56" s="99"/>
      <c r="J56" s="99"/>
      <c r="K56" s="99"/>
      <c r="L56" s="109">
        <v>10031.78</v>
      </c>
      <c r="M56" s="109" t="s">
        <v>93</v>
      </c>
      <c r="N56" s="99"/>
      <c r="O56" s="99"/>
      <c r="P56" s="99"/>
      <c r="Q56" s="23"/>
      <c r="R56" s="23"/>
      <c r="S56" s="100"/>
      <c r="T56" s="24">
        <f t="shared" si="30"/>
        <v>-1.747311828</v>
      </c>
      <c r="U56" s="25">
        <f t="shared" si="31"/>
        <v>-1</v>
      </c>
      <c r="V56" s="25" t="str">
        <f t="shared" si="32"/>
        <v/>
      </c>
      <c r="W56" s="25" t="str">
        <f t="shared" si="33"/>
        <v/>
      </c>
      <c r="X56" s="26"/>
    </row>
    <row r="57" hidden="1">
      <c r="A57" s="28"/>
      <c r="B57" s="28"/>
      <c r="C57" s="107"/>
      <c r="D57" s="97"/>
      <c r="E57" s="105"/>
      <c r="F57" s="105"/>
      <c r="G57" s="99"/>
      <c r="H57" s="99"/>
      <c r="I57" s="99"/>
      <c r="J57" s="99"/>
      <c r="K57" s="99"/>
      <c r="L57" s="109" t="s">
        <v>94</v>
      </c>
      <c r="M57" s="99"/>
      <c r="N57" s="99"/>
      <c r="O57" s="99"/>
      <c r="P57" s="99"/>
      <c r="Q57" s="23"/>
      <c r="R57" s="23"/>
      <c r="S57" s="100"/>
      <c r="T57" s="24">
        <f t="shared" si="30"/>
        <v>0</v>
      </c>
      <c r="U57" s="25" t="str">
        <f t="shared" si="31"/>
        <v/>
      </c>
      <c r="V57" s="25" t="str">
        <f t="shared" si="32"/>
        <v/>
      </c>
      <c r="W57" s="25" t="str">
        <f t="shared" si="33"/>
        <v/>
      </c>
      <c r="X57" s="26"/>
    </row>
    <row r="58" hidden="1">
      <c r="A58" s="101"/>
      <c r="B58" s="101"/>
      <c r="C58" s="102" t="s">
        <v>27</v>
      </c>
      <c r="D58" s="103" t="s">
        <v>95</v>
      </c>
      <c r="E58" s="58">
        <f>170000*2</f>
        <v>340000</v>
      </c>
      <c r="F58" s="58">
        <f>700000</f>
        <v>700000</v>
      </c>
      <c r="G58" s="18">
        <f t="shared" ref="G58:G59" si="46">(F58-E58)/E58</f>
        <v>1.058823529</v>
      </c>
      <c r="H58" s="99"/>
      <c r="I58" s="99"/>
      <c r="J58" s="99"/>
      <c r="K58" s="99"/>
      <c r="L58" s="99"/>
      <c r="M58" s="99"/>
      <c r="N58" s="99"/>
      <c r="O58" s="99"/>
      <c r="P58" s="99"/>
      <c r="Q58" s="23"/>
      <c r="R58" s="23"/>
      <c r="S58" s="100"/>
      <c r="T58" s="24">
        <f t="shared" si="30"/>
        <v>-1.058823529</v>
      </c>
      <c r="U58" s="25">
        <f t="shared" si="31"/>
        <v>-1</v>
      </c>
      <c r="V58" s="25" t="str">
        <f t="shared" si="32"/>
        <v/>
      </c>
      <c r="W58" s="25" t="str">
        <f t="shared" si="33"/>
        <v/>
      </c>
      <c r="X58" s="26"/>
    </row>
    <row r="59" hidden="1">
      <c r="A59" s="101"/>
      <c r="B59" s="101"/>
      <c r="C59" s="104"/>
      <c r="D59" s="103" t="s">
        <v>81</v>
      </c>
      <c r="E59" s="58">
        <v>1368000.0</v>
      </c>
      <c r="F59" s="58">
        <f>E59*1.75</f>
        <v>2394000</v>
      </c>
      <c r="G59" s="18">
        <f t="shared" si="46"/>
        <v>0.75</v>
      </c>
      <c r="H59" s="99"/>
      <c r="I59" s="99"/>
      <c r="J59" s="99"/>
      <c r="K59" s="99"/>
      <c r="L59" s="99"/>
      <c r="M59" s="99"/>
      <c r="N59" s="99"/>
      <c r="O59" s="99"/>
      <c r="P59" s="99"/>
      <c r="Q59" s="23"/>
      <c r="R59" s="23"/>
      <c r="S59" s="100"/>
      <c r="T59" s="24">
        <f t="shared" si="30"/>
        <v>-0.75</v>
      </c>
      <c r="U59" s="25">
        <f t="shared" si="31"/>
        <v>-1</v>
      </c>
      <c r="V59" s="25" t="str">
        <f t="shared" si="32"/>
        <v/>
      </c>
      <c r="W59" s="25" t="str">
        <f t="shared" si="33"/>
        <v/>
      </c>
      <c r="X59" s="26"/>
    </row>
    <row r="60" hidden="1">
      <c r="A60" s="101"/>
      <c r="B60" s="101"/>
      <c r="C60" s="104"/>
      <c r="D60" s="103" t="s">
        <v>82</v>
      </c>
      <c r="E60" s="105"/>
      <c r="F60" s="105"/>
      <c r="G60" s="108"/>
      <c r="H60" s="99"/>
      <c r="I60" s="99"/>
      <c r="J60" s="99"/>
      <c r="K60" s="99"/>
      <c r="L60" s="99"/>
      <c r="M60" s="99"/>
      <c r="N60" s="99"/>
      <c r="O60" s="99"/>
      <c r="P60" s="99"/>
      <c r="Q60" s="23"/>
      <c r="R60" s="23"/>
      <c r="S60" s="100"/>
      <c r="T60" s="24">
        <f t="shared" si="30"/>
        <v>0</v>
      </c>
      <c r="U60" s="25" t="str">
        <f t="shared" si="31"/>
        <v/>
      </c>
      <c r="V60" s="25" t="str">
        <f t="shared" si="32"/>
        <v/>
      </c>
      <c r="W60" s="25" t="str">
        <f t="shared" si="33"/>
        <v/>
      </c>
      <c r="X60" s="26"/>
    </row>
    <row r="61" hidden="1">
      <c r="A61" s="101"/>
      <c r="B61" s="101"/>
      <c r="C61" s="104"/>
      <c r="D61" s="103" t="s">
        <v>96</v>
      </c>
      <c r="E61" s="105"/>
      <c r="F61" s="105"/>
      <c r="G61" s="108"/>
      <c r="H61" s="99"/>
      <c r="I61" s="99"/>
      <c r="J61" s="99"/>
      <c r="K61" s="99"/>
      <c r="L61" s="99"/>
      <c r="M61" s="99"/>
      <c r="N61" s="99"/>
      <c r="O61" s="99"/>
      <c r="P61" s="99"/>
      <c r="Q61" s="23"/>
      <c r="R61" s="23"/>
      <c r="S61" s="100"/>
      <c r="T61" s="24">
        <f t="shared" si="30"/>
        <v>0</v>
      </c>
      <c r="U61" s="25" t="str">
        <f t="shared" si="31"/>
        <v/>
      </c>
      <c r="V61" s="25" t="str">
        <f t="shared" si="32"/>
        <v/>
      </c>
      <c r="W61" s="25" t="str">
        <f t="shared" si="33"/>
        <v/>
      </c>
      <c r="X61" s="26"/>
    </row>
    <row r="62" hidden="1">
      <c r="A62" s="101"/>
      <c r="B62" s="101"/>
      <c r="C62" s="104"/>
      <c r="D62" s="103" t="s">
        <v>84</v>
      </c>
      <c r="E62" s="105"/>
      <c r="F62" s="105"/>
      <c r="G62" s="108"/>
      <c r="H62" s="99"/>
      <c r="I62" s="99"/>
      <c r="J62" s="99"/>
      <c r="K62" s="99"/>
      <c r="L62" s="99"/>
      <c r="M62" s="99"/>
      <c r="N62" s="99"/>
      <c r="O62" s="99"/>
      <c r="P62" s="99"/>
      <c r="Q62" s="23"/>
      <c r="R62" s="23"/>
      <c r="S62" s="100"/>
      <c r="T62" s="24">
        <f t="shared" si="30"/>
        <v>0</v>
      </c>
      <c r="U62" s="25" t="str">
        <f t="shared" si="31"/>
        <v/>
      </c>
      <c r="V62" s="25" t="str">
        <f t="shared" si="32"/>
        <v/>
      </c>
      <c r="W62" s="25" t="str">
        <f t="shared" si="33"/>
        <v/>
      </c>
      <c r="X62" s="26"/>
    </row>
    <row r="63" hidden="1">
      <c r="A63" s="101"/>
      <c r="B63" s="101"/>
      <c r="C63" s="104"/>
      <c r="D63" s="103" t="s">
        <v>97</v>
      </c>
      <c r="E63" s="58">
        <f>110000*8</f>
        <v>880000</v>
      </c>
      <c r="F63" s="58">
        <f>230000*8</f>
        <v>1840000</v>
      </c>
      <c r="G63" s="18">
        <f t="shared" ref="G63:G68" si="47">(F63-E63)/E63</f>
        <v>1.090909091</v>
      </c>
      <c r="H63" s="99"/>
      <c r="I63" s="99"/>
      <c r="J63" s="99"/>
      <c r="K63" s="99"/>
      <c r="L63" s="99"/>
      <c r="M63" s="99"/>
      <c r="N63" s="99"/>
      <c r="O63" s="99"/>
      <c r="P63" s="99"/>
      <c r="Q63" s="23"/>
      <c r="R63" s="23"/>
      <c r="S63" s="100"/>
      <c r="T63" s="24">
        <f t="shared" si="30"/>
        <v>-1.090909091</v>
      </c>
      <c r="U63" s="25">
        <f t="shared" si="31"/>
        <v>-1</v>
      </c>
      <c r="V63" s="25" t="str">
        <f t="shared" si="32"/>
        <v/>
      </c>
      <c r="W63" s="25" t="str">
        <f t="shared" si="33"/>
        <v/>
      </c>
      <c r="X63" s="26"/>
    </row>
    <row r="64" hidden="1">
      <c r="A64" s="101"/>
      <c r="B64" s="101"/>
      <c r="C64" s="104"/>
      <c r="D64" s="103" t="s">
        <v>98</v>
      </c>
      <c r="E64" s="58">
        <f>280000*8</f>
        <v>2240000</v>
      </c>
      <c r="F64" s="58">
        <f>430000*8</f>
        <v>3440000</v>
      </c>
      <c r="G64" s="18">
        <f t="shared" si="47"/>
        <v>0.5357142857</v>
      </c>
      <c r="H64" s="99"/>
      <c r="I64" s="99"/>
      <c r="J64" s="99"/>
      <c r="K64" s="99"/>
      <c r="L64" s="99"/>
      <c r="M64" s="99"/>
      <c r="N64" s="99"/>
      <c r="O64" s="99"/>
      <c r="P64" s="99"/>
      <c r="Q64" s="23"/>
      <c r="R64" s="23"/>
      <c r="S64" s="100"/>
      <c r="T64" s="24">
        <f t="shared" si="30"/>
        <v>-0.5357142857</v>
      </c>
      <c r="U64" s="25">
        <f t="shared" si="31"/>
        <v>-1</v>
      </c>
      <c r="V64" s="25" t="str">
        <f t="shared" si="32"/>
        <v/>
      </c>
      <c r="W64" s="25" t="str">
        <f t="shared" si="33"/>
        <v/>
      </c>
      <c r="X64" s="26"/>
    </row>
    <row r="65" hidden="1">
      <c r="A65" s="101"/>
      <c r="B65" s="101"/>
      <c r="C65" s="104"/>
      <c r="D65" s="103" t="s">
        <v>99</v>
      </c>
      <c r="E65" s="58">
        <f>275000*8</f>
        <v>2200000</v>
      </c>
      <c r="F65" s="58">
        <f>320000*8</f>
        <v>2560000</v>
      </c>
      <c r="G65" s="18">
        <f t="shared" si="47"/>
        <v>0.1636363636</v>
      </c>
      <c r="H65" s="99"/>
      <c r="I65" s="99"/>
      <c r="J65" s="99"/>
      <c r="K65" s="99"/>
      <c r="L65" s="99"/>
      <c r="M65" s="99"/>
      <c r="N65" s="99"/>
      <c r="O65" s="99"/>
      <c r="P65" s="99"/>
      <c r="Q65" s="23"/>
      <c r="R65" s="23"/>
      <c r="S65" s="100"/>
      <c r="T65" s="24">
        <f t="shared" si="30"/>
        <v>-0.1636363636</v>
      </c>
      <c r="U65" s="25">
        <f t="shared" si="31"/>
        <v>-1</v>
      </c>
      <c r="V65" s="25" t="str">
        <f t="shared" si="32"/>
        <v/>
      </c>
      <c r="W65" s="25" t="str">
        <f t="shared" si="33"/>
        <v/>
      </c>
      <c r="X65" s="26"/>
    </row>
    <row r="66" hidden="1">
      <c r="A66" s="101"/>
      <c r="B66" s="101"/>
      <c r="C66" s="104"/>
      <c r="D66" s="103" t="s">
        <v>100</v>
      </c>
      <c r="E66" s="58">
        <f>309000*8</f>
        <v>2472000</v>
      </c>
      <c r="F66" s="58">
        <f>430000*8</f>
        <v>3440000</v>
      </c>
      <c r="G66" s="18">
        <f t="shared" si="47"/>
        <v>0.3915857605</v>
      </c>
      <c r="H66" s="99"/>
      <c r="I66" s="99"/>
      <c r="J66" s="99"/>
      <c r="K66" s="99"/>
      <c r="L66" s="99"/>
      <c r="M66" s="99"/>
      <c r="N66" s="99"/>
      <c r="O66" s="99"/>
      <c r="P66" s="99"/>
      <c r="Q66" s="23"/>
      <c r="R66" s="23"/>
      <c r="S66" s="100"/>
      <c r="T66" s="24">
        <f t="shared" si="30"/>
        <v>-0.3915857605</v>
      </c>
      <c r="U66" s="25">
        <f t="shared" si="31"/>
        <v>-1</v>
      </c>
      <c r="V66" s="25" t="str">
        <f t="shared" si="32"/>
        <v/>
      </c>
      <c r="W66" s="25" t="str">
        <f t="shared" si="33"/>
        <v/>
      </c>
      <c r="X66" s="26"/>
    </row>
    <row r="67" hidden="1">
      <c r="A67" s="101"/>
      <c r="B67" s="101"/>
      <c r="C67" s="104"/>
      <c r="D67" s="103" t="s">
        <v>91</v>
      </c>
      <c r="E67" s="58">
        <f>330000*8</f>
        <v>2640000</v>
      </c>
      <c r="F67" s="58">
        <f>490000*8</f>
        <v>3920000</v>
      </c>
      <c r="G67" s="18">
        <f t="shared" si="47"/>
        <v>0.4848484848</v>
      </c>
      <c r="H67" s="99"/>
      <c r="I67" s="99"/>
      <c r="J67" s="99"/>
      <c r="K67" s="99"/>
      <c r="L67" s="99"/>
      <c r="M67" s="99"/>
      <c r="N67" s="99"/>
      <c r="O67" s="99"/>
      <c r="P67" s="99"/>
      <c r="Q67" s="23"/>
      <c r="R67" s="23"/>
      <c r="S67" s="100"/>
      <c r="T67" s="24">
        <f t="shared" si="30"/>
        <v>-0.4848484848</v>
      </c>
      <c r="U67" s="25">
        <f t="shared" si="31"/>
        <v>-1</v>
      </c>
      <c r="V67" s="25" t="str">
        <f t="shared" si="32"/>
        <v/>
      </c>
      <c r="W67" s="25" t="str">
        <f t="shared" si="33"/>
        <v/>
      </c>
      <c r="X67" s="26"/>
    </row>
    <row r="68" hidden="1">
      <c r="A68" s="101"/>
      <c r="B68" s="101"/>
      <c r="C68" s="106"/>
      <c r="D68" s="103" t="s">
        <v>101</v>
      </c>
      <c r="E68" s="58">
        <f t="shared" ref="E68:F68" si="48">SUM(E58:E67)</f>
        <v>12140000</v>
      </c>
      <c r="F68" s="58">
        <f t="shared" si="48"/>
        <v>18294000</v>
      </c>
      <c r="G68" s="18">
        <f t="shared" si="47"/>
        <v>0.5069192751</v>
      </c>
      <c r="H68" s="99"/>
      <c r="I68" s="99"/>
      <c r="J68" s="99"/>
      <c r="K68" s="99"/>
      <c r="L68" s="99"/>
      <c r="M68" s="99"/>
      <c r="N68" s="99"/>
      <c r="O68" s="99"/>
      <c r="P68" s="99"/>
      <c r="Q68" s="23"/>
      <c r="R68" s="23"/>
      <c r="S68" s="100"/>
      <c r="T68" s="24">
        <f t="shared" si="30"/>
        <v>-0.5069192751</v>
      </c>
      <c r="U68" s="25">
        <f t="shared" si="31"/>
        <v>-1</v>
      </c>
      <c r="V68" s="25" t="str">
        <f t="shared" si="32"/>
        <v/>
      </c>
      <c r="W68" s="25" t="str">
        <f t="shared" si="33"/>
        <v/>
      </c>
      <c r="X68" s="110"/>
    </row>
    <row r="69" hidden="1">
      <c r="A69" s="28"/>
      <c r="B69" s="28"/>
      <c r="C69" s="107"/>
      <c r="D69" s="97"/>
      <c r="E69" s="105"/>
      <c r="F69" s="105" t="str">
        <f>IFERROR((#REF!-#REF!)/#REF!,"")</f>
        <v/>
      </c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23"/>
      <c r="R69" s="23"/>
      <c r="S69" s="100"/>
      <c r="T69" s="24">
        <f t="shared" si="30"/>
        <v>0</v>
      </c>
      <c r="U69" s="25" t="str">
        <f t="shared" si="31"/>
        <v/>
      </c>
      <c r="V69" s="25" t="str">
        <f t="shared" si="32"/>
        <v/>
      </c>
      <c r="W69" s="25" t="str">
        <f t="shared" si="33"/>
        <v/>
      </c>
      <c r="X69" s="110"/>
    </row>
    <row r="70" hidden="1">
      <c r="A70" s="101"/>
      <c r="B70" s="101"/>
      <c r="C70" s="102" t="s">
        <v>29</v>
      </c>
      <c r="D70" s="103" t="s">
        <v>95</v>
      </c>
      <c r="E70" s="58">
        <f>170000*2</f>
        <v>340000</v>
      </c>
      <c r="F70" s="58">
        <f>700000</f>
        <v>700000</v>
      </c>
      <c r="G70" s="18">
        <f t="shared" ref="G70:G71" si="49">(F70-E70)/E70</f>
        <v>1.058823529</v>
      </c>
      <c r="H70" s="99"/>
      <c r="I70" s="99"/>
      <c r="J70" s="99"/>
      <c r="K70" s="99"/>
      <c r="L70" s="99"/>
      <c r="M70" s="99"/>
      <c r="N70" s="99"/>
      <c r="O70" s="99"/>
      <c r="P70" s="99"/>
      <c r="Q70" s="23"/>
      <c r="R70" s="23"/>
      <c r="S70" s="100"/>
      <c r="T70" s="24">
        <f t="shared" si="30"/>
        <v>-1.058823529</v>
      </c>
      <c r="U70" s="25">
        <f t="shared" si="31"/>
        <v>-1</v>
      </c>
      <c r="V70" s="25" t="str">
        <f t="shared" si="32"/>
        <v/>
      </c>
      <c r="W70" s="25" t="str">
        <f t="shared" si="33"/>
        <v/>
      </c>
      <c r="X70" s="26"/>
    </row>
    <row r="71" hidden="1">
      <c r="A71" s="101"/>
      <c r="B71" s="101"/>
      <c r="C71" s="104"/>
      <c r="D71" s="103" t="s">
        <v>81</v>
      </c>
      <c r="E71" s="58">
        <v>1368000.0</v>
      </c>
      <c r="F71" s="58">
        <f>E71*1.75</f>
        <v>2394000</v>
      </c>
      <c r="G71" s="18">
        <f t="shared" si="49"/>
        <v>0.75</v>
      </c>
      <c r="H71" s="99"/>
      <c r="I71" s="99"/>
      <c r="J71" s="99"/>
      <c r="K71" s="99"/>
      <c r="L71" s="99"/>
      <c r="M71" s="99"/>
      <c r="N71" s="99"/>
      <c r="O71" s="99"/>
      <c r="P71" s="99"/>
      <c r="Q71" s="23"/>
      <c r="R71" s="23"/>
      <c r="S71" s="100"/>
      <c r="T71" s="24">
        <f t="shared" si="30"/>
        <v>-0.75</v>
      </c>
      <c r="U71" s="25">
        <f t="shared" si="31"/>
        <v>-1</v>
      </c>
      <c r="V71" s="25" t="str">
        <f t="shared" si="32"/>
        <v/>
      </c>
      <c r="W71" s="25" t="str">
        <f t="shared" si="33"/>
        <v/>
      </c>
      <c r="X71" s="26"/>
    </row>
    <row r="72" hidden="1">
      <c r="A72" s="101"/>
      <c r="B72" s="101"/>
      <c r="C72" s="104"/>
      <c r="D72" s="103" t="s">
        <v>82</v>
      </c>
      <c r="E72" s="105"/>
      <c r="F72" s="105"/>
      <c r="G72" s="108"/>
      <c r="H72" s="99"/>
      <c r="I72" s="99"/>
      <c r="J72" s="99"/>
      <c r="K72" s="99"/>
      <c r="L72" s="99"/>
      <c r="M72" s="99"/>
      <c r="N72" s="99"/>
      <c r="O72" s="99"/>
      <c r="P72" s="99"/>
      <c r="Q72" s="23"/>
      <c r="R72" s="23"/>
      <c r="S72" s="100"/>
      <c r="T72" s="24">
        <f t="shared" si="30"/>
        <v>0</v>
      </c>
      <c r="U72" s="25" t="str">
        <f t="shared" si="31"/>
        <v/>
      </c>
      <c r="V72" s="25" t="str">
        <f t="shared" si="32"/>
        <v/>
      </c>
      <c r="W72" s="25" t="str">
        <f t="shared" si="33"/>
        <v/>
      </c>
      <c r="X72" s="26"/>
    </row>
    <row r="73" hidden="1">
      <c r="A73" s="101"/>
      <c r="B73" s="101"/>
      <c r="C73" s="104"/>
      <c r="D73" s="103" t="s">
        <v>96</v>
      </c>
      <c r="E73" s="105"/>
      <c r="F73" s="105"/>
      <c r="G73" s="108"/>
      <c r="H73" s="99"/>
      <c r="I73" s="99"/>
      <c r="J73" s="99"/>
      <c r="K73" s="99"/>
      <c r="L73" s="99"/>
      <c r="M73" s="99"/>
      <c r="N73" s="99"/>
      <c r="O73" s="99"/>
      <c r="P73" s="99"/>
      <c r="Q73" s="23"/>
      <c r="R73" s="23"/>
      <c r="S73" s="100"/>
      <c r="T73" s="24">
        <f t="shared" si="30"/>
        <v>0</v>
      </c>
      <c r="U73" s="25" t="str">
        <f t="shared" si="31"/>
        <v/>
      </c>
      <c r="V73" s="25" t="str">
        <f t="shared" si="32"/>
        <v/>
      </c>
      <c r="W73" s="25" t="str">
        <f t="shared" si="33"/>
        <v/>
      </c>
      <c r="X73" s="26"/>
    </row>
    <row r="74" hidden="1">
      <c r="A74" s="101"/>
      <c r="B74" s="101"/>
      <c r="C74" s="104"/>
      <c r="D74" s="103" t="s">
        <v>84</v>
      </c>
      <c r="E74" s="105"/>
      <c r="F74" s="105"/>
      <c r="G74" s="108"/>
      <c r="H74" s="99"/>
      <c r="I74" s="99"/>
      <c r="J74" s="99"/>
      <c r="K74" s="99"/>
      <c r="L74" s="99"/>
      <c r="M74" s="99"/>
      <c r="N74" s="99"/>
      <c r="O74" s="99"/>
      <c r="P74" s="99"/>
      <c r="Q74" s="23"/>
      <c r="R74" s="23"/>
      <c r="S74" s="100"/>
      <c r="T74" s="24">
        <f t="shared" si="30"/>
        <v>0</v>
      </c>
      <c r="U74" s="25" t="str">
        <f t="shared" si="31"/>
        <v/>
      </c>
      <c r="V74" s="25" t="str">
        <f t="shared" si="32"/>
        <v/>
      </c>
      <c r="W74" s="25" t="str">
        <f t="shared" si="33"/>
        <v/>
      </c>
      <c r="X74" s="26"/>
    </row>
    <row r="75" hidden="1">
      <c r="A75" s="101"/>
      <c r="B75" s="101"/>
      <c r="C75" s="104"/>
      <c r="D75" s="103" t="s">
        <v>97</v>
      </c>
      <c r="E75" s="58">
        <f>110000*8</f>
        <v>880000</v>
      </c>
      <c r="F75" s="58">
        <f>230000*8</f>
        <v>1840000</v>
      </c>
      <c r="G75" s="18">
        <f t="shared" ref="G75:G81" si="50">(F75-E75)/E75</f>
        <v>1.090909091</v>
      </c>
      <c r="H75" s="99"/>
      <c r="I75" s="99"/>
      <c r="J75" s="99"/>
      <c r="K75" s="99"/>
      <c r="L75" s="99"/>
      <c r="M75" s="99"/>
      <c r="N75" s="99"/>
      <c r="O75" s="99"/>
      <c r="P75" s="99"/>
      <c r="Q75" s="23"/>
      <c r="R75" s="23"/>
      <c r="S75" s="100"/>
      <c r="T75" s="24">
        <f t="shared" si="30"/>
        <v>-1.090909091</v>
      </c>
      <c r="U75" s="25">
        <f t="shared" si="31"/>
        <v>-1</v>
      </c>
      <c r="V75" s="25" t="str">
        <f t="shared" si="32"/>
        <v/>
      </c>
      <c r="W75" s="25" t="str">
        <f t="shared" si="33"/>
        <v/>
      </c>
      <c r="X75" s="110"/>
    </row>
    <row r="76" hidden="1">
      <c r="A76" s="101"/>
      <c r="B76" s="101"/>
      <c r="C76" s="104"/>
      <c r="D76" s="103" t="s">
        <v>98</v>
      </c>
      <c r="E76" s="58">
        <f>280000*8</f>
        <v>2240000</v>
      </c>
      <c r="F76" s="58">
        <f>430000*8</f>
        <v>3440000</v>
      </c>
      <c r="G76" s="18">
        <f t="shared" si="50"/>
        <v>0.5357142857</v>
      </c>
      <c r="H76" s="99"/>
      <c r="I76" s="99"/>
      <c r="J76" s="99"/>
      <c r="K76" s="99"/>
      <c r="L76" s="99"/>
      <c r="M76" s="99"/>
      <c r="N76" s="99"/>
      <c r="O76" s="99"/>
      <c r="P76" s="99"/>
      <c r="Q76" s="23"/>
      <c r="R76" s="23"/>
      <c r="S76" s="100"/>
      <c r="T76" s="24">
        <f t="shared" si="30"/>
        <v>-0.5357142857</v>
      </c>
      <c r="U76" s="25">
        <f t="shared" si="31"/>
        <v>-1</v>
      </c>
      <c r="V76" s="25" t="str">
        <f t="shared" si="32"/>
        <v/>
      </c>
      <c r="W76" s="25" t="str">
        <f t="shared" si="33"/>
        <v/>
      </c>
      <c r="X76" s="110"/>
    </row>
    <row r="77" hidden="1">
      <c r="A77" s="101"/>
      <c r="B77" s="101"/>
      <c r="C77" s="104"/>
      <c r="D77" s="103" t="s">
        <v>99</v>
      </c>
      <c r="E77" s="58">
        <f>275000*8</f>
        <v>2200000</v>
      </c>
      <c r="F77" s="58">
        <f>320000*8</f>
        <v>2560000</v>
      </c>
      <c r="G77" s="18">
        <f t="shared" si="50"/>
        <v>0.1636363636</v>
      </c>
      <c r="H77" s="99"/>
      <c r="I77" s="99"/>
      <c r="J77" s="99"/>
      <c r="K77" s="99"/>
      <c r="L77" s="99"/>
      <c r="M77" s="99"/>
      <c r="N77" s="99"/>
      <c r="O77" s="99"/>
      <c r="P77" s="99"/>
      <c r="Q77" s="23"/>
      <c r="R77" s="23"/>
      <c r="S77" s="100"/>
      <c r="T77" s="24">
        <f t="shared" si="30"/>
        <v>-0.1636363636</v>
      </c>
      <c r="U77" s="25">
        <f t="shared" si="31"/>
        <v>-1</v>
      </c>
      <c r="V77" s="25" t="str">
        <f t="shared" si="32"/>
        <v/>
      </c>
      <c r="W77" s="25" t="str">
        <f t="shared" si="33"/>
        <v/>
      </c>
      <c r="X77" s="110"/>
    </row>
    <row r="78" hidden="1">
      <c r="A78" s="101"/>
      <c r="B78" s="101"/>
      <c r="C78" s="104"/>
      <c r="D78" s="103" t="s">
        <v>100</v>
      </c>
      <c r="E78" s="58">
        <f>309000*8</f>
        <v>2472000</v>
      </c>
      <c r="F78" s="58">
        <f>430000*8</f>
        <v>3440000</v>
      </c>
      <c r="G78" s="18">
        <f t="shared" si="50"/>
        <v>0.3915857605</v>
      </c>
      <c r="H78" s="99"/>
      <c r="I78" s="99"/>
      <c r="J78" s="99"/>
      <c r="K78" s="99"/>
      <c r="L78" s="99"/>
      <c r="M78" s="99"/>
      <c r="N78" s="99"/>
      <c r="O78" s="99"/>
      <c r="P78" s="99"/>
      <c r="Q78" s="23"/>
      <c r="R78" s="23"/>
      <c r="S78" s="100"/>
      <c r="T78" s="24">
        <f t="shared" si="30"/>
        <v>-0.3915857605</v>
      </c>
      <c r="U78" s="25">
        <f t="shared" si="31"/>
        <v>-1</v>
      </c>
      <c r="V78" s="25" t="str">
        <f t="shared" si="32"/>
        <v/>
      </c>
      <c r="W78" s="25" t="str">
        <f t="shared" si="33"/>
        <v/>
      </c>
      <c r="X78" s="110"/>
    </row>
    <row r="79" hidden="1">
      <c r="A79" s="101"/>
      <c r="B79" s="101"/>
      <c r="C79" s="104"/>
      <c r="D79" s="103" t="s">
        <v>102</v>
      </c>
      <c r="E79" s="58">
        <v>2940000.0</v>
      </c>
      <c r="F79" s="58">
        <f>E79*1.5</f>
        <v>4410000</v>
      </c>
      <c r="G79" s="18">
        <f t="shared" si="50"/>
        <v>0.5</v>
      </c>
      <c r="H79" s="99"/>
      <c r="I79" s="99"/>
      <c r="J79" s="99"/>
      <c r="K79" s="99"/>
      <c r="L79" s="99"/>
      <c r="M79" s="99"/>
      <c r="N79" s="99"/>
      <c r="O79" s="99"/>
      <c r="P79" s="99"/>
      <c r="Q79" s="23"/>
      <c r="R79" s="23"/>
      <c r="S79" s="100"/>
      <c r="T79" s="24">
        <f t="shared" si="30"/>
        <v>-0.5</v>
      </c>
      <c r="U79" s="25">
        <f t="shared" si="31"/>
        <v>-1</v>
      </c>
      <c r="V79" s="25" t="str">
        <f t="shared" si="32"/>
        <v/>
      </c>
      <c r="W79" s="25" t="str">
        <f t="shared" si="33"/>
        <v/>
      </c>
      <c r="X79" s="110"/>
    </row>
    <row r="80" hidden="1">
      <c r="A80" s="101"/>
      <c r="B80" s="101"/>
      <c r="C80" s="104"/>
      <c r="D80" s="103" t="s">
        <v>103</v>
      </c>
      <c r="E80" s="58">
        <f>50000*8</f>
        <v>400000</v>
      </c>
      <c r="F80" s="58">
        <f>E80*1.51</f>
        <v>604000</v>
      </c>
      <c r="G80" s="18">
        <f t="shared" si="50"/>
        <v>0.51</v>
      </c>
      <c r="H80" s="99"/>
      <c r="I80" s="99"/>
      <c r="J80" s="99"/>
      <c r="K80" s="99"/>
      <c r="L80" s="99"/>
      <c r="M80" s="99"/>
      <c r="N80" s="99"/>
      <c r="O80" s="99"/>
      <c r="P80" s="99"/>
      <c r="Q80" s="23"/>
      <c r="R80" s="23"/>
      <c r="S80" s="100"/>
      <c r="T80" s="24">
        <f t="shared" si="30"/>
        <v>-0.51</v>
      </c>
      <c r="U80" s="25">
        <f t="shared" si="31"/>
        <v>-1</v>
      </c>
      <c r="V80" s="25" t="str">
        <f t="shared" si="32"/>
        <v/>
      </c>
      <c r="W80" s="25" t="str">
        <f t="shared" si="33"/>
        <v/>
      </c>
      <c r="X80" s="26"/>
    </row>
    <row r="81" hidden="1">
      <c r="A81" s="101"/>
      <c r="B81" s="101"/>
      <c r="C81" s="106"/>
      <c r="D81" s="103" t="s">
        <v>101</v>
      </c>
      <c r="E81" s="58">
        <f t="shared" ref="E81:F81" si="51">SUM(E70:E80)</f>
        <v>12840000</v>
      </c>
      <c r="F81" s="58">
        <f t="shared" si="51"/>
        <v>19388000</v>
      </c>
      <c r="G81" s="18">
        <f t="shared" si="50"/>
        <v>0.5099688474</v>
      </c>
      <c r="H81" s="99"/>
      <c r="I81" s="99"/>
      <c r="J81" s="99"/>
      <c r="K81" s="99"/>
      <c r="L81" s="99"/>
      <c r="M81" s="99"/>
      <c r="N81" s="99"/>
      <c r="O81" s="99"/>
      <c r="P81" s="99"/>
      <c r="Q81" s="23"/>
      <c r="R81" s="23"/>
      <c r="S81" s="100"/>
      <c r="T81" s="24">
        <f t="shared" si="30"/>
        <v>-0.5099688474</v>
      </c>
      <c r="U81" s="25">
        <f t="shared" si="31"/>
        <v>-1</v>
      </c>
      <c r="V81" s="25" t="str">
        <f t="shared" si="32"/>
        <v/>
      </c>
      <c r="W81" s="25" t="str">
        <f t="shared" si="33"/>
        <v/>
      </c>
      <c r="X81" s="26"/>
    </row>
    <row r="82" hidden="1">
      <c r="A82" s="28"/>
      <c r="B82" s="28"/>
      <c r="C82" s="107"/>
      <c r="D82" s="97"/>
      <c r="E82" s="105"/>
      <c r="F82" s="105"/>
      <c r="G82" s="108"/>
      <c r="H82" s="111" t="s">
        <v>104</v>
      </c>
      <c r="I82" s="111" t="s">
        <v>105</v>
      </c>
      <c r="J82" s="99"/>
      <c r="K82" s="99"/>
      <c r="L82" s="99"/>
      <c r="M82" s="99"/>
      <c r="N82" s="99"/>
      <c r="O82" s="99"/>
      <c r="P82" s="99"/>
      <c r="Q82" s="23"/>
      <c r="R82" s="23"/>
      <c r="S82" s="100"/>
      <c r="T82" s="24">
        <f t="shared" si="30"/>
        <v>0</v>
      </c>
      <c r="U82" s="25" t="str">
        <f t="shared" si="31"/>
        <v/>
      </c>
      <c r="V82" s="25" t="str">
        <f t="shared" si="32"/>
        <v/>
      </c>
      <c r="W82" s="25" t="str">
        <f t="shared" si="33"/>
        <v/>
      </c>
      <c r="X82" s="26"/>
    </row>
    <row r="83" hidden="1">
      <c r="A83" s="112"/>
      <c r="B83" s="112"/>
      <c r="C83" s="113"/>
      <c r="D83" s="114" t="s">
        <v>106</v>
      </c>
      <c r="E83" s="115">
        <f>300000+36000+30000+10000</f>
        <v>376000</v>
      </c>
      <c r="F83" s="115">
        <f>E83*1.3</f>
        <v>488800</v>
      </c>
      <c r="G83" s="116">
        <f t="shared" ref="G83:G94" si="52">(F83-E83)/E83</f>
        <v>0.3</v>
      </c>
      <c r="H83" s="109">
        <f t="shared" ref="H83:H94" si="53">F83-E83</f>
        <v>112800</v>
      </c>
      <c r="I83" s="109">
        <v>500000.0</v>
      </c>
      <c r="J83" s="99"/>
      <c r="K83" s="99"/>
      <c r="L83" s="99"/>
      <c r="M83" s="99"/>
      <c r="N83" s="99"/>
      <c r="O83" s="99"/>
      <c r="P83" s="99"/>
      <c r="Q83" s="23"/>
      <c r="R83" s="23"/>
      <c r="S83" s="100"/>
      <c r="T83" s="24">
        <f t="shared" si="30"/>
        <v>-0.3</v>
      </c>
      <c r="U83" s="25">
        <f t="shared" si="31"/>
        <v>-1</v>
      </c>
      <c r="V83" s="25" t="str">
        <f t="shared" si="32"/>
        <v/>
      </c>
      <c r="W83" s="25" t="str">
        <f t="shared" si="33"/>
        <v/>
      </c>
      <c r="X83" s="26"/>
    </row>
    <row r="84" hidden="1">
      <c r="A84" s="112"/>
      <c r="B84" s="112"/>
      <c r="C84" s="113"/>
      <c r="D84" s="114" t="s">
        <v>107</v>
      </c>
      <c r="E84" s="115">
        <f>300000+(36000*2)+30000+(10000*2)</f>
        <v>422000</v>
      </c>
      <c r="F84" s="115">
        <f t="shared" ref="F84:F85" si="54">E84*1.5</f>
        <v>633000</v>
      </c>
      <c r="G84" s="116">
        <f t="shared" si="52"/>
        <v>0.5</v>
      </c>
      <c r="H84" s="109">
        <f t="shared" si="53"/>
        <v>211000</v>
      </c>
      <c r="I84" s="109">
        <v>325000.0</v>
      </c>
      <c r="J84" s="99"/>
      <c r="K84" s="99"/>
      <c r="L84" s="99"/>
      <c r="M84" s="99"/>
      <c r="N84" s="99"/>
      <c r="O84" s="99"/>
      <c r="P84" s="99"/>
      <c r="Q84" s="23"/>
      <c r="R84" s="23"/>
      <c r="S84" s="100"/>
      <c r="T84" s="24">
        <f t="shared" si="30"/>
        <v>-0.5</v>
      </c>
      <c r="U84" s="25">
        <f t="shared" si="31"/>
        <v>-1</v>
      </c>
      <c r="V84" s="25" t="str">
        <f t="shared" si="32"/>
        <v/>
      </c>
      <c r="W84" s="25" t="str">
        <f t="shared" si="33"/>
        <v/>
      </c>
      <c r="X84" s="26"/>
    </row>
    <row r="85" hidden="1">
      <c r="A85" s="112"/>
      <c r="B85" s="112"/>
      <c r="C85" s="113"/>
      <c r="D85" s="114" t="s">
        <v>108</v>
      </c>
      <c r="E85" s="115">
        <f>400000+(36000*3)+30000+(10000*3)</f>
        <v>568000</v>
      </c>
      <c r="F85" s="115">
        <f t="shared" si="54"/>
        <v>852000</v>
      </c>
      <c r="G85" s="116">
        <f t="shared" si="52"/>
        <v>0.5</v>
      </c>
      <c r="H85" s="109">
        <f t="shared" si="53"/>
        <v>284000</v>
      </c>
      <c r="I85" s="109">
        <v>300000.0</v>
      </c>
      <c r="J85" s="99"/>
      <c r="K85" s="99"/>
      <c r="L85" s="99"/>
      <c r="M85" s="99"/>
      <c r="N85" s="99"/>
      <c r="O85" s="99"/>
      <c r="P85" s="99"/>
      <c r="Q85" s="23"/>
      <c r="R85" s="23"/>
      <c r="S85" s="100"/>
      <c r="T85" s="24">
        <f t="shared" si="30"/>
        <v>-0.5</v>
      </c>
      <c r="U85" s="25">
        <f t="shared" si="31"/>
        <v>-1</v>
      </c>
      <c r="V85" s="25" t="str">
        <f t="shared" si="32"/>
        <v/>
      </c>
      <c r="W85" s="25" t="str">
        <f t="shared" si="33"/>
        <v/>
      </c>
      <c r="X85" s="26"/>
    </row>
    <row r="86" hidden="1">
      <c r="A86" s="112"/>
      <c r="B86" s="112"/>
      <c r="C86" s="113"/>
      <c r="D86" s="114" t="s">
        <v>109</v>
      </c>
      <c r="E86" s="115">
        <f>600000+(36000*4)+240000+(10000*4)</f>
        <v>1024000</v>
      </c>
      <c r="F86" s="115">
        <f t="shared" ref="F86:F87" si="55">E86*1.3</f>
        <v>1331200</v>
      </c>
      <c r="G86" s="116">
        <f t="shared" si="52"/>
        <v>0.3</v>
      </c>
      <c r="H86" s="109">
        <f t="shared" si="53"/>
        <v>307200</v>
      </c>
      <c r="I86" s="109">
        <v>330000.0</v>
      </c>
      <c r="J86" s="99"/>
      <c r="K86" s="99"/>
      <c r="L86" s="99"/>
      <c r="M86" s="99"/>
      <c r="N86" s="99"/>
      <c r="O86" s="99"/>
      <c r="P86" s="99"/>
      <c r="Q86" s="23"/>
      <c r="R86" s="23"/>
      <c r="S86" s="100"/>
      <c r="T86" s="24">
        <f t="shared" si="30"/>
        <v>-0.3</v>
      </c>
      <c r="U86" s="25">
        <f t="shared" si="31"/>
        <v>-1</v>
      </c>
      <c r="V86" s="25" t="str">
        <f t="shared" si="32"/>
        <v/>
      </c>
      <c r="W86" s="25" t="str">
        <f t="shared" si="33"/>
        <v/>
      </c>
      <c r="X86" s="26"/>
    </row>
    <row r="87" hidden="1">
      <c r="A87" s="112"/>
      <c r="B87" s="112"/>
      <c r="C87" s="113"/>
      <c r="D87" s="114" t="s">
        <v>110</v>
      </c>
      <c r="E87" s="115">
        <f>600000+(36000*5)+350000+(10000*5)</f>
        <v>1180000</v>
      </c>
      <c r="F87" s="115">
        <f t="shared" si="55"/>
        <v>1534000</v>
      </c>
      <c r="G87" s="116">
        <f t="shared" si="52"/>
        <v>0.3</v>
      </c>
      <c r="H87" s="109">
        <f t="shared" si="53"/>
        <v>354000</v>
      </c>
      <c r="I87" s="109">
        <v>310000.0</v>
      </c>
      <c r="J87" s="99"/>
      <c r="K87" s="99"/>
      <c r="L87" s="99"/>
      <c r="M87" s="99"/>
      <c r="N87" s="99"/>
      <c r="O87" s="99"/>
      <c r="P87" s="99"/>
      <c r="Q87" s="23"/>
      <c r="R87" s="23"/>
      <c r="S87" s="100"/>
      <c r="T87" s="24">
        <f t="shared" si="30"/>
        <v>-0.3</v>
      </c>
      <c r="U87" s="25">
        <f t="shared" si="31"/>
        <v>-1</v>
      </c>
      <c r="V87" s="25" t="str">
        <f t="shared" si="32"/>
        <v/>
      </c>
      <c r="W87" s="25" t="str">
        <f t="shared" si="33"/>
        <v/>
      </c>
      <c r="X87" s="26"/>
    </row>
    <row r="88" hidden="1">
      <c r="A88" s="112"/>
      <c r="B88" s="112"/>
      <c r="C88" s="113"/>
      <c r="D88" s="114" t="s">
        <v>111</v>
      </c>
      <c r="E88" s="115">
        <f>600000+(36000*6)+350000+(10000*6)</f>
        <v>1226000</v>
      </c>
      <c r="F88" s="115">
        <f>E88*1.5</f>
        <v>1839000</v>
      </c>
      <c r="G88" s="116">
        <f t="shared" si="52"/>
        <v>0.5</v>
      </c>
      <c r="H88" s="109">
        <f t="shared" si="53"/>
        <v>613000</v>
      </c>
      <c r="I88" s="109">
        <v>310000.0</v>
      </c>
      <c r="J88" s="99"/>
      <c r="K88" s="99"/>
      <c r="L88" s="99"/>
      <c r="M88" s="99"/>
      <c r="N88" s="99"/>
      <c r="O88" s="99"/>
      <c r="P88" s="99"/>
      <c r="Q88" s="23"/>
      <c r="R88" s="23"/>
      <c r="S88" s="100"/>
      <c r="T88" s="24">
        <f t="shared" si="30"/>
        <v>-0.5</v>
      </c>
      <c r="U88" s="25">
        <f t="shared" si="31"/>
        <v>-1</v>
      </c>
      <c r="V88" s="25" t="str">
        <f t="shared" si="32"/>
        <v/>
      </c>
      <c r="W88" s="25" t="str">
        <f t="shared" si="33"/>
        <v/>
      </c>
      <c r="X88" s="26"/>
    </row>
    <row r="89" hidden="1">
      <c r="A89" s="112"/>
      <c r="B89" s="112"/>
      <c r="C89" s="113"/>
      <c r="D89" s="114" t="s">
        <v>112</v>
      </c>
      <c r="E89" s="115">
        <f>600000+(36000*7)+350000+(10000*7)</f>
        <v>1272000</v>
      </c>
      <c r="F89" s="115">
        <f t="shared" ref="F89:F91" si="56">E89*1.51</f>
        <v>1920720</v>
      </c>
      <c r="G89" s="116">
        <f t="shared" si="52"/>
        <v>0.51</v>
      </c>
      <c r="H89" s="109">
        <f t="shared" si="53"/>
        <v>648720</v>
      </c>
      <c r="I89" s="109">
        <f>F89/7</f>
        <v>274388.5714</v>
      </c>
      <c r="J89" s="99"/>
      <c r="K89" s="99"/>
      <c r="L89" s="99"/>
      <c r="M89" s="99"/>
      <c r="N89" s="99"/>
      <c r="O89" s="99"/>
      <c r="P89" s="99"/>
      <c r="Q89" s="23"/>
      <c r="R89" s="23"/>
      <c r="S89" s="100"/>
      <c r="T89" s="24">
        <f t="shared" si="30"/>
        <v>-0.51</v>
      </c>
      <c r="U89" s="25">
        <f t="shared" si="31"/>
        <v>-1</v>
      </c>
      <c r="V89" s="25" t="str">
        <f t="shared" si="32"/>
        <v/>
      </c>
      <c r="W89" s="25" t="str">
        <f t="shared" si="33"/>
        <v/>
      </c>
      <c r="X89" s="26"/>
    </row>
    <row r="90" hidden="1">
      <c r="A90" s="112"/>
      <c r="B90" s="112"/>
      <c r="C90" s="113"/>
      <c r="D90" s="114" t="s">
        <v>113</v>
      </c>
      <c r="E90" s="115">
        <f>600000+(36000*8)+400000+(10000*8)</f>
        <v>1368000</v>
      </c>
      <c r="F90" s="115">
        <f t="shared" si="56"/>
        <v>2065680</v>
      </c>
      <c r="G90" s="116">
        <f t="shared" si="52"/>
        <v>0.51</v>
      </c>
      <c r="H90" s="109">
        <f t="shared" si="53"/>
        <v>697680</v>
      </c>
      <c r="I90" s="109">
        <f>F90/8</f>
        <v>258210</v>
      </c>
      <c r="J90" s="99"/>
      <c r="K90" s="99"/>
      <c r="L90" s="99"/>
      <c r="M90" s="99"/>
      <c r="N90" s="99"/>
      <c r="O90" s="99"/>
      <c r="P90" s="99"/>
      <c r="Q90" s="23"/>
      <c r="R90" s="23"/>
      <c r="S90" s="100"/>
      <c r="T90" s="24">
        <f t="shared" si="30"/>
        <v>-0.51</v>
      </c>
      <c r="U90" s="25">
        <f t="shared" si="31"/>
        <v>-1</v>
      </c>
      <c r="V90" s="25" t="str">
        <f t="shared" si="32"/>
        <v/>
      </c>
      <c r="W90" s="25" t="str">
        <f t="shared" si="33"/>
        <v/>
      </c>
      <c r="X90" s="26"/>
    </row>
    <row r="91" hidden="1">
      <c r="A91" s="112"/>
      <c r="B91" s="112"/>
      <c r="C91" s="113"/>
      <c r="D91" s="114" t="s">
        <v>114</v>
      </c>
      <c r="E91" s="115">
        <f>600000+(36000*9)+400000+(10000*9)</f>
        <v>1414000</v>
      </c>
      <c r="F91" s="115">
        <f t="shared" si="56"/>
        <v>2135140</v>
      </c>
      <c r="G91" s="116">
        <f t="shared" si="52"/>
        <v>0.51</v>
      </c>
      <c r="H91" s="109">
        <f t="shared" si="53"/>
        <v>721140</v>
      </c>
      <c r="I91" s="109">
        <f>F91/9</f>
        <v>237237.7778</v>
      </c>
      <c r="J91" s="99"/>
      <c r="K91" s="99"/>
      <c r="L91" s="99"/>
      <c r="M91" s="99"/>
      <c r="N91" s="99"/>
      <c r="O91" s="99"/>
      <c r="P91" s="99"/>
      <c r="Q91" s="23"/>
      <c r="R91" s="23"/>
      <c r="S91" s="100"/>
      <c r="T91" s="24">
        <f t="shared" si="30"/>
        <v>-0.51</v>
      </c>
      <c r="U91" s="25">
        <f t="shared" si="31"/>
        <v>-1</v>
      </c>
      <c r="V91" s="25" t="str">
        <f t="shared" si="32"/>
        <v/>
      </c>
      <c r="W91" s="25" t="str">
        <f t="shared" si="33"/>
        <v/>
      </c>
      <c r="X91" s="26"/>
    </row>
    <row r="92" hidden="1">
      <c r="A92" s="112"/>
      <c r="B92" s="112"/>
      <c r="C92" s="113"/>
      <c r="D92" s="114" t="s">
        <v>115</v>
      </c>
      <c r="E92" s="115">
        <f>600000+(36000*10)+400000+(10000*10)</f>
        <v>1460000</v>
      </c>
      <c r="F92" s="115">
        <f t="shared" ref="F92:F94" si="57">E92*1.75</f>
        <v>2555000</v>
      </c>
      <c r="G92" s="116">
        <f t="shared" si="52"/>
        <v>0.75</v>
      </c>
      <c r="H92" s="109">
        <f t="shared" si="53"/>
        <v>1095000</v>
      </c>
      <c r="I92" s="109">
        <f>F92/10</f>
        <v>255500</v>
      </c>
      <c r="J92" s="99"/>
      <c r="K92" s="99"/>
      <c r="L92" s="99"/>
      <c r="M92" s="99"/>
      <c r="N92" s="99"/>
      <c r="O92" s="99"/>
      <c r="P92" s="99"/>
      <c r="Q92" s="23"/>
      <c r="R92" s="23"/>
      <c r="S92" s="100"/>
      <c r="T92" s="24">
        <f t="shared" si="30"/>
        <v>-0.75</v>
      </c>
      <c r="U92" s="25">
        <f t="shared" si="31"/>
        <v>-1</v>
      </c>
      <c r="V92" s="25" t="str">
        <f t="shared" si="32"/>
        <v/>
      </c>
      <c r="W92" s="25" t="str">
        <f t="shared" si="33"/>
        <v/>
      </c>
      <c r="X92" s="26"/>
    </row>
    <row r="93" hidden="1">
      <c r="A93" s="112"/>
      <c r="B93" s="112"/>
      <c r="C93" s="113"/>
      <c r="D93" s="114" t="s">
        <v>116</v>
      </c>
      <c r="E93" s="115">
        <f>900000+(36000*11)+400000+(10000*11)</f>
        <v>1806000</v>
      </c>
      <c r="F93" s="115">
        <f t="shared" si="57"/>
        <v>3160500</v>
      </c>
      <c r="G93" s="116">
        <f t="shared" si="52"/>
        <v>0.75</v>
      </c>
      <c r="H93" s="109">
        <f t="shared" si="53"/>
        <v>1354500</v>
      </c>
      <c r="I93" s="109">
        <f>F93/11</f>
        <v>287318.1818</v>
      </c>
      <c r="J93" s="99"/>
      <c r="K93" s="99"/>
      <c r="L93" s="99"/>
      <c r="M93" s="99"/>
      <c r="N93" s="99"/>
      <c r="O93" s="99"/>
      <c r="P93" s="99"/>
      <c r="Q93" s="23"/>
      <c r="R93" s="23"/>
      <c r="S93" s="100"/>
      <c r="T93" s="24">
        <f t="shared" si="30"/>
        <v>-0.75</v>
      </c>
      <c r="U93" s="25">
        <f t="shared" si="31"/>
        <v>-1</v>
      </c>
      <c r="V93" s="25" t="str">
        <f t="shared" si="32"/>
        <v/>
      </c>
      <c r="W93" s="25" t="str">
        <f t="shared" si="33"/>
        <v/>
      </c>
      <c r="X93" s="26"/>
    </row>
    <row r="94" hidden="1">
      <c r="A94" s="112"/>
      <c r="B94" s="112"/>
      <c r="C94" s="113"/>
      <c r="D94" s="114" t="s">
        <v>117</v>
      </c>
      <c r="E94" s="115">
        <f>900000+(36000*12)+400000+(10000*12)</f>
        <v>1852000</v>
      </c>
      <c r="F94" s="115">
        <f t="shared" si="57"/>
        <v>3241000</v>
      </c>
      <c r="G94" s="116">
        <f t="shared" si="52"/>
        <v>0.75</v>
      </c>
      <c r="H94" s="109">
        <f t="shared" si="53"/>
        <v>1389000</v>
      </c>
      <c r="I94" s="109">
        <f>F94/12</f>
        <v>270083.3333</v>
      </c>
      <c r="J94" s="99"/>
      <c r="K94" s="99"/>
      <c r="L94" s="99"/>
      <c r="M94" s="99"/>
      <c r="N94" s="99"/>
      <c r="O94" s="99"/>
      <c r="P94" s="99"/>
      <c r="Q94" s="23"/>
      <c r="R94" s="23"/>
      <c r="S94" s="100"/>
      <c r="T94" s="24">
        <f t="shared" si="30"/>
        <v>-0.75</v>
      </c>
      <c r="U94" s="25">
        <f t="shared" si="31"/>
        <v>-1</v>
      </c>
      <c r="V94" s="25" t="str">
        <f t="shared" si="32"/>
        <v/>
      </c>
      <c r="W94" s="25" t="str">
        <f t="shared" si="33"/>
        <v/>
      </c>
      <c r="X94" s="26"/>
    </row>
    <row r="95" hidden="1">
      <c r="A95" s="28"/>
      <c r="B95" s="28"/>
      <c r="C95" s="107"/>
      <c r="D95" s="97"/>
      <c r="E95" s="105"/>
      <c r="F95" s="105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23"/>
      <c r="R95" s="23"/>
      <c r="S95" s="100"/>
      <c r="T95" s="24">
        <f t="shared" si="30"/>
        <v>0</v>
      </c>
      <c r="U95" s="25" t="str">
        <f t="shared" si="31"/>
        <v/>
      </c>
      <c r="V95" s="25" t="str">
        <f t="shared" si="32"/>
        <v/>
      </c>
      <c r="W95" s="25" t="str">
        <f t="shared" si="33"/>
        <v/>
      </c>
      <c r="X95" s="26"/>
    </row>
    <row r="96" hidden="1">
      <c r="A96" s="117"/>
      <c r="B96" s="117"/>
      <c r="C96" s="118" t="s">
        <v>118</v>
      </c>
      <c r="D96" s="103" t="s">
        <v>95</v>
      </c>
      <c r="E96" s="58">
        <f>200000*2</f>
        <v>400000</v>
      </c>
      <c r="F96" s="58">
        <f>1200000</f>
        <v>1200000</v>
      </c>
      <c r="G96" s="18">
        <f t="shared" ref="G96:G102" si="58">(F96-E96)/E96</f>
        <v>2</v>
      </c>
      <c r="H96" s="99"/>
      <c r="I96" s="99"/>
      <c r="J96" s="99"/>
      <c r="K96" s="99"/>
      <c r="L96" s="99"/>
      <c r="M96" s="99"/>
      <c r="N96" s="99"/>
      <c r="O96" s="99"/>
      <c r="P96" s="99"/>
      <c r="Q96" s="23"/>
      <c r="R96" s="23"/>
      <c r="S96" s="100"/>
      <c r="T96" s="24">
        <f t="shared" si="30"/>
        <v>-2</v>
      </c>
      <c r="U96" s="25">
        <f t="shared" si="31"/>
        <v>-1</v>
      </c>
      <c r="V96" s="25" t="str">
        <f t="shared" si="32"/>
        <v/>
      </c>
      <c r="W96" s="25" t="str">
        <f t="shared" si="33"/>
        <v/>
      </c>
      <c r="X96" s="26"/>
    </row>
    <row r="97" hidden="1">
      <c r="A97" s="117"/>
      <c r="B97" s="117"/>
      <c r="C97" s="104"/>
      <c r="D97" s="103" t="s">
        <v>81</v>
      </c>
      <c r="E97" s="58">
        <f>900000+(36000*12)+400000+(10000*12)</f>
        <v>1852000</v>
      </c>
      <c r="F97" s="58">
        <f t="shared" ref="F97:F98" si="59">E97*1.75</f>
        <v>3241000</v>
      </c>
      <c r="G97" s="18">
        <f t="shared" si="58"/>
        <v>0.75</v>
      </c>
      <c r="H97" s="99"/>
      <c r="I97" s="99"/>
      <c r="J97" s="99"/>
      <c r="K97" s="99"/>
      <c r="L97" s="99"/>
      <c r="M97" s="99"/>
      <c r="N97" s="99"/>
      <c r="O97" s="99"/>
      <c r="P97" s="99"/>
      <c r="Q97" s="23"/>
      <c r="R97" s="23"/>
      <c r="S97" s="100"/>
      <c r="T97" s="24">
        <f t="shared" si="30"/>
        <v>-0.75</v>
      </c>
      <c r="U97" s="25">
        <f t="shared" si="31"/>
        <v>-1</v>
      </c>
      <c r="V97" s="25" t="str">
        <f t="shared" si="32"/>
        <v/>
      </c>
      <c r="W97" s="25" t="str">
        <f t="shared" si="33"/>
        <v/>
      </c>
      <c r="X97" s="26"/>
    </row>
    <row r="98" hidden="1">
      <c r="A98" s="117"/>
      <c r="B98" s="117"/>
      <c r="C98" s="104"/>
      <c r="D98" s="103" t="s">
        <v>119</v>
      </c>
      <c r="E98" s="58">
        <f>10000*12+500000</f>
        <v>620000</v>
      </c>
      <c r="F98" s="58">
        <f t="shared" si="59"/>
        <v>1085000</v>
      </c>
      <c r="G98" s="18">
        <f t="shared" si="58"/>
        <v>0.75</v>
      </c>
      <c r="H98" s="99"/>
      <c r="I98" s="99"/>
      <c r="J98" s="99"/>
      <c r="K98" s="99"/>
      <c r="L98" s="99"/>
      <c r="M98" s="99"/>
      <c r="N98" s="99"/>
      <c r="O98" s="99"/>
      <c r="P98" s="99"/>
      <c r="Q98" s="23"/>
      <c r="R98" s="23"/>
      <c r="S98" s="100"/>
      <c r="T98" s="24">
        <f t="shared" si="30"/>
        <v>-0.75</v>
      </c>
      <c r="U98" s="25">
        <f t="shared" si="31"/>
        <v>-1</v>
      </c>
      <c r="V98" s="25" t="str">
        <f t="shared" si="32"/>
        <v/>
      </c>
      <c r="W98" s="25" t="str">
        <f t="shared" si="33"/>
        <v/>
      </c>
      <c r="X98" s="26"/>
    </row>
    <row r="99" hidden="1">
      <c r="A99" s="117"/>
      <c r="B99" s="117"/>
      <c r="C99" s="104"/>
      <c r="D99" s="103" t="s">
        <v>97</v>
      </c>
      <c r="E99" s="58">
        <f>110000*12</f>
        <v>1320000</v>
      </c>
      <c r="F99" s="58">
        <f>230000*12</f>
        <v>2760000</v>
      </c>
      <c r="G99" s="18">
        <f t="shared" si="58"/>
        <v>1.090909091</v>
      </c>
      <c r="H99" s="99"/>
      <c r="I99" s="99"/>
      <c r="J99" s="99"/>
      <c r="K99" s="99"/>
      <c r="L99" s="99"/>
      <c r="M99" s="99"/>
      <c r="N99" s="99"/>
      <c r="O99" s="99"/>
      <c r="P99" s="99"/>
      <c r="Q99" s="23"/>
      <c r="R99" s="23"/>
      <c r="S99" s="100"/>
      <c r="T99" s="24">
        <f t="shared" si="30"/>
        <v>-1.090909091</v>
      </c>
      <c r="U99" s="25">
        <f t="shared" si="31"/>
        <v>-1</v>
      </c>
      <c r="V99" s="25" t="str">
        <f t="shared" si="32"/>
        <v/>
      </c>
      <c r="W99" s="25" t="str">
        <f t="shared" si="33"/>
        <v/>
      </c>
      <c r="X99" s="26"/>
    </row>
    <row r="100" hidden="1">
      <c r="A100" s="117"/>
      <c r="B100" s="117"/>
      <c r="C100" s="104"/>
      <c r="D100" s="103" t="s">
        <v>102</v>
      </c>
      <c r="E100" s="58">
        <v>3415280.0</v>
      </c>
      <c r="F100" s="58">
        <f t="shared" ref="F100:F101" si="60">E100*1.51</f>
        <v>5157072.8</v>
      </c>
      <c r="G100" s="18">
        <f t="shared" si="58"/>
        <v>0.51</v>
      </c>
      <c r="H100" s="99"/>
      <c r="I100" s="99"/>
      <c r="J100" s="99"/>
      <c r="K100" s="99"/>
      <c r="L100" s="99"/>
      <c r="M100" s="99"/>
      <c r="N100" s="99"/>
      <c r="O100" s="99"/>
      <c r="P100" s="99"/>
      <c r="Q100" s="23"/>
      <c r="R100" s="23"/>
      <c r="S100" s="100"/>
      <c r="T100" s="24">
        <f t="shared" si="30"/>
        <v>-0.51</v>
      </c>
      <c r="U100" s="25">
        <f t="shared" si="31"/>
        <v>-1</v>
      </c>
      <c r="V100" s="25" t="str">
        <f t="shared" si="32"/>
        <v/>
      </c>
      <c r="W100" s="25" t="str">
        <f t="shared" si="33"/>
        <v/>
      </c>
      <c r="X100" s="26"/>
    </row>
    <row r="101" hidden="1">
      <c r="A101" s="117"/>
      <c r="B101" s="117"/>
      <c r="C101" s="104"/>
      <c r="D101" s="103" t="s">
        <v>103</v>
      </c>
      <c r="E101" s="58">
        <f>50000*12</f>
        <v>600000</v>
      </c>
      <c r="F101" s="58">
        <f t="shared" si="60"/>
        <v>906000</v>
      </c>
      <c r="G101" s="18">
        <f t="shared" si="58"/>
        <v>0.51</v>
      </c>
      <c r="H101" s="99"/>
      <c r="I101" s="99"/>
      <c r="J101" s="99"/>
      <c r="K101" s="99"/>
      <c r="L101" s="99"/>
      <c r="M101" s="99"/>
      <c r="N101" s="99"/>
      <c r="O101" s="99"/>
      <c r="P101" s="99"/>
      <c r="Q101" s="23"/>
      <c r="R101" s="23"/>
      <c r="S101" s="100"/>
      <c r="T101" s="24">
        <f t="shared" si="30"/>
        <v>-0.51</v>
      </c>
      <c r="U101" s="25">
        <f t="shared" si="31"/>
        <v>-1</v>
      </c>
      <c r="V101" s="25" t="str">
        <f t="shared" si="32"/>
        <v/>
      </c>
      <c r="W101" s="25" t="str">
        <f t="shared" si="33"/>
        <v/>
      </c>
      <c r="X101" s="26"/>
    </row>
    <row r="102" hidden="1">
      <c r="A102" s="117"/>
      <c r="B102" s="117"/>
      <c r="C102" s="106"/>
      <c r="D102" s="103" t="s">
        <v>101</v>
      </c>
      <c r="E102" s="58">
        <f t="shared" ref="E102:F102" si="61">SUM(E96:E101)</f>
        <v>8207280</v>
      </c>
      <c r="F102" s="58">
        <f t="shared" si="61"/>
        <v>14349072.8</v>
      </c>
      <c r="G102" s="18">
        <f t="shared" si="58"/>
        <v>0.7483347467</v>
      </c>
      <c r="H102" s="99"/>
      <c r="I102" s="99"/>
      <c r="J102" s="99"/>
      <c r="K102" s="99"/>
      <c r="L102" s="99"/>
      <c r="M102" s="99"/>
      <c r="N102" s="99"/>
      <c r="O102" s="99"/>
      <c r="P102" s="99"/>
      <c r="Q102" s="23"/>
      <c r="R102" s="23"/>
      <c r="S102" s="100"/>
      <c r="T102" s="24">
        <f t="shared" si="30"/>
        <v>-0.7483347467</v>
      </c>
      <c r="U102" s="25">
        <f t="shared" si="31"/>
        <v>-1</v>
      </c>
      <c r="V102" s="25" t="str">
        <f t="shared" si="32"/>
        <v/>
      </c>
      <c r="W102" s="25" t="str">
        <f t="shared" si="33"/>
        <v/>
      </c>
      <c r="X102" s="26"/>
    </row>
    <row r="103" hidden="1">
      <c r="A103" s="28"/>
      <c r="B103" s="28"/>
      <c r="C103" s="107"/>
      <c r="D103" s="97"/>
      <c r="E103" s="105"/>
      <c r="F103" s="105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23"/>
      <c r="R103" s="23"/>
      <c r="S103" s="100"/>
      <c r="T103" s="24">
        <f t="shared" si="30"/>
        <v>0</v>
      </c>
      <c r="U103" s="25" t="str">
        <f t="shared" si="31"/>
        <v/>
      </c>
      <c r="V103" s="25" t="str">
        <f t="shared" si="32"/>
        <v/>
      </c>
      <c r="W103" s="25" t="str">
        <f t="shared" si="33"/>
        <v/>
      </c>
      <c r="X103" s="26"/>
    </row>
    <row r="104" hidden="1">
      <c r="A104" s="117"/>
      <c r="B104" s="117"/>
      <c r="C104" s="118" t="s">
        <v>50</v>
      </c>
      <c r="D104" s="103" t="s">
        <v>95</v>
      </c>
      <c r="E104" s="58">
        <f>55000*2*2</f>
        <v>220000</v>
      </c>
      <c r="F104" s="58">
        <f>200000*2*2</f>
        <v>800000</v>
      </c>
      <c r="G104" s="18">
        <f t="shared" ref="G104:G113" si="62">(F104-E104)/E104</f>
        <v>2.636363636</v>
      </c>
      <c r="H104" s="99"/>
      <c r="I104" s="99"/>
      <c r="J104" s="99"/>
      <c r="K104" s="99"/>
      <c r="L104" s="99"/>
      <c r="M104" s="99"/>
      <c r="N104" s="99"/>
      <c r="O104" s="99"/>
      <c r="P104" s="99"/>
      <c r="Q104" s="23"/>
      <c r="R104" s="23"/>
      <c r="S104" s="100"/>
      <c r="T104" s="24">
        <f t="shared" si="30"/>
        <v>-2.636363636</v>
      </c>
      <c r="U104" s="25">
        <f t="shared" si="31"/>
        <v>-1</v>
      </c>
      <c r="V104" s="25" t="str">
        <f t="shared" si="32"/>
        <v/>
      </c>
      <c r="W104" s="25" t="str">
        <f t="shared" si="33"/>
        <v/>
      </c>
      <c r="X104" s="26"/>
    </row>
    <row r="105" hidden="1">
      <c r="A105" s="117"/>
      <c r="B105" s="117"/>
      <c r="C105" s="104"/>
      <c r="D105" s="103" t="s">
        <v>107</v>
      </c>
      <c r="E105" s="58">
        <f>300000+(36000*2)+120000+(10000*2)</f>
        <v>512000</v>
      </c>
      <c r="F105" s="58">
        <f>E105*1.5</f>
        <v>768000</v>
      </c>
      <c r="G105" s="18">
        <f t="shared" si="62"/>
        <v>0.5</v>
      </c>
      <c r="H105" s="99"/>
      <c r="I105" s="99"/>
      <c r="J105" s="99"/>
      <c r="K105" s="99"/>
      <c r="L105" s="99"/>
      <c r="M105" s="99"/>
      <c r="N105" s="99"/>
      <c r="O105" s="99"/>
      <c r="P105" s="99"/>
      <c r="Q105" s="23"/>
      <c r="R105" s="23"/>
      <c r="S105" s="100"/>
      <c r="T105" s="24">
        <f t="shared" si="30"/>
        <v>-0.5</v>
      </c>
      <c r="U105" s="25">
        <f t="shared" si="31"/>
        <v>-1</v>
      </c>
      <c r="V105" s="25" t="str">
        <f t="shared" si="32"/>
        <v/>
      </c>
      <c r="W105" s="25" t="str">
        <f t="shared" si="33"/>
        <v/>
      </c>
      <c r="X105" s="26"/>
    </row>
    <row r="106" hidden="1">
      <c r="A106" s="117"/>
      <c r="B106" s="117"/>
      <c r="C106" s="104"/>
      <c r="D106" s="103" t="s">
        <v>120</v>
      </c>
      <c r="E106" s="58">
        <f>464000*2</f>
        <v>928000</v>
      </c>
      <c r="F106" s="58">
        <f>615000*2</f>
        <v>1230000</v>
      </c>
      <c r="G106" s="18">
        <f t="shared" si="62"/>
        <v>0.3254310345</v>
      </c>
      <c r="H106" s="99"/>
      <c r="I106" s="99"/>
      <c r="J106" s="99"/>
      <c r="K106" s="99"/>
      <c r="L106" s="99"/>
      <c r="M106" s="99"/>
      <c r="N106" s="99"/>
      <c r="O106" s="99"/>
      <c r="P106" s="99"/>
      <c r="Q106" s="23"/>
      <c r="R106" s="23"/>
      <c r="S106" s="100"/>
      <c r="T106" s="24">
        <f t="shared" si="30"/>
        <v>-0.3254310345</v>
      </c>
      <c r="U106" s="25">
        <f t="shared" si="31"/>
        <v>-1</v>
      </c>
      <c r="V106" s="25" t="str">
        <f t="shared" si="32"/>
        <v/>
      </c>
      <c r="W106" s="25" t="str">
        <f t="shared" si="33"/>
        <v/>
      </c>
      <c r="X106" s="110"/>
    </row>
    <row r="107" hidden="1">
      <c r="A107" s="117"/>
      <c r="B107" s="117"/>
      <c r="C107" s="104"/>
      <c r="D107" s="119" t="s">
        <v>121</v>
      </c>
      <c r="E107" s="120">
        <v>50000.0</v>
      </c>
      <c r="F107" s="120">
        <v>150000.0</v>
      </c>
      <c r="G107" s="18">
        <f t="shared" si="62"/>
        <v>2</v>
      </c>
      <c r="H107" s="99"/>
      <c r="I107" s="99"/>
      <c r="J107" s="99"/>
      <c r="K107" s="99"/>
      <c r="L107" s="99"/>
      <c r="M107" s="99"/>
      <c r="N107" s="99"/>
      <c r="O107" s="99"/>
      <c r="P107" s="99"/>
      <c r="Q107" s="23"/>
      <c r="R107" s="23"/>
      <c r="S107" s="100"/>
      <c r="T107" s="24">
        <f t="shared" si="30"/>
        <v>-2</v>
      </c>
      <c r="U107" s="25">
        <f t="shared" si="31"/>
        <v>-1</v>
      </c>
      <c r="V107" s="25" t="str">
        <f t="shared" si="32"/>
        <v/>
      </c>
      <c r="W107" s="25" t="str">
        <f t="shared" si="33"/>
        <v/>
      </c>
      <c r="X107" s="110"/>
    </row>
    <row r="108" hidden="1">
      <c r="A108" s="117"/>
      <c r="B108" s="117"/>
      <c r="C108" s="104"/>
      <c r="D108" s="119" t="s">
        <v>122</v>
      </c>
      <c r="E108" s="120">
        <v>600000.0</v>
      </c>
      <c r="F108" s="120">
        <f>E108*1.51</f>
        <v>906000</v>
      </c>
      <c r="G108" s="18">
        <f t="shared" si="62"/>
        <v>0.51</v>
      </c>
      <c r="H108" s="99"/>
      <c r="I108" s="99"/>
      <c r="J108" s="99"/>
      <c r="K108" s="99"/>
      <c r="L108" s="99"/>
      <c r="M108" s="99"/>
      <c r="N108" s="99"/>
      <c r="O108" s="99"/>
      <c r="P108" s="99"/>
      <c r="Q108" s="23"/>
      <c r="R108" s="23"/>
      <c r="S108" s="100"/>
      <c r="T108" s="24">
        <f t="shared" si="30"/>
        <v>-0.51</v>
      </c>
      <c r="U108" s="25">
        <f t="shared" si="31"/>
        <v>-1</v>
      </c>
      <c r="V108" s="25" t="str">
        <f t="shared" si="32"/>
        <v/>
      </c>
      <c r="W108" s="25" t="str">
        <f t="shared" si="33"/>
        <v/>
      </c>
      <c r="X108" s="110"/>
    </row>
    <row r="109" hidden="1">
      <c r="A109" s="117"/>
      <c r="B109" s="117"/>
      <c r="C109" s="104"/>
      <c r="D109" s="103" t="s">
        <v>123</v>
      </c>
      <c r="E109" s="58">
        <f>2140000</f>
        <v>2140000</v>
      </c>
      <c r="F109" s="58">
        <v>4000000.0</v>
      </c>
      <c r="G109" s="18">
        <f t="shared" si="62"/>
        <v>0.8691588785</v>
      </c>
      <c r="H109" s="99"/>
      <c r="I109" s="99"/>
      <c r="J109" s="99"/>
      <c r="K109" s="99"/>
      <c r="L109" s="99"/>
      <c r="M109" s="99"/>
      <c r="N109" s="99"/>
      <c r="O109" s="99"/>
      <c r="P109" s="99"/>
      <c r="Q109" s="23"/>
      <c r="R109" s="23"/>
      <c r="S109" s="100"/>
      <c r="T109" s="24">
        <f t="shared" si="30"/>
        <v>-0.8691588785</v>
      </c>
      <c r="U109" s="25">
        <f t="shared" si="31"/>
        <v>-1</v>
      </c>
      <c r="V109" s="25" t="str">
        <f t="shared" si="32"/>
        <v/>
      </c>
      <c r="W109" s="25" t="str">
        <f t="shared" si="33"/>
        <v/>
      </c>
      <c r="X109" s="110"/>
    </row>
    <row r="110" hidden="1">
      <c r="A110" s="117"/>
      <c r="B110" s="117"/>
      <c r="C110" s="104"/>
      <c r="D110" s="103" t="s">
        <v>124</v>
      </c>
      <c r="E110" s="58">
        <f>(175000*2)+150000</f>
        <v>500000</v>
      </c>
      <c r="F110" s="58">
        <f>(320000*2)+300000</f>
        <v>940000</v>
      </c>
      <c r="G110" s="18">
        <f t="shared" si="62"/>
        <v>0.88</v>
      </c>
      <c r="H110" s="99"/>
      <c r="I110" s="99"/>
      <c r="J110" s="99"/>
      <c r="K110" s="99"/>
      <c r="L110" s="99"/>
      <c r="M110" s="99"/>
      <c r="N110" s="99"/>
      <c r="O110" s="99"/>
      <c r="P110" s="99"/>
      <c r="Q110" s="23"/>
      <c r="R110" s="23"/>
      <c r="S110" s="100"/>
      <c r="T110" s="24">
        <f t="shared" si="30"/>
        <v>-0.88</v>
      </c>
      <c r="U110" s="25">
        <f t="shared" si="31"/>
        <v>-1</v>
      </c>
      <c r="V110" s="25" t="str">
        <f t="shared" si="32"/>
        <v/>
      </c>
      <c r="W110" s="25" t="str">
        <f t="shared" si="33"/>
        <v/>
      </c>
      <c r="X110" s="110"/>
    </row>
    <row r="111" hidden="1">
      <c r="A111" s="117"/>
      <c r="B111" s="117"/>
      <c r="C111" s="104"/>
      <c r="D111" s="103" t="s">
        <v>125</v>
      </c>
      <c r="E111" s="58">
        <f>40000*2</f>
        <v>80000</v>
      </c>
      <c r="F111" s="58">
        <f>170000</f>
        <v>170000</v>
      </c>
      <c r="G111" s="18">
        <f t="shared" si="62"/>
        <v>1.125</v>
      </c>
      <c r="H111" s="99"/>
      <c r="I111" s="99"/>
      <c r="J111" s="99"/>
      <c r="K111" s="99"/>
      <c r="L111" s="99"/>
      <c r="M111" s="99"/>
      <c r="N111" s="99"/>
      <c r="O111" s="99"/>
      <c r="P111" s="99"/>
      <c r="Q111" s="23"/>
      <c r="R111" s="23"/>
      <c r="S111" s="100"/>
      <c r="T111" s="24">
        <f t="shared" si="30"/>
        <v>-1.125</v>
      </c>
      <c r="U111" s="25">
        <f t="shared" si="31"/>
        <v>-1</v>
      </c>
      <c r="V111" s="25" t="str">
        <f t="shared" si="32"/>
        <v/>
      </c>
      <c r="W111" s="25" t="str">
        <f t="shared" si="33"/>
        <v/>
      </c>
      <c r="X111" s="110"/>
    </row>
    <row r="112" hidden="1">
      <c r="A112" s="117"/>
      <c r="B112" s="117"/>
      <c r="C112" s="106"/>
      <c r="D112" s="103" t="s">
        <v>126</v>
      </c>
      <c r="E112" s="58">
        <f>594000</f>
        <v>594000</v>
      </c>
      <c r="F112" s="58">
        <v>900000.0</v>
      </c>
      <c r="G112" s="18">
        <f t="shared" si="62"/>
        <v>0.5151515152</v>
      </c>
      <c r="H112" s="99"/>
      <c r="I112" s="99"/>
      <c r="J112" s="99"/>
      <c r="K112" s="99"/>
      <c r="L112" s="99"/>
      <c r="M112" s="99"/>
      <c r="N112" s="99"/>
      <c r="O112" s="99"/>
      <c r="P112" s="99"/>
      <c r="Q112" s="23"/>
      <c r="R112" s="23"/>
      <c r="S112" s="100"/>
      <c r="T112" s="24">
        <f t="shared" si="30"/>
        <v>-0.5151515152</v>
      </c>
      <c r="U112" s="25">
        <f t="shared" si="31"/>
        <v>-1</v>
      </c>
      <c r="V112" s="25" t="str">
        <f t="shared" si="32"/>
        <v/>
      </c>
      <c r="W112" s="25" t="str">
        <f t="shared" si="33"/>
        <v/>
      </c>
      <c r="X112" s="110"/>
    </row>
    <row r="113" hidden="1">
      <c r="A113" s="121"/>
      <c r="B113" s="121"/>
      <c r="C113" s="122"/>
      <c r="D113" s="123" t="s">
        <v>89</v>
      </c>
      <c r="E113" s="124">
        <f t="shared" ref="E113:F113" si="63">SUM(E104:E112)</f>
        <v>5624000</v>
      </c>
      <c r="F113" s="124">
        <f t="shared" si="63"/>
        <v>9864000</v>
      </c>
      <c r="G113" s="125">
        <f t="shared" si="62"/>
        <v>0.7539118065</v>
      </c>
      <c r="H113" s="126"/>
      <c r="I113" s="126"/>
      <c r="J113" s="126"/>
      <c r="K113" s="126"/>
      <c r="L113" s="126"/>
      <c r="M113" s="126"/>
      <c r="N113" s="126"/>
      <c r="O113" s="126"/>
      <c r="P113" s="126"/>
      <c r="Q113" s="127"/>
      <c r="R113" s="127"/>
      <c r="S113" s="128"/>
      <c r="T113" s="24">
        <f t="shared" si="30"/>
        <v>-0.7539118065</v>
      </c>
      <c r="U113" s="25">
        <f t="shared" si="31"/>
        <v>-1</v>
      </c>
      <c r="V113" s="25" t="str">
        <f t="shared" si="32"/>
        <v/>
      </c>
      <c r="W113" s="25" t="str">
        <f t="shared" si="33"/>
        <v/>
      </c>
      <c r="X113" s="129"/>
    </row>
    <row r="114" hidden="1">
      <c r="A114" s="28"/>
      <c r="B114" s="28"/>
      <c r="C114" s="107"/>
      <c r="D114" s="97"/>
      <c r="E114" s="105" t="str">
        <f>#REF!-(#REF!+#REF!)-(#REF!*#REF!)-(#REF!*#REF!)</f>
        <v>#REF!</v>
      </c>
      <c r="F114" s="105" t="str">
        <f>IFERROR((#REF!-#REF!)/#REF!,"")</f>
        <v/>
      </c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23"/>
      <c r="R114" s="23"/>
      <c r="S114" s="100"/>
      <c r="T114" s="24">
        <f t="shared" si="30"/>
        <v>0</v>
      </c>
      <c r="U114" s="25" t="str">
        <f t="shared" si="31"/>
        <v/>
      </c>
      <c r="V114" s="25" t="str">
        <f t="shared" si="32"/>
        <v/>
      </c>
      <c r="W114" s="25" t="str">
        <f t="shared" si="33"/>
        <v/>
      </c>
      <c r="X114" s="110"/>
    </row>
    <row r="115" hidden="1">
      <c r="A115" s="117"/>
      <c r="B115" s="117"/>
      <c r="C115" s="118" t="s">
        <v>127</v>
      </c>
      <c r="D115" s="103" t="s">
        <v>95</v>
      </c>
      <c r="E115" s="58">
        <f>200000*2</f>
        <v>400000</v>
      </c>
      <c r="F115" s="58">
        <f>1200000</f>
        <v>1200000</v>
      </c>
      <c r="G115" s="18">
        <f t="shared" ref="G115:G117" si="64">(F115-E115)/E115</f>
        <v>2</v>
      </c>
      <c r="H115" s="99"/>
      <c r="I115" s="99"/>
      <c r="J115" s="99"/>
      <c r="K115" s="99"/>
      <c r="L115" s="99"/>
      <c r="M115" s="99"/>
      <c r="N115" s="99"/>
      <c r="O115" s="99"/>
      <c r="P115" s="99"/>
      <c r="Q115" s="23"/>
      <c r="R115" s="23"/>
      <c r="S115" s="100"/>
      <c r="T115" s="24">
        <f t="shared" si="30"/>
        <v>-2</v>
      </c>
      <c r="U115" s="25">
        <f t="shared" si="31"/>
        <v>-1</v>
      </c>
      <c r="V115" s="25" t="str">
        <f t="shared" si="32"/>
        <v/>
      </c>
      <c r="W115" s="25" t="str">
        <f t="shared" si="33"/>
        <v/>
      </c>
      <c r="X115" s="110"/>
    </row>
    <row r="116" hidden="1">
      <c r="A116" s="117"/>
      <c r="B116" s="117"/>
      <c r="C116" s="104"/>
      <c r="D116" s="103" t="s">
        <v>128</v>
      </c>
      <c r="E116" s="58">
        <f>900000+(36000*12)+400000+(10000*12)</f>
        <v>1852000</v>
      </c>
      <c r="F116" s="58">
        <f t="shared" ref="F116:F117" si="65">E116*1.75</f>
        <v>3241000</v>
      </c>
      <c r="G116" s="18">
        <f t="shared" si="64"/>
        <v>0.75</v>
      </c>
      <c r="H116" s="99"/>
      <c r="I116" s="99"/>
      <c r="J116" s="99"/>
      <c r="K116" s="99"/>
      <c r="L116" s="99"/>
      <c r="M116" s="99"/>
      <c r="N116" s="99"/>
      <c r="O116" s="99"/>
      <c r="P116" s="99"/>
      <c r="Q116" s="23"/>
      <c r="R116" s="23"/>
      <c r="S116" s="100"/>
      <c r="T116" s="24">
        <f t="shared" si="30"/>
        <v>-0.75</v>
      </c>
      <c r="U116" s="25">
        <f t="shared" si="31"/>
        <v>-1</v>
      </c>
      <c r="V116" s="25" t="str">
        <f t="shared" si="32"/>
        <v/>
      </c>
      <c r="W116" s="25" t="str">
        <f t="shared" si="33"/>
        <v/>
      </c>
      <c r="X116" s="110"/>
    </row>
    <row r="117" hidden="1">
      <c r="A117" s="117"/>
      <c r="B117" s="117"/>
      <c r="C117" s="104"/>
      <c r="D117" s="103" t="s">
        <v>129</v>
      </c>
      <c r="E117" s="58">
        <f>10000*12+500000</f>
        <v>620000</v>
      </c>
      <c r="F117" s="58">
        <f t="shared" si="65"/>
        <v>1085000</v>
      </c>
      <c r="G117" s="18">
        <f t="shared" si="64"/>
        <v>0.75</v>
      </c>
      <c r="H117" s="99"/>
      <c r="I117" s="99"/>
      <c r="J117" s="99"/>
      <c r="K117" s="99"/>
      <c r="L117" s="99"/>
      <c r="M117" s="99"/>
      <c r="N117" s="99"/>
      <c r="O117" s="99"/>
      <c r="P117" s="99"/>
      <c r="Q117" s="23"/>
      <c r="R117" s="23"/>
      <c r="S117" s="100"/>
      <c r="T117" s="24">
        <f t="shared" si="30"/>
        <v>-0.75</v>
      </c>
      <c r="U117" s="25">
        <f t="shared" si="31"/>
        <v>-1</v>
      </c>
      <c r="V117" s="25" t="str">
        <f t="shared" si="32"/>
        <v/>
      </c>
      <c r="W117" s="25" t="str">
        <f t="shared" si="33"/>
        <v/>
      </c>
      <c r="X117" s="110"/>
    </row>
    <row r="118" hidden="1">
      <c r="A118" s="117"/>
      <c r="B118" s="117"/>
      <c r="C118" s="104"/>
      <c r="D118" s="103" t="s">
        <v>97</v>
      </c>
      <c r="E118" s="105"/>
      <c r="F118" s="105"/>
      <c r="G118" s="108"/>
      <c r="H118" s="99"/>
      <c r="I118" s="99"/>
      <c r="J118" s="99"/>
      <c r="K118" s="99"/>
      <c r="L118" s="99"/>
      <c r="M118" s="99"/>
      <c r="N118" s="99"/>
      <c r="O118" s="99"/>
      <c r="P118" s="99"/>
      <c r="Q118" s="23"/>
      <c r="R118" s="23"/>
      <c r="S118" s="100"/>
      <c r="T118" s="24">
        <f t="shared" si="30"/>
        <v>0</v>
      </c>
      <c r="U118" s="25" t="str">
        <f t="shared" si="31"/>
        <v/>
      </c>
      <c r="V118" s="25" t="str">
        <f t="shared" si="32"/>
        <v/>
      </c>
      <c r="W118" s="25" t="str">
        <f t="shared" si="33"/>
        <v/>
      </c>
      <c r="X118" s="110"/>
    </row>
    <row r="119" hidden="1">
      <c r="A119" s="117"/>
      <c r="B119" s="117"/>
      <c r="C119" s="104"/>
      <c r="D119" s="103" t="s">
        <v>102</v>
      </c>
      <c r="E119" s="58">
        <v>4140000.0</v>
      </c>
      <c r="F119" s="58">
        <f t="shared" ref="F119:F120" si="66">E119*1.51</f>
        <v>6251400</v>
      </c>
      <c r="G119" s="18">
        <f t="shared" ref="G119:G121" si="67">(F119-E119)/E119</f>
        <v>0.51</v>
      </c>
      <c r="H119" s="99"/>
      <c r="I119" s="99"/>
      <c r="J119" s="99"/>
      <c r="K119" s="99"/>
      <c r="L119" s="99"/>
      <c r="M119" s="99"/>
      <c r="N119" s="99"/>
      <c r="O119" s="99"/>
      <c r="P119" s="99"/>
      <c r="Q119" s="23"/>
      <c r="R119" s="23"/>
      <c r="S119" s="100"/>
      <c r="T119" s="24">
        <f t="shared" si="30"/>
        <v>-0.51</v>
      </c>
      <c r="U119" s="25">
        <f t="shared" si="31"/>
        <v>-1</v>
      </c>
      <c r="V119" s="25" t="str">
        <f t="shared" si="32"/>
        <v/>
      </c>
      <c r="W119" s="25" t="str">
        <f t="shared" si="33"/>
        <v/>
      </c>
      <c r="X119" s="110"/>
    </row>
    <row r="120" hidden="1">
      <c r="A120" s="117"/>
      <c r="B120" s="117"/>
      <c r="C120" s="104"/>
      <c r="D120" s="103" t="s">
        <v>130</v>
      </c>
      <c r="E120" s="58">
        <f>50000*12</f>
        <v>600000</v>
      </c>
      <c r="F120" s="58">
        <f t="shared" si="66"/>
        <v>906000</v>
      </c>
      <c r="G120" s="18">
        <f t="shared" si="67"/>
        <v>0.51</v>
      </c>
      <c r="H120" s="99"/>
      <c r="I120" s="99"/>
      <c r="J120" s="99"/>
      <c r="K120" s="99"/>
      <c r="L120" s="99"/>
      <c r="M120" s="99"/>
      <c r="N120" s="99"/>
      <c r="O120" s="99"/>
      <c r="P120" s="99"/>
      <c r="Q120" s="23"/>
      <c r="R120" s="23"/>
      <c r="S120" s="100"/>
      <c r="T120" s="24">
        <f t="shared" si="30"/>
        <v>-0.51</v>
      </c>
      <c r="U120" s="25">
        <f t="shared" si="31"/>
        <v>-1</v>
      </c>
      <c r="V120" s="25" t="str">
        <f t="shared" si="32"/>
        <v/>
      </c>
      <c r="W120" s="25" t="str">
        <f t="shared" si="33"/>
        <v/>
      </c>
      <c r="X120" s="110"/>
    </row>
    <row r="121" hidden="1">
      <c r="A121" s="117"/>
      <c r="B121" s="117"/>
      <c r="C121" s="106"/>
      <c r="D121" s="130" t="s">
        <v>101</v>
      </c>
      <c r="E121" s="131">
        <f t="shared" ref="E121:F121" si="68">SUM(E115:E120)</f>
        <v>7612000</v>
      </c>
      <c r="F121" s="131">
        <f t="shared" si="68"/>
        <v>12683400</v>
      </c>
      <c r="G121" s="132">
        <f t="shared" si="67"/>
        <v>0.6662375197</v>
      </c>
      <c r="H121" s="133"/>
      <c r="I121" s="133"/>
      <c r="J121" s="133"/>
      <c r="K121" s="133"/>
      <c r="L121" s="133"/>
      <c r="M121" s="133"/>
      <c r="N121" s="133"/>
      <c r="O121" s="133"/>
      <c r="P121" s="133"/>
      <c r="Q121" s="134"/>
      <c r="R121" s="134"/>
      <c r="S121" s="135"/>
      <c r="T121" s="24">
        <f t="shared" si="30"/>
        <v>-0.6662375197</v>
      </c>
      <c r="U121" s="25">
        <f t="shared" si="31"/>
        <v>-1</v>
      </c>
      <c r="V121" s="25" t="str">
        <f t="shared" si="32"/>
        <v/>
      </c>
      <c r="W121" s="25" t="str">
        <f t="shared" si="33"/>
        <v/>
      </c>
      <c r="X121" s="136"/>
    </row>
    <row r="122" hidden="1">
      <c r="A122" s="28"/>
      <c r="B122" s="28"/>
      <c r="C122" s="107"/>
      <c r="D122" s="97"/>
      <c r="E122" s="105"/>
      <c r="F122" s="105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23"/>
      <c r="R122" s="23"/>
      <c r="S122" s="100"/>
      <c r="T122" s="24"/>
      <c r="U122" s="25"/>
      <c r="V122" s="25"/>
      <c r="W122" s="25"/>
      <c r="X122" s="110"/>
    </row>
    <row r="123" hidden="1">
      <c r="A123" s="117"/>
      <c r="B123" s="117"/>
      <c r="C123" s="137" t="s">
        <v>131</v>
      </c>
      <c r="D123" s="103"/>
      <c r="E123" s="58"/>
      <c r="F123" s="58"/>
      <c r="G123" s="18"/>
      <c r="H123" s="99"/>
      <c r="I123" s="99"/>
      <c r="J123" s="99"/>
      <c r="K123" s="99"/>
      <c r="L123" s="99"/>
      <c r="M123" s="99"/>
      <c r="N123" s="99"/>
      <c r="O123" s="99"/>
      <c r="P123" s="99"/>
      <c r="Q123" s="23"/>
      <c r="R123" s="23"/>
      <c r="S123" s="100"/>
      <c r="T123" s="24">
        <f t="shared" ref="T123:T161" si="69">P123-(G123+S123)-(P123*R123)</f>
        <v>0</v>
      </c>
      <c r="U123" s="25" t="str">
        <f t="shared" ref="U123:U161" si="70">IFERROR((P123-G123)/G123,"")</f>
        <v/>
      </c>
      <c r="V123" s="25" t="str">
        <f t="shared" ref="V123:V161" si="71">IFERROR((P123-G123)/P123,"")</f>
        <v/>
      </c>
      <c r="W123" s="25" t="str">
        <f t="shared" ref="W123:W161" si="72">IFERROR(T123/P123,"")</f>
        <v/>
      </c>
      <c r="X123" s="110"/>
    </row>
    <row r="124" hidden="1">
      <c r="A124" s="117"/>
      <c r="B124" s="117"/>
      <c r="C124" s="104"/>
      <c r="D124" s="138" t="s">
        <v>132</v>
      </c>
      <c r="E124" s="58">
        <f>480000*2+(36000*12)+400000+(10000*12)</f>
        <v>1912000</v>
      </c>
      <c r="F124" s="58">
        <f>E124*1.75</f>
        <v>3346000</v>
      </c>
      <c r="G124" s="18">
        <f>(F124-E124)/E124</f>
        <v>0.75</v>
      </c>
      <c r="H124" s="99"/>
      <c r="I124" s="99"/>
      <c r="J124" s="99"/>
      <c r="K124" s="99"/>
      <c r="L124" s="99"/>
      <c r="M124" s="99"/>
      <c r="N124" s="99"/>
      <c r="O124" s="99"/>
      <c r="P124" s="99"/>
      <c r="Q124" s="23"/>
      <c r="R124" s="23"/>
      <c r="S124" s="100"/>
      <c r="T124" s="24">
        <f t="shared" si="69"/>
        <v>-0.75</v>
      </c>
      <c r="U124" s="25">
        <f t="shared" si="70"/>
        <v>-1</v>
      </c>
      <c r="V124" s="25" t="str">
        <f t="shared" si="71"/>
        <v/>
      </c>
      <c r="W124" s="25" t="str">
        <f t="shared" si="72"/>
        <v/>
      </c>
      <c r="X124" s="110"/>
    </row>
    <row r="125" hidden="1">
      <c r="A125" s="117"/>
      <c r="B125" s="117"/>
      <c r="C125" s="104"/>
      <c r="D125" s="103"/>
      <c r="E125" s="58"/>
      <c r="F125" s="58"/>
      <c r="G125" s="18"/>
      <c r="H125" s="99"/>
      <c r="I125" s="99"/>
      <c r="J125" s="99"/>
      <c r="K125" s="99"/>
      <c r="L125" s="99"/>
      <c r="M125" s="99"/>
      <c r="N125" s="99"/>
      <c r="O125" s="99"/>
      <c r="P125" s="99"/>
      <c r="Q125" s="23"/>
      <c r="R125" s="23"/>
      <c r="S125" s="100"/>
      <c r="T125" s="24">
        <f t="shared" si="69"/>
        <v>0</v>
      </c>
      <c r="U125" s="25" t="str">
        <f t="shared" si="70"/>
        <v/>
      </c>
      <c r="V125" s="25" t="str">
        <f t="shared" si="71"/>
        <v/>
      </c>
      <c r="W125" s="25" t="str">
        <f t="shared" si="72"/>
        <v/>
      </c>
      <c r="X125" s="110"/>
    </row>
    <row r="126" hidden="1">
      <c r="A126" s="117"/>
      <c r="B126" s="117"/>
      <c r="C126" s="104"/>
      <c r="D126" s="103"/>
      <c r="E126" s="105"/>
      <c r="F126" s="105"/>
      <c r="G126" s="108"/>
      <c r="H126" s="99"/>
      <c r="I126" s="99"/>
      <c r="J126" s="99"/>
      <c r="K126" s="99"/>
      <c r="L126" s="99"/>
      <c r="M126" s="99"/>
      <c r="N126" s="99"/>
      <c r="O126" s="99"/>
      <c r="P126" s="99"/>
      <c r="Q126" s="23"/>
      <c r="R126" s="23"/>
      <c r="S126" s="100"/>
      <c r="T126" s="24">
        <f t="shared" si="69"/>
        <v>0</v>
      </c>
      <c r="U126" s="25" t="str">
        <f t="shared" si="70"/>
        <v/>
      </c>
      <c r="V126" s="25" t="str">
        <f t="shared" si="71"/>
        <v/>
      </c>
      <c r="W126" s="25" t="str">
        <f t="shared" si="72"/>
        <v/>
      </c>
      <c r="X126" s="110"/>
    </row>
    <row r="127" hidden="1">
      <c r="A127" s="117"/>
      <c r="B127" s="117"/>
      <c r="C127" s="104"/>
      <c r="D127" s="103"/>
      <c r="E127" s="58"/>
      <c r="F127" s="58"/>
      <c r="G127" s="18"/>
      <c r="H127" s="99"/>
      <c r="I127" s="99"/>
      <c r="J127" s="99"/>
      <c r="K127" s="99"/>
      <c r="L127" s="99"/>
      <c r="M127" s="99"/>
      <c r="N127" s="99"/>
      <c r="O127" s="99"/>
      <c r="P127" s="99"/>
      <c r="Q127" s="23"/>
      <c r="R127" s="23"/>
      <c r="S127" s="100"/>
      <c r="T127" s="24">
        <f t="shared" si="69"/>
        <v>0</v>
      </c>
      <c r="U127" s="25" t="str">
        <f t="shared" si="70"/>
        <v/>
      </c>
      <c r="V127" s="25" t="str">
        <f t="shared" si="71"/>
        <v/>
      </c>
      <c r="W127" s="25" t="str">
        <f t="shared" si="72"/>
        <v/>
      </c>
      <c r="X127" s="110"/>
    </row>
    <row r="128" hidden="1">
      <c r="A128" s="117"/>
      <c r="B128" s="117"/>
      <c r="C128" s="104"/>
      <c r="D128" s="103"/>
      <c r="E128" s="58"/>
      <c r="F128" s="58"/>
      <c r="G128" s="18"/>
      <c r="H128" s="99"/>
      <c r="I128" s="99"/>
      <c r="J128" s="99"/>
      <c r="K128" s="99"/>
      <c r="L128" s="99"/>
      <c r="M128" s="99"/>
      <c r="N128" s="99"/>
      <c r="O128" s="99"/>
      <c r="P128" s="99"/>
      <c r="Q128" s="23"/>
      <c r="R128" s="23"/>
      <c r="S128" s="100"/>
      <c r="T128" s="24">
        <f t="shared" si="69"/>
        <v>0</v>
      </c>
      <c r="U128" s="25" t="str">
        <f t="shared" si="70"/>
        <v/>
      </c>
      <c r="V128" s="25" t="str">
        <f t="shared" si="71"/>
        <v/>
      </c>
      <c r="W128" s="25" t="str">
        <f t="shared" si="72"/>
        <v/>
      </c>
      <c r="X128" s="110"/>
    </row>
    <row r="129" hidden="1">
      <c r="A129" s="117"/>
      <c r="B129" s="117"/>
      <c r="C129" s="106"/>
      <c r="D129" s="130" t="s">
        <v>101</v>
      </c>
      <c r="E129" s="131">
        <f t="shared" ref="E129:F129" si="73">SUM(E123:E128)</f>
        <v>1912000</v>
      </c>
      <c r="F129" s="131">
        <f t="shared" si="73"/>
        <v>3346000</v>
      </c>
      <c r="G129" s="132">
        <f>(F129-E129)/E129</f>
        <v>0.75</v>
      </c>
      <c r="H129" s="133"/>
      <c r="I129" s="133"/>
      <c r="J129" s="133"/>
      <c r="K129" s="133"/>
      <c r="L129" s="133"/>
      <c r="M129" s="133"/>
      <c r="N129" s="133"/>
      <c r="O129" s="133"/>
      <c r="P129" s="133"/>
      <c r="Q129" s="134"/>
      <c r="R129" s="134"/>
      <c r="S129" s="135"/>
      <c r="T129" s="24">
        <f t="shared" si="69"/>
        <v>-0.75</v>
      </c>
      <c r="U129" s="25">
        <f t="shared" si="70"/>
        <v>-1</v>
      </c>
      <c r="V129" s="25" t="str">
        <f t="shared" si="71"/>
        <v/>
      </c>
      <c r="W129" s="25" t="str">
        <f t="shared" si="72"/>
        <v/>
      </c>
      <c r="X129" s="136"/>
    </row>
    <row r="130" hidden="1">
      <c r="A130" s="117"/>
      <c r="B130" s="117"/>
      <c r="C130" s="139"/>
      <c r="D130" s="140" t="s">
        <v>101</v>
      </c>
      <c r="E130" s="141"/>
      <c r="F130" s="141"/>
      <c r="G130" s="142"/>
      <c r="H130" s="143"/>
      <c r="I130" s="143"/>
      <c r="J130" s="143"/>
      <c r="K130" s="143"/>
      <c r="L130" s="143"/>
      <c r="M130" s="143"/>
      <c r="N130" s="143"/>
      <c r="O130" s="143"/>
      <c r="P130" s="143"/>
      <c r="Q130" s="144"/>
      <c r="R130" s="144"/>
      <c r="S130" s="145"/>
      <c r="T130" s="24">
        <f t="shared" si="69"/>
        <v>0</v>
      </c>
      <c r="U130" s="25" t="str">
        <f t="shared" si="70"/>
        <v/>
      </c>
      <c r="V130" s="25" t="str">
        <f t="shared" si="71"/>
        <v/>
      </c>
      <c r="W130" s="25" t="str">
        <f t="shared" si="72"/>
        <v/>
      </c>
      <c r="X130" s="146"/>
    </row>
    <row r="131" hidden="1">
      <c r="A131" s="28"/>
      <c r="B131" s="28"/>
      <c r="C131" s="147"/>
      <c r="D131" s="97"/>
      <c r="E131" s="105"/>
      <c r="F131" s="105"/>
      <c r="G131" s="108"/>
      <c r="H131" s="99"/>
      <c r="I131" s="99"/>
      <c r="J131" s="99"/>
      <c r="K131" s="99"/>
      <c r="L131" s="99"/>
      <c r="M131" s="99"/>
      <c r="N131" s="99"/>
      <c r="O131" s="99"/>
      <c r="P131" s="99"/>
      <c r="Q131" s="23"/>
      <c r="R131" s="23"/>
      <c r="S131" s="100"/>
      <c r="T131" s="24">
        <f t="shared" si="69"/>
        <v>0</v>
      </c>
      <c r="U131" s="25" t="str">
        <f t="shared" si="70"/>
        <v/>
      </c>
      <c r="V131" s="25" t="str">
        <f t="shared" si="71"/>
        <v/>
      </c>
      <c r="W131" s="25" t="str">
        <f t="shared" si="72"/>
        <v/>
      </c>
      <c r="X131" s="26"/>
    </row>
    <row r="132" hidden="1">
      <c r="A132" s="28"/>
      <c r="B132" s="28"/>
      <c r="C132" s="147"/>
      <c r="D132" s="97"/>
      <c r="E132" s="105"/>
      <c r="F132" s="105"/>
      <c r="G132" s="108"/>
      <c r="H132" s="99"/>
      <c r="I132" s="99"/>
      <c r="J132" s="99"/>
      <c r="K132" s="99"/>
      <c r="L132" s="99"/>
      <c r="M132" s="99"/>
      <c r="N132" s="99"/>
      <c r="O132" s="99"/>
      <c r="P132" s="99"/>
      <c r="Q132" s="23"/>
      <c r="R132" s="23"/>
      <c r="S132" s="100"/>
      <c r="T132" s="24">
        <f t="shared" si="69"/>
        <v>0</v>
      </c>
      <c r="U132" s="25" t="str">
        <f t="shared" si="70"/>
        <v/>
      </c>
      <c r="V132" s="25" t="str">
        <f t="shared" si="71"/>
        <v/>
      </c>
      <c r="W132" s="25" t="str">
        <f t="shared" si="72"/>
        <v/>
      </c>
      <c r="X132" s="26"/>
    </row>
    <row r="133" hidden="1">
      <c r="A133" s="101"/>
      <c r="B133" s="101"/>
      <c r="C133" s="102" t="s">
        <v>133</v>
      </c>
      <c r="D133" s="103" t="s">
        <v>134</v>
      </c>
      <c r="E133" s="58">
        <f>271000+271000</f>
        <v>542000</v>
      </c>
      <c r="F133" s="148">
        <v>1000000.0</v>
      </c>
      <c r="G133" s="18">
        <f t="shared" ref="G133:G137" si="74">(F133-E133)/E133</f>
        <v>0.8450184502</v>
      </c>
      <c r="H133" s="99"/>
      <c r="I133" s="99"/>
      <c r="J133" s="99"/>
      <c r="K133" s="99"/>
      <c r="L133" s="99"/>
      <c r="M133" s="99"/>
      <c r="N133" s="99"/>
      <c r="O133" s="99"/>
      <c r="P133" s="99"/>
      <c r="Q133" s="23"/>
      <c r="R133" s="23"/>
      <c r="S133" s="100"/>
      <c r="T133" s="24">
        <f t="shared" si="69"/>
        <v>-0.8450184502</v>
      </c>
      <c r="U133" s="25">
        <f t="shared" si="70"/>
        <v>-1</v>
      </c>
      <c r="V133" s="25" t="str">
        <f t="shared" si="71"/>
        <v/>
      </c>
      <c r="W133" s="25" t="str">
        <f t="shared" si="72"/>
        <v/>
      </c>
      <c r="X133" s="26"/>
    </row>
    <row r="134" hidden="1">
      <c r="A134" s="101"/>
      <c r="B134" s="101"/>
      <c r="C134" s="104"/>
      <c r="D134" s="103" t="s">
        <v>135</v>
      </c>
      <c r="E134" s="58">
        <f>255000*4</f>
        <v>1020000</v>
      </c>
      <c r="F134" s="58">
        <f>460000*5</f>
        <v>2300000</v>
      </c>
      <c r="G134" s="18">
        <f t="shared" si="74"/>
        <v>1.254901961</v>
      </c>
      <c r="H134" s="99"/>
      <c r="I134" s="99"/>
      <c r="J134" s="99"/>
      <c r="K134" s="99"/>
      <c r="L134" s="99"/>
      <c r="M134" s="99"/>
      <c r="N134" s="99"/>
      <c r="O134" s="99"/>
      <c r="P134" s="99"/>
      <c r="Q134" s="23"/>
      <c r="R134" s="23"/>
      <c r="S134" s="100"/>
      <c r="T134" s="24">
        <f t="shared" si="69"/>
        <v>-1.254901961</v>
      </c>
      <c r="U134" s="25">
        <f t="shared" si="70"/>
        <v>-1</v>
      </c>
      <c r="V134" s="25" t="str">
        <f t="shared" si="71"/>
        <v/>
      </c>
      <c r="W134" s="25" t="str">
        <f t="shared" si="72"/>
        <v/>
      </c>
      <c r="X134" s="26"/>
    </row>
    <row r="135" hidden="1">
      <c r="A135" s="101"/>
      <c r="B135" s="101"/>
      <c r="C135" s="104"/>
      <c r="D135" s="103" t="s">
        <v>136</v>
      </c>
      <c r="E135" s="58">
        <f>426800*5</f>
        <v>2134000</v>
      </c>
      <c r="F135" s="58">
        <f>580000*5</f>
        <v>2900000</v>
      </c>
      <c r="G135" s="18">
        <f t="shared" si="74"/>
        <v>0.358950328</v>
      </c>
      <c r="H135" s="99"/>
      <c r="I135" s="99"/>
      <c r="J135" s="99"/>
      <c r="K135" s="99"/>
      <c r="L135" s="99"/>
      <c r="M135" s="99"/>
      <c r="N135" s="99"/>
      <c r="O135" s="99"/>
      <c r="P135" s="99"/>
      <c r="Q135" s="23"/>
      <c r="R135" s="23"/>
      <c r="S135" s="100"/>
      <c r="T135" s="24">
        <f t="shared" si="69"/>
        <v>-0.358950328</v>
      </c>
      <c r="U135" s="25">
        <f t="shared" si="70"/>
        <v>-1</v>
      </c>
      <c r="V135" s="25" t="str">
        <f t="shared" si="71"/>
        <v/>
      </c>
      <c r="W135" s="25" t="str">
        <f t="shared" si="72"/>
        <v/>
      </c>
      <c r="X135" s="26"/>
    </row>
    <row r="136" hidden="1">
      <c r="A136" s="101"/>
      <c r="B136" s="101"/>
      <c r="C136" s="104"/>
      <c r="D136" s="103" t="s">
        <v>137</v>
      </c>
      <c r="E136" s="58">
        <f>SUM(145000*2)</f>
        <v>290000</v>
      </c>
      <c r="F136" s="58">
        <f>SUM(300000*2)</f>
        <v>600000</v>
      </c>
      <c r="G136" s="18">
        <f t="shared" si="74"/>
        <v>1.068965517</v>
      </c>
      <c r="H136" s="99"/>
      <c r="I136" s="99"/>
      <c r="J136" s="99"/>
      <c r="K136" s="99"/>
      <c r="L136" s="99"/>
      <c r="M136" s="99"/>
      <c r="N136" s="99"/>
      <c r="O136" s="99"/>
      <c r="P136" s="99"/>
      <c r="Q136" s="23"/>
      <c r="R136" s="23"/>
      <c r="S136" s="100"/>
      <c r="T136" s="24">
        <f t="shared" si="69"/>
        <v>-1.068965517</v>
      </c>
      <c r="U136" s="25">
        <f t="shared" si="70"/>
        <v>-1</v>
      </c>
      <c r="V136" s="25" t="str">
        <f t="shared" si="71"/>
        <v/>
      </c>
      <c r="W136" s="25" t="str">
        <f t="shared" si="72"/>
        <v/>
      </c>
      <c r="X136" s="26"/>
    </row>
    <row r="137" hidden="1">
      <c r="A137" s="101"/>
      <c r="B137" s="101"/>
      <c r="C137" s="104"/>
      <c r="D137" s="103" t="s">
        <v>81</v>
      </c>
      <c r="E137" s="58">
        <f>320000+(36000*5)+350000+50000</f>
        <v>900000</v>
      </c>
      <c r="F137" s="58">
        <f>300000*5</f>
        <v>1500000</v>
      </c>
      <c r="G137" s="18">
        <f t="shared" si="74"/>
        <v>0.6666666667</v>
      </c>
      <c r="H137" s="99"/>
      <c r="I137" s="99"/>
      <c r="J137" s="99"/>
      <c r="K137" s="99"/>
      <c r="L137" s="99"/>
      <c r="M137" s="99"/>
      <c r="N137" s="99"/>
      <c r="O137" s="99"/>
      <c r="P137" s="99"/>
      <c r="Q137" s="23"/>
      <c r="R137" s="23"/>
      <c r="S137" s="100"/>
      <c r="T137" s="24">
        <f t="shared" si="69"/>
        <v>-0.6666666667</v>
      </c>
      <c r="U137" s="25">
        <f t="shared" si="70"/>
        <v>-1</v>
      </c>
      <c r="V137" s="25" t="str">
        <f t="shared" si="71"/>
        <v/>
      </c>
      <c r="W137" s="25" t="str">
        <f t="shared" si="72"/>
        <v/>
      </c>
      <c r="X137" s="26"/>
    </row>
    <row r="138" hidden="1">
      <c r="A138" s="101"/>
      <c r="B138" s="101"/>
      <c r="C138" s="104"/>
      <c r="D138" s="103" t="s">
        <v>82</v>
      </c>
      <c r="E138" s="105"/>
      <c r="F138" s="105"/>
      <c r="G138" s="108"/>
      <c r="H138" s="99"/>
      <c r="I138" s="99"/>
      <c r="J138" s="99"/>
      <c r="K138" s="99"/>
      <c r="L138" s="99"/>
      <c r="M138" s="99"/>
      <c r="N138" s="99"/>
      <c r="O138" s="99"/>
      <c r="P138" s="99"/>
      <c r="Q138" s="23"/>
      <c r="R138" s="23"/>
      <c r="S138" s="100"/>
      <c r="T138" s="24">
        <f t="shared" si="69"/>
        <v>0</v>
      </c>
      <c r="U138" s="25" t="str">
        <f t="shared" si="70"/>
        <v/>
      </c>
      <c r="V138" s="25" t="str">
        <f t="shared" si="71"/>
        <v/>
      </c>
      <c r="W138" s="25" t="str">
        <f t="shared" si="72"/>
        <v/>
      </c>
      <c r="X138" s="26"/>
    </row>
    <row r="139" hidden="1">
      <c r="A139" s="101"/>
      <c r="B139" s="101"/>
      <c r="C139" s="104"/>
      <c r="D139" s="103" t="s">
        <v>96</v>
      </c>
      <c r="E139" s="105"/>
      <c r="F139" s="105"/>
      <c r="G139" s="108"/>
      <c r="H139" s="99"/>
      <c r="I139" s="99"/>
      <c r="J139" s="99"/>
      <c r="K139" s="99"/>
      <c r="L139" s="99"/>
      <c r="M139" s="99"/>
      <c r="N139" s="99"/>
      <c r="O139" s="99"/>
      <c r="P139" s="99"/>
      <c r="Q139" s="23"/>
      <c r="R139" s="23"/>
      <c r="S139" s="100"/>
      <c r="T139" s="24">
        <f t="shared" si="69"/>
        <v>0</v>
      </c>
      <c r="U139" s="25" t="str">
        <f t="shared" si="70"/>
        <v/>
      </c>
      <c r="V139" s="25" t="str">
        <f t="shared" si="71"/>
        <v/>
      </c>
      <c r="W139" s="25" t="str">
        <f t="shared" si="72"/>
        <v/>
      </c>
      <c r="X139" s="26"/>
    </row>
    <row r="140" hidden="1">
      <c r="A140" s="101"/>
      <c r="B140" s="101"/>
      <c r="C140" s="104"/>
      <c r="D140" s="103" t="s">
        <v>84</v>
      </c>
      <c r="E140" s="105"/>
      <c r="F140" s="105"/>
      <c r="G140" s="108"/>
      <c r="H140" s="99"/>
      <c r="I140" s="99"/>
      <c r="J140" s="99"/>
      <c r="K140" s="99"/>
      <c r="L140" s="99"/>
      <c r="M140" s="99"/>
      <c r="N140" s="99"/>
      <c r="O140" s="99"/>
      <c r="P140" s="99"/>
      <c r="Q140" s="23"/>
      <c r="R140" s="23"/>
      <c r="S140" s="100"/>
      <c r="T140" s="24">
        <f t="shared" si="69"/>
        <v>0</v>
      </c>
      <c r="U140" s="25" t="str">
        <f t="shared" si="70"/>
        <v/>
      </c>
      <c r="V140" s="25" t="str">
        <f t="shared" si="71"/>
        <v/>
      </c>
      <c r="W140" s="25" t="str">
        <f t="shared" si="72"/>
        <v/>
      </c>
      <c r="X140" s="26"/>
    </row>
    <row r="141" hidden="1">
      <c r="A141" s="101"/>
      <c r="B141" s="101"/>
      <c r="C141" s="104"/>
      <c r="D141" s="103" t="s">
        <v>97</v>
      </c>
      <c r="E141" s="58">
        <f>110000*5</f>
        <v>550000</v>
      </c>
      <c r="F141" s="58">
        <f>230000*5</f>
        <v>1150000</v>
      </c>
      <c r="G141" s="18">
        <f t="shared" ref="G141:G142" si="75">(F141-E141)/E141</f>
        <v>1.090909091</v>
      </c>
      <c r="H141" s="99"/>
      <c r="I141" s="99"/>
      <c r="J141" s="99"/>
      <c r="K141" s="99"/>
      <c r="L141" s="99"/>
      <c r="M141" s="99"/>
      <c r="N141" s="99"/>
      <c r="O141" s="99"/>
      <c r="P141" s="99"/>
      <c r="Q141" s="23"/>
      <c r="R141" s="23"/>
      <c r="S141" s="100"/>
      <c r="T141" s="24">
        <f t="shared" si="69"/>
        <v>-1.090909091</v>
      </c>
      <c r="U141" s="25">
        <f t="shared" si="70"/>
        <v>-1</v>
      </c>
      <c r="V141" s="25" t="str">
        <f t="shared" si="71"/>
        <v/>
      </c>
      <c r="W141" s="25" t="str">
        <f t="shared" si="72"/>
        <v/>
      </c>
      <c r="X141" s="26"/>
    </row>
    <row r="142" hidden="1">
      <c r="A142" s="101"/>
      <c r="B142" s="101"/>
      <c r="C142" s="104"/>
      <c r="D142" s="103" t="s">
        <v>138</v>
      </c>
      <c r="E142" s="58">
        <f>370000*5</f>
        <v>1850000</v>
      </c>
      <c r="F142" s="58">
        <f>520000*5</f>
        <v>2600000</v>
      </c>
      <c r="G142" s="18">
        <f t="shared" si="75"/>
        <v>0.4054054054</v>
      </c>
      <c r="H142" s="99"/>
      <c r="I142" s="99"/>
      <c r="J142" s="99"/>
      <c r="K142" s="99"/>
      <c r="L142" s="99"/>
      <c r="M142" s="99"/>
      <c r="N142" s="99"/>
      <c r="O142" s="99"/>
      <c r="P142" s="99"/>
      <c r="Q142" s="23"/>
      <c r="R142" s="23"/>
      <c r="S142" s="100"/>
      <c r="T142" s="24">
        <f t="shared" si="69"/>
        <v>-0.4054054054</v>
      </c>
      <c r="U142" s="25">
        <f t="shared" si="70"/>
        <v>-1</v>
      </c>
      <c r="V142" s="25" t="str">
        <f t="shared" si="71"/>
        <v/>
      </c>
      <c r="W142" s="25" t="str">
        <f t="shared" si="72"/>
        <v/>
      </c>
      <c r="X142" s="26"/>
    </row>
    <row r="143" hidden="1">
      <c r="A143" s="101"/>
      <c r="B143" s="101"/>
      <c r="C143" s="104"/>
      <c r="D143" s="97"/>
      <c r="E143" s="105"/>
      <c r="F143" s="105"/>
      <c r="G143" s="108"/>
      <c r="H143" s="99"/>
      <c r="I143" s="99"/>
      <c r="J143" s="99"/>
      <c r="K143" s="99"/>
      <c r="L143" s="99"/>
      <c r="M143" s="99"/>
      <c r="N143" s="99"/>
      <c r="O143" s="99"/>
      <c r="P143" s="99"/>
      <c r="Q143" s="23"/>
      <c r="R143" s="23"/>
      <c r="S143" s="100"/>
      <c r="T143" s="24">
        <f t="shared" si="69"/>
        <v>0</v>
      </c>
      <c r="U143" s="25" t="str">
        <f t="shared" si="70"/>
        <v/>
      </c>
      <c r="V143" s="25" t="str">
        <f t="shared" si="71"/>
        <v/>
      </c>
      <c r="W143" s="25" t="str">
        <f t="shared" si="72"/>
        <v/>
      </c>
      <c r="X143" s="26"/>
    </row>
    <row r="144" hidden="1">
      <c r="A144" s="101"/>
      <c r="B144" s="101"/>
      <c r="C144" s="104"/>
      <c r="D144" s="138" t="s">
        <v>139</v>
      </c>
      <c r="E144" s="58">
        <f>309000*5</f>
        <v>1545000</v>
      </c>
      <c r="F144" s="58">
        <f>450000*5</f>
        <v>2250000</v>
      </c>
      <c r="G144" s="18">
        <f>(F144-E144)/E144</f>
        <v>0.4563106796</v>
      </c>
      <c r="H144" s="99"/>
      <c r="I144" s="99"/>
      <c r="J144" s="99"/>
      <c r="K144" s="99"/>
      <c r="L144" s="99"/>
      <c r="M144" s="99"/>
      <c r="N144" s="99"/>
      <c r="O144" s="99"/>
      <c r="P144" s="99"/>
      <c r="Q144" s="23"/>
      <c r="R144" s="23"/>
      <c r="S144" s="100"/>
      <c r="T144" s="24">
        <f t="shared" si="69"/>
        <v>-0.4563106796</v>
      </c>
      <c r="U144" s="25">
        <f t="shared" si="70"/>
        <v>-1</v>
      </c>
      <c r="V144" s="25" t="str">
        <f t="shared" si="71"/>
        <v/>
      </c>
      <c r="W144" s="25" t="str">
        <f t="shared" si="72"/>
        <v/>
      </c>
      <c r="X144" s="26"/>
    </row>
    <row r="145" hidden="1">
      <c r="A145" s="101"/>
      <c r="B145" s="101"/>
      <c r="C145" s="104"/>
      <c r="D145" s="97"/>
      <c r="E145" s="105"/>
      <c r="F145" s="105"/>
      <c r="G145" s="108"/>
      <c r="H145" s="99"/>
      <c r="I145" s="99"/>
      <c r="J145" s="99"/>
      <c r="K145" s="99"/>
      <c r="L145" s="99"/>
      <c r="M145" s="99"/>
      <c r="N145" s="99"/>
      <c r="O145" s="99"/>
      <c r="P145" s="99"/>
      <c r="Q145" s="23"/>
      <c r="R145" s="23"/>
      <c r="S145" s="100"/>
      <c r="T145" s="24">
        <f t="shared" si="69"/>
        <v>0</v>
      </c>
      <c r="U145" s="25" t="str">
        <f t="shared" si="70"/>
        <v/>
      </c>
      <c r="V145" s="25" t="str">
        <f t="shared" si="71"/>
        <v/>
      </c>
      <c r="W145" s="25" t="str">
        <f t="shared" si="72"/>
        <v/>
      </c>
      <c r="X145" s="26"/>
    </row>
    <row r="146" hidden="1">
      <c r="A146" s="101"/>
      <c r="B146" s="101"/>
      <c r="C146" s="106"/>
      <c r="D146" s="103" t="s">
        <v>101</v>
      </c>
      <c r="E146" s="58">
        <f t="shared" ref="E146:F146" si="76">SUM(E133:E145)</f>
        <v>8831000</v>
      </c>
      <c r="F146" s="58">
        <f t="shared" si="76"/>
        <v>14300000</v>
      </c>
      <c r="G146" s="18">
        <f t="shared" ref="G146:G151" si="77">(F146-E146)/E146</f>
        <v>0.619295663</v>
      </c>
      <c r="H146" s="99"/>
      <c r="I146" s="99"/>
      <c r="J146" s="99"/>
      <c r="K146" s="99"/>
      <c r="L146" s="99"/>
      <c r="M146" s="99"/>
      <c r="N146" s="99"/>
      <c r="O146" s="99"/>
      <c r="P146" s="99"/>
      <c r="Q146" s="23"/>
      <c r="R146" s="23"/>
      <c r="S146" s="100"/>
      <c r="T146" s="24">
        <f t="shared" si="69"/>
        <v>-0.619295663</v>
      </c>
      <c r="U146" s="25">
        <f t="shared" si="70"/>
        <v>-1</v>
      </c>
      <c r="V146" s="25" t="str">
        <f t="shared" si="71"/>
        <v/>
      </c>
      <c r="W146" s="25" t="str">
        <f t="shared" si="72"/>
        <v/>
      </c>
      <c r="X146" s="26"/>
    </row>
    <row r="147" hidden="1">
      <c r="A147" s="101"/>
      <c r="B147" s="101"/>
      <c r="C147" s="102" t="s">
        <v>133</v>
      </c>
      <c r="D147" s="103" t="s">
        <v>134</v>
      </c>
      <c r="E147" s="58">
        <f>271000+271000</f>
        <v>542000</v>
      </c>
      <c r="F147" s="148">
        <v>1000000.0</v>
      </c>
      <c r="G147" s="18">
        <f t="shared" si="77"/>
        <v>0.8450184502</v>
      </c>
      <c r="H147" s="99"/>
      <c r="I147" s="99"/>
      <c r="J147" s="99"/>
      <c r="K147" s="99"/>
      <c r="L147" s="99"/>
      <c r="M147" s="99"/>
      <c r="N147" s="99"/>
      <c r="O147" s="99"/>
      <c r="P147" s="99"/>
      <c r="Q147" s="23"/>
      <c r="R147" s="23"/>
      <c r="S147" s="100"/>
      <c r="T147" s="24">
        <f t="shared" si="69"/>
        <v>-0.8450184502</v>
      </c>
      <c r="U147" s="25">
        <f t="shared" si="70"/>
        <v>-1</v>
      </c>
      <c r="V147" s="25" t="str">
        <f t="shared" si="71"/>
        <v/>
      </c>
      <c r="W147" s="25" t="str">
        <f t="shared" si="72"/>
        <v/>
      </c>
      <c r="X147" s="26"/>
    </row>
    <row r="148" hidden="1">
      <c r="A148" s="101"/>
      <c r="B148" s="101"/>
      <c r="C148" s="104"/>
      <c r="D148" s="103" t="s">
        <v>135</v>
      </c>
      <c r="E148" s="58">
        <f>329200*5</f>
        <v>1646000</v>
      </c>
      <c r="F148" s="58">
        <f>460000*5</f>
        <v>2300000</v>
      </c>
      <c r="G148" s="18">
        <f t="shared" si="77"/>
        <v>0.397326853</v>
      </c>
      <c r="H148" s="99"/>
      <c r="I148" s="99"/>
      <c r="J148" s="99"/>
      <c r="K148" s="99"/>
      <c r="L148" s="99"/>
      <c r="M148" s="99"/>
      <c r="N148" s="99"/>
      <c r="O148" s="99"/>
      <c r="P148" s="99"/>
      <c r="Q148" s="23"/>
      <c r="R148" s="23"/>
      <c r="S148" s="100"/>
      <c r="T148" s="24">
        <f t="shared" si="69"/>
        <v>-0.397326853</v>
      </c>
      <c r="U148" s="25">
        <f t="shared" si="70"/>
        <v>-1</v>
      </c>
      <c r="V148" s="25" t="str">
        <f t="shared" si="71"/>
        <v/>
      </c>
      <c r="W148" s="25" t="str">
        <f t="shared" si="72"/>
        <v/>
      </c>
      <c r="X148" s="26"/>
    </row>
    <row r="149" hidden="1">
      <c r="A149" s="101"/>
      <c r="B149" s="101"/>
      <c r="C149" s="104"/>
      <c r="D149" s="103" t="s">
        <v>136</v>
      </c>
      <c r="E149" s="58">
        <f>426800*5</f>
        <v>2134000</v>
      </c>
      <c r="F149" s="58">
        <f>580000*5</f>
        <v>2900000</v>
      </c>
      <c r="G149" s="18">
        <f t="shared" si="77"/>
        <v>0.358950328</v>
      </c>
      <c r="H149" s="99"/>
      <c r="I149" s="99"/>
      <c r="J149" s="99"/>
      <c r="K149" s="99"/>
      <c r="L149" s="99"/>
      <c r="M149" s="99"/>
      <c r="N149" s="99"/>
      <c r="O149" s="99"/>
      <c r="P149" s="99"/>
      <c r="Q149" s="23"/>
      <c r="R149" s="23"/>
      <c r="S149" s="100"/>
      <c r="T149" s="24">
        <f t="shared" si="69"/>
        <v>-0.358950328</v>
      </c>
      <c r="U149" s="25">
        <f t="shared" si="70"/>
        <v>-1</v>
      </c>
      <c r="V149" s="25" t="str">
        <f t="shared" si="71"/>
        <v/>
      </c>
      <c r="W149" s="25" t="str">
        <f t="shared" si="72"/>
        <v/>
      </c>
      <c r="X149" s="26"/>
    </row>
    <row r="150" hidden="1">
      <c r="A150" s="101"/>
      <c r="B150" s="101"/>
      <c r="C150" s="104"/>
      <c r="D150" s="103" t="s">
        <v>137</v>
      </c>
      <c r="E150" s="58">
        <f>SUM(145000*2)</f>
        <v>290000</v>
      </c>
      <c r="F150" s="58">
        <f>SUM(300000*2)</f>
        <v>600000</v>
      </c>
      <c r="G150" s="18">
        <f t="shared" si="77"/>
        <v>1.068965517</v>
      </c>
      <c r="H150" s="99"/>
      <c r="I150" s="99"/>
      <c r="J150" s="99"/>
      <c r="K150" s="99"/>
      <c r="L150" s="99"/>
      <c r="M150" s="99"/>
      <c r="N150" s="99"/>
      <c r="O150" s="99"/>
      <c r="P150" s="99"/>
      <c r="Q150" s="23"/>
      <c r="R150" s="23"/>
      <c r="S150" s="100"/>
      <c r="T150" s="24">
        <f t="shared" si="69"/>
        <v>-1.068965517</v>
      </c>
      <c r="U150" s="25">
        <f t="shared" si="70"/>
        <v>-1</v>
      </c>
      <c r="V150" s="25" t="str">
        <f t="shared" si="71"/>
        <v/>
      </c>
      <c r="W150" s="25" t="str">
        <f t="shared" si="72"/>
        <v/>
      </c>
      <c r="X150" s="26"/>
    </row>
    <row r="151" hidden="1">
      <c r="A151" s="101"/>
      <c r="B151" s="101"/>
      <c r="C151" s="104"/>
      <c r="D151" s="103" t="s">
        <v>81</v>
      </c>
      <c r="E151" s="58">
        <f>320000+(36000*5)+350000+50000</f>
        <v>900000</v>
      </c>
      <c r="F151" s="58">
        <f>300000*5</f>
        <v>1500000</v>
      </c>
      <c r="G151" s="18">
        <f t="shared" si="77"/>
        <v>0.6666666667</v>
      </c>
      <c r="H151" s="99"/>
      <c r="I151" s="99"/>
      <c r="J151" s="99"/>
      <c r="K151" s="99"/>
      <c r="L151" s="99"/>
      <c r="M151" s="99"/>
      <c r="N151" s="99"/>
      <c r="O151" s="99"/>
      <c r="P151" s="99"/>
      <c r="Q151" s="23"/>
      <c r="R151" s="23"/>
      <c r="S151" s="100"/>
      <c r="T151" s="24">
        <f t="shared" si="69"/>
        <v>-0.6666666667</v>
      </c>
      <c r="U151" s="25">
        <f t="shared" si="70"/>
        <v>-1</v>
      </c>
      <c r="V151" s="25" t="str">
        <f t="shared" si="71"/>
        <v/>
      </c>
      <c r="W151" s="25" t="str">
        <f t="shared" si="72"/>
        <v/>
      </c>
      <c r="X151" s="26"/>
    </row>
    <row r="152" hidden="1">
      <c r="A152" s="101"/>
      <c r="B152" s="101"/>
      <c r="C152" s="104"/>
      <c r="D152" s="103" t="s">
        <v>82</v>
      </c>
      <c r="E152" s="105"/>
      <c r="F152" s="105"/>
      <c r="G152" s="108"/>
      <c r="H152" s="99"/>
      <c r="I152" s="99"/>
      <c r="J152" s="99"/>
      <c r="K152" s="99"/>
      <c r="L152" s="99"/>
      <c r="M152" s="99"/>
      <c r="N152" s="99"/>
      <c r="O152" s="99"/>
      <c r="P152" s="99"/>
      <c r="Q152" s="23"/>
      <c r="R152" s="23"/>
      <c r="S152" s="100"/>
      <c r="T152" s="24">
        <f t="shared" si="69"/>
        <v>0</v>
      </c>
      <c r="U152" s="25" t="str">
        <f t="shared" si="70"/>
        <v/>
      </c>
      <c r="V152" s="25" t="str">
        <f t="shared" si="71"/>
        <v/>
      </c>
      <c r="W152" s="25" t="str">
        <f t="shared" si="72"/>
        <v/>
      </c>
      <c r="X152" s="26"/>
    </row>
    <row r="153" hidden="1">
      <c r="A153" s="101"/>
      <c r="B153" s="101"/>
      <c r="C153" s="104"/>
      <c r="D153" s="103" t="s">
        <v>96</v>
      </c>
      <c r="E153" s="105"/>
      <c r="F153" s="105"/>
      <c r="G153" s="108"/>
      <c r="H153" s="99"/>
      <c r="I153" s="99"/>
      <c r="J153" s="99"/>
      <c r="K153" s="99"/>
      <c r="L153" s="99"/>
      <c r="M153" s="99"/>
      <c r="N153" s="99"/>
      <c r="O153" s="99"/>
      <c r="P153" s="99"/>
      <c r="Q153" s="23"/>
      <c r="R153" s="23"/>
      <c r="S153" s="100"/>
      <c r="T153" s="24">
        <f t="shared" si="69"/>
        <v>0</v>
      </c>
      <c r="U153" s="25" t="str">
        <f t="shared" si="70"/>
        <v/>
      </c>
      <c r="V153" s="25" t="str">
        <f t="shared" si="71"/>
        <v/>
      </c>
      <c r="W153" s="25" t="str">
        <f t="shared" si="72"/>
        <v/>
      </c>
      <c r="X153" s="26"/>
    </row>
    <row r="154" hidden="1">
      <c r="A154" s="101"/>
      <c r="B154" s="101"/>
      <c r="C154" s="104"/>
      <c r="D154" s="103" t="s">
        <v>84</v>
      </c>
      <c r="E154" s="105"/>
      <c r="F154" s="105"/>
      <c r="G154" s="108"/>
      <c r="H154" s="99"/>
      <c r="I154" s="99"/>
      <c r="J154" s="99"/>
      <c r="K154" s="99"/>
      <c r="L154" s="99"/>
      <c r="M154" s="99"/>
      <c r="N154" s="99"/>
      <c r="O154" s="99"/>
      <c r="P154" s="99"/>
      <c r="Q154" s="23"/>
      <c r="R154" s="23"/>
      <c r="S154" s="100"/>
      <c r="T154" s="24">
        <f t="shared" si="69"/>
        <v>0</v>
      </c>
      <c r="U154" s="25" t="str">
        <f t="shared" si="70"/>
        <v/>
      </c>
      <c r="V154" s="25" t="str">
        <f t="shared" si="71"/>
        <v/>
      </c>
      <c r="W154" s="25" t="str">
        <f t="shared" si="72"/>
        <v/>
      </c>
      <c r="X154" s="26"/>
    </row>
    <row r="155" hidden="1">
      <c r="A155" s="101"/>
      <c r="B155" s="101"/>
      <c r="C155" s="104"/>
      <c r="D155" s="103" t="s">
        <v>97</v>
      </c>
      <c r="E155" s="58">
        <f>110000*5</f>
        <v>550000</v>
      </c>
      <c r="F155" s="58">
        <f>230000*5</f>
        <v>1150000</v>
      </c>
      <c r="G155" s="18">
        <f t="shared" ref="G155:G156" si="78">(F155-E155)/E155</f>
        <v>1.090909091</v>
      </c>
      <c r="H155" s="99"/>
      <c r="I155" s="99"/>
      <c r="J155" s="99"/>
      <c r="K155" s="99"/>
      <c r="L155" s="99"/>
      <c r="M155" s="99"/>
      <c r="N155" s="99"/>
      <c r="O155" s="99"/>
      <c r="P155" s="99"/>
      <c r="Q155" s="23"/>
      <c r="R155" s="23"/>
      <c r="S155" s="100"/>
      <c r="T155" s="24">
        <f t="shared" si="69"/>
        <v>-1.090909091</v>
      </c>
      <c r="U155" s="25">
        <f t="shared" si="70"/>
        <v>-1</v>
      </c>
      <c r="V155" s="25" t="str">
        <f t="shared" si="71"/>
        <v/>
      </c>
      <c r="W155" s="25" t="str">
        <f t="shared" si="72"/>
        <v/>
      </c>
      <c r="X155" s="26"/>
    </row>
    <row r="156" hidden="1">
      <c r="A156" s="101"/>
      <c r="B156" s="101"/>
      <c r="C156" s="104"/>
      <c r="D156" s="103" t="s">
        <v>138</v>
      </c>
      <c r="E156" s="58">
        <f>370000*5</f>
        <v>1850000</v>
      </c>
      <c r="F156" s="58">
        <f>520000*5</f>
        <v>2600000</v>
      </c>
      <c r="G156" s="18">
        <f t="shared" si="78"/>
        <v>0.4054054054</v>
      </c>
      <c r="H156" s="99"/>
      <c r="I156" s="99"/>
      <c r="J156" s="99"/>
      <c r="K156" s="99"/>
      <c r="L156" s="99"/>
      <c r="M156" s="99"/>
      <c r="N156" s="99"/>
      <c r="O156" s="99"/>
      <c r="P156" s="99"/>
      <c r="Q156" s="23"/>
      <c r="R156" s="23"/>
      <c r="S156" s="100"/>
      <c r="T156" s="24">
        <f t="shared" si="69"/>
        <v>-0.4054054054</v>
      </c>
      <c r="U156" s="25">
        <f t="shared" si="70"/>
        <v>-1</v>
      </c>
      <c r="V156" s="25" t="str">
        <f t="shared" si="71"/>
        <v/>
      </c>
      <c r="W156" s="25" t="str">
        <f t="shared" si="72"/>
        <v/>
      </c>
      <c r="X156" s="26"/>
    </row>
    <row r="157" hidden="1">
      <c r="A157" s="101"/>
      <c r="B157" s="101"/>
      <c r="C157" s="104"/>
      <c r="D157" s="97"/>
      <c r="E157" s="105"/>
      <c r="F157" s="105"/>
      <c r="G157" s="108"/>
      <c r="H157" s="99"/>
      <c r="I157" s="99"/>
      <c r="J157" s="99"/>
      <c r="K157" s="99"/>
      <c r="L157" s="99"/>
      <c r="M157" s="99"/>
      <c r="N157" s="99"/>
      <c r="O157" s="99"/>
      <c r="P157" s="99"/>
      <c r="Q157" s="23"/>
      <c r="R157" s="23"/>
      <c r="S157" s="100"/>
      <c r="T157" s="24">
        <f t="shared" si="69"/>
        <v>0</v>
      </c>
      <c r="U157" s="25" t="str">
        <f t="shared" si="70"/>
        <v/>
      </c>
      <c r="V157" s="25" t="str">
        <f t="shared" si="71"/>
        <v/>
      </c>
      <c r="W157" s="25" t="str">
        <f t="shared" si="72"/>
        <v/>
      </c>
      <c r="X157" s="26"/>
    </row>
    <row r="158" hidden="1">
      <c r="A158" s="101"/>
      <c r="B158" s="101"/>
      <c r="C158" s="104"/>
      <c r="D158" s="103" t="s">
        <v>100</v>
      </c>
      <c r="E158" s="58">
        <f>309000*5</f>
        <v>1545000</v>
      </c>
      <c r="F158" s="58">
        <f>450000*5</f>
        <v>2250000</v>
      </c>
      <c r="G158" s="18">
        <f>(F158-E158)/E158</f>
        <v>0.4563106796</v>
      </c>
      <c r="H158" s="99"/>
      <c r="I158" s="99"/>
      <c r="J158" s="99"/>
      <c r="K158" s="99"/>
      <c r="L158" s="99"/>
      <c r="M158" s="99"/>
      <c r="N158" s="99"/>
      <c r="O158" s="99"/>
      <c r="P158" s="99"/>
      <c r="Q158" s="23"/>
      <c r="R158" s="23"/>
      <c r="S158" s="100"/>
      <c r="T158" s="24">
        <f t="shared" si="69"/>
        <v>-0.4563106796</v>
      </c>
      <c r="U158" s="25">
        <f t="shared" si="70"/>
        <v>-1</v>
      </c>
      <c r="V158" s="25" t="str">
        <f t="shared" si="71"/>
        <v/>
      </c>
      <c r="W158" s="25" t="str">
        <f t="shared" si="72"/>
        <v/>
      </c>
      <c r="X158" s="26"/>
    </row>
    <row r="159" hidden="1">
      <c r="A159" s="101"/>
      <c r="B159" s="101"/>
      <c r="C159" s="104"/>
      <c r="D159" s="97"/>
      <c r="E159" s="105"/>
      <c r="F159" s="105"/>
      <c r="G159" s="108"/>
      <c r="H159" s="99"/>
      <c r="I159" s="99"/>
      <c r="J159" s="99"/>
      <c r="K159" s="99"/>
      <c r="L159" s="99"/>
      <c r="M159" s="99"/>
      <c r="N159" s="99"/>
      <c r="O159" s="99"/>
      <c r="P159" s="99"/>
      <c r="Q159" s="23"/>
      <c r="R159" s="23"/>
      <c r="S159" s="100"/>
      <c r="T159" s="24">
        <f t="shared" si="69"/>
        <v>0</v>
      </c>
      <c r="U159" s="25" t="str">
        <f t="shared" si="70"/>
        <v/>
      </c>
      <c r="V159" s="25" t="str">
        <f t="shared" si="71"/>
        <v/>
      </c>
      <c r="W159" s="25" t="str">
        <f t="shared" si="72"/>
        <v/>
      </c>
      <c r="X159" s="26"/>
    </row>
    <row r="160" hidden="1">
      <c r="A160" s="101"/>
      <c r="B160" s="101"/>
      <c r="C160" s="106"/>
      <c r="D160" s="103" t="s">
        <v>101</v>
      </c>
      <c r="E160" s="58">
        <f t="shared" ref="E160:F160" si="79">SUM(E147:E159)</f>
        <v>9457000</v>
      </c>
      <c r="F160" s="58">
        <f t="shared" si="79"/>
        <v>14300000</v>
      </c>
      <c r="G160" s="18">
        <f>(F160-E160)/E160</f>
        <v>0.5121074336</v>
      </c>
      <c r="H160" s="99"/>
      <c r="I160" s="99"/>
      <c r="J160" s="99"/>
      <c r="K160" s="99"/>
      <c r="L160" s="99"/>
      <c r="M160" s="99"/>
      <c r="N160" s="99"/>
      <c r="O160" s="99"/>
      <c r="P160" s="99"/>
      <c r="Q160" s="23"/>
      <c r="R160" s="23"/>
      <c r="S160" s="100"/>
      <c r="T160" s="24">
        <f t="shared" si="69"/>
        <v>-0.5121074336</v>
      </c>
      <c r="U160" s="25">
        <f t="shared" si="70"/>
        <v>-1</v>
      </c>
      <c r="V160" s="25" t="str">
        <f t="shared" si="71"/>
        <v/>
      </c>
      <c r="W160" s="25" t="str">
        <f t="shared" si="72"/>
        <v/>
      </c>
      <c r="X160" s="26"/>
    </row>
    <row r="161" hidden="1">
      <c r="A161" s="96"/>
      <c r="B161" s="96"/>
      <c r="C161" s="97"/>
      <c r="D161" s="97"/>
      <c r="E161" s="149"/>
      <c r="F161" s="150"/>
      <c r="G161" s="151"/>
      <c r="H161" s="99"/>
      <c r="I161" s="99"/>
      <c r="J161" s="99"/>
      <c r="K161" s="99"/>
      <c r="L161" s="99"/>
      <c r="M161" s="99"/>
      <c r="N161" s="99"/>
      <c r="O161" s="99"/>
      <c r="P161" s="99"/>
      <c r="Q161" s="23"/>
      <c r="R161" s="23"/>
      <c r="S161" s="100"/>
      <c r="T161" s="24">
        <f t="shared" si="69"/>
        <v>0</v>
      </c>
      <c r="U161" s="25" t="str">
        <f t="shared" si="70"/>
        <v/>
      </c>
      <c r="V161" s="25" t="str">
        <f t="shared" si="71"/>
        <v/>
      </c>
      <c r="W161" s="25" t="str">
        <f t="shared" si="72"/>
        <v/>
      </c>
      <c r="X161" s="26"/>
    </row>
    <row r="162" hidden="1">
      <c r="A162" s="101"/>
      <c r="B162" s="101"/>
      <c r="C162" s="152" t="s">
        <v>33</v>
      </c>
      <c r="D162" s="153" t="s">
        <v>140</v>
      </c>
      <c r="E162" s="154">
        <v>237600.0</v>
      </c>
      <c r="F162" s="155">
        <v>500000.0</v>
      </c>
      <c r="G162" s="156">
        <f t="shared" ref="G162:G173" si="80">(F162-E162)/E162</f>
        <v>1.104377104</v>
      </c>
      <c r="H162" s="99"/>
      <c r="I162" s="99"/>
      <c r="J162" s="99"/>
      <c r="K162" s="99"/>
      <c r="L162" s="99"/>
      <c r="M162" s="99"/>
      <c r="N162" s="99"/>
      <c r="O162" s="99"/>
      <c r="P162" s="99"/>
      <c r="Q162" s="23"/>
      <c r="R162" s="23"/>
      <c r="S162" s="100"/>
      <c r="T162" s="24"/>
      <c r="U162" s="25"/>
      <c r="V162" s="25"/>
      <c r="W162" s="25"/>
      <c r="X162" s="26"/>
    </row>
    <row r="163" hidden="1">
      <c r="A163" s="101"/>
      <c r="B163" s="101"/>
      <c r="C163" s="104"/>
      <c r="D163" s="153"/>
      <c r="E163" s="154"/>
      <c r="F163" s="155"/>
      <c r="G163" s="156" t="str">
        <f t="shared" si="80"/>
        <v>#DIV/0!</v>
      </c>
      <c r="H163" s="99"/>
      <c r="I163" s="99"/>
      <c r="J163" s="99"/>
      <c r="K163" s="99"/>
      <c r="L163" s="99"/>
      <c r="M163" s="99"/>
      <c r="N163" s="99"/>
      <c r="O163" s="99"/>
      <c r="P163" s="99"/>
      <c r="Q163" s="23"/>
      <c r="R163" s="23"/>
      <c r="S163" s="100"/>
      <c r="T163" s="24" t="str">
        <f t="shared" ref="T163:T175" si="81">P163-(G163+S163)-(P163*R163)</f>
        <v>#DIV/0!</v>
      </c>
      <c r="U163" s="25" t="str">
        <f t="shared" ref="U163:U175" si="82">IFERROR((P163-G163)/G163,"")</f>
        <v/>
      </c>
      <c r="V163" s="25" t="str">
        <f t="shared" ref="V163:V175" si="83">IFERROR((P163-G163)/P163,"")</f>
        <v/>
      </c>
      <c r="W163" s="25" t="str">
        <f t="shared" ref="W163:W175" si="84">IFERROR(T163/P163,"")</f>
        <v/>
      </c>
      <c r="X163" s="26"/>
    </row>
    <row r="164" hidden="1">
      <c r="A164" s="101"/>
      <c r="B164" s="101"/>
      <c r="C164" s="104"/>
      <c r="D164" s="153" t="s">
        <v>141</v>
      </c>
      <c r="E164" s="154">
        <f>535000*4</f>
        <v>2140000</v>
      </c>
      <c r="F164" s="154">
        <f>685000*4</f>
        <v>2740000</v>
      </c>
      <c r="G164" s="156">
        <f t="shared" si="80"/>
        <v>0.2803738318</v>
      </c>
      <c r="H164" s="99"/>
      <c r="I164" s="99"/>
      <c r="J164" s="99"/>
      <c r="K164" s="99"/>
      <c r="L164" s="99"/>
      <c r="M164" s="99"/>
      <c r="N164" s="99"/>
      <c r="O164" s="99"/>
      <c r="P164" s="99"/>
      <c r="Q164" s="23"/>
      <c r="R164" s="23"/>
      <c r="S164" s="100"/>
      <c r="T164" s="24">
        <f t="shared" si="81"/>
        <v>-0.2803738318</v>
      </c>
      <c r="U164" s="25">
        <f t="shared" si="82"/>
        <v>-1</v>
      </c>
      <c r="V164" s="25" t="str">
        <f t="shared" si="83"/>
        <v/>
      </c>
      <c r="W164" s="25" t="str">
        <f t="shared" si="84"/>
        <v/>
      </c>
      <c r="X164" s="26"/>
    </row>
    <row r="165" hidden="1">
      <c r="A165" s="101"/>
      <c r="B165" s="101"/>
      <c r="C165" s="104"/>
      <c r="D165" s="157" t="s">
        <v>142</v>
      </c>
      <c r="E165" s="154">
        <f>280000*4</f>
        <v>1120000</v>
      </c>
      <c r="F165" s="154">
        <f>453000*4</f>
        <v>1812000</v>
      </c>
      <c r="G165" s="156">
        <f t="shared" si="80"/>
        <v>0.6178571429</v>
      </c>
      <c r="H165" s="99"/>
      <c r="I165" s="99"/>
      <c r="J165" s="99"/>
      <c r="K165" s="99"/>
      <c r="L165" s="99"/>
      <c r="M165" s="99"/>
      <c r="N165" s="99"/>
      <c r="O165" s="99"/>
      <c r="P165" s="99"/>
      <c r="Q165" s="23"/>
      <c r="R165" s="23"/>
      <c r="S165" s="100"/>
      <c r="T165" s="24">
        <f t="shared" si="81"/>
        <v>-0.6178571429</v>
      </c>
      <c r="U165" s="25">
        <f t="shared" si="82"/>
        <v>-1</v>
      </c>
      <c r="V165" s="25" t="str">
        <f t="shared" si="83"/>
        <v/>
      </c>
      <c r="W165" s="25" t="str">
        <f t="shared" si="84"/>
        <v/>
      </c>
      <c r="X165" s="26"/>
    </row>
    <row r="166" hidden="1">
      <c r="A166" s="101"/>
      <c r="B166" s="101"/>
      <c r="C166" s="104"/>
      <c r="D166" s="158" t="s">
        <v>143</v>
      </c>
      <c r="E166" s="159">
        <v>154000.0</v>
      </c>
      <c r="F166" s="159">
        <v>500000.0</v>
      </c>
      <c r="G166" s="156">
        <f t="shared" si="80"/>
        <v>2.246753247</v>
      </c>
      <c r="H166" s="99"/>
      <c r="I166" s="99"/>
      <c r="J166" s="99"/>
      <c r="K166" s="99"/>
      <c r="L166" s="99"/>
      <c r="M166" s="99"/>
      <c r="N166" s="99"/>
      <c r="O166" s="99"/>
      <c r="P166" s="99"/>
      <c r="Q166" s="23"/>
      <c r="R166" s="23"/>
      <c r="S166" s="100"/>
      <c r="T166" s="24">
        <f t="shared" si="81"/>
        <v>-2.246753247</v>
      </c>
      <c r="U166" s="25">
        <f t="shared" si="82"/>
        <v>-1</v>
      </c>
      <c r="V166" s="25" t="str">
        <f t="shared" si="83"/>
        <v/>
      </c>
      <c r="W166" s="25" t="str">
        <f t="shared" si="84"/>
        <v/>
      </c>
      <c r="X166" s="26"/>
    </row>
    <row r="167" hidden="1">
      <c r="A167" s="101"/>
      <c r="B167" s="101"/>
      <c r="C167" s="104"/>
      <c r="D167" s="160" t="s">
        <v>144</v>
      </c>
      <c r="E167" s="159">
        <v>145000.0</v>
      </c>
      <c r="F167" s="159">
        <f>300000</f>
        <v>300000</v>
      </c>
      <c r="G167" s="156">
        <f t="shared" si="80"/>
        <v>1.068965517</v>
      </c>
      <c r="H167" s="99"/>
      <c r="I167" s="99"/>
      <c r="J167" s="99"/>
      <c r="K167" s="99"/>
      <c r="L167" s="99"/>
      <c r="M167" s="99"/>
      <c r="N167" s="99"/>
      <c r="O167" s="99"/>
      <c r="P167" s="99"/>
      <c r="Q167" s="23"/>
      <c r="R167" s="23"/>
      <c r="S167" s="100"/>
      <c r="T167" s="24">
        <f t="shared" si="81"/>
        <v>-1.068965517</v>
      </c>
      <c r="U167" s="25">
        <f t="shared" si="82"/>
        <v>-1</v>
      </c>
      <c r="V167" s="25" t="str">
        <f t="shared" si="83"/>
        <v/>
      </c>
      <c r="W167" s="25" t="str">
        <f t="shared" si="84"/>
        <v/>
      </c>
      <c r="X167" s="26"/>
    </row>
    <row r="168" hidden="1">
      <c r="A168" s="101"/>
      <c r="B168" s="101"/>
      <c r="C168" s="104"/>
      <c r="D168" s="160" t="s">
        <v>145</v>
      </c>
      <c r="E168" s="161">
        <f>420000+(36000*4)+240000+40000</f>
        <v>844000</v>
      </c>
      <c r="F168" s="154">
        <f>330000*4</f>
        <v>1320000</v>
      </c>
      <c r="G168" s="156">
        <f t="shared" si="80"/>
        <v>0.5639810427</v>
      </c>
      <c r="H168" s="99"/>
      <c r="I168" s="99"/>
      <c r="J168" s="99"/>
      <c r="K168" s="99"/>
      <c r="L168" s="99"/>
      <c r="M168" s="99"/>
      <c r="N168" s="99"/>
      <c r="O168" s="99"/>
      <c r="P168" s="99"/>
      <c r="Q168" s="23"/>
      <c r="R168" s="23"/>
      <c r="S168" s="100"/>
      <c r="T168" s="24">
        <f t="shared" si="81"/>
        <v>-0.5639810427</v>
      </c>
      <c r="U168" s="25">
        <f t="shared" si="82"/>
        <v>-1</v>
      </c>
      <c r="V168" s="25" t="str">
        <f t="shared" si="83"/>
        <v/>
      </c>
      <c r="W168" s="25" t="str">
        <f t="shared" si="84"/>
        <v/>
      </c>
      <c r="X168" s="26"/>
    </row>
    <row r="169" hidden="1">
      <c r="A169" s="101"/>
      <c r="B169" s="101"/>
      <c r="C169" s="104"/>
      <c r="D169" s="158" t="s">
        <v>146</v>
      </c>
      <c r="E169" s="162">
        <f>130000*4</f>
        <v>520000</v>
      </c>
      <c r="F169" s="159">
        <f>230000*4</f>
        <v>920000</v>
      </c>
      <c r="G169" s="156">
        <f t="shared" si="80"/>
        <v>0.7692307692</v>
      </c>
      <c r="H169" s="99"/>
      <c r="I169" s="99"/>
      <c r="J169" s="99"/>
      <c r="K169" s="99"/>
      <c r="L169" s="99"/>
      <c r="M169" s="99"/>
      <c r="N169" s="99"/>
      <c r="O169" s="99"/>
      <c r="P169" s="99"/>
      <c r="Q169" s="23"/>
      <c r="R169" s="23"/>
      <c r="S169" s="100"/>
      <c r="T169" s="24">
        <f t="shared" si="81"/>
        <v>-0.7692307692</v>
      </c>
      <c r="U169" s="25">
        <f t="shared" si="82"/>
        <v>-1</v>
      </c>
      <c r="V169" s="25" t="str">
        <f t="shared" si="83"/>
        <v/>
      </c>
      <c r="W169" s="25" t="str">
        <f t="shared" si="84"/>
        <v/>
      </c>
      <c r="X169" s="26"/>
    </row>
    <row r="170" hidden="1">
      <c r="A170" s="101"/>
      <c r="B170" s="101"/>
      <c r="C170" s="104"/>
      <c r="D170" s="163" t="s">
        <v>100</v>
      </c>
      <c r="E170" s="162">
        <f>309000*4</f>
        <v>1236000</v>
      </c>
      <c r="F170" s="159">
        <f>450000*4</f>
        <v>1800000</v>
      </c>
      <c r="G170" s="156">
        <f t="shared" si="80"/>
        <v>0.4563106796</v>
      </c>
      <c r="H170" s="99"/>
      <c r="I170" s="99"/>
      <c r="J170" s="99"/>
      <c r="K170" s="99"/>
      <c r="L170" s="99"/>
      <c r="M170" s="99"/>
      <c r="N170" s="99"/>
      <c r="O170" s="99"/>
      <c r="P170" s="99"/>
      <c r="Q170" s="23"/>
      <c r="R170" s="23"/>
      <c r="S170" s="100"/>
      <c r="T170" s="24">
        <f t="shared" si="81"/>
        <v>-0.4563106796</v>
      </c>
      <c r="U170" s="25">
        <f t="shared" si="82"/>
        <v>-1</v>
      </c>
      <c r="V170" s="25" t="str">
        <f t="shared" si="83"/>
        <v/>
      </c>
      <c r="W170" s="25" t="str">
        <f t="shared" si="84"/>
        <v/>
      </c>
      <c r="X170" s="26"/>
    </row>
    <row r="171" hidden="1">
      <c r="A171" s="101"/>
      <c r="B171" s="101"/>
      <c r="C171" s="104"/>
      <c r="D171" s="160" t="s">
        <v>91</v>
      </c>
      <c r="E171" s="161">
        <f>330000*4</f>
        <v>1320000</v>
      </c>
      <c r="F171" s="154">
        <f>510000*4</f>
        <v>2040000</v>
      </c>
      <c r="G171" s="156">
        <f t="shared" si="80"/>
        <v>0.5454545455</v>
      </c>
      <c r="H171" s="99"/>
      <c r="I171" s="99"/>
      <c r="J171" s="99"/>
      <c r="K171" s="99"/>
      <c r="L171" s="99"/>
      <c r="M171" s="99"/>
      <c r="N171" s="99"/>
      <c r="O171" s="99"/>
      <c r="P171" s="99"/>
      <c r="Q171" s="23"/>
      <c r="R171" s="23"/>
      <c r="S171" s="100"/>
      <c r="T171" s="24">
        <f t="shared" si="81"/>
        <v>-0.5454545455</v>
      </c>
      <c r="U171" s="25">
        <f t="shared" si="82"/>
        <v>-1</v>
      </c>
      <c r="V171" s="25" t="str">
        <f t="shared" si="83"/>
        <v/>
      </c>
      <c r="W171" s="25" t="str">
        <f t="shared" si="84"/>
        <v/>
      </c>
      <c r="X171" s="26"/>
    </row>
    <row r="172" hidden="1">
      <c r="A172" s="101"/>
      <c r="B172" s="101"/>
      <c r="C172" s="104"/>
      <c r="D172" s="164" t="s">
        <v>121</v>
      </c>
      <c r="E172" s="162">
        <f>145000</f>
        <v>145000</v>
      </c>
      <c r="F172" s="159">
        <v>300000.0</v>
      </c>
      <c r="G172" s="156">
        <f t="shared" si="80"/>
        <v>1.068965517</v>
      </c>
      <c r="H172" s="99"/>
      <c r="I172" s="99"/>
      <c r="J172" s="99"/>
      <c r="K172" s="99"/>
      <c r="L172" s="99"/>
      <c r="M172" s="99"/>
      <c r="N172" s="99"/>
      <c r="O172" s="99"/>
      <c r="P172" s="99"/>
      <c r="Q172" s="23"/>
      <c r="R172" s="23"/>
      <c r="S172" s="100"/>
      <c r="T172" s="24">
        <f t="shared" si="81"/>
        <v>-1.068965517</v>
      </c>
      <c r="U172" s="25">
        <f t="shared" si="82"/>
        <v>-1</v>
      </c>
      <c r="V172" s="25" t="str">
        <f t="shared" si="83"/>
        <v/>
      </c>
      <c r="W172" s="25" t="str">
        <f t="shared" si="84"/>
        <v/>
      </c>
      <c r="X172" s="26"/>
    </row>
    <row r="173" hidden="1">
      <c r="A173" s="101"/>
      <c r="B173" s="101"/>
      <c r="C173" s="104"/>
      <c r="D173" s="165" t="s">
        <v>147</v>
      </c>
      <c r="E173" s="166">
        <f t="shared" ref="E173:F173" si="85">E162+E164+E165+E166+E167+E168+E169+E170+E171+E172</f>
        <v>7861600</v>
      </c>
      <c r="F173" s="166">
        <f t="shared" si="85"/>
        <v>12232000</v>
      </c>
      <c r="G173" s="167">
        <f t="shared" si="80"/>
        <v>0.5559173705</v>
      </c>
      <c r="H173" s="99"/>
      <c r="I173" s="99"/>
      <c r="J173" s="99"/>
      <c r="K173" s="99"/>
      <c r="L173" s="99"/>
      <c r="M173" s="99"/>
      <c r="N173" s="99"/>
      <c r="O173" s="99"/>
      <c r="P173" s="99"/>
      <c r="Q173" s="23"/>
      <c r="R173" s="23"/>
      <c r="S173" s="100"/>
      <c r="T173" s="24">
        <f t="shared" si="81"/>
        <v>-0.5559173705</v>
      </c>
      <c r="U173" s="25">
        <f t="shared" si="82"/>
        <v>-1</v>
      </c>
      <c r="V173" s="25" t="str">
        <f t="shared" si="83"/>
        <v/>
      </c>
      <c r="W173" s="25" t="str">
        <f t="shared" si="84"/>
        <v/>
      </c>
      <c r="X173" s="26"/>
    </row>
    <row r="174" hidden="1">
      <c r="A174" s="101"/>
      <c r="B174" s="101"/>
      <c r="C174" s="104"/>
      <c r="D174" s="160" t="s">
        <v>148</v>
      </c>
      <c r="E174" s="162">
        <f>F173-E173</f>
        <v>4370400</v>
      </c>
      <c r="F174" s="168"/>
      <c r="G174" s="156"/>
      <c r="H174" s="99"/>
      <c r="I174" s="99"/>
      <c r="J174" s="99"/>
      <c r="K174" s="99"/>
      <c r="L174" s="99"/>
      <c r="M174" s="99"/>
      <c r="N174" s="99"/>
      <c r="O174" s="99"/>
      <c r="P174" s="99"/>
      <c r="Q174" s="23"/>
      <c r="R174" s="23"/>
      <c r="S174" s="100"/>
      <c r="T174" s="24">
        <f t="shared" si="81"/>
        <v>0</v>
      </c>
      <c r="U174" s="25" t="str">
        <f t="shared" si="82"/>
        <v/>
      </c>
      <c r="V174" s="25" t="str">
        <f t="shared" si="83"/>
        <v/>
      </c>
      <c r="W174" s="25" t="str">
        <f t="shared" si="84"/>
        <v/>
      </c>
      <c r="X174" s="26"/>
    </row>
    <row r="175" hidden="1">
      <c r="A175" s="101"/>
      <c r="B175" s="101"/>
      <c r="C175" s="169"/>
      <c r="D175" s="97"/>
      <c r="E175" s="105"/>
      <c r="F175" s="105"/>
      <c r="G175" s="108"/>
      <c r="H175" s="99"/>
      <c r="I175" s="99"/>
      <c r="J175" s="99"/>
      <c r="K175" s="99"/>
      <c r="L175" s="99"/>
      <c r="M175" s="99"/>
      <c r="N175" s="99"/>
      <c r="O175" s="99"/>
      <c r="P175" s="99"/>
      <c r="Q175" s="23"/>
      <c r="R175" s="23"/>
      <c r="S175" s="100"/>
      <c r="T175" s="24">
        <f t="shared" si="81"/>
        <v>0</v>
      </c>
      <c r="U175" s="25" t="str">
        <f t="shared" si="82"/>
        <v/>
      </c>
      <c r="V175" s="25" t="str">
        <f t="shared" si="83"/>
        <v/>
      </c>
      <c r="W175" s="25" t="str">
        <f t="shared" si="84"/>
        <v/>
      </c>
      <c r="X175" s="26"/>
    </row>
    <row r="176" hidden="1">
      <c r="A176" s="101"/>
      <c r="B176" s="101"/>
      <c r="C176" s="170" t="s">
        <v>149</v>
      </c>
      <c r="D176" s="153" t="s">
        <v>140</v>
      </c>
      <c r="E176" s="154">
        <v>190000.0</v>
      </c>
      <c r="F176" s="155">
        <v>500000.0</v>
      </c>
      <c r="G176" s="156">
        <f t="shared" ref="G176:G187" si="86">(F176-E176)/E176</f>
        <v>1.631578947</v>
      </c>
      <c r="H176" s="99"/>
      <c r="I176" s="99"/>
      <c r="J176" s="99"/>
      <c r="K176" s="99"/>
      <c r="L176" s="99"/>
      <c r="M176" s="99"/>
      <c r="N176" s="99"/>
      <c r="O176" s="99"/>
      <c r="P176" s="99"/>
      <c r="Q176" s="23"/>
      <c r="R176" s="23"/>
      <c r="S176" s="100"/>
      <c r="T176" s="24"/>
      <c r="U176" s="25"/>
      <c r="V176" s="25"/>
      <c r="W176" s="25"/>
      <c r="X176" s="26"/>
    </row>
    <row r="177" hidden="1">
      <c r="A177" s="101"/>
      <c r="B177" s="101"/>
      <c r="C177" s="104"/>
      <c r="D177" s="153" t="s">
        <v>150</v>
      </c>
      <c r="E177" s="154">
        <v>1993600.0</v>
      </c>
      <c r="F177" s="155">
        <f>585000*4</f>
        <v>2340000</v>
      </c>
      <c r="G177" s="156">
        <f t="shared" si="86"/>
        <v>0.1737560193</v>
      </c>
      <c r="H177" s="99"/>
      <c r="I177" s="99"/>
      <c r="J177" s="99"/>
      <c r="K177" s="99"/>
      <c r="L177" s="99"/>
      <c r="M177" s="99"/>
      <c r="N177" s="99"/>
      <c r="O177" s="99"/>
      <c r="P177" s="99"/>
      <c r="Q177" s="23"/>
      <c r="R177" s="23"/>
      <c r="S177" s="100"/>
      <c r="T177" s="24">
        <f t="shared" ref="T177:T301" si="87">P177-(G177+S177)-(P177*R177)</f>
        <v>-0.1737560193</v>
      </c>
      <c r="U177" s="25">
        <f t="shared" ref="U177:U301" si="88">IFERROR((P177-G177)/G177,"")</f>
        <v>-1</v>
      </c>
      <c r="V177" s="25" t="str">
        <f t="shared" ref="V177:V301" si="89">IFERROR((P177-G177)/P177,"")</f>
        <v/>
      </c>
      <c r="W177" s="25" t="str">
        <f t="shared" ref="W177:W301" si="90">IFERROR(T177/P177,"")</f>
        <v/>
      </c>
      <c r="X177" s="26"/>
    </row>
    <row r="178" hidden="1">
      <c r="A178" s="101"/>
      <c r="B178" s="101"/>
      <c r="C178" s="104"/>
      <c r="D178" s="153"/>
      <c r="E178" s="154"/>
      <c r="F178" s="154"/>
      <c r="G178" s="156" t="str">
        <f t="shared" si="86"/>
        <v>#DIV/0!</v>
      </c>
      <c r="H178" s="99"/>
      <c r="I178" s="99"/>
      <c r="J178" s="99"/>
      <c r="K178" s="99"/>
      <c r="L178" s="99"/>
      <c r="M178" s="99"/>
      <c r="N178" s="99"/>
      <c r="O178" s="99"/>
      <c r="P178" s="99"/>
      <c r="Q178" s="23"/>
      <c r="R178" s="23"/>
      <c r="S178" s="100"/>
      <c r="T178" s="24" t="str">
        <f t="shared" si="87"/>
        <v>#DIV/0!</v>
      </c>
      <c r="U178" s="25" t="str">
        <f t="shared" si="88"/>
        <v/>
      </c>
      <c r="V178" s="25" t="str">
        <f t="shared" si="89"/>
        <v/>
      </c>
      <c r="W178" s="25" t="str">
        <f t="shared" si="90"/>
        <v/>
      </c>
      <c r="X178" s="26"/>
    </row>
    <row r="179" hidden="1">
      <c r="A179" s="101"/>
      <c r="B179" s="101"/>
      <c r="C179" s="104"/>
      <c r="D179" s="157" t="s">
        <v>142</v>
      </c>
      <c r="E179" s="154">
        <v>1105200.0</v>
      </c>
      <c r="F179" s="154">
        <f>453000*4</f>
        <v>1812000</v>
      </c>
      <c r="G179" s="156">
        <f t="shared" si="86"/>
        <v>0.6395222584</v>
      </c>
      <c r="H179" s="99"/>
      <c r="I179" s="99"/>
      <c r="J179" s="99"/>
      <c r="K179" s="99"/>
      <c r="L179" s="99"/>
      <c r="M179" s="99"/>
      <c r="N179" s="99"/>
      <c r="O179" s="99"/>
      <c r="P179" s="99"/>
      <c r="Q179" s="23"/>
      <c r="R179" s="23"/>
      <c r="S179" s="100"/>
      <c r="T179" s="24">
        <f t="shared" si="87"/>
        <v>-0.6395222584</v>
      </c>
      <c r="U179" s="25">
        <f t="shared" si="88"/>
        <v>-1</v>
      </c>
      <c r="V179" s="25" t="str">
        <f t="shared" si="89"/>
        <v/>
      </c>
      <c r="W179" s="25" t="str">
        <f t="shared" si="90"/>
        <v/>
      </c>
      <c r="X179" s="26"/>
    </row>
    <row r="180" hidden="1">
      <c r="A180" s="101"/>
      <c r="B180" s="101"/>
      <c r="C180" s="104"/>
      <c r="D180" s="158" t="s">
        <v>143</v>
      </c>
      <c r="E180" s="159">
        <v>150000.0</v>
      </c>
      <c r="F180" s="159">
        <v>300000.0</v>
      </c>
      <c r="G180" s="156">
        <f t="shared" si="86"/>
        <v>1</v>
      </c>
      <c r="H180" s="99"/>
      <c r="I180" s="99"/>
      <c r="J180" s="99"/>
      <c r="K180" s="99"/>
      <c r="L180" s="99"/>
      <c r="M180" s="99"/>
      <c r="N180" s="99"/>
      <c r="O180" s="99"/>
      <c r="P180" s="99"/>
      <c r="Q180" s="23"/>
      <c r="R180" s="23"/>
      <c r="S180" s="100"/>
      <c r="T180" s="24">
        <f t="shared" si="87"/>
        <v>-1</v>
      </c>
      <c r="U180" s="25">
        <f t="shared" si="88"/>
        <v>-1</v>
      </c>
      <c r="V180" s="25" t="str">
        <f t="shared" si="89"/>
        <v/>
      </c>
      <c r="W180" s="25" t="str">
        <f t="shared" si="90"/>
        <v/>
      </c>
      <c r="X180" s="26"/>
    </row>
    <row r="181" hidden="1">
      <c r="A181" s="101"/>
      <c r="B181" s="101"/>
      <c r="C181" s="104"/>
      <c r="D181" s="160" t="s">
        <v>144</v>
      </c>
      <c r="E181" s="159">
        <v>145000.0</v>
      </c>
      <c r="F181" s="159">
        <v>300000.0</v>
      </c>
      <c r="G181" s="156">
        <f t="shared" si="86"/>
        <v>1.068965517</v>
      </c>
      <c r="H181" s="99"/>
      <c r="I181" s="99"/>
      <c r="J181" s="99"/>
      <c r="K181" s="99"/>
      <c r="L181" s="99"/>
      <c r="M181" s="99"/>
      <c r="N181" s="99"/>
      <c r="O181" s="99"/>
      <c r="P181" s="99"/>
      <c r="Q181" s="23"/>
      <c r="R181" s="23"/>
      <c r="S181" s="100"/>
      <c r="T181" s="24">
        <f t="shared" si="87"/>
        <v>-1.068965517</v>
      </c>
      <c r="U181" s="25">
        <f t="shared" si="88"/>
        <v>-1</v>
      </c>
      <c r="V181" s="25" t="str">
        <f t="shared" si="89"/>
        <v/>
      </c>
      <c r="W181" s="25" t="str">
        <f t="shared" si="90"/>
        <v/>
      </c>
      <c r="X181" s="26"/>
    </row>
    <row r="182" hidden="1">
      <c r="A182" s="101"/>
      <c r="B182" s="101"/>
      <c r="C182" s="104"/>
      <c r="D182" s="160" t="s">
        <v>145</v>
      </c>
      <c r="E182" s="161">
        <f>420000+(36000*4)+240000+40000</f>
        <v>844000</v>
      </c>
      <c r="F182" s="161">
        <f>330000*4</f>
        <v>1320000</v>
      </c>
      <c r="G182" s="156">
        <f t="shared" si="86"/>
        <v>0.5639810427</v>
      </c>
      <c r="H182" s="99"/>
      <c r="I182" s="99"/>
      <c r="J182" s="99"/>
      <c r="K182" s="99"/>
      <c r="L182" s="99"/>
      <c r="M182" s="99"/>
      <c r="N182" s="99"/>
      <c r="O182" s="99"/>
      <c r="P182" s="99"/>
      <c r="Q182" s="23"/>
      <c r="R182" s="23"/>
      <c r="S182" s="100"/>
      <c r="T182" s="24">
        <f t="shared" si="87"/>
        <v>-0.5639810427</v>
      </c>
      <c r="U182" s="25">
        <f t="shared" si="88"/>
        <v>-1</v>
      </c>
      <c r="V182" s="25" t="str">
        <f t="shared" si="89"/>
        <v/>
      </c>
      <c r="W182" s="25" t="str">
        <f t="shared" si="90"/>
        <v/>
      </c>
      <c r="X182" s="26"/>
    </row>
    <row r="183" hidden="1">
      <c r="A183" s="101"/>
      <c r="B183" s="101"/>
      <c r="C183" s="104"/>
      <c r="D183" s="158" t="s">
        <v>146</v>
      </c>
      <c r="E183" s="162">
        <f>130000*4</f>
        <v>520000</v>
      </c>
      <c r="F183" s="159">
        <v>920000.0</v>
      </c>
      <c r="G183" s="156">
        <f t="shared" si="86"/>
        <v>0.7692307692</v>
      </c>
      <c r="H183" s="99"/>
      <c r="I183" s="99"/>
      <c r="J183" s="99"/>
      <c r="K183" s="99"/>
      <c r="L183" s="99"/>
      <c r="M183" s="99"/>
      <c r="N183" s="99"/>
      <c r="O183" s="99"/>
      <c r="P183" s="99"/>
      <c r="Q183" s="23"/>
      <c r="R183" s="23"/>
      <c r="S183" s="100"/>
      <c r="T183" s="24">
        <f t="shared" si="87"/>
        <v>-0.7692307692</v>
      </c>
      <c r="U183" s="25">
        <f t="shared" si="88"/>
        <v>-1</v>
      </c>
      <c r="V183" s="25" t="str">
        <f t="shared" si="89"/>
        <v/>
      </c>
      <c r="W183" s="25" t="str">
        <f t="shared" si="90"/>
        <v/>
      </c>
      <c r="X183" s="26"/>
    </row>
    <row r="184" hidden="1">
      <c r="A184" s="101"/>
      <c r="B184" s="101"/>
      <c r="C184" s="104"/>
      <c r="D184" s="163" t="s">
        <v>100</v>
      </c>
      <c r="E184" s="162">
        <f>309000*4</f>
        <v>1236000</v>
      </c>
      <c r="F184" s="159">
        <v>1800000.0</v>
      </c>
      <c r="G184" s="156">
        <f t="shared" si="86"/>
        <v>0.4563106796</v>
      </c>
      <c r="H184" s="99"/>
      <c r="I184" s="99"/>
      <c r="J184" s="99"/>
      <c r="K184" s="99"/>
      <c r="L184" s="99"/>
      <c r="M184" s="99"/>
      <c r="N184" s="99"/>
      <c r="O184" s="99"/>
      <c r="P184" s="99"/>
      <c r="Q184" s="23"/>
      <c r="R184" s="23"/>
      <c r="S184" s="100"/>
      <c r="T184" s="24">
        <f t="shared" si="87"/>
        <v>-0.4563106796</v>
      </c>
      <c r="U184" s="25">
        <f t="shared" si="88"/>
        <v>-1</v>
      </c>
      <c r="V184" s="25" t="str">
        <f t="shared" si="89"/>
        <v/>
      </c>
      <c r="W184" s="25" t="str">
        <f t="shared" si="90"/>
        <v/>
      </c>
      <c r="X184" s="26"/>
    </row>
    <row r="185" hidden="1">
      <c r="A185" s="101"/>
      <c r="B185" s="101"/>
      <c r="C185" s="104"/>
      <c r="D185" s="160" t="s">
        <v>91</v>
      </c>
      <c r="E185" s="161">
        <f>330000*4</f>
        <v>1320000</v>
      </c>
      <c r="F185" s="154">
        <f>510000*4</f>
        <v>2040000</v>
      </c>
      <c r="G185" s="156">
        <f t="shared" si="86"/>
        <v>0.5454545455</v>
      </c>
      <c r="H185" s="99"/>
      <c r="I185" s="99"/>
      <c r="J185" s="99"/>
      <c r="K185" s="99"/>
      <c r="L185" s="99"/>
      <c r="M185" s="99"/>
      <c r="N185" s="99"/>
      <c r="O185" s="99"/>
      <c r="P185" s="99"/>
      <c r="Q185" s="23"/>
      <c r="R185" s="23"/>
      <c r="S185" s="100"/>
      <c r="T185" s="24">
        <f t="shared" si="87"/>
        <v>-0.5454545455</v>
      </c>
      <c r="U185" s="25">
        <f t="shared" si="88"/>
        <v>-1</v>
      </c>
      <c r="V185" s="25" t="str">
        <f t="shared" si="89"/>
        <v/>
      </c>
      <c r="W185" s="25" t="str">
        <f t="shared" si="90"/>
        <v/>
      </c>
      <c r="X185" s="26"/>
    </row>
    <row r="186" hidden="1">
      <c r="A186" s="101"/>
      <c r="B186" s="101"/>
      <c r="C186" s="104"/>
      <c r="D186" s="164" t="s">
        <v>121</v>
      </c>
      <c r="E186" s="162">
        <f>145000</f>
        <v>145000</v>
      </c>
      <c r="F186" s="159">
        <v>300000.0</v>
      </c>
      <c r="G186" s="156">
        <f t="shared" si="86"/>
        <v>1.068965517</v>
      </c>
      <c r="H186" s="99"/>
      <c r="I186" s="99"/>
      <c r="J186" s="99"/>
      <c r="K186" s="99"/>
      <c r="L186" s="99"/>
      <c r="M186" s="99"/>
      <c r="N186" s="99"/>
      <c r="O186" s="99"/>
      <c r="P186" s="99"/>
      <c r="Q186" s="23"/>
      <c r="R186" s="23"/>
      <c r="S186" s="100"/>
      <c r="T186" s="24">
        <f t="shared" si="87"/>
        <v>-1.068965517</v>
      </c>
      <c r="U186" s="25">
        <f t="shared" si="88"/>
        <v>-1</v>
      </c>
      <c r="V186" s="25" t="str">
        <f t="shared" si="89"/>
        <v/>
      </c>
      <c r="W186" s="25" t="str">
        <f t="shared" si="90"/>
        <v/>
      </c>
      <c r="X186" s="26"/>
    </row>
    <row r="187" hidden="1">
      <c r="A187" s="101"/>
      <c r="B187" s="101"/>
      <c r="C187" s="104"/>
      <c r="D187" s="171" t="s">
        <v>101</v>
      </c>
      <c r="E187" s="166">
        <f>SUM(E176:E186)</f>
        <v>7648800</v>
      </c>
      <c r="F187" s="166">
        <f>F176+F177+F179+F180+F181+F182+F183+F184+F185+F186</f>
        <v>11632000</v>
      </c>
      <c r="G187" s="167">
        <f t="shared" si="86"/>
        <v>0.5207614266</v>
      </c>
      <c r="H187" s="99"/>
      <c r="I187" s="99">
        <f>F173-F187</f>
        <v>600000</v>
      </c>
      <c r="J187" s="99"/>
      <c r="K187" s="99"/>
      <c r="L187" s="99"/>
      <c r="M187" s="99"/>
      <c r="N187" s="99"/>
      <c r="O187" s="99"/>
      <c r="P187" s="99"/>
      <c r="Q187" s="23"/>
      <c r="R187" s="23"/>
      <c r="S187" s="100"/>
      <c r="T187" s="24">
        <f t="shared" si="87"/>
        <v>-0.5207614266</v>
      </c>
      <c r="U187" s="25">
        <f t="shared" si="88"/>
        <v>-1</v>
      </c>
      <c r="V187" s="25" t="str">
        <f t="shared" si="89"/>
        <v/>
      </c>
      <c r="W187" s="25" t="str">
        <f t="shared" si="90"/>
        <v/>
      </c>
      <c r="X187" s="26"/>
    </row>
    <row r="188" hidden="1">
      <c r="A188" s="101"/>
      <c r="B188" s="101"/>
      <c r="C188" s="104"/>
      <c r="D188" s="160" t="s">
        <v>148</v>
      </c>
      <c r="E188" s="162">
        <f>F187-E187</f>
        <v>3983200</v>
      </c>
      <c r="F188" s="168"/>
      <c r="G188" s="156"/>
      <c r="H188" s="99"/>
      <c r="I188" s="99"/>
      <c r="J188" s="99"/>
      <c r="K188" s="99"/>
      <c r="L188" s="99"/>
      <c r="M188" s="99"/>
      <c r="N188" s="99"/>
      <c r="O188" s="99"/>
      <c r="P188" s="99"/>
      <c r="Q188" s="23"/>
      <c r="R188" s="23"/>
      <c r="S188" s="100"/>
      <c r="T188" s="24">
        <f t="shared" si="87"/>
        <v>0</v>
      </c>
      <c r="U188" s="25" t="str">
        <f t="shared" si="88"/>
        <v/>
      </c>
      <c r="V188" s="25" t="str">
        <f t="shared" si="89"/>
        <v/>
      </c>
      <c r="W188" s="25" t="str">
        <f t="shared" si="90"/>
        <v/>
      </c>
      <c r="X188" s="26"/>
    </row>
    <row r="189" hidden="1">
      <c r="A189" s="117"/>
      <c r="B189" s="117"/>
      <c r="C189" s="172"/>
      <c r="D189" s="103" t="s">
        <v>151</v>
      </c>
      <c r="E189" s="58">
        <f>160000*2</f>
        <v>320000</v>
      </c>
      <c r="F189" s="58">
        <v>500000.0</v>
      </c>
      <c r="G189" s="18">
        <f t="shared" ref="G189:G191" si="91">(F189-E189)/E189</f>
        <v>0.5625</v>
      </c>
      <c r="H189" s="109">
        <v>480.0</v>
      </c>
      <c r="I189" s="99"/>
      <c r="J189" s="99"/>
      <c r="K189" s="99"/>
      <c r="L189" s="99"/>
      <c r="M189" s="99"/>
      <c r="N189" s="99"/>
      <c r="O189" s="99"/>
      <c r="P189" s="99"/>
      <c r="Q189" s="23"/>
      <c r="R189" s="23"/>
      <c r="S189" s="100"/>
      <c r="T189" s="24">
        <f t="shared" si="87"/>
        <v>-0.5625</v>
      </c>
      <c r="U189" s="25">
        <f t="shared" si="88"/>
        <v>-1</v>
      </c>
      <c r="V189" s="25" t="str">
        <f t="shared" si="89"/>
        <v/>
      </c>
      <c r="W189" s="25" t="str">
        <f t="shared" si="90"/>
        <v/>
      </c>
      <c r="X189" s="26"/>
    </row>
    <row r="190" hidden="1">
      <c r="A190" s="117"/>
      <c r="B190" s="117"/>
      <c r="C190" s="172"/>
      <c r="D190" s="103" t="s">
        <v>152</v>
      </c>
      <c r="E190" s="58">
        <v>200000.0</v>
      </c>
      <c r="F190" s="58">
        <v>600000.0</v>
      </c>
      <c r="G190" s="18">
        <f t="shared" si="91"/>
        <v>2</v>
      </c>
      <c r="H190" s="109">
        <v>600.0</v>
      </c>
      <c r="I190" s="99"/>
      <c r="J190" s="99"/>
      <c r="K190" s="99"/>
      <c r="L190" s="99"/>
      <c r="M190" s="99"/>
      <c r="N190" s="99"/>
      <c r="O190" s="99"/>
      <c r="P190" s="99"/>
      <c r="Q190" s="23"/>
      <c r="R190" s="23"/>
      <c r="S190" s="100"/>
      <c r="T190" s="24">
        <f t="shared" si="87"/>
        <v>-2</v>
      </c>
      <c r="U190" s="25">
        <f t="shared" si="88"/>
        <v>-1</v>
      </c>
      <c r="V190" s="25" t="str">
        <f t="shared" si="89"/>
        <v/>
      </c>
      <c r="W190" s="25" t="str">
        <f t="shared" si="90"/>
        <v/>
      </c>
      <c r="X190" s="26"/>
    </row>
    <row r="191" hidden="1">
      <c r="A191" s="117"/>
      <c r="B191" s="117"/>
      <c r="C191" s="139"/>
      <c r="D191" s="103" t="s">
        <v>101</v>
      </c>
      <c r="E191" s="58">
        <f>SUM(E182:E190)</f>
        <v>16217000</v>
      </c>
      <c r="F191" s="58">
        <f>SUM(F183:F188)</f>
        <v>16692000</v>
      </c>
      <c r="G191" s="18">
        <f t="shared" si="91"/>
        <v>0.02929025097</v>
      </c>
      <c r="H191" s="109">
        <f>H183+H184+H185+H186+H187+H188+H189+H190</f>
        <v>1080</v>
      </c>
      <c r="I191" s="99"/>
      <c r="J191" s="99"/>
      <c r="K191" s="99"/>
      <c r="L191" s="99"/>
      <c r="M191" s="99"/>
      <c r="N191" s="99"/>
      <c r="O191" s="99"/>
      <c r="P191" s="99"/>
      <c r="Q191" s="23"/>
      <c r="R191" s="23"/>
      <c r="S191" s="100"/>
      <c r="T191" s="24">
        <f t="shared" si="87"/>
        <v>-0.02929025097</v>
      </c>
      <c r="U191" s="25">
        <f t="shared" si="88"/>
        <v>-1</v>
      </c>
      <c r="V191" s="25" t="str">
        <f t="shared" si="89"/>
        <v/>
      </c>
      <c r="W191" s="25" t="str">
        <f t="shared" si="90"/>
        <v/>
      </c>
      <c r="X191" s="26"/>
    </row>
    <row r="192" hidden="1">
      <c r="A192" s="28"/>
      <c r="B192" s="28"/>
      <c r="C192" s="107"/>
      <c r="D192" s="97"/>
      <c r="E192" s="105"/>
      <c r="F192" s="105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23"/>
      <c r="R192" s="23"/>
      <c r="S192" s="100"/>
      <c r="T192" s="24">
        <f t="shared" si="87"/>
        <v>0</v>
      </c>
      <c r="U192" s="25" t="str">
        <f t="shared" si="88"/>
        <v/>
      </c>
      <c r="V192" s="25" t="str">
        <f t="shared" si="89"/>
        <v/>
      </c>
      <c r="W192" s="25" t="str">
        <f t="shared" si="90"/>
        <v/>
      </c>
      <c r="X192" s="26"/>
    </row>
    <row r="193" hidden="1">
      <c r="A193" s="28"/>
      <c r="B193" s="28"/>
      <c r="C193" s="107"/>
      <c r="D193" s="103" t="s">
        <v>153</v>
      </c>
      <c r="E193" s="58">
        <f>370000+34000+110000+16000</f>
        <v>530000</v>
      </c>
      <c r="F193" s="105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23"/>
      <c r="R193" s="23"/>
      <c r="S193" s="100"/>
      <c r="T193" s="24">
        <f t="shared" si="87"/>
        <v>0</v>
      </c>
      <c r="U193" s="25" t="str">
        <f t="shared" si="88"/>
        <v/>
      </c>
      <c r="V193" s="25" t="str">
        <f t="shared" si="89"/>
        <v/>
      </c>
      <c r="W193" s="25" t="str">
        <f t="shared" si="90"/>
        <v/>
      </c>
      <c r="X193" s="26"/>
    </row>
    <row r="194" hidden="1">
      <c r="A194" s="28"/>
      <c r="B194" s="28"/>
      <c r="C194" s="107"/>
      <c r="D194" s="97"/>
      <c r="E194" s="105"/>
      <c r="F194" s="105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23"/>
      <c r="R194" s="23"/>
      <c r="S194" s="100"/>
      <c r="T194" s="24">
        <f t="shared" si="87"/>
        <v>0</v>
      </c>
      <c r="U194" s="25" t="str">
        <f t="shared" si="88"/>
        <v/>
      </c>
      <c r="V194" s="25" t="str">
        <f t="shared" si="89"/>
        <v/>
      </c>
      <c r="W194" s="25" t="str">
        <f t="shared" si="90"/>
        <v/>
      </c>
      <c r="X194" s="26"/>
    </row>
    <row r="195" hidden="1">
      <c r="A195" s="173"/>
      <c r="B195" s="173"/>
      <c r="C195" s="174" t="s">
        <v>154</v>
      </c>
      <c r="D195" s="103" t="s">
        <v>97</v>
      </c>
      <c r="E195" s="58">
        <f>(110000*2)</f>
        <v>220000</v>
      </c>
      <c r="F195" s="58">
        <f>250000*2</f>
        <v>500000</v>
      </c>
      <c r="G195" s="18">
        <f t="shared" ref="G195:G201" si="92">(F195-E195)/E195</f>
        <v>1.272727273</v>
      </c>
      <c r="H195" s="99"/>
      <c r="I195" s="99"/>
      <c r="J195" s="99"/>
      <c r="K195" s="99"/>
      <c r="L195" s="99"/>
      <c r="M195" s="99"/>
      <c r="N195" s="99"/>
      <c r="O195" s="99"/>
      <c r="P195" s="99"/>
      <c r="Q195" s="23"/>
      <c r="R195" s="23"/>
      <c r="S195" s="100"/>
      <c r="T195" s="24">
        <f t="shared" si="87"/>
        <v>-1.272727273</v>
      </c>
      <c r="U195" s="25">
        <f t="shared" si="88"/>
        <v>-1</v>
      </c>
      <c r="V195" s="25" t="str">
        <f t="shared" si="89"/>
        <v/>
      </c>
      <c r="W195" s="25" t="str">
        <f t="shared" si="90"/>
        <v/>
      </c>
      <c r="X195" s="26"/>
    </row>
    <row r="196" hidden="1">
      <c r="A196" s="173"/>
      <c r="B196" s="173"/>
      <c r="D196" s="103" t="s">
        <v>155</v>
      </c>
      <c r="E196" s="58">
        <f>320000+(36000*2)+30000+30000</f>
        <v>452000</v>
      </c>
      <c r="F196" s="58">
        <f>350000*2</f>
        <v>700000</v>
      </c>
      <c r="G196" s="18">
        <f t="shared" si="92"/>
        <v>0.5486725664</v>
      </c>
      <c r="H196" s="99"/>
      <c r="I196" s="99"/>
      <c r="J196" s="99"/>
      <c r="K196" s="99"/>
      <c r="L196" s="99"/>
      <c r="M196" s="99"/>
      <c r="N196" s="99"/>
      <c r="O196" s="99"/>
      <c r="P196" s="99"/>
      <c r="Q196" s="23"/>
      <c r="R196" s="23"/>
      <c r="S196" s="100"/>
      <c r="T196" s="24">
        <f t="shared" si="87"/>
        <v>-0.5486725664</v>
      </c>
      <c r="U196" s="25">
        <f t="shared" si="88"/>
        <v>-1</v>
      </c>
      <c r="V196" s="25" t="str">
        <f t="shared" si="89"/>
        <v/>
      </c>
      <c r="W196" s="25" t="str">
        <f t="shared" si="90"/>
        <v/>
      </c>
      <c r="X196" s="26"/>
    </row>
    <row r="197" hidden="1">
      <c r="A197" s="173"/>
      <c r="B197" s="173"/>
      <c r="D197" s="103" t="s">
        <v>156</v>
      </c>
      <c r="E197" s="58">
        <f>(330000*2)</f>
        <v>660000</v>
      </c>
      <c r="F197" s="58">
        <f>(490000*2)</f>
        <v>980000</v>
      </c>
      <c r="G197" s="18">
        <f t="shared" si="92"/>
        <v>0.4848484848</v>
      </c>
      <c r="H197" s="99"/>
      <c r="I197" s="99"/>
      <c r="J197" s="99"/>
      <c r="K197" s="99"/>
      <c r="L197" s="99"/>
      <c r="M197" s="99"/>
      <c r="N197" s="99"/>
      <c r="O197" s="99"/>
      <c r="P197" s="99"/>
      <c r="Q197" s="23"/>
      <c r="R197" s="23"/>
      <c r="S197" s="100"/>
      <c r="T197" s="24">
        <f t="shared" si="87"/>
        <v>-0.4848484848</v>
      </c>
      <c r="U197" s="25">
        <f t="shared" si="88"/>
        <v>-1</v>
      </c>
      <c r="V197" s="25" t="str">
        <f t="shared" si="89"/>
        <v/>
      </c>
      <c r="W197" s="25" t="str">
        <f t="shared" si="90"/>
        <v/>
      </c>
      <c r="X197" s="26"/>
    </row>
    <row r="198" hidden="1">
      <c r="A198" s="173"/>
      <c r="B198" s="173"/>
      <c r="D198" s="103" t="s">
        <v>157</v>
      </c>
      <c r="E198" s="58">
        <f>295000*2</f>
        <v>590000</v>
      </c>
      <c r="F198" s="58">
        <f>510000*2</f>
        <v>1020000</v>
      </c>
      <c r="G198" s="18">
        <f t="shared" si="92"/>
        <v>0.7288135593</v>
      </c>
      <c r="H198" s="99"/>
      <c r="I198" s="99"/>
      <c r="J198" s="99"/>
      <c r="K198" s="99"/>
      <c r="L198" s="99"/>
      <c r="M198" s="99"/>
      <c r="N198" s="99"/>
      <c r="O198" s="99"/>
      <c r="P198" s="99"/>
      <c r="Q198" s="23"/>
      <c r="R198" s="23"/>
      <c r="S198" s="100"/>
      <c r="T198" s="24">
        <f t="shared" si="87"/>
        <v>-0.7288135593</v>
      </c>
      <c r="U198" s="25">
        <f t="shared" si="88"/>
        <v>-1</v>
      </c>
      <c r="V198" s="25" t="str">
        <f t="shared" si="89"/>
        <v/>
      </c>
      <c r="W198" s="25" t="str">
        <f t="shared" si="90"/>
        <v/>
      </c>
      <c r="X198" s="26"/>
    </row>
    <row r="199" hidden="1">
      <c r="A199" s="173"/>
      <c r="B199" s="173"/>
      <c r="D199" s="103" t="s">
        <v>158</v>
      </c>
      <c r="E199" s="58">
        <f>400000*2</f>
        <v>800000</v>
      </c>
      <c r="F199" s="58">
        <f>550000*2</f>
        <v>1100000</v>
      </c>
      <c r="G199" s="18">
        <f t="shared" si="92"/>
        <v>0.375</v>
      </c>
      <c r="H199" s="99"/>
      <c r="I199" s="99"/>
      <c r="J199" s="99"/>
      <c r="K199" s="99"/>
      <c r="L199" s="99"/>
      <c r="M199" s="99"/>
      <c r="N199" s="99"/>
      <c r="O199" s="99"/>
      <c r="P199" s="99"/>
      <c r="Q199" s="23"/>
      <c r="R199" s="23"/>
      <c r="S199" s="100"/>
      <c r="T199" s="24">
        <f t="shared" si="87"/>
        <v>-0.375</v>
      </c>
      <c r="U199" s="25">
        <f t="shared" si="88"/>
        <v>-1</v>
      </c>
      <c r="V199" s="25" t="str">
        <f t="shared" si="89"/>
        <v/>
      </c>
      <c r="W199" s="25" t="str">
        <f t="shared" si="90"/>
        <v/>
      </c>
      <c r="X199" s="26"/>
    </row>
    <row r="200" hidden="1">
      <c r="A200" s="173"/>
      <c r="B200" s="173"/>
      <c r="D200" s="28" t="s">
        <v>156</v>
      </c>
      <c r="E200" s="58">
        <f>(330000*2)</f>
        <v>660000</v>
      </c>
      <c r="F200" s="58">
        <f>510000*2</f>
        <v>1020000</v>
      </c>
      <c r="G200" s="18">
        <f t="shared" si="92"/>
        <v>0.5454545455</v>
      </c>
      <c r="H200" s="99"/>
      <c r="I200" s="99"/>
      <c r="J200" s="99"/>
      <c r="K200" s="99"/>
      <c r="L200" s="99"/>
      <c r="M200" s="99"/>
      <c r="N200" s="99"/>
      <c r="O200" s="99"/>
      <c r="P200" s="99"/>
      <c r="Q200" s="23"/>
      <c r="R200" s="23"/>
      <c r="S200" s="100"/>
      <c r="T200" s="24">
        <f t="shared" si="87"/>
        <v>-0.5454545455</v>
      </c>
      <c r="U200" s="25">
        <f t="shared" si="88"/>
        <v>-1</v>
      </c>
      <c r="V200" s="25" t="str">
        <f t="shared" si="89"/>
        <v/>
      </c>
      <c r="W200" s="25" t="str">
        <f t="shared" si="90"/>
        <v/>
      </c>
      <c r="X200" s="26"/>
    </row>
    <row r="201" hidden="1">
      <c r="A201" s="173"/>
      <c r="B201" s="173"/>
      <c r="D201" s="103" t="s">
        <v>101</v>
      </c>
      <c r="E201" s="58">
        <f t="shared" ref="E201:F201" si="93">E195+E196+E197+E198+E199+E200</f>
        <v>3382000</v>
      </c>
      <c r="F201" s="58">
        <f t="shared" si="93"/>
        <v>5320000</v>
      </c>
      <c r="G201" s="18">
        <f t="shared" si="92"/>
        <v>0.5730337079</v>
      </c>
      <c r="H201" s="99"/>
      <c r="I201" s="99"/>
      <c r="J201" s="99"/>
      <c r="K201" s="99"/>
      <c r="L201" s="99"/>
      <c r="M201" s="99"/>
      <c r="N201" s="99"/>
      <c r="O201" s="99"/>
      <c r="P201" s="99"/>
      <c r="Q201" s="23"/>
      <c r="R201" s="23"/>
      <c r="S201" s="100"/>
      <c r="T201" s="24">
        <f t="shared" si="87"/>
        <v>-0.5730337079</v>
      </c>
      <c r="U201" s="25">
        <f t="shared" si="88"/>
        <v>-1</v>
      </c>
      <c r="V201" s="25" t="str">
        <f t="shared" si="89"/>
        <v/>
      </c>
      <c r="W201" s="25" t="str">
        <f t="shared" si="90"/>
        <v/>
      </c>
      <c r="X201" s="26"/>
    </row>
    <row r="202" hidden="1">
      <c r="A202" s="28"/>
      <c r="B202" s="28"/>
      <c r="C202" s="107"/>
      <c r="D202" s="97"/>
      <c r="E202" s="105"/>
      <c r="F202" s="105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23"/>
      <c r="R202" s="23"/>
      <c r="S202" s="100"/>
      <c r="T202" s="24">
        <f t="shared" si="87"/>
        <v>0</v>
      </c>
      <c r="U202" s="25" t="str">
        <f t="shared" si="88"/>
        <v/>
      </c>
      <c r="V202" s="25" t="str">
        <f t="shared" si="89"/>
        <v/>
      </c>
      <c r="W202" s="25" t="str">
        <f t="shared" si="90"/>
        <v/>
      </c>
      <c r="X202" s="26"/>
    </row>
    <row r="203" hidden="1">
      <c r="A203" s="28"/>
      <c r="B203" s="28"/>
      <c r="C203" s="107"/>
      <c r="D203" s="97"/>
      <c r="E203" s="58">
        <f>F201-E201</f>
        <v>1938000</v>
      </c>
      <c r="F203" s="105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23"/>
      <c r="R203" s="23"/>
      <c r="S203" s="100"/>
      <c r="T203" s="24">
        <f t="shared" si="87"/>
        <v>0</v>
      </c>
      <c r="U203" s="25" t="str">
        <f t="shared" si="88"/>
        <v/>
      </c>
      <c r="V203" s="25" t="str">
        <f t="shared" si="89"/>
        <v/>
      </c>
      <c r="W203" s="25" t="str">
        <f t="shared" si="90"/>
        <v/>
      </c>
      <c r="X203" s="26"/>
    </row>
    <row r="204" hidden="1">
      <c r="A204" s="28"/>
      <c r="B204" s="28"/>
      <c r="C204" s="107"/>
      <c r="D204" s="97"/>
      <c r="E204" s="105"/>
      <c r="F204" s="105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23"/>
      <c r="R204" s="23"/>
      <c r="S204" s="100"/>
      <c r="T204" s="24">
        <f t="shared" si="87"/>
        <v>0</v>
      </c>
      <c r="U204" s="25" t="str">
        <f t="shared" si="88"/>
        <v/>
      </c>
      <c r="V204" s="25" t="str">
        <f t="shared" si="89"/>
        <v/>
      </c>
      <c r="W204" s="25" t="str">
        <f t="shared" si="90"/>
        <v/>
      </c>
      <c r="X204" s="26"/>
    </row>
    <row r="205" hidden="1">
      <c r="A205" s="117"/>
      <c r="B205" s="117"/>
      <c r="C205" s="137" t="s">
        <v>159</v>
      </c>
      <c r="D205" s="103" t="s">
        <v>160</v>
      </c>
      <c r="E205" s="58">
        <v>396000.0</v>
      </c>
      <c r="F205" s="58">
        <v>500000.0</v>
      </c>
      <c r="G205" s="18">
        <f t="shared" ref="G205:G210" si="94">(F205-E205)/E205</f>
        <v>0.2626262626</v>
      </c>
      <c r="H205" s="99"/>
      <c r="I205" s="99"/>
      <c r="J205" s="99"/>
      <c r="K205" s="99"/>
      <c r="L205" s="99"/>
      <c r="M205" s="99"/>
      <c r="N205" s="99"/>
      <c r="O205" s="99"/>
      <c r="P205" s="99"/>
      <c r="Q205" s="23"/>
      <c r="R205" s="23"/>
      <c r="S205" s="100"/>
      <c r="T205" s="24">
        <f t="shared" si="87"/>
        <v>-0.2626262626</v>
      </c>
      <c r="U205" s="25">
        <f t="shared" si="88"/>
        <v>-1</v>
      </c>
      <c r="V205" s="25" t="str">
        <f t="shared" si="89"/>
        <v/>
      </c>
      <c r="W205" s="25" t="str">
        <f t="shared" si="90"/>
        <v/>
      </c>
      <c r="X205" s="26"/>
    </row>
    <row r="206" hidden="1">
      <c r="A206" s="117"/>
      <c r="B206" s="117"/>
      <c r="C206" s="104"/>
      <c r="D206" s="103" t="s">
        <v>156</v>
      </c>
      <c r="E206" s="58">
        <v>330000.0</v>
      </c>
      <c r="F206" s="58">
        <v>490000.0</v>
      </c>
      <c r="G206" s="18">
        <f t="shared" si="94"/>
        <v>0.4848484848</v>
      </c>
      <c r="H206" s="99"/>
      <c r="I206" s="99"/>
      <c r="J206" s="99"/>
      <c r="K206" s="99"/>
      <c r="L206" s="99"/>
      <c r="M206" s="99"/>
      <c r="N206" s="99"/>
      <c r="O206" s="99"/>
      <c r="P206" s="99"/>
      <c r="Q206" s="23"/>
      <c r="R206" s="23"/>
      <c r="S206" s="100"/>
      <c r="T206" s="24">
        <f t="shared" si="87"/>
        <v>-0.4848484848</v>
      </c>
      <c r="U206" s="25">
        <f t="shared" si="88"/>
        <v>-1</v>
      </c>
      <c r="V206" s="25" t="str">
        <f t="shared" si="89"/>
        <v/>
      </c>
      <c r="W206" s="25" t="str">
        <f t="shared" si="90"/>
        <v/>
      </c>
      <c r="X206" s="26"/>
    </row>
    <row r="207" hidden="1">
      <c r="A207" s="117"/>
      <c r="B207" s="117"/>
      <c r="C207" s="106"/>
      <c r="D207" s="103" t="s">
        <v>161</v>
      </c>
      <c r="E207" s="58">
        <v>118000.0</v>
      </c>
      <c r="F207" s="58">
        <v>210000.0</v>
      </c>
      <c r="G207" s="18">
        <f t="shared" si="94"/>
        <v>0.7796610169</v>
      </c>
      <c r="H207" s="99"/>
      <c r="I207" s="99"/>
      <c r="J207" s="99"/>
      <c r="K207" s="99"/>
      <c r="L207" s="99"/>
      <c r="M207" s="99"/>
      <c r="N207" s="99"/>
      <c r="O207" s="99"/>
      <c r="P207" s="99"/>
      <c r="Q207" s="23"/>
      <c r="R207" s="23"/>
      <c r="S207" s="100"/>
      <c r="T207" s="24">
        <f t="shared" si="87"/>
        <v>-0.7796610169</v>
      </c>
      <c r="U207" s="25">
        <f t="shared" si="88"/>
        <v>-1</v>
      </c>
      <c r="V207" s="25" t="str">
        <f t="shared" si="89"/>
        <v/>
      </c>
      <c r="W207" s="25" t="str">
        <f t="shared" si="90"/>
        <v/>
      </c>
      <c r="X207" s="26"/>
    </row>
    <row r="208" hidden="1">
      <c r="A208" s="28"/>
      <c r="B208" s="28"/>
      <c r="C208" s="107"/>
      <c r="D208" s="97"/>
      <c r="E208" s="58">
        <f t="shared" ref="E208:F208" si="95">E205+E206+E207</f>
        <v>844000</v>
      </c>
      <c r="F208" s="58">
        <f t="shared" si="95"/>
        <v>1200000</v>
      </c>
      <c r="G208" s="18">
        <f t="shared" si="94"/>
        <v>0.4218009479</v>
      </c>
      <c r="H208" s="99"/>
      <c r="I208" s="99"/>
      <c r="J208" s="99"/>
      <c r="K208" s="99"/>
      <c r="L208" s="99"/>
      <c r="M208" s="99"/>
      <c r="N208" s="99"/>
      <c r="O208" s="99"/>
      <c r="P208" s="99"/>
      <c r="Q208" s="23"/>
      <c r="R208" s="23"/>
      <c r="S208" s="100"/>
      <c r="T208" s="24">
        <f t="shared" si="87"/>
        <v>-0.4218009479</v>
      </c>
      <c r="U208" s="25">
        <f t="shared" si="88"/>
        <v>-1</v>
      </c>
      <c r="V208" s="25" t="str">
        <f t="shared" si="89"/>
        <v/>
      </c>
      <c r="W208" s="25" t="str">
        <f t="shared" si="90"/>
        <v/>
      </c>
      <c r="X208" s="26"/>
    </row>
    <row r="209" hidden="1">
      <c r="A209" s="175"/>
      <c r="B209" s="175"/>
      <c r="C209" s="175"/>
      <c r="D209" s="97"/>
      <c r="E209" s="58" t="s">
        <v>162</v>
      </c>
      <c r="F209" s="58">
        <f>F208-396000</f>
        <v>804000</v>
      </c>
      <c r="G209" s="18" t="str">
        <f t="shared" si="94"/>
        <v>#VALUE!</v>
      </c>
      <c r="H209" s="99"/>
      <c r="I209" s="99"/>
      <c r="J209" s="99"/>
      <c r="K209" s="99"/>
      <c r="L209" s="99"/>
      <c r="M209" s="99"/>
      <c r="N209" s="99"/>
      <c r="O209" s="99"/>
      <c r="P209" s="99"/>
      <c r="Q209" s="23"/>
      <c r="R209" s="23"/>
      <c r="S209" s="100"/>
      <c r="T209" s="24" t="str">
        <f t="shared" si="87"/>
        <v>#VALUE!</v>
      </c>
      <c r="U209" s="25" t="str">
        <f t="shared" si="88"/>
        <v/>
      </c>
      <c r="V209" s="25" t="str">
        <f t="shared" si="89"/>
        <v/>
      </c>
      <c r="W209" s="25" t="str">
        <f t="shared" si="90"/>
        <v/>
      </c>
      <c r="X209" s="26"/>
    </row>
    <row r="210" hidden="1">
      <c r="A210" s="28"/>
      <c r="B210" s="28"/>
      <c r="C210" s="107"/>
      <c r="D210" s="97"/>
      <c r="E210" s="58">
        <f>F208-E208</f>
        <v>356000</v>
      </c>
      <c r="F210" s="105"/>
      <c r="G210" s="18">
        <f t="shared" si="94"/>
        <v>-1</v>
      </c>
      <c r="H210" s="99"/>
      <c r="I210" s="99"/>
      <c r="J210" s="99"/>
      <c r="K210" s="99"/>
      <c r="L210" s="99"/>
      <c r="M210" s="99"/>
      <c r="N210" s="99"/>
      <c r="O210" s="99"/>
      <c r="P210" s="99"/>
      <c r="Q210" s="23"/>
      <c r="R210" s="23"/>
      <c r="S210" s="100"/>
      <c r="T210" s="24">
        <f t="shared" si="87"/>
        <v>1</v>
      </c>
      <c r="U210" s="25">
        <f t="shared" si="88"/>
        <v>-1</v>
      </c>
      <c r="V210" s="25" t="str">
        <f t="shared" si="89"/>
        <v/>
      </c>
      <c r="W210" s="25" t="str">
        <f t="shared" si="90"/>
        <v/>
      </c>
      <c r="X210" s="26"/>
    </row>
    <row r="211" hidden="1">
      <c r="A211" s="28"/>
      <c r="B211" s="28"/>
      <c r="C211" s="107"/>
      <c r="D211" s="97"/>
      <c r="E211" s="105"/>
      <c r="F211" s="105"/>
      <c r="G211" s="108"/>
      <c r="H211" s="99"/>
      <c r="I211" s="99"/>
      <c r="J211" s="99"/>
      <c r="K211" s="99"/>
      <c r="L211" s="99"/>
      <c r="M211" s="99"/>
      <c r="N211" s="99"/>
      <c r="O211" s="99"/>
      <c r="P211" s="99"/>
      <c r="Q211" s="23"/>
      <c r="R211" s="23"/>
      <c r="S211" s="100"/>
      <c r="T211" s="24">
        <f t="shared" si="87"/>
        <v>0</v>
      </c>
      <c r="U211" s="25" t="str">
        <f t="shared" si="88"/>
        <v/>
      </c>
      <c r="V211" s="25" t="str">
        <f t="shared" si="89"/>
        <v/>
      </c>
      <c r="W211" s="25" t="str">
        <f t="shared" si="90"/>
        <v/>
      </c>
      <c r="X211" s="26"/>
    </row>
    <row r="212" hidden="1">
      <c r="A212" s="173"/>
      <c r="B212" s="173"/>
      <c r="C212" s="173" t="s">
        <v>163</v>
      </c>
      <c r="D212" s="103" t="s">
        <v>164</v>
      </c>
      <c r="E212" s="58">
        <f>613800*2</f>
        <v>1227600</v>
      </c>
      <c r="F212" s="58">
        <f>720000*2</f>
        <v>1440000</v>
      </c>
      <c r="G212" s="18">
        <f t="shared" ref="G212:G219" si="96">(F212-E212)/E212</f>
        <v>0.1730205279</v>
      </c>
      <c r="H212" s="99"/>
      <c r="I212" s="99"/>
      <c r="J212" s="99"/>
      <c r="K212" s="99"/>
      <c r="L212" s="99"/>
      <c r="M212" s="99"/>
      <c r="N212" s="99"/>
      <c r="O212" s="99"/>
      <c r="P212" s="99"/>
      <c r="Q212" s="23"/>
      <c r="R212" s="23"/>
      <c r="S212" s="100"/>
      <c r="T212" s="24">
        <f t="shared" si="87"/>
        <v>-0.1730205279</v>
      </c>
      <c r="U212" s="25">
        <f t="shared" si="88"/>
        <v>-1</v>
      </c>
      <c r="V212" s="25" t="str">
        <f t="shared" si="89"/>
        <v/>
      </c>
      <c r="W212" s="25" t="str">
        <f t="shared" si="90"/>
        <v/>
      </c>
      <c r="X212" s="26"/>
    </row>
    <row r="213" hidden="1">
      <c r="A213" s="28"/>
      <c r="B213" s="28"/>
      <c r="C213" s="107"/>
      <c r="D213" s="103" t="s">
        <v>165</v>
      </c>
      <c r="E213" s="58">
        <f>279000*2</f>
        <v>558000</v>
      </c>
      <c r="F213" s="58">
        <f>440000*2</f>
        <v>880000</v>
      </c>
      <c r="G213" s="18">
        <f t="shared" si="96"/>
        <v>0.5770609319</v>
      </c>
      <c r="H213" s="99"/>
      <c r="I213" s="99"/>
      <c r="J213" s="99"/>
      <c r="K213" s="99"/>
      <c r="L213" s="99"/>
      <c r="M213" s="99"/>
      <c r="N213" s="99"/>
      <c r="O213" s="99"/>
      <c r="P213" s="99"/>
      <c r="Q213" s="23"/>
      <c r="R213" s="23"/>
      <c r="S213" s="100"/>
      <c r="T213" s="24">
        <f t="shared" si="87"/>
        <v>-0.5770609319</v>
      </c>
      <c r="U213" s="25">
        <f t="shared" si="88"/>
        <v>-1</v>
      </c>
      <c r="V213" s="25" t="str">
        <f t="shared" si="89"/>
        <v/>
      </c>
      <c r="W213" s="25" t="str">
        <f t="shared" si="90"/>
        <v/>
      </c>
      <c r="X213" s="26"/>
    </row>
    <row r="214" hidden="1">
      <c r="A214" s="28"/>
      <c r="B214" s="28"/>
      <c r="C214" s="107"/>
      <c r="D214" s="103" t="s">
        <v>166</v>
      </c>
      <c r="E214" s="58">
        <f>148665*2</f>
        <v>297330</v>
      </c>
      <c r="F214" s="58">
        <f>320000*2</f>
        <v>640000</v>
      </c>
      <c r="G214" s="18">
        <f t="shared" si="96"/>
        <v>1.152490499</v>
      </c>
      <c r="H214" s="99"/>
      <c r="I214" s="99"/>
      <c r="J214" s="99"/>
      <c r="K214" s="99"/>
      <c r="L214" s="99"/>
      <c r="M214" s="99"/>
      <c r="N214" s="99"/>
      <c r="O214" s="99"/>
      <c r="P214" s="99"/>
      <c r="Q214" s="23"/>
      <c r="R214" s="23"/>
      <c r="S214" s="100"/>
      <c r="T214" s="24">
        <f t="shared" si="87"/>
        <v>-1.152490499</v>
      </c>
      <c r="U214" s="25">
        <f t="shared" si="88"/>
        <v>-1</v>
      </c>
      <c r="V214" s="25" t="str">
        <f t="shared" si="89"/>
        <v/>
      </c>
      <c r="W214" s="25" t="str">
        <f t="shared" si="90"/>
        <v/>
      </c>
      <c r="X214" s="26"/>
    </row>
    <row r="215" hidden="1">
      <c r="A215" s="28"/>
      <c r="B215" s="28"/>
      <c r="C215" s="107"/>
      <c r="D215" s="103" t="s">
        <v>167</v>
      </c>
      <c r="E215" s="58">
        <f>673000*2</f>
        <v>1346000</v>
      </c>
      <c r="F215" s="58">
        <f>E215*1.2</f>
        <v>1615200</v>
      </c>
      <c r="G215" s="18">
        <f t="shared" si="96"/>
        <v>0.2</v>
      </c>
      <c r="H215" s="99"/>
      <c r="I215" s="99"/>
      <c r="J215" s="99"/>
      <c r="K215" s="99"/>
      <c r="L215" s="99"/>
      <c r="M215" s="99"/>
      <c r="N215" s="99"/>
      <c r="O215" s="99"/>
      <c r="P215" s="99"/>
      <c r="Q215" s="23"/>
      <c r="R215" s="23"/>
      <c r="S215" s="100"/>
      <c r="T215" s="24">
        <f t="shared" si="87"/>
        <v>-0.2</v>
      </c>
      <c r="U215" s="25">
        <f t="shared" si="88"/>
        <v>-1</v>
      </c>
      <c r="V215" s="25" t="str">
        <f t="shared" si="89"/>
        <v/>
      </c>
      <c r="W215" s="25" t="str">
        <f t="shared" si="90"/>
        <v/>
      </c>
      <c r="X215" s="26"/>
    </row>
    <row r="216" hidden="1">
      <c r="A216" s="28"/>
      <c r="B216" s="28"/>
      <c r="C216" s="107"/>
      <c r="D216" s="103" t="s">
        <v>155</v>
      </c>
      <c r="E216" s="58">
        <f>320000+(36000*2)+30000+20000</f>
        <v>442000</v>
      </c>
      <c r="F216" s="58">
        <f>350000*2</f>
        <v>700000</v>
      </c>
      <c r="G216" s="18">
        <f t="shared" si="96"/>
        <v>0.5837104072</v>
      </c>
      <c r="H216" s="99"/>
      <c r="I216" s="99"/>
      <c r="J216" s="99"/>
      <c r="K216" s="99"/>
      <c r="L216" s="99"/>
      <c r="M216" s="99"/>
      <c r="N216" s="99"/>
      <c r="O216" s="99"/>
      <c r="P216" s="99"/>
      <c r="Q216" s="23"/>
      <c r="R216" s="23"/>
      <c r="S216" s="100"/>
      <c r="T216" s="24">
        <f t="shared" si="87"/>
        <v>-0.5837104072</v>
      </c>
      <c r="U216" s="25">
        <f t="shared" si="88"/>
        <v>-1</v>
      </c>
      <c r="V216" s="25" t="str">
        <f t="shared" si="89"/>
        <v/>
      </c>
      <c r="W216" s="25" t="str">
        <f t="shared" si="90"/>
        <v/>
      </c>
      <c r="X216" s="26"/>
    </row>
    <row r="217" hidden="1">
      <c r="A217" s="28"/>
      <c r="B217" s="28"/>
      <c r="C217" s="107"/>
      <c r="D217" s="103" t="s">
        <v>156</v>
      </c>
      <c r="E217" s="58">
        <f>(330000*2)</f>
        <v>660000</v>
      </c>
      <c r="F217" s="58">
        <f>510000*2</f>
        <v>1020000</v>
      </c>
      <c r="G217" s="18">
        <f t="shared" si="96"/>
        <v>0.5454545455</v>
      </c>
      <c r="H217" s="99"/>
      <c r="I217" s="99"/>
      <c r="J217" s="99"/>
      <c r="K217" s="99"/>
      <c r="L217" s="99"/>
      <c r="M217" s="99"/>
      <c r="N217" s="99"/>
      <c r="O217" s="99"/>
      <c r="P217" s="99"/>
      <c r="Q217" s="23"/>
      <c r="R217" s="23"/>
      <c r="S217" s="100"/>
      <c r="T217" s="24">
        <f t="shared" si="87"/>
        <v>-0.5454545455</v>
      </c>
      <c r="U217" s="25">
        <f t="shared" si="88"/>
        <v>-1</v>
      </c>
      <c r="V217" s="25" t="str">
        <f t="shared" si="89"/>
        <v/>
      </c>
      <c r="W217" s="25" t="str">
        <f t="shared" si="90"/>
        <v/>
      </c>
      <c r="X217" s="26"/>
    </row>
    <row r="218" hidden="1">
      <c r="A218" s="28"/>
      <c r="B218" s="28"/>
      <c r="C218" s="107"/>
      <c r="D218" s="103" t="s">
        <v>86</v>
      </c>
      <c r="E218" s="58">
        <f>(130000*2)</f>
        <v>260000</v>
      </c>
      <c r="F218" s="58">
        <f>250000*2</f>
        <v>500000</v>
      </c>
      <c r="G218" s="18">
        <f t="shared" si="96"/>
        <v>0.9230769231</v>
      </c>
      <c r="H218" s="99"/>
      <c r="I218" s="99"/>
      <c r="J218" s="99"/>
      <c r="K218" s="99"/>
      <c r="L218" s="99"/>
      <c r="M218" s="99"/>
      <c r="N218" s="99"/>
      <c r="O218" s="99"/>
      <c r="P218" s="99"/>
      <c r="Q218" s="23"/>
      <c r="R218" s="23"/>
      <c r="S218" s="100"/>
      <c r="T218" s="24">
        <f t="shared" si="87"/>
        <v>-0.9230769231</v>
      </c>
      <c r="U218" s="25">
        <f t="shared" si="88"/>
        <v>-1</v>
      </c>
      <c r="V218" s="25" t="str">
        <f t="shared" si="89"/>
        <v/>
      </c>
      <c r="W218" s="25" t="str">
        <f t="shared" si="90"/>
        <v/>
      </c>
      <c r="X218" s="26"/>
    </row>
    <row r="219" hidden="1">
      <c r="A219" s="28"/>
      <c r="B219" s="28"/>
      <c r="C219" s="107"/>
      <c r="D219" s="97"/>
      <c r="E219" s="58">
        <f t="shared" ref="E219:F219" si="97">E212+E213+E214+E215+E216+E217+E218</f>
        <v>4790930</v>
      </c>
      <c r="F219" s="58">
        <f t="shared" si="97"/>
        <v>6795200</v>
      </c>
      <c r="G219" s="18">
        <f t="shared" si="96"/>
        <v>0.418346751</v>
      </c>
      <c r="H219" s="99"/>
      <c r="I219" s="99"/>
      <c r="J219" s="99"/>
      <c r="K219" s="99"/>
      <c r="L219" s="99"/>
      <c r="M219" s="99"/>
      <c r="N219" s="99"/>
      <c r="O219" s="99"/>
      <c r="P219" s="99"/>
      <c r="Q219" s="23"/>
      <c r="R219" s="23"/>
      <c r="S219" s="100"/>
      <c r="T219" s="24">
        <f t="shared" si="87"/>
        <v>-0.418346751</v>
      </c>
      <c r="U219" s="25">
        <f t="shared" si="88"/>
        <v>-1</v>
      </c>
      <c r="V219" s="25" t="str">
        <f t="shared" si="89"/>
        <v/>
      </c>
      <c r="W219" s="25" t="str">
        <f t="shared" si="90"/>
        <v/>
      </c>
      <c r="X219" s="26"/>
    </row>
    <row r="220" hidden="1">
      <c r="A220" s="28"/>
      <c r="B220" s="28"/>
      <c r="C220" s="107"/>
      <c r="D220" s="97"/>
      <c r="E220" s="58">
        <f>F219-E219</f>
        <v>2004270</v>
      </c>
      <c r="F220" s="105"/>
      <c r="G220" s="108"/>
      <c r="H220" s="99"/>
      <c r="I220" s="99"/>
      <c r="J220" s="99"/>
      <c r="K220" s="99"/>
      <c r="L220" s="99"/>
      <c r="M220" s="99"/>
      <c r="N220" s="99"/>
      <c r="O220" s="99"/>
      <c r="P220" s="99"/>
      <c r="Q220" s="23"/>
      <c r="R220" s="23"/>
      <c r="S220" s="100"/>
      <c r="T220" s="24">
        <f t="shared" si="87"/>
        <v>0</v>
      </c>
      <c r="U220" s="25" t="str">
        <f t="shared" si="88"/>
        <v/>
      </c>
      <c r="V220" s="25" t="str">
        <f t="shared" si="89"/>
        <v/>
      </c>
      <c r="W220" s="25" t="str">
        <f t="shared" si="90"/>
        <v/>
      </c>
      <c r="X220" s="26"/>
    </row>
    <row r="221" hidden="1">
      <c r="A221" s="28"/>
      <c r="B221" s="28"/>
      <c r="C221" s="107"/>
      <c r="D221" s="97"/>
      <c r="E221" s="105"/>
      <c r="F221" s="105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23"/>
      <c r="R221" s="23"/>
      <c r="S221" s="100"/>
      <c r="T221" s="24">
        <f t="shared" si="87"/>
        <v>0</v>
      </c>
      <c r="U221" s="25" t="str">
        <f t="shared" si="88"/>
        <v/>
      </c>
      <c r="V221" s="25" t="str">
        <f t="shared" si="89"/>
        <v/>
      </c>
      <c r="W221" s="25" t="str">
        <f t="shared" si="90"/>
        <v/>
      </c>
      <c r="X221" s="26"/>
    </row>
    <row r="222" hidden="1">
      <c r="A222" s="117"/>
      <c r="B222" s="117"/>
      <c r="C222" s="118" t="s">
        <v>168</v>
      </c>
      <c r="D222" s="103" t="s">
        <v>169</v>
      </c>
      <c r="E222" s="58">
        <f>370000*2</f>
        <v>740000</v>
      </c>
      <c r="F222" s="58">
        <f>500000*2</f>
        <v>1000000</v>
      </c>
      <c r="G222" s="18">
        <f t="shared" ref="G222:G224" si="98">(F222-E222)/E222</f>
        <v>0.3513513514</v>
      </c>
      <c r="H222" s="99"/>
      <c r="I222" s="99"/>
      <c r="J222" s="99"/>
      <c r="K222" s="99"/>
      <c r="L222" s="99"/>
      <c r="M222" s="99"/>
      <c r="N222" s="99"/>
      <c r="O222" s="99"/>
      <c r="P222" s="99"/>
      <c r="Q222" s="23"/>
      <c r="R222" s="23"/>
      <c r="S222" s="100"/>
      <c r="T222" s="24">
        <f t="shared" si="87"/>
        <v>-0.3513513514</v>
      </c>
      <c r="U222" s="25">
        <f t="shared" si="88"/>
        <v>-1</v>
      </c>
      <c r="V222" s="25" t="str">
        <f t="shared" si="89"/>
        <v/>
      </c>
      <c r="W222" s="25" t="str">
        <f t="shared" si="90"/>
        <v/>
      </c>
      <c r="X222" s="26"/>
    </row>
    <row r="223" hidden="1">
      <c r="A223" s="117"/>
      <c r="B223" s="117"/>
      <c r="C223" s="104"/>
      <c r="D223" s="103" t="s">
        <v>170</v>
      </c>
      <c r="E223" s="58">
        <f>270000*2</f>
        <v>540000</v>
      </c>
      <c r="F223" s="58">
        <f>430000*2</f>
        <v>860000</v>
      </c>
      <c r="G223" s="18">
        <f t="shared" si="98"/>
        <v>0.5925925926</v>
      </c>
      <c r="H223" s="99"/>
      <c r="I223" s="99"/>
      <c r="J223" s="99"/>
      <c r="K223" s="99"/>
      <c r="L223" s="99"/>
      <c r="M223" s="99"/>
      <c r="N223" s="99"/>
      <c r="O223" s="99"/>
      <c r="P223" s="99"/>
      <c r="Q223" s="23"/>
      <c r="R223" s="23"/>
      <c r="S223" s="100"/>
      <c r="T223" s="24">
        <f t="shared" si="87"/>
        <v>-0.5925925926</v>
      </c>
      <c r="U223" s="25">
        <f t="shared" si="88"/>
        <v>-1</v>
      </c>
      <c r="V223" s="25" t="str">
        <f t="shared" si="89"/>
        <v/>
      </c>
      <c r="W223" s="25" t="str">
        <f t="shared" si="90"/>
        <v/>
      </c>
      <c r="X223" s="26"/>
    </row>
    <row r="224" hidden="1">
      <c r="A224" s="117"/>
      <c r="B224" s="117"/>
      <c r="C224" s="106"/>
      <c r="D224" s="97"/>
      <c r="E224" s="58">
        <f t="shared" ref="E224:F224" si="99">E222+E223</f>
        <v>1280000</v>
      </c>
      <c r="F224" s="58">
        <f t="shared" si="99"/>
        <v>1860000</v>
      </c>
      <c r="G224" s="18">
        <f t="shared" si="98"/>
        <v>0.453125</v>
      </c>
      <c r="H224" s="99"/>
      <c r="I224" s="99"/>
      <c r="J224" s="99"/>
      <c r="K224" s="99"/>
      <c r="L224" s="99"/>
      <c r="M224" s="99"/>
      <c r="N224" s="99"/>
      <c r="O224" s="99"/>
      <c r="P224" s="99"/>
      <c r="Q224" s="23"/>
      <c r="R224" s="23"/>
      <c r="S224" s="100"/>
      <c r="T224" s="24">
        <f t="shared" si="87"/>
        <v>-0.453125</v>
      </c>
      <c r="U224" s="25">
        <f t="shared" si="88"/>
        <v>-1</v>
      </c>
      <c r="V224" s="25" t="str">
        <f t="shared" si="89"/>
        <v/>
      </c>
      <c r="W224" s="25" t="str">
        <f t="shared" si="90"/>
        <v/>
      </c>
      <c r="X224" s="26"/>
    </row>
    <row r="225" hidden="1">
      <c r="A225" s="28"/>
      <c r="B225" s="28"/>
      <c r="C225" s="107"/>
      <c r="D225" s="97"/>
      <c r="E225" s="105"/>
      <c r="F225" s="105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23"/>
      <c r="R225" s="23"/>
      <c r="S225" s="100"/>
      <c r="T225" s="24">
        <f t="shared" si="87"/>
        <v>0</v>
      </c>
      <c r="U225" s="25" t="str">
        <f t="shared" si="88"/>
        <v/>
      </c>
      <c r="V225" s="25" t="str">
        <f t="shared" si="89"/>
        <v/>
      </c>
      <c r="W225" s="25" t="str">
        <f t="shared" si="90"/>
        <v/>
      </c>
      <c r="X225" s="26"/>
    </row>
    <row r="226" hidden="1">
      <c r="A226" s="28"/>
      <c r="B226" s="28"/>
      <c r="C226" s="107"/>
      <c r="D226" s="97"/>
      <c r="E226" s="105"/>
      <c r="F226" s="105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23"/>
      <c r="R226" s="23"/>
      <c r="S226" s="100"/>
      <c r="T226" s="24">
        <f t="shared" si="87"/>
        <v>0</v>
      </c>
      <c r="U226" s="25" t="str">
        <f t="shared" si="88"/>
        <v/>
      </c>
      <c r="V226" s="25" t="str">
        <f t="shared" si="89"/>
        <v/>
      </c>
      <c r="W226" s="25" t="str">
        <f t="shared" si="90"/>
        <v/>
      </c>
      <c r="X226" s="26"/>
    </row>
    <row r="227" hidden="1">
      <c r="A227" s="28"/>
      <c r="B227" s="28"/>
      <c r="C227" s="107"/>
      <c r="D227" s="97"/>
      <c r="E227" s="105"/>
      <c r="F227" s="105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23"/>
      <c r="R227" s="23"/>
      <c r="S227" s="100"/>
      <c r="T227" s="24">
        <f t="shared" si="87"/>
        <v>0</v>
      </c>
      <c r="U227" s="25" t="str">
        <f t="shared" si="88"/>
        <v/>
      </c>
      <c r="V227" s="25" t="str">
        <f t="shared" si="89"/>
        <v/>
      </c>
      <c r="W227" s="25" t="str">
        <f t="shared" si="90"/>
        <v/>
      </c>
      <c r="X227" s="26"/>
    </row>
    <row r="228" hidden="1">
      <c r="A228" s="13"/>
      <c r="B228" s="13"/>
      <c r="C228" s="14" t="s">
        <v>171</v>
      </c>
      <c r="D228" s="103" t="s">
        <v>109</v>
      </c>
      <c r="E228" s="58">
        <f>600000+(36000*4)+240000+(10000*4)</f>
        <v>1024000</v>
      </c>
      <c r="F228" s="58">
        <f>400000*4</f>
        <v>1600000</v>
      </c>
      <c r="G228" s="18">
        <f>(F228-E228)/E228</f>
        <v>0.5625</v>
      </c>
      <c r="H228" s="99"/>
      <c r="I228" s="99"/>
      <c r="J228" s="99"/>
      <c r="K228" s="99"/>
      <c r="L228" s="99"/>
      <c r="M228" s="99"/>
      <c r="N228" s="99"/>
      <c r="O228" s="99"/>
      <c r="P228" s="99"/>
      <c r="Q228" s="23"/>
      <c r="R228" s="23"/>
      <c r="S228" s="100"/>
      <c r="T228" s="24">
        <f t="shared" si="87"/>
        <v>-0.5625</v>
      </c>
      <c r="U228" s="25">
        <f t="shared" si="88"/>
        <v>-1</v>
      </c>
      <c r="V228" s="25" t="str">
        <f t="shared" si="89"/>
        <v/>
      </c>
      <c r="W228" s="25" t="str">
        <f t="shared" si="90"/>
        <v/>
      </c>
      <c r="X228" s="26"/>
    </row>
    <row r="229" hidden="1">
      <c r="A229" s="28"/>
      <c r="B229" s="28"/>
      <c r="C229" s="107"/>
      <c r="D229" s="97"/>
      <c r="E229" s="105"/>
      <c r="F229" s="105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23"/>
      <c r="R229" s="23"/>
      <c r="S229" s="100"/>
      <c r="T229" s="24">
        <f t="shared" si="87"/>
        <v>0</v>
      </c>
      <c r="U229" s="25" t="str">
        <f t="shared" si="88"/>
        <v/>
      </c>
      <c r="V229" s="25" t="str">
        <f t="shared" si="89"/>
        <v/>
      </c>
      <c r="W229" s="25" t="str">
        <f t="shared" si="90"/>
        <v/>
      </c>
      <c r="X229" s="26"/>
    </row>
    <row r="230" hidden="1">
      <c r="A230" s="28"/>
      <c r="B230" s="28"/>
      <c r="C230" s="107"/>
      <c r="D230" s="97"/>
      <c r="E230" s="58">
        <f>E228*1.3</f>
        <v>1331200</v>
      </c>
      <c r="F230" s="105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23"/>
      <c r="R230" s="23"/>
      <c r="S230" s="100"/>
      <c r="T230" s="24">
        <f t="shared" si="87"/>
        <v>0</v>
      </c>
      <c r="U230" s="25" t="str">
        <f t="shared" si="88"/>
        <v/>
      </c>
      <c r="V230" s="25" t="str">
        <f t="shared" si="89"/>
        <v/>
      </c>
      <c r="W230" s="25" t="str">
        <f t="shared" si="90"/>
        <v/>
      </c>
      <c r="X230" s="26"/>
    </row>
    <row r="231" hidden="1">
      <c r="A231" s="28"/>
      <c r="B231" s="28"/>
      <c r="C231" s="107"/>
      <c r="D231" s="175"/>
      <c r="E231" s="176" t="s">
        <v>172</v>
      </c>
      <c r="F231" s="58" t="s">
        <v>173</v>
      </c>
      <c r="G231" s="177" t="s">
        <v>174</v>
      </c>
      <c r="H231" s="108"/>
      <c r="I231" s="99"/>
      <c r="J231" s="99"/>
      <c r="K231" s="99"/>
      <c r="L231" s="99"/>
      <c r="M231" s="99"/>
      <c r="N231" s="99"/>
      <c r="O231" s="99"/>
      <c r="P231" s="99"/>
      <c r="Q231" s="99"/>
      <c r="R231" s="23"/>
      <c r="S231" s="23"/>
      <c r="T231" s="24" t="str">
        <f t="shared" si="87"/>
        <v>#VALUE!</v>
      </c>
      <c r="U231" s="25" t="str">
        <f t="shared" si="88"/>
        <v/>
      </c>
      <c r="V231" s="25" t="str">
        <f t="shared" si="89"/>
        <v/>
      </c>
      <c r="W231" s="25" t="str">
        <f t="shared" si="90"/>
        <v/>
      </c>
      <c r="X231" s="26"/>
    </row>
    <row r="232" hidden="1">
      <c r="A232" s="13"/>
      <c r="B232" s="13"/>
      <c r="C232" s="152" t="s">
        <v>175</v>
      </c>
      <c r="D232" s="173" t="s">
        <v>176</v>
      </c>
      <c r="E232" s="178">
        <f>900000+(36000*16)+500000+10000*16+(15000*16)</f>
        <v>2376000</v>
      </c>
      <c r="F232" s="58"/>
      <c r="G232" s="177">
        <f>250000*2</f>
        <v>500000</v>
      </c>
      <c r="H232" s="18" t="str">
        <f t="shared" ref="H232:H238" si="100">(G232-F232)/F232</f>
        <v>#DIV/0!</v>
      </c>
      <c r="I232" s="99"/>
      <c r="J232" s="99"/>
      <c r="K232" s="99"/>
      <c r="L232" s="99"/>
      <c r="M232" s="99"/>
      <c r="N232" s="99"/>
      <c r="O232" s="99"/>
      <c r="P232" s="99"/>
      <c r="Q232" s="99"/>
      <c r="R232" s="23"/>
      <c r="S232" s="23"/>
      <c r="T232" s="24">
        <f t="shared" si="87"/>
        <v>-500000</v>
      </c>
      <c r="U232" s="25">
        <f t="shared" si="88"/>
        <v>-1</v>
      </c>
      <c r="V232" s="25" t="str">
        <f t="shared" si="89"/>
        <v/>
      </c>
      <c r="W232" s="25" t="str">
        <f t="shared" si="90"/>
        <v/>
      </c>
      <c r="X232" s="179" t="str">
        <f>IFERROR(U232/Q232,"")</f>
        <v/>
      </c>
    </row>
    <row r="233" hidden="1">
      <c r="A233" s="13"/>
      <c r="B233" s="13"/>
      <c r="C233" s="104"/>
      <c r="D233" s="173" t="s">
        <v>177</v>
      </c>
      <c r="E233" s="178">
        <f>130000*16</f>
        <v>2080000</v>
      </c>
      <c r="F233" s="58"/>
      <c r="G233" s="177">
        <f>350000*2</f>
        <v>700000</v>
      </c>
      <c r="H233" s="18" t="str">
        <f t="shared" si="100"/>
        <v>#DIV/0!</v>
      </c>
      <c r="I233" s="99"/>
      <c r="J233" s="99"/>
      <c r="K233" s="99"/>
      <c r="L233" s="99"/>
      <c r="M233" s="99"/>
      <c r="N233" s="99"/>
      <c r="O233" s="99"/>
      <c r="P233" s="99"/>
      <c r="Q233" s="99"/>
      <c r="R233" s="23"/>
      <c r="S233" s="23"/>
      <c r="T233" s="24">
        <f t="shared" si="87"/>
        <v>-700000</v>
      </c>
      <c r="U233" s="25">
        <f t="shared" si="88"/>
        <v>-1</v>
      </c>
      <c r="V233" s="25" t="str">
        <f t="shared" si="89"/>
        <v/>
      </c>
      <c r="W233" s="25" t="str">
        <f t="shared" si="90"/>
        <v/>
      </c>
      <c r="X233" s="179"/>
    </row>
    <row r="234" hidden="1">
      <c r="A234" s="13"/>
      <c r="B234" s="13"/>
      <c r="C234" s="104"/>
      <c r="D234" s="173" t="s">
        <v>178</v>
      </c>
      <c r="E234" s="178">
        <v>600000.0</v>
      </c>
      <c r="F234" s="58"/>
      <c r="G234" s="177">
        <f>(490000*2)</f>
        <v>980000</v>
      </c>
      <c r="H234" s="18" t="str">
        <f t="shared" si="100"/>
        <v>#DIV/0!</v>
      </c>
      <c r="I234" s="99"/>
      <c r="J234" s="99"/>
      <c r="K234" s="99"/>
      <c r="L234" s="99"/>
      <c r="M234" s="99"/>
      <c r="N234" s="99"/>
      <c r="O234" s="99"/>
      <c r="P234" s="99"/>
      <c r="Q234" s="99"/>
      <c r="R234" s="23"/>
      <c r="S234" s="23"/>
      <c r="T234" s="24">
        <f t="shared" si="87"/>
        <v>-980000</v>
      </c>
      <c r="U234" s="25">
        <f t="shared" si="88"/>
        <v>-1</v>
      </c>
      <c r="V234" s="25" t="str">
        <f t="shared" si="89"/>
        <v/>
      </c>
      <c r="W234" s="25" t="str">
        <f t="shared" si="90"/>
        <v/>
      </c>
      <c r="X234" s="180"/>
    </row>
    <row r="235" hidden="1">
      <c r="A235" s="13"/>
      <c r="B235" s="13"/>
      <c r="C235" s="104"/>
      <c r="D235" s="173" t="s">
        <v>179</v>
      </c>
      <c r="E235" s="178">
        <f>153000*16</f>
        <v>2448000</v>
      </c>
      <c r="F235" s="58"/>
      <c r="G235" s="177">
        <f>510000*2</f>
        <v>1020000</v>
      </c>
      <c r="H235" s="18" t="str">
        <f t="shared" si="100"/>
        <v>#DIV/0!</v>
      </c>
      <c r="I235" s="99"/>
      <c r="J235" s="99"/>
      <c r="K235" s="99"/>
      <c r="L235" s="99"/>
      <c r="M235" s="99"/>
      <c r="N235" s="99"/>
      <c r="O235" s="99"/>
      <c r="P235" s="99"/>
      <c r="Q235" s="99"/>
      <c r="R235" s="23"/>
      <c r="S235" s="23"/>
      <c r="T235" s="24">
        <f t="shared" si="87"/>
        <v>-1020000</v>
      </c>
      <c r="U235" s="25">
        <f t="shared" si="88"/>
        <v>-1</v>
      </c>
      <c r="V235" s="25" t="str">
        <f t="shared" si="89"/>
        <v/>
      </c>
      <c r="W235" s="25" t="str">
        <f t="shared" si="90"/>
        <v/>
      </c>
      <c r="X235" s="180"/>
    </row>
    <row r="236" hidden="1">
      <c r="A236" s="13"/>
      <c r="B236" s="13"/>
      <c r="C236" s="104"/>
      <c r="D236" s="173" t="s">
        <v>180</v>
      </c>
      <c r="E236" s="178">
        <f>105000*16</f>
        <v>1680000</v>
      </c>
      <c r="F236" s="58"/>
      <c r="G236" s="177">
        <f>550000*2</f>
        <v>1100000</v>
      </c>
      <c r="H236" s="18" t="str">
        <f t="shared" si="100"/>
        <v>#DIV/0!</v>
      </c>
      <c r="I236" s="99"/>
      <c r="J236" s="99"/>
      <c r="K236" s="99"/>
      <c r="L236" s="99"/>
      <c r="M236" s="99"/>
      <c r="N236" s="99"/>
      <c r="O236" s="99"/>
      <c r="P236" s="99"/>
      <c r="Q236" s="99"/>
      <c r="R236" s="23"/>
      <c r="S236" s="23"/>
      <c r="T236" s="24">
        <f t="shared" si="87"/>
        <v>-1100000</v>
      </c>
      <c r="U236" s="25">
        <f t="shared" si="88"/>
        <v>-1</v>
      </c>
      <c r="V236" s="25" t="str">
        <f t="shared" si="89"/>
        <v/>
      </c>
      <c r="W236" s="25" t="str">
        <f t="shared" si="90"/>
        <v/>
      </c>
      <c r="X236" s="180"/>
    </row>
    <row r="237" hidden="1">
      <c r="A237" s="13"/>
      <c r="B237" s="13"/>
      <c r="C237" s="104"/>
      <c r="D237" s="173" t="s">
        <v>156</v>
      </c>
      <c r="E237" s="178">
        <f>330000*16</f>
        <v>5280000</v>
      </c>
      <c r="F237" s="58"/>
      <c r="G237" s="177">
        <f>510000*2</f>
        <v>1020000</v>
      </c>
      <c r="H237" s="18" t="str">
        <f t="shared" si="100"/>
        <v>#DIV/0!</v>
      </c>
      <c r="I237" s="99"/>
      <c r="J237" s="99"/>
      <c r="K237" s="99"/>
      <c r="L237" s="99"/>
      <c r="M237" s="99"/>
      <c r="N237" s="99"/>
      <c r="O237" s="99"/>
      <c r="P237" s="99"/>
      <c r="Q237" s="99"/>
      <c r="R237" s="23"/>
      <c r="S237" s="23"/>
      <c r="T237" s="24">
        <f t="shared" si="87"/>
        <v>-1020000</v>
      </c>
      <c r="U237" s="25">
        <f t="shared" si="88"/>
        <v>-1</v>
      </c>
      <c r="V237" s="25" t="str">
        <f t="shared" si="89"/>
        <v/>
      </c>
      <c r="W237" s="25" t="str">
        <f t="shared" si="90"/>
        <v/>
      </c>
      <c r="X237" s="180"/>
    </row>
    <row r="238" hidden="1">
      <c r="A238" s="13"/>
      <c r="B238" s="13"/>
      <c r="C238" s="104"/>
      <c r="D238" s="173" t="s">
        <v>181</v>
      </c>
      <c r="E238" s="178">
        <f>(310000*10)+(270000*6)</f>
        <v>4720000</v>
      </c>
      <c r="F238" s="58"/>
      <c r="G238" s="177">
        <f>G232+G233+G234+G235+G236+G237</f>
        <v>5320000</v>
      </c>
      <c r="H238" s="18" t="str">
        <f t="shared" si="100"/>
        <v>#DIV/0!</v>
      </c>
      <c r="I238" s="99"/>
      <c r="J238" s="99"/>
      <c r="K238" s="99"/>
      <c r="L238" s="99"/>
      <c r="M238" s="99"/>
      <c r="N238" s="99"/>
      <c r="O238" s="99"/>
      <c r="P238" s="99"/>
      <c r="Q238" s="99"/>
      <c r="R238" s="23"/>
      <c r="S238" s="23"/>
      <c r="T238" s="24">
        <f t="shared" si="87"/>
        <v>-5320000</v>
      </c>
      <c r="U238" s="25">
        <f t="shared" si="88"/>
        <v>-1</v>
      </c>
      <c r="V238" s="25" t="str">
        <f t="shared" si="89"/>
        <v/>
      </c>
      <c r="W238" s="25" t="str">
        <f t="shared" si="90"/>
        <v/>
      </c>
      <c r="X238" s="180"/>
    </row>
    <row r="239" hidden="1">
      <c r="A239" s="13"/>
      <c r="B239" s="13"/>
      <c r="C239" s="104"/>
      <c r="D239" s="103" t="s">
        <v>182</v>
      </c>
      <c r="E239" s="58">
        <f>200000+(195000*16)</f>
        <v>3320000</v>
      </c>
      <c r="F239" s="105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23"/>
      <c r="R239" s="23"/>
      <c r="S239" s="100"/>
      <c r="T239" s="24">
        <f t="shared" si="87"/>
        <v>0</v>
      </c>
      <c r="U239" s="25" t="str">
        <f t="shared" si="88"/>
        <v/>
      </c>
      <c r="V239" s="25" t="str">
        <f t="shared" si="89"/>
        <v/>
      </c>
      <c r="W239" s="25" t="str">
        <f t="shared" si="90"/>
        <v/>
      </c>
      <c r="X239" s="110"/>
    </row>
    <row r="240" hidden="1">
      <c r="A240" s="13"/>
      <c r="B240" s="13"/>
      <c r="C240" s="106"/>
      <c r="D240" s="103" t="s">
        <v>101</v>
      </c>
      <c r="E240" s="58">
        <f>E232+E233+E234+E235+E236+E237+E238+E239</f>
        <v>22504000</v>
      </c>
      <c r="F240" s="105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23"/>
      <c r="R240" s="23"/>
      <c r="S240" s="100"/>
      <c r="T240" s="24">
        <f t="shared" si="87"/>
        <v>0</v>
      </c>
      <c r="U240" s="25" t="str">
        <f t="shared" si="88"/>
        <v/>
      </c>
      <c r="V240" s="25" t="str">
        <f t="shared" si="89"/>
        <v/>
      </c>
      <c r="W240" s="25" t="str">
        <f t="shared" si="90"/>
        <v/>
      </c>
      <c r="X240" s="110"/>
    </row>
    <row r="241" hidden="1">
      <c r="A241" s="28"/>
      <c r="B241" s="28"/>
      <c r="C241" s="107"/>
      <c r="D241" s="97"/>
      <c r="E241" s="105"/>
      <c r="F241" s="105"/>
      <c r="G241" s="108"/>
      <c r="H241" s="99"/>
      <c r="I241" s="99"/>
      <c r="J241" s="99"/>
      <c r="K241" s="99"/>
      <c r="L241" s="99"/>
      <c r="M241" s="99"/>
      <c r="N241" s="99"/>
      <c r="O241" s="99"/>
      <c r="P241" s="99"/>
      <c r="Q241" s="23"/>
      <c r="R241" s="23"/>
      <c r="S241" s="100"/>
      <c r="T241" s="24">
        <f t="shared" si="87"/>
        <v>0</v>
      </c>
      <c r="U241" s="25" t="str">
        <f t="shared" si="88"/>
        <v/>
      </c>
      <c r="V241" s="25" t="str">
        <f t="shared" si="89"/>
        <v/>
      </c>
      <c r="W241" s="25" t="str">
        <f t="shared" si="90"/>
        <v/>
      </c>
      <c r="X241" s="110"/>
    </row>
    <row r="242" hidden="1">
      <c r="A242" s="13"/>
      <c r="B242" s="13"/>
      <c r="C242" s="152" t="s">
        <v>175</v>
      </c>
      <c r="D242" s="103" t="s">
        <v>183</v>
      </c>
      <c r="E242" s="58">
        <f t="shared" ref="E242:E243" si="101">260000</f>
        <v>260000</v>
      </c>
      <c r="F242" s="58">
        <f t="shared" ref="F242:F243" si="102">800000</f>
        <v>800000</v>
      </c>
      <c r="G242" s="18">
        <f t="shared" ref="G242:G260" si="103">(F242-E242)/E242</f>
        <v>2.076923077</v>
      </c>
      <c r="H242" s="109">
        <v>500.0</v>
      </c>
      <c r="I242" s="99"/>
      <c r="J242" s="99"/>
      <c r="K242" s="99"/>
      <c r="L242" s="99"/>
      <c r="M242" s="99"/>
      <c r="N242" s="99"/>
      <c r="O242" s="99"/>
      <c r="P242" s="99"/>
      <c r="Q242" s="23"/>
      <c r="R242" s="23"/>
      <c r="S242" s="100"/>
      <c r="T242" s="24">
        <f t="shared" si="87"/>
        <v>-2.076923077</v>
      </c>
      <c r="U242" s="25">
        <f t="shared" si="88"/>
        <v>-1</v>
      </c>
      <c r="V242" s="25" t="str">
        <f t="shared" si="89"/>
        <v/>
      </c>
      <c r="W242" s="25" t="str">
        <f t="shared" si="90"/>
        <v/>
      </c>
      <c r="X242" s="110"/>
    </row>
    <row r="243" hidden="1">
      <c r="A243" s="13"/>
      <c r="B243" s="13"/>
      <c r="C243" s="104"/>
      <c r="D243" s="103" t="s">
        <v>184</v>
      </c>
      <c r="E243" s="58">
        <f t="shared" si="101"/>
        <v>260000</v>
      </c>
      <c r="F243" s="58">
        <f t="shared" si="102"/>
        <v>800000</v>
      </c>
      <c r="G243" s="18">
        <f t="shared" si="103"/>
        <v>2.076923077</v>
      </c>
      <c r="H243" s="109">
        <v>291.0</v>
      </c>
      <c r="I243" s="99"/>
      <c r="J243" s="99"/>
      <c r="K243" s="99"/>
      <c r="L243" s="99"/>
      <c r="M243" s="99"/>
      <c r="N243" s="99"/>
      <c r="O243" s="99"/>
      <c r="P243" s="99"/>
      <c r="Q243" s="23"/>
      <c r="R243" s="23"/>
      <c r="S243" s="100"/>
      <c r="T243" s="24">
        <f t="shared" si="87"/>
        <v>-2.076923077</v>
      </c>
      <c r="U243" s="25">
        <f t="shared" si="88"/>
        <v>-1</v>
      </c>
      <c r="V243" s="25" t="str">
        <f t="shared" si="89"/>
        <v/>
      </c>
      <c r="W243" s="25" t="str">
        <f t="shared" si="90"/>
        <v/>
      </c>
      <c r="X243" s="110"/>
    </row>
    <row r="244" hidden="1">
      <c r="A244" s="13"/>
      <c r="B244" s="13"/>
      <c r="C244" s="104"/>
      <c r="D244" s="173" t="s">
        <v>176</v>
      </c>
      <c r="E244" s="58">
        <f>420000+(36000*16)+400000+(10000*16)</f>
        <v>1556000</v>
      </c>
      <c r="F244" s="58">
        <f>250000*16</f>
        <v>4000000</v>
      </c>
      <c r="G244" s="18">
        <f t="shared" si="103"/>
        <v>1.570694087</v>
      </c>
      <c r="H244" s="109">
        <f>410*10</f>
        <v>4100</v>
      </c>
      <c r="I244" s="99"/>
      <c r="J244" s="99"/>
      <c r="K244" s="99"/>
      <c r="L244" s="99"/>
      <c r="M244" s="99"/>
      <c r="N244" s="99"/>
      <c r="O244" s="99"/>
      <c r="P244" s="99"/>
      <c r="Q244" s="23"/>
      <c r="R244" s="23"/>
      <c r="S244" s="100"/>
      <c r="T244" s="24">
        <f t="shared" si="87"/>
        <v>-1.570694087</v>
      </c>
      <c r="U244" s="25">
        <f t="shared" si="88"/>
        <v>-1</v>
      </c>
      <c r="V244" s="25" t="str">
        <f t="shared" si="89"/>
        <v/>
      </c>
      <c r="W244" s="25" t="str">
        <f t="shared" si="90"/>
        <v/>
      </c>
      <c r="X244" s="110"/>
    </row>
    <row r="245" hidden="1">
      <c r="A245" s="13"/>
      <c r="B245" s="13"/>
      <c r="C245" s="104"/>
      <c r="D245" s="173" t="s">
        <v>185</v>
      </c>
      <c r="E245" s="58">
        <v>260000.0</v>
      </c>
      <c r="F245" s="58">
        <v>400000.0</v>
      </c>
      <c r="G245" s="18">
        <f t="shared" si="103"/>
        <v>0.5384615385</v>
      </c>
      <c r="H245" s="99"/>
      <c r="I245" s="99"/>
      <c r="J245" s="99"/>
      <c r="K245" s="99"/>
      <c r="L245" s="99"/>
      <c r="M245" s="99"/>
      <c r="N245" s="99"/>
      <c r="O245" s="99"/>
      <c r="P245" s="99"/>
      <c r="Q245" s="23"/>
      <c r="R245" s="23"/>
      <c r="S245" s="100"/>
      <c r="T245" s="24">
        <f t="shared" si="87"/>
        <v>-0.5384615385</v>
      </c>
      <c r="U245" s="25">
        <f t="shared" si="88"/>
        <v>-1</v>
      </c>
      <c r="V245" s="25" t="str">
        <f t="shared" si="89"/>
        <v/>
      </c>
      <c r="W245" s="25" t="str">
        <f t="shared" si="90"/>
        <v/>
      </c>
      <c r="X245" s="110"/>
    </row>
    <row r="246" hidden="1">
      <c r="A246" s="13"/>
      <c r="B246" s="13"/>
      <c r="C246" s="104"/>
      <c r="D246" s="173" t="s">
        <v>186</v>
      </c>
      <c r="E246" s="58">
        <f>260000*2</f>
        <v>520000</v>
      </c>
      <c r="F246" s="58">
        <f>400000*2</f>
        <v>800000</v>
      </c>
      <c r="G246" s="18">
        <f t="shared" si="103"/>
        <v>0.5384615385</v>
      </c>
      <c r="H246" s="99"/>
      <c r="I246" s="99"/>
      <c r="J246" s="99"/>
      <c r="K246" s="99"/>
      <c r="L246" s="99"/>
      <c r="M246" s="99"/>
      <c r="N246" s="99"/>
      <c r="O246" s="99"/>
      <c r="P246" s="99"/>
      <c r="Q246" s="23"/>
      <c r="R246" s="23"/>
      <c r="S246" s="100"/>
      <c r="T246" s="24">
        <f t="shared" si="87"/>
        <v>-0.5384615385</v>
      </c>
      <c r="U246" s="25">
        <f t="shared" si="88"/>
        <v>-1</v>
      </c>
      <c r="V246" s="25" t="str">
        <f t="shared" si="89"/>
        <v/>
      </c>
      <c r="W246" s="25" t="str">
        <f t="shared" si="90"/>
        <v/>
      </c>
      <c r="X246" s="110"/>
    </row>
    <row r="247" hidden="1">
      <c r="A247" s="13"/>
      <c r="B247" s="13"/>
      <c r="C247" s="104"/>
      <c r="D247" s="173" t="s">
        <v>177</v>
      </c>
      <c r="E247" s="58">
        <f>130000*16</f>
        <v>2080000</v>
      </c>
      <c r="F247" s="58">
        <f>200000*16</f>
        <v>3200000</v>
      </c>
      <c r="G247" s="18">
        <f t="shared" si="103"/>
        <v>0.5384615385</v>
      </c>
      <c r="H247" s="109">
        <f>334*10</f>
        <v>3340</v>
      </c>
      <c r="I247" s="99"/>
      <c r="J247" s="99"/>
      <c r="K247" s="99"/>
      <c r="L247" s="99"/>
      <c r="M247" s="99"/>
      <c r="N247" s="99"/>
      <c r="O247" s="99"/>
      <c r="P247" s="99"/>
      <c r="Q247" s="23"/>
      <c r="R247" s="23"/>
      <c r="S247" s="100"/>
      <c r="T247" s="24">
        <f t="shared" si="87"/>
        <v>-0.5384615385</v>
      </c>
      <c r="U247" s="25">
        <f t="shared" si="88"/>
        <v>-1</v>
      </c>
      <c r="V247" s="25" t="str">
        <f t="shared" si="89"/>
        <v/>
      </c>
      <c r="W247" s="25" t="str">
        <f t="shared" si="90"/>
        <v/>
      </c>
      <c r="X247" s="110"/>
    </row>
    <row r="248" hidden="1">
      <c r="A248" s="13"/>
      <c r="B248" s="13"/>
      <c r="C248" s="104"/>
      <c r="D248" s="173" t="s">
        <v>187</v>
      </c>
      <c r="E248" s="58">
        <f>820000</f>
        <v>820000</v>
      </c>
      <c r="F248" s="58">
        <v>1600000.0</v>
      </c>
      <c r="G248" s="18">
        <f t="shared" si="103"/>
        <v>0.9512195122</v>
      </c>
      <c r="H248" s="109">
        <v>480.0</v>
      </c>
      <c r="I248" s="99"/>
      <c r="J248" s="99"/>
      <c r="K248" s="99"/>
      <c r="L248" s="99"/>
      <c r="M248" s="99"/>
      <c r="N248" s="99"/>
      <c r="O248" s="99"/>
      <c r="P248" s="99"/>
      <c r="Q248" s="23"/>
      <c r="R248" s="23"/>
      <c r="S248" s="100"/>
      <c r="T248" s="24">
        <f t="shared" si="87"/>
        <v>-0.9512195122</v>
      </c>
      <c r="U248" s="25">
        <f t="shared" si="88"/>
        <v>-1</v>
      </c>
      <c r="V248" s="25" t="str">
        <f t="shared" si="89"/>
        <v/>
      </c>
      <c r="W248" s="25" t="str">
        <f t="shared" si="90"/>
        <v/>
      </c>
      <c r="X248" s="110"/>
    </row>
    <row r="249" hidden="1">
      <c r="A249" s="13"/>
      <c r="B249" s="13"/>
      <c r="C249" s="104"/>
      <c r="D249" s="173" t="s">
        <v>179</v>
      </c>
      <c r="E249" s="58">
        <f>153000*16</f>
        <v>2448000</v>
      </c>
      <c r="F249" s="58">
        <f>210000*16</f>
        <v>3360000</v>
      </c>
      <c r="G249" s="18">
        <f t="shared" si="103"/>
        <v>0.3725490196</v>
      </c>
      <c r="H249" s="109">
        <f>720*10</f>
        <v>7200</v>
      </c>
      <c r="I249" s="99"/>
      <c r="J249" s="99"/>
      <c r="K249" s="99"/>
      <c r="L249" s="99"/>
      <c r="M249" s="99"/>
      <c r="N249" s="99"/>
      <c r="O249" s="99"/>
      <c r="P249" s="99"/>
      <c r="Q249" s="23"/>
      <c r="R249" s="23"/>
      <c r="S249" s="100"/>
      <c r="T249" s="24">
        <f t="shared" si="87"/>
        <v>-0.3725490196</v>
      </c>
      <c r="U249" s="25">
        <f t="shared" si="88"/>
        <v>-1</v>
      </c>
      <c r="V249" s="25" t="str">
        <f t="shared" si="89"/>
        <v/>
      </c>
      <c r="W249" s="25" t="str">
        <f t="shared" si="90"/>
        <v/>
      </c>
      <c r="X249" s="110"/>
    </row>
    <row r="250" hidden="1">
      <c r="A250" s="13"/>
      <c r="B250" s="13"/>
      <c r="C250" s="104"/>
      <c r="D250" s="173" t="s">
        <v>180</v>
      </c>
      <c r="E250" s="178">
        <f>105000*16</f>
        <v>1680000</v>
      </c>
      <c r="F250" s="58">
        <f>200000*16</f>
        <v>3200000</v>
      </c>
      <c r="G250" s="18">
        <f t="shared" si="103"/>
        <v>0.9047619048</v>
      </c>
      <c r="H250" s="109">
        <v>480.0</v>
      </c>
      <c r="I250" s="99"/>
      <c r="J250" s="99"/>
      <c r="K250" s="99"/>
      <c r="L250" s="99"/>
      <c r="M250" s="99"/>
      <c r="N250" s="99"/>
      <c r="O250" s="99"/>
      <c r="P250" s="99"/>
      <c r="Q250" s="23"/>
      <c r="R250" s="23"/>
      <c r="S250" s="100"/>
      <c r="T250" s="24">
        <f t="shared" si="87"/>
        <v>-0.9047619048</v>
      </c>
      <c r="U250" s="25">
        <f t="shared" si="88"/>
        <v>-1</v>
      </c>
      <c r="V250" s="25" t="str">
        <f t="shared" si="89"/>
        <v/>
      </c>
      <c r="W250" s="25" t="str">
        <f t="shared" si="90"/>
        <v/>
      </c>
      <c r="X250" s="110"/>
    </row>
    <row r="251" hidden="1">
      <c r="A251" s="13"/>
      <c r="B251" s="13"/>
      <c r="C251" s="104"/>
      <c r="D251" s="173" t="s">
        <v>188</v>
      </c>
      <c r="E251" s="58">
        <f>260000*2</f>
        <v>520000</v>
      </c>
      <c r="F251" s="58">
        <f>400000*2</f>
        <v>800000</v>
      </c>
      <c r="G251" s="18">
        <f t="shared" si="103"/>
        <v>0.5384615385</v>
      </c>
      <c r="H251" s="99"/>
      <c r="I251" s="99"/>
      <c r="J251" s="99"/>
      <c r="K251" s="99"/>
      <c r="L251" s="99"/>
      <c r="M251" s="99"/>
      <c r="N251" s="99"/>
      <c r="O251" s="99"/>
      <c r="P251" s="99"/>
      <c r="Q251" s="23"/>
      <c r="R251" s="23"/>
      <c r="S251" s="100"/>
      <c r="T251" s="24">
        <f t="shared" si="87"/>
        <v>-0.5384615385</v>
      </c>
      <c r="U251" s="25">
        <f t="shared" si="88"/>
        <v>-1</v>
      </c>
      <c r="V251" s="25" t="str">
        <f t="shared" si="89"/>
        <v/>
      </c>
      <c r="W251" s="25" t="str">
        <f t="shared" si="90"/>
        <v/>
      </c>
      <c r="X251" s="110"/>
    </row>
    <row r="252" hidden="1">
      <c r="A252" s="13"/>
      <c r="B252" s="13"/>
      <c r="C252" s="104"/>
      <c r="D252" s="173" t="s">
        <v>156</v>
      </c>
      <c r="E252" s="58">
        <f>350000*16</f>
        <v>5600000</v>
      </c>
      <c r="F252" s="58">
        <f>490000*16</f>
        <v>7840000</v>
      </c>
      <c r="G252" s="18">
        <f t="shared" si="103"/>
        <v>0.4</v>
      </c>
      <c r="H252" s="109">
        <v>600.0</v>
      </c>
      <c r="I252" s="99"/>
      <c r="J252" s="99"/>
      <c r="K252" s="99"/>
      <c r="L252" s="99"/>
      <c r="M252" s="99"/>
      <c r="N252" s="99"/>
      <c r="O252" s="99"/>
      <c r="P252" s="99"/>
      <c r="Q252" s="23"/>
      <c r="R252" s="23"/>
      <c r="S252" s="100"/>
      <c r="T252" s="24">
        <f t="shared" si="87"/>
        <v>-0.4</v>
      </c>
      <c r="U252" s="25">
        <f t="shared" si="88"/>
        <v>-1</v>
      </c>
      <c r="V252" s="25" t="str">
        <f t="shared" si="89"/>
        <v/>
      </c>
      <c r="W252" s="25" t="str">
        <f t="shared" si="90"/>
        <v/>
      </c>
      <c r="X252" s="110"/>
    </row>
    <row r="253" hidden="1">
      <c r="A253" s="13"/>
      <c r="B253" s="13"/>
      <c r="C253" s="104"/>
      <c r="D253" s="173" t="s">
        <v>189</v>
      </c>
      <c r="E253" s="176">
        <v>4000000.0</v>
      </c>
      <c r="F253" s="58">
        <f t="shared" ref="F253:F254" si="104">E253*1.51</f>
        <v>6040000</v>
      </c>
      <c r="G253" s="18">
        <f t="shared" si="103"/>
        <v>0.51</v>
      </c>
      <c r="H253" s="99"/>
      <c r="I253" s="99"/>
      <c r="J253" s="99"/>
      <c r="K253" s="99"/>
      <c r="L253" s="99"/>
      <c r="M253" s="99"/>
      <c r="N253" s="99"/>
      <c r="O253" s="99"/>
      <c r="P253" s="99"/>
      <c r="Q253" s="23"/>
      <c r="R253" s="23"/>
      <c r="S253" s="100"/>
      <c r="T253" s="24">
        <f t="shared" si="87"/>
        <v>-0.51</v>
      </c>
      <c r="U253" s="25">
        <f t="shared" si="88"/>
        <v>-1</v>
      </c>
      <c r="V253" s="25" t="str">
        <f t="shared" si="89"/>
        <v/>
      </c>
      <c r="W253" s="25" t="str">
        <f t="shared" si="90"/>
        <v/>
      </c>
      <c r="X253" s="110"/>
    </row>
    <row r="254" hidden="1">
      <c r="A254" s="13"/>
      <c r="B254" s="13"/>
      <c r="C254" s="104"/>
      <c r="D254" s="173" t="s">
        <v>190</v>
      </c>
      <c r="E254" s="176">
        <f>70000*16</f>
        <v>1120000</v>
      </c>
      <c r="F254" s="58">
        <f t="shared" si="104"/>
        <v>1691200</v>
      </c>
      <c r="G254" s="18">
        <f t="shared" si="103"/>
        <v>0.51</v>
      </c>
      <c r="H254" s="99"/>
      <c r="I254" s="99"/>
      <c r="J254" s="99"/>
      <c r="K254" s="99"/>
      <c r="L254" s="99"/>
      <c r="M254" s="99"/>
      <c r="N254" s="99"/>
      <c r="O254" s="99"/>
      <c r="P254" s="99"/>
      <c r="Q254" s="23"/>
      <c r="R254" s="23"/>
      <c r="S254" s="100"/>
      <c r="T254" s="24">
        <f t="shared" si="87"/>
        <v>-0.51</v>
      </c>
      <c r="U254" s="25">
        <f t="shared" si="88"/>
        <v>-1</v>
      </c>
      <c r="V254" s="25" t="str">
        <f t="shared" si="89"/>
        <v/>
      </c>
      <c r="W254" s="25" t="str">
        <f t="shared" si="90"/>
        <v/>
      </c>
      <c r="X254" s="110"/>
    </row>
    <row r="255" hidden="1">
      <c r="A255" s="13"/>
      <c r="B255" s="13"/>
      <c r="C255" s="104"/>
      <c r="D255" s="173" t="s">
        <v>181</v>
      </c>
      <c r="E255" s="178">
        <f>(310000*10)+(270000*6)</f>
        <v>4720000</v>
      </c>
      <c r="F255" s="58">
        <f>400000*16</f>
        <v>6400000</v>
      </c>
      <c r="G255" s="18">
        <f t="shared" si="103"/>
        <v>0.3559322034</v>
      </c>
      <c r="H255" s="109">
        <f>H242+H243+H244+H247+H248+H249+H250+H252</f>
        <v>16991</v>
      </c>
      <c r="I255" s="99"/>
      <c r="J255" s="99"/>
      <c r="K255" s="99"/>
      <c r="L255" s="99"/>
      <c r="M255" s="99"/>
      <c r="N255" s="99"/>
      <c r="O255" s="99"/>
      <c r="P255" s="99"/>
      <c r="Q255" s="23"/>
      <c r="R255" s="23"/>
      <c r="S255" s="100"/>
      <c r="T255" s="24">
        <f t="shared" si="87"/>
        <v>-0.3559322034</v>
      </c>
      <c r="U255" s="25">
        <f t="shared" si="88"/>
        <v>-1</v>
      </c>
      <c r="V255" s="25" t="str">
        <f t="shared" si="89"/>
        <v/>
      </c>
      <c r="W255" s="25" t="str">
        <f t="shared" si="90"/>
        <v/>
      </c>
      <c r="X255" s="110"/>
    </row>
    <row r="256" hidden="1">
      <c r="A256" s="13"/>
      <c r="B256" s="13"/>
      <c r="C256" s="104"/>
      <c r="D256" s="173" t="s">
        <v>191</v>
      </c>
      <c r="E256" s="176">
        <f>260000*2</f>
        <v>520000</v>
      </c>
      <c r="F256" s="58">
        <f>400000*2</f>
        <v>800000</v>
      </c>
      <c r="G256" s="18">
        <f t="shared" si="103"/>
        <v>0.5384615385</v>
      </c>
      <c r="H256" s="99"/>
      <c r="I256" s="99"/>
      <c r="J256" s="99"/>
      <c r="K256" s="99"/>
      <c r="L256" s="99"/>
      <c r="M256" s="99"/>
      <c r="N256" s="99"/>
      <c r="O256" s="99"/>
      <c r="P256" s="99"/>
      <c r="Q256" s="23"/>
      <c r="R256" s="23"/>
      <c r="S256" s="100"/>
      <c r="T256" s="24">
        <f t="shared" si="87"/>
        <v>-0.5384615385</v>
      </c>
      <c r="U256" s="25">
        <f t="shared" si="88"/>
        <v>-1</v>
      </c>
      <c r="V256" s="25" t="str">
        <f t="shared" si="89"/>
        <v/>
      </c>
      <c r="W256" s="25" t="str">
        <f t="shared" si="90"/>
        <v/>
      </c>
      <c r="X256" s="110"/>
    </row>
    <row r="257" hidden="1">
      <c r="A257" s="13"/>
      <c r="B257" s="13"/>
      <c r="C257" s="104"/>
      <c r="D257" s="181" t="s">
        <v>192</v>
      </c>
      <c r="E257" s="58">
        <f>309000*16</f>
        <v>4944000</v>
      </c>
      <c r="F257" s="58">
        <f>430000*16</f>
        <v>6880000</v>
      </c>
      <c r="G257" s="18">
        <f t="shared" si="103"/>
        <v>0.3915857605</v>
      </c>
      <c r="H257" s="99"/>
      <c r="I257" s="99"/>
      <c r="J257" s="99"/>
      <c r="K257" s="99"/>
      <c r="L257" s="99"/>
      <c r="M257" s="99"/>
      <c r="N257" s="99"/>
      <c r="O257" s="99"/>
      <c r="P257" s="99"/>
      <c r="Q257" s="23"/>
      <c r="R257" s="23"/>
      <c r="S257" s="100"/>
      <c r="T257" s="24">
        <f t="shared" si="87"/>
        <v>-0.3915857605</v>
      </c>
      <c r="U257" s="25">
        <f t="shared" si="88"/>
        <v>-1</v>
      </c>
      <c r="V257" s="25" t="str">
        <f t="shared" si="89"/>
        <v/>
      </c>
      <c r="W257" s="25" t="str">
        <f t="shared" si="90"/>
        <v/>
      </c>
      <c r="X257" s="110"/>
    </row>
    <row r="258" hidden="1">
      <c r="A258" s="13"/>
      <c r="B258" s="13"/>
      <c r="C258" s="104"/>
      <c r="D258" s="103" t="s">
        <v>182</v>
      </c>
      <c r="E258" s="58">
        <f>(195000*16)+300000</f>
        <v>3420000</v>
      </c>
      <c r="F258" s="58">
        <f>330000*16</f>
        <v>5280000</v>
      </c>
      <c r="G258" s="18">
        <f t="shared" si="103"/>
        <v>0.5438596491</v>
      </c>
      <c r="H258" s="99"/>
      <c r="I258" s="99"/>
      <c r="J258" s="99"/>
      <c r="K258" s="99"/>
      <c r="L258" s="99"/>
      <c r="M258" s="99"/>
      <c r="N258" s="99"/>
      <c r="O258" s="99"/>
      <c r="P258" s="99"/>
      <c r="Q258" s="23"/>
      <c r="R258" s="23"/>
      <c r="S258" s="100"/>
      <c r="T258" s="24">
        <f t="shared" si="87"/>
        <v>-0.5438596491</v>
      </c>
      <c r="U258" s="25">
        <f t="shared" si="88"/>
        <v>-1</v>
      </c>
      <c r="V258" s="25" t="str">
        <f t="shared" si="89"/>
        <v/>
      </c>
      <c r="W258" s="25" t="str">
        <f t="shared" si="90"/>
        <v/>
      </c>
      <c r="X258" s="110"/>
    </row>
    <row r="259" hidden="1">
      <c r="A259" s="13"/>
      <c r="B259" s="13"/>
      <c r="C259" s="104"/>
      <c r="D259" s="173" t="s">
        <v>191</v>
      </c>
      <c r="E259" s="58">
        <f>260000*2</f>
        <v>520000</v>
      </c>
      <c r="F259" s="58">
        <f>600000*2</f>
        <v>1200000</v>
      </c>
      <c r="G259" s="18">
        <f t="shared" si="103"/>
        <v>1.307692308</v>
      </c>
      <c r="H259" s="99"/>
      <c r="I259" s="99"/>
      <c r="J259" s="99"/>
      <c r="K259" s="99"/>
      <c r="L259" s="99"/>
      <c r="M259" s="99"/>
      <c r="N259" s="99"/>
      <c r="O259" s="99"/>
      <c r="P259" s="99"/>
      <c r="Q259" s="23"/>
      <c r="R259" s="23"/>
      <c r="S259" s="100"/>
      <c r="T259" s="24">
        <f t="shared" si="87"/>
        <v>-1.307692308</v>
      </c>
      <c r="U259" s="25">
        <f t="shared" si="88"/>
        <v>-1</v>
      </c>
      <c r="V259" s="25" t="str">
        <f t="shared" si="89"/>
        <v/>
      </c>
      <c r="W259" s="25" t="str">
        <f t="shared" si="90"/>
        <v/>
      </c>
      <c r="X259" s="110"/>
    </row>
    <row r="260" hidden="1">
      <c r="A260" s="13"/>
      <c r="B260" s="13"/>
      <c r="C260" s="106"/>
      <c r="D260" s="181" t="s">
        <v>101</v>
      </c>
      <c r="E260" s="182">
        <f t="shared" ref="E260:F260" si="105">SUM(E242:E259)</f>
        <v>35248000</v>
      </c>
      <c r="F260" s="58">
        <f t="shared" si="105"/>
        <v>55091200</v>
      </c>
      <c r="G260" s="18">
        <f t="shared" si="103"/>
        <v>0.5629596005</v>
      </c>
      <c r="H260" s="109">
        <f>F260-E260</f>
        <v>19843200</v>
      </c>
      <c r="I260" s="99"/>
      <c r="J260" s="99"/>
      <c r="K260" s="99"/>
      <c r="L260" s="99"/>
      <c r="M260" s="99"/>
      <c r="N260" s="99"/>
      <c r="O260" s="99"/>
      <c r="P260" s="99"/>
      <c r="Q260" s="23"/>
      <c r="R260" s="23"/>
      <c r="S260" s="100"/>
      <c r="T260" s="24">
        <f t="shared" si="87"/>
        <v>-0.5629596005</v>
      </c>
      <c r="U260" s="25">
        <f t="shared" si="88"/>
        <v>-1</v>
      </c>
      <c r="V260" s="25" t="str">
        <f t="shared" si="89"/>
        <v/>
      </c>
      <c r="W260" s="25" t="str">
        <f t="shared" si="90"/>
        <v/>
      </c>
      <c r="X260" s="110"/>
    </row>
    <row r="261" hidden="1">
      <c r="A261" s="28"/>
      <c r="B261" s="28"/>
      <c r="C261" s="107"/>
      <c r="D261" s="97"/>
      <c r="E261" s="105"/>
      <c r="F261" s="105" t="str">
        <f>IFERROR((#REF!-#REF!)/#REF!,"")</f>
        <v/>
      </c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23"/>
      <c r="R261" s="23"/>
      <c r="S261" s="100"/>
      <c r="T261" s="24">
        <f t="shared" si="87"/>
        <v>0</v>
      </c>
      <c r="U261" s="25" t="str">
        <f t="shared" si="88"/>
        <v/>
      </c>
      <c r="V261" s="25" t="str">
        <f t="shared" si="89"/>
        <v/>
      </c>
      <c r="W261" s="25" t="str">
        <f t="shared" si="90"/>
        <v/>
      </c>
      <c r="X261" s="110"/>
    </row>
    <row r="262" hidden="1">
      <c r="A262" s="183"/>
      <c r="B262" s="183"/>
      <c r="C262" s="184" t="s">
        <v>193</v>
      </c>
      <c r="D262" s="185" t="s">
        <v>194</v>
      </c>
      <c r="E262" s="186">
        <f>271000+271000</f>
        <v>542000</v>
      </c>
      <c r="F262" s="187">
        <v>100000.0</v>
      </c>
      <c r="G262" s="34">
        <f t="shared" ref="G262:G266" si="106">(F262-E262)/E262</f>
        <v>-0.815498155</v>
      </c>
      <c r="H262" s="188"/>
      <c r="I262" s="188"/>
      <c r="J262" s="188"/>
      <c r="K262" s="188"/>
      <c r="L262" s="188"/>
      <c r="M262" s="188"/>
      <c r="N262" s="188"/>
      <c r="O262" s="188"/>
      <c r="P262" s="188"/>
      <c r="Q262" s="39"/>
      <c r="R262" s="39"/>
      <c r="S262" s="189"/>
      <c r="T262" s="24">
        <f t="shared" si="87"/>
        <v>0.815498155</v>
      </c>
      <c r="U262" s="25">
        <f t="shared" si="88"/>
        <v>-1</v>
      </c>
      <c r="V262" s="25" t="str">
        <f t="shared" si="89"/>
        <v/>
      </c>
      <c r="W262" s="25" t="str">
        <f t="shared" si="90"/>
        <v/>
      </c>
      <c r="X262" s="42"/>
    </row>
    <row r="263" hidden="1">
      <c r="A263" s="183"/>
      <c r="B263" s="183"/>
      <c r="C263" s="104"/>
      <c r="D263" s="185" t="s">
        <v>195</v>
      </c>
      <c r="E263" s="186">
        <f>423.64*4</f>
        <v>1694.56</v>
      </c>
      <c r="F263" s="186">
        <f>460000*5</f>
        <v>2300000</v>
      </c>
      <c r="G263" s="34">
        <f t="shared" si="106"/>
        <v>1356.284487</v>
      </c>
      <c r="H263" s="188"/>
      <c r="I263" s="188"/>
      <c r="J263" s="188"/>
      <c r="K263" s="188"/>
      <c r="L263" s="188"/>
      <c r="M263" s="188"/>
      <c r="N263" s="188"/>
      <c r="O263" s="188"/>
      <c r="P263" s="188"/>
      <c r="Q263" s="39"/>
      <c r="R263" s="39"/>
      <c r="S263" s="189"/>
      <c r="T263" s="24">
        <f t="shared" si="87"/>
        <v>-1356.284487</v>
      </c>
      <c r="U263" s="25">
        <f t="shared" si="88"/>
        <v>-1</v>
      </c>
      <c r="V263" s="25" t="str">
        <f t="shared" si="89"/>
        <v/>
      </c>
      <c r="W263" s="25" t="str">
        <f t="shared" si="90"/>
        <v/>
      </c>
      <c r="X263" s="190"/>
    </row>
    <row r="264" hidden="1">
      <c r="A264" s="183"/>
      <c r="B264" s="183"/>
      <c r="C264" s="104"/>
      <c r="D264" s="185" t="s">
        <v>196</v>
      </c>
      <c r="E264" s="186">
        <f>279.565*5</f>
        <v>1397.825</v>
      </c>
      <c r="F264" s="186">
        <f>580000*5</f>
        <v>2900000</v>
      </c>
      <c r="G264" s="34">
        <f t="shared" si="106"/>
        <v>2073.651691</v>
      </c>
      <c r="H264" s="188"/>
      <c r="I264" s="188"/>
      <c r="J264" s="188"/>
      <c r="K264" s="188"/>
      <c r="L264" s="188"/>
      <c r="M264" s="188"/>
      <c r="N264" s="188"/>
      <c r="O264" s="188"/>
      <c r="P264" s="188"/>
      <c r="Q264" s="39"/>
      <c r="R264" s="39"/>
      <c r="S264" s="189"/>
      <c r="T264" s="24">
        <f t="shared" si="87"/>
        <v>-2073.651691</v>
      </c>
      <c r="U264" s="25">
        <f t="shared" si="88"/>
        <v>-1</v>
      </c>
      <c r="V264" s="25" t="str">
        <f t="shared" si="89"/>
        <v/>
      </c>
      <c r="W264" s="25" t="str">
        <f t="shared" si="90"/>
        <v/>
      </c>
      <c r="X264" s="190"/>
    </row>
    <row r="265" hidden="1">
      <c r="A265" s="183"/>
      <c r="B265" s="183"/>
      <c r="C265" s="104"/>
      <c r="D265" s="185" t="s">
        <v>137</v>
      </c>
      <c r="E265" s="186">
        <f>SUM(145000*2)</f>
        <v>290000</v>
      </c>
      <c r="F265" s="186">
        <f>SUM(300000*2)</f>
        <v>600000</v>
      </c>
      <c r="G265" s="34">
        <f t="shared" si="106"/>
        <v>1.068965517</v>
      </c>
      <c r="H265" s="188"/>
      <c r="I265" s="188"/>
      <c r="J265" s="188"/>
      <c r="K265" s="188"/>
      <c r="L265" s="188"/>
      <c r="M265" s="188"/>
      <c r="N265" s="188"/>
      <c r="O265" s="188"/>
      <c r="P265" s="188"/>
      <c r="Q265" s="39"/>
      <c r="R265" s="39"/>
      <c r="S265" s="189"/>
      <c r="T265" s="24">
        <f t="shared" si="87"/>
        <v>-1.068965517</v>
      </c>
      <c r="U265" s="25">
        <f t="shared" si="88"/>
        <v>-1</v>
      </c>
      <c r="V265" s="25" t="str">
        <f t="shared" si="89"/>
        <v/>
      </c>
      <c r="W265" s="25" t="str">
        <f t="shared" si="90"/>
        <v/>
      </c>
      <c r="X265" s="42"/>
    </row>
    <row r="266" hidden="1">
      <c r="A266" s="183"/>
      <c r="B266" s="183"/>
      <c r="C266" s="104"/>
      <c r="D266" s="185" t="s">
        <v>81</v>
      </c>
      <c r="E266" s="186">
        <f>320000+(36000*4)+350000+40000</f>
        <v>854000</v>
      </c>
      <c r="F266" s="186">
        <f>300000*5</f>
        <v>1500000</v>
      </c>
      <c r="G266" s="34">
        <f t="shared" si="106"/>
        <v>0.756440281</v>
      </c>
      <c r="H266" s="188"/>
      <c r="I266" s="188"/>
      <c r="J266" s="188"/>
      <c r="K266" s="188"/>
      <c r="L266" s="188"/>
      <c r="M266" s="188"/>
      <c r="N266" s="188"/>
      <c r="O266" s="188"/>
      <c r="P266" s="188"/>
      <c r="Q266" s="39"/>
      <c r="R266" s="39"/>
      <c r="S266" s="189"/>
      <c r="T266" s="24">
        <f t="shared" si="87"/>
        <v>-0.756440281</v>
      </c>
      <c r="U266" s="25">
        <f t="shared" si="88"/>
        <v>-1</v>
      </c>
      <c r="V266" s="25" t="str">
        <f t="shared" si="89"/>
        <v/>
      </c>
      <c r="W266" s="25" t="str">
        <f t="shared" si="90"/>
        <v/>
      </c>
      <c r="X266" s="42"/>
    </row>
    <row r="267" hidden="1">
      <c r="A267" s="183"/>
      <c r="B267" s="183"/>
      <c r="C267" s="104"/>
      <c r="D267" s="185" t="s">
        <v>82</v>
      </c>
      <c r="E267" s="191"/>
      <c r="F267" s="191"/>
      <c r="G267" s="192"/>
      <c r="H267" s="188"/>
      <c r="I267" s="188"/>
      <c r="J267" s="188"/>
      <c r="K267" s="188"/>
      <c r="L267" s="188"/>
      <c r="M267" s="188"/>
      <c r="N267" s="188"/>
      <c r="O267" s="188"/>
      <c r="P267" s="188"/>
      <c r="Q267" s="39"/>
      <c r="R267" s="39"/>
      <c r="S267" s="189"/>
      <c r="T267" s="24">
        <f t="shared" si="87"/>
        <v>0</v>
      </c>
      <c r="U267" s="25" t="str">
        <f t="shared" si="88"/>
        <v/>
      </c>
      <c r="V267" s="25" t="str">
        <f t="shared" si="89"/>
        <v/>
      </c>
      <c r="W267" s="25" t="str">
        <f t="shared" si="90"/>
        <v/>
      </c>
      <c r="X267" s="42"/>
    </row>
    <row r="268" hidden="1">
      <c r="A268" s="183"/>
      <c r="B268" s="183"/>
      <c r="C268" s="104"/>
      <c r="D268" s="185" t="s">
        <v>96</v>
      </c>
      <c r="E268" s="191"/>
      <c r="F268" s="191"/>
      <c r="G268" s="192"/>
      <c r="H268" s="188"/>
      <c r="I268" s="188"/>
      <c r="J268" s="188"/>
      <c r="K268" s="188"/>
      <c r="L268" s="188"/>
      <c r="M268" s="188"/>
      <c r="N268" s="188"/>
      <c r="O268" s="188"/>
      <c r="P268" s="188"/>
      <c r="Q268" s="39"/>
      <c r="R268" s="39"/>
      <c r="S268" s="189"/>
      <c r="T268" s="24">
        <f t="shared" si="87"/>
        <v>0</v>
      </c>
      <c r="U268" s="25" t="str">
        <f t="shared" si="88"/>
        <v/>
      </c>
      <c r="V268" s="25" t="str">
        <f t="shared" si="89"/>
        <v/>
      </c>
      <c r="W268" s="25" t="str">
        <f t="shared" si="90"/>
        <v/>
      </c>
      <c r="X268" s="42"/>
    </row>
    <row r="269" hidden="1">
      <c r="A269" s="183"/>
      <c r="B269" s="183"/>
      <c r="C269" s="104"/>
      <c r="D269" s="185" t="s">
        <v>84</v>
      </c>
      <c r="E269" s="191"/>
      <c r="F269" s="191"/>
      <c r="G269" s="192"/>
      <c r="H269" s="188"/>
      <c r="I269" s="188"/>
      <c r="J269" s="188"/>
      <c r="K269" s="188"/>
      <c r="L269" s="188"/>
      <c r="M269" s="188"/>
      <c r="N269" s="188"/>
      <c r="O269" s="188"/>
      <c r="P269" s="188"/>
      <c r="Q269" s="39"/>
      <c r="R269" s="39"/>
      <c r="S269" s="189"/>
      <c r="T269" s="24">
        <f t="shared" si="87"/>
        <v>0</v>
      </c>
      <c r="U269" s="25" t="str">
        <f t="shared" si="88"/>
        <v/>
      </c>
      <c r="V269" s="25" t="str">
        <f t="shared" si="89"/>
        <v/>
      </c>
      <c r="W269" s="25" t="str">
        <f t="shared" si="90"/>
        <v/>
      </c>
      <c r="X269" s="42"/>
    </row>
    <row r="270" hidden="1">
      <c r="A270" s="183"/>
      <c r="B270" s="183"/>
      <c r="C270" s="104"/>
      <c r="D270" s="185" t="s">
        <v>97</v>
      </c>
      <c r="E270" s="186">
        <f>110000*4</f>
        <v>440000</v>
      </c>
      <c r="F270" s="186">
        <f>230000*5</f>
        <v>1150000</v>
      </c>
      <c r="G270" s="34">
        <f t="shared" ref="G270:G271" si="107">(F270-E270)/E270</f>
        <v>1.613636364</v>
      </c>
      <c r="H270" s="188"/>
      <c r="I270" s="188"/>
      <c r="J270" s="188"/>
      <c r="K270" s="188"/>
      <c r="L270" s="188"/>
      <c r="M270" s="188"/>
      <c r="N270" s="188"/>
      <c r="O270" s="188"/>
      <c r="P270" s="188"/>
      <c r="Q270" s="39"/>
      <c r="R270" s="39"/>
      <c r="S270" s="189"/>
      <c r="T270" s="24">
        <f t="shared" si="87"/>
        <v>-1.613636364</v>
      </c>
      <c r="U270" s="25">
        <f t="shared" si="88"/>
        <v>-1</v>
      </c>
      <c r="V270" s="25" t="str">
        <f t="shared" si="89"/>
        <v/>
      </c>
      <c r="W270" s="25" t="str">
        <f t="shared" si="90"/>
        <v/>
      </c>
      <c r="X270" s="42"/>
    </row>
    <row r="271" hidden="1">
      <c r="A271" s="183"/>
      <c r="B271" s="183"/>
      <c r="C271" s="104"/>
      <c r="D271" s="185" t="s">
        <v>156</v>
      </c>
      <c r="E271" s="186">
        <f>330000*4</f>
        <v>1320000</v>
      </c>
      <c r="F271" s="186">
        <f>520000*5</f>
        <v>2600000</v>
      </c>
      <c r="G271" s="34">
        <f t="shared" si="107"/>
        <v>0.9696969697</v>
      </c>
      <c r="H271" s="188"/>
      <c r="I271" s="188"/>
      <c r="J271" s="188"/>
      <c r="K271" s="188"/>
      <c r="L271" s="188"/>
      <c r="M271" s="188"/>
      <c r="N271" s="188"/>
      <c r="O271" s="188"/>
      <c r="P271" s="188"/>
      <c r="Q271" s="39"/>
      <c r="R271" s="39"/>
      <c r="S271" s="189"/>
      <c r="T271" s="24">
        <f t="shared" si="87"/>
        <v>-0.9696969697</v>
      </c>
      <c r="U271" s="25">
        <f t="shared" si="88"/>
        <v>-1</v>
      </c>
      <c r="V271" s="25" t="str">
        <f t="shared" si="89"/>
        <v/>
      </c>
      <c r="W271" s="25" t="str">
        <f t="shared" si="90"/>
        <v/>
      </c>
      <c r="X271" s="42"/>
    </row>
    <row r="272" hidden="1">
      <c r="A272" s="183"/>
      <c r="B272" s="183"/>
      <c r="C272" s="104"/>
      <c r="D272" s="107" t="s">
        <v>197</v>
      </c>
      <c r="E272" s="193">
        <f>300000*4</f>
        <v>1200000</v>
      </c>
      <c r="F272" s="191"/>
      <c r="G272" s="192"/>
      <c r="H272" s="188"/>
      <c r="I272" s="188"/>
      <c r="J272" s="188"/>
      <c r="K272" s="188"/>
      <c r="L272" s="188"/>
      <c r="M272" s="188"/>
      <c r="N272" s="188"/>
      <c r="O272" s="188"/>
      <c r="P272" s="188"/>
      <c r="Q272" s="39"/>
      <c r="R272" s="39"/>
      <c r="S272" s="189"/>
      <c r="T272" s="24">
        <f t="shared" si="87"/>
        <v>0</v>
      </c>
      <c r="U272" s="25" t="str">
        <f t="shared" si="88"/>
        <v/>
      </c>
      <c r="V272" s="25" t="str">
        <f t="shared" si="89"/>
        <v/>
      </c>
      <c r="W272" s="25" t="str">
        <f t="shared" si="90"/>
        <v/>
      </c>
      <c r="X272" s="42"/>
    </row>
    <row r="273" hidden="1">
      <c r="A273" s="183"/>
      <c r="B273" s="183"/>
      <c r="C273" s="104"/>
      <c r="D273" s="107"/>
      <c r="E273" s="191"/>
      <c r="F273" s="191"/>
      <c r="G273" s="34" t="str">
        <f>(F273-E273)/E273</f>
        <v>#DIV/0!</v>
      </c>
      <c r="H273" s="188"/>
      <c r="I273" s="188"/>
      <c r="J273" s="188"/>
      <c r="K273" s="188"/>
      <c r="L273" s="188"/>
      <c r="M273" s="188"/>
      <c r="N273" s="188"/>
      <c r="O273" s="188"/>
      <c r="P273" s="188"/>
      <c r="Q273" s="39"/>
      <c r="R273" s="39"/>
      <c r="S273" s="189"/>
      <c r="T273" s="24" t="str">
        <f t="shared" si="87"/>
        <v>#DIV/0!</v>
      </c>
      <c r="U273" s="25" t="str">
        <f t="shared" si="88"/>
        <v/>
      </c>
      <c r="V273" s="25" t="str">
        <f t="shared" si="89"/>
        <v/>
      </c>
      <c r="W273" s="25" t="str">
        <f t="shared" si="90"/>
        <v/>
      </c>
      <c r="X273" s="42"/>
    </row>
    <row r="274" hidden="1">
      <c r="A274" s="183"/>
      <c r="B274" s="183"/>
      <c r="C274" s="104"/>
      <c r="D274" s="107"/>
      <c r="E274" s="191"/>
      <c r="F274" s="191"/>
      <c r="G274" s="192"/>
      <c r="H274" s="188"/>
      <c r="I274" s="188"/>
      <c r="J274" s="188"/>
      <c r="K274" s="188"/>
      <c r="L274" s="188"/>
      <c r="M274" s="188"/>
      <c r="N274" s="188"/>
      <c r="O274" s="188"/>
      <c r="P274" s="188"/>
      <c r="Q274" s="39"/>
      <c r="R274" s="39"/>
      <c r="S274" s="189"/>
      <c r="T274" s="24">
        <f t="shared" si="87"/>
        <v>0</v>
      </c>
      <c r="U274" s="25" t="str">
        <f t="shared" si="88"/>
        <v/>
      </c>
      <c r="V274" s="25" t="str">
        <f t="shared" si="89"/>
        <v/>
      </c>
      <c r="W274" s="25" t="str">
        <f t="shared" si="90"/>
        <v/>
      </c>
      <c r="X274" s="42"/>
    </row>
    <row r="275" hidden="1">
      <c r="A275" s="183"/>
      <c r="B275" s="183"/>
      <c r="C275" s="106"/>
      <c r="D275" s="185" t="s">
        <v>101</v>
      </c>
      <c r="E275" s="186">
        <f>E262+E263+E264+E265+E266+E270+E271+E272</f>
        <v>4649092.385</v>
      </c>
      <c r="F275" s="186">
        <f>SUM(F262:F274)</f>
        <v>11150000</v>
      </c>
      <c r="G275" s="34">
        <f>(F275-E275)/E275</f>
        <v>1.39831758</v>
      </c>
      <c r="H275" s="188"/>
      <c r="I275" s="188"/>
      <c r="J275" s="188"/>
      <c r="K275" s="188"/>
      <c r="L275" s="188"/>
      <c r="M275" s="188"/>
      <c r="N275" s="188"/>
      <c r="O275" s="188"/>
      <c r="P275" s="188"/>
      <c r="Q275" s="39"/>
      <c r="R275" s="39"/>
      <c r="S275" s="189"/>
      <c r="T275" s="24">
        <f t="shared" si="87"/>
        <v>-1.39831758</v>
      </c>
      <c r="U275" s="25">
        <f t="shared" si="88"/>
        <v>-1</v>
      </c>
      <c r="V275" s="25" t="str">
        <f t="shared" si="89"/>
        <v/>
      </c>
      <c r="W275" s="25" t="str">
        <f t="shared" si="90"/>
        <v/>
      </c>
      <c r="X275" s="42"/>
    </row>
    <row r="276" hidden="1">
      <c r="A276" s="28"/>
      <c r="B276" s="28"/>
      <c r="C276" s="107"/>
      <c r="D276" s="97"/>
      <c r="E276" s="105"/>
      <c r="F276" s="105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23"/>
      <c r="R276" s="23"/>
      <c r="S276" s="100"/>
      <c r="T276" s="24">
        <f t="shared" si="87"/>
        <v>0</v>
      </c>
      <c r="U276" s="25" t="str">
        <f t="shared" si="88"/>
        <v/>
      </c>
      <c r="V276" s="25" t="str">
        <f t="shared" si="89"/>
        <v/>
      </c>
      <c r="W276" s="25" t="str">
        <f t="shared" si="90"/>
        <v/>
      </c>
      <c r="X276" s="26"/>
    </row>
    <row r="277" hidden="1">
      <c r="A277" s="28"/>
      <c r="B277" s="28"/>
      <c r="C277" s="107"/>
      <c r="D277" s="97"/>
      <c r="E277" s="58" t="s">
        <v>172</v>
      </c>
      <c r="F277" s="58" t="s">
        <v>198</v>
      </c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23"/>
      <c r="R277" s="23"/>
      <c r="S277" s="100"/>
      <c r="T277" s="24">
        <f t="shared" si="87"/>
        <v>0</v>
      </c>
      <c r="U277" s="25" t="str">
        <f t="shared" si="88"/>
        <v/>
      </c>
      <c r="V277" s="25" t="str">
        <f t="shared" si="89"/>
        <v/>
      </c>
      <c r="W277" s="25" t="str">
        <f t="shared" si="90"/>
        <v/>
      </c>
      <c r="X277" s="26"/>
    </row>
    <row r="278" hidden="1">
      <c r="A278" s="81"/>
      <c r="B278" s="81"/>
      <c r="C278" s="194" t="s">
        <v>199</v>
      </c>
      <c r="D278" s="195" t="s">
        <v>200</v>
      </c>
      <c r="E278" s="105"/>
      <c r="F278" s="58">
        <f>325000*2</f>
        <v>650000</v>
      </c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23"/>
      <c r="R278" s="23"/>
      <c r="S278" s="100"/>
      <c r="T278" s="24">
        <f t="shared" si="87"/>
        <v>0</v>
      </c>
      <c r="U278" s="25" t="str">
        <f t="shared" si="88"/>
        <v/>
      </c>
      <c r="V278" s="25" t="str">
        <f t="shared" si="89"/>
        <v/>
      </c>
      <c r="W278" s="25" t="str">
        <f t="shared" si="90"/>
        <v/>
      </c>
      <c r="X278" s="26"/>
    </row>
    <row r="279" hidden="1">
      <c r="A279" s="81"/>
      <c r="B279" s="81"/>
      <c r="C279" s="104"/>
      <c r="D279" s="103" t="s">
        <v>201</v>
      </c>
      <c r="E279" s="58">
        <f>380000*2</f>
        <v>760000</v>
      </c>
      <c r="F279" s="58">
        <f>530000*2</f>
        <v>1060000</v>
      </c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23"/>
      <c r="R279" s="23"/>
      <c r="S279" s="100"/>
      <c r="T279" s="24">
        <f t="shared" si="87"/>
        <v>0</v>
      </c>
      <c r="U279" s="25" t="str">
        <f t="shared" si="88"/>
        <v/>
      </c>
      <c r="V279" s="25" t="str">
        <f t="shared" si="89"/>
        <v/>
      </c>
      <c r="W279" s="25" t="str">
        <f t="shared" si="90"/>
        <v/>
      </c>
      <c r="X279" s="26"/>
    </row>
    <row r="280" hidden="1">
      <c r="A280" s="81"/>
      <c r="B280" s="81"/>
      <c r="C280" s="104"/>
      <c r="D280" s="103" t="s">
        <v>202</v>
      </c>
      <c r="E280" s="58">
        <f>596000</f>
        <v>596000</v>
      </c>
      <c r="F280" s="58">
        <f>800000</f>
        <v>800000</v>
      </c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23"/>
      <c r="R280" s="23"/>
      <c r="S280" s="100"/>
      <c r="T280" s="24">
        <f t="shared" si="87"/>
        <v>0</v>
      </c>
      <c r="U280" s="25" t="str">
        <f t="shared" si="88"/>
        <v/>
      </c>
      <c r="V280" s="25" t="str">
        <f t="shared" si="89"/>
        <v/>
      </c>
      <c r="W280" s="25" t="str">
        <f t="shared" si="90"/>
        <v/>
      </c>
      <c r="X280" s="26"/>
    </row>
    <row r="281" hidden="1">
      <c r="A281" s="81"/>
      <c r="B281" s="81"/>
      <c r="C281" s="104"/>
      <c r="D281" s="103" t="s">
        <v>203</v>
      </c>
      <c r="E281" s="58">
        <f>370000*2</f>
        <v>740000</v>
      </c>
      <c r="F281" s="58">
        <f>530000*3</f>
        <v>1590000</v>
      </c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23"/>
      <c r="R281" s="23"/>
      <c r="S281" s="100"/>
      <c r="T281" s="24">
        <f t="shared" si="87"/>
        <v>0</v>
      </c>
      <c r="U281" s="25" t="str">
        <f t="shared" si="88"/>
        <v/>
      </c>
      <c r="V281" s="25" t="str">
        <f t="shared" si="89"/>
        <v/>
      </c>
      <c r="W281" s="25" t="str">
        <f t="shared" si="90"/>
        <v/>
      </c>
      <c r="X281" s="26"/>
    </row>
    <row r="282" hidden="1">
      <c r="A282" s="81"/>
      <c r="B282" s="81"/>
      <c r="C282" s="104"/>
      <c r="D282" s="103" t="s">
        <v>204</v>
      </c>
      <c r="E282" s="58">
        <f>928000</f>
        <v>928000</v>
      </c>
      <c r="F282" s="58">
        <f>580000*2</f>
        <v>1160000</v>
      </c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23"/>
      <c r="R282" s="23"/>
      <c r="S282" s="100"/>
      <c r="T282" s="24">
        <f t="shared" si="87"/>
        <v>0</v>
      </c>
      <c r="U282" s="25" t="str">
        <f t="shared" si="88"/>
        <v/>
      </c>
      <c r="V282" s="25" t="str">
        <f t="shared" si="89"/>
        <v/>
      </c>
      <c r="W282" s="25" t="str">
        <f t="shared" si="90"/>
        <v/>
      </c>
      <c r="X282" s="26"/>
    </row>
    <row r="283" hidden="1">
      <c r="A283" s="81"/>
      <c r="B283" s="81"/>
      <c r="C283" s="106"/>
      <c r="D283" s="103" t="s">
        <v>205</v>
      </c>
      <c r="E283" s="58">
        <f>370000</f>
        <v>370000</v>
      </c>
      <c r="F283" s="58">
        <f>320000*2</f>
        <v>640000</v>
      </c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23"/>
      <c r="R283" s="23"/>
      <c r="S283" s="100"/>
      <c r="T283" s="24">
        <f t="shared" si="87"/>
        <v>0</v>
      </c>
      <c r="U283" s="25" t="str">
        <f t="shared" si="88"/>
        <v/>
      </c>
      <c r="V283" s="25" t="str">
        <f t="shared" si="89"/>
        <v/>
      </c>
      <c r="W283" s="25" t="str">
        <f t="shared" si="90"/>
        <v/>
      </c>
      <c r="X283" s="26"/>
    </row>
    <row r="284" hidden="1">
      <c r="A284" s="28"/>
      <c r="B284" s="28"/>
      <c r="C284" s="107"/>
      <c r="D284" s="97"/>
      <c r="E284" s="58">
        <f>E278+E279+E280+E281+E282+E283</f>
        <v>3394000</v>
      </c>
      <c r="F284" s="58">
        <f>F278+F279+F280+F280+F281+F282+F283+300000</f>
        <v>7000000</v>
      </c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23"/>
      <c r="R284" s="23"/>
      <c r="S284" s="100"/>
      <c r="T284" s="24">
        <f t="shared" si="87"/>
        <v>0</v>
      </c>
      <c r="U284" s="25" t="str">
        <f t="shared" si="88"/>
        <v/>
      </c>
      <c r="V284" s="25" t="str">
        <f t="shared" si="89"/>
        <v/>
      </c>
      <c r="W284" s="25" t="str">
        <f t="shared" si="90"/>
        <v/>
      </c>
      <c r="X284" s="26"/>
    </row>
    <row r="285" hidden="1">
      <c r="A285" s="28"/>
      <c r="B285" s="28"/>
      <c r="C285" s="107"/>
      <c r="D285" s="97"/>
      <c r="E285" s="58" t="s">
        <v>148</v>
      </c>
      <c r="F285" s="105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23"/>
      <c r="R285" s="23"/>
      <c r="S285" s="100"/>
      <c r="T285" s="24">
        <f t="shared" si="87"/>
        <v>0</v>
      </c>
      <c r="U285" s="25" t="str">
        <f t="shared" si="88"/>
        <v/>
      </c>
      <c r="V285" s="25" t="str">
        <f t="shared" si="89"/>
        <v/>
      </c>
      <c r="W285" s="25" t="str">
        <f t="shared" si="90"/>
        <v/>
      </c>
      <c r="X285" s="26"/>
    </row>
    <row r="286" hidden="1">
      <c r="A286" s="28"/>
      <c r="B286" s="28"/>
      <c r="C286" s="107"/>
      <c r="D286" s="97"/>
      <c r="E286" s="58">
        <f>F284-E284</f>
        <v>3606000</v>
      </c>
      <c r="F286" s="105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23"/>
      <c r="R286" s="23"/>
      <c r="S286" s="100"/>
      <c r="T286" s="24">
        <f t="shared" si="87"/>
        <v>0</v>
      </c>
      <c r="U286" s="25" t="str">
        <f t="shared" si="88"/>
        <v/>
      </c>
      <c r="V286" s="25" t="str">
        <f t="shared" si="89"/>
        <v/>
      </c>
      <c r="W286" s="25" t="str">
        <f t="shared" si="90"/>
        <v/>
      </c>
      <c r="X286" s="26"/>
    </row>
    <row r="287" hidden="1">
      <c r="A287" s="28"/>
      <c r="B287" s="28"/>
      <c r="C287" s="107"/>
      <c r="D287" s="97"/>
      <c r="E287" s="105"/>
      <c r="F287" s="105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23"/>
      <c r="R287" s="23"/>
      <c r="S287" s="100"/>
      <c r="T287" s="24">
        <f t="shared" si="87"/>
        <v>0</v>
      </c>
      <c r="U287" s="25" t="str">
        <f t="shared" si="88"/>
        <v/>
      </c>
      <c r="V287" s="25" t="str">
        <f t="shared" si="89"/>
        <v/>
      </c>
      <c r="W287" s="25" t="str">
        <f t="shared" si="90"/>
        <v/>
      </c>
      <c r="X287" s="26"/>
    </row>
    <row r="288" hidden="1">
      <c r="A288" s="28"/>
      <c r="B288" s="28"/>
      <c r="C288" s="107"/>
      <c r="D288" s="97"/>
      <c r="E288" s="58" t="s">
        <v>206</v>
      </c>
      <c r="F288" s="58" t="s">
        <v>207</v>
      </c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23"/>
      <c r="R288" s="23"/>
      <c r="S288" s="100"/>
      <c r="T288" s="24">
        <f t="shared" si="87"/>
        <v>0</v>
      </c>
      <c r="U288" s="25" t="str">
        <f t="shared" si="88"/>
        <v/>
      </c>
      <c r="V288" s="25" t="str">
        <f t="shared" si="89"/>
        <v/>
      </c>
      <c r="W288" s="25" t="str">
        <f t="shared" si="90"/>
        <v/>
      </c>
      <c r="X288" s="26"/>
    </row>
    <row r="289" hidden="1">
      <c r="A289" s="13"/>
      <c r="B289" s="13"/>
      <c r="C289" s="152" t="s">
        <v>208</v>
      </c>
      <c r="D289" s="195" t="s">
        <v>209</v>
      </c>
      <c r="E289" s="58">
        <v>135150.0</v>
      </c>
      <c r="F289" s="58">
        <v>320000.0</v>
      </c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23"/>
      <c r="R289" s="23"/>
      <c r="S289" s="100"/>
      <c r="T289" s="24">
        <f t="shared" si="87"/>
        <v>0</v>
      </c>
      <c r="U289" s="25" t="str">
        <f t="shared" si="88"/>
        <v/>
      </c>
      <c r="V289" s="25" t="str">
        <f t="shared" si="89"/>
        <v/>
      </c>
      <c r="W289" s="25" t="str">
        <f t="shared" si="90"/>
        <v/>
      </c>
      <c r="X289" s="26"/>
    </row>
    <row r="290" hidden="1">
      <c r="A290" s="13"/>
      <c r="B290" s="13"/>
      <c r="C290" s="104"/>
      <c r="D290" s="103" t="s">
        <v>210</v>
      </c>
      <c r="E290" s="58">
        <f>320000+36000+10000+30000</f>
        <v>396000</v>
      </c>
      <c r="F290" s="58">
        <v>500000.0</v>
      </c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23"/>
      <c r="R290" s="23"/>
      <c r="S290" s="100"/>
      <c r="T290" s="24">
        <f t="shared" si="87"/>
        <v>0</v>
      </c>
      <c r="U290" s="25" t="str">
        <f t="shared" si="88"/>
        <v/>
      </c>
      <c r="V290" s="25" t="str">
        <f t="shared" si="89"/>
        <v/>
      </c>
      <c r="W290" s="25" t="str">
        <f t="shared" si="90"/>
        <v/>
      </c>
      <c r="X290" s="26"/>
    </row>
    <row r="291" hidden="1">
      <c r="A291" s="13"/>
      <c r="B291" s="13"/>
      <c r="C291" s="104"/>
      <c r="D291" s="103" t="s">
        <v>211</v>
      </c>
      <c r="E291" s="58">
        <v>110000.0</v>
      </c>
      <c r="F291" s="58">
        <v>230000.0</v>
      </c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23"/>
      <c r="R291" s="23"/>
      <c r="S291" s="100"/>
      <c r="T291" s="24">
        <f t="shared" si="87"/>
        <v>0</v>
      </c>
      <c r="U291" s="25" t="str">
        <f t="shared" si="88"/>
        <v/>
      </c>
      <c r="V291" s="25" t="str">
        <f t="shared" si="89"/>
        <v/>
      </c>
      <c r="W291" s="25" t="str">
        <f t="shared" si="90"/>
        <v/>
      </c>
      <c r="X291" s="110"/>
    </row>
    <row r="292" hidden="1">
      <c r="A292" s="13"/>
      <c r="B292" s="13"/>
      <c r="C292" s="104"/>
      <c r="D292" s="103" t="s">
        <v>212</v>
      </c>
      <c r="E292" s="58">
        <v>280000.0</v>
      </c>
      <c r="F292" s="58">
        <v>430000.0</v>
      </c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23"/>
      <c r="R292" s="23"/>
      <c r="S292" s="100"/>
      <c r="T292" s="24">
        <f t="shared" si="87"/>
        <v>0</v>
      </c>
      <c r="U292" s="25" t="str">
        <f t="shared" si="88"/>
        <v/>
      </c>
      <c r="V292" s="25" t="str">
        <f t="shared" si="89"/>
        <v/>
      </c>
      <c r="W292" s="25" t="str">
        <f t="shared" si="90"/>
        <v/>
      </c>
      <c r="X292" s="110"/>
    </row>
    <row r="293" hidden="1">
      <c r="A293" s="13"/>
      <c r="B293" s="13"/>
      <c r="C293" s="104"/>
      <c r="D293" s="103" t="s">
        <v>213</v>
      </c>
      <c r="E293" s="58">
        <v>270000.0</v>
      </c>
      <c r="F293" s="58">
        <v>430000.0</v>
      </c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23"/>
      <c r="R293" s="23"/>
      <c r="S293" s="100"/>
      <c r="T293" s="24">
        <f t="shared" si="87"/>
        <v>0</v>
      </c>
      <c r="U293" s="25" t="str">
        <f t="shared" si="88"/>
        <v/>
      </c>
      <c r="V293" s="25" t="str">
        <f t="shared" si="89"/>
        <v/>
      </c>
      <c r="W293" s="25" t="str">
        <f t="shared" si="90"/>
        <v/>
      </c>
      <c r="X293" s="110"/>
    </row>
    <row r="294" hidden="1">
      <c r="A294" s="13"/>
      <c r="B294" s="13"/>
      <c r="C294" s="106"/>
      <c r="D294" s="103" t="s">
        <v>214</v>
      </c>
      <c r="E294" s="58">
        <f t="shared" ref="E294:F294" si="108">SUM(E289:E293)</f>
        <v>1191150</v>
      </c>
      <c r="F294" s="58">
        <f t="shared" si="108"/>
        <v>1910000</v>
      </c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23"/>
      <c r="R294" s="23"/>
      <c r="S294" s="100"/>
      <c r="T294" s="24">
        <f t="shared" si="87"/>
        <v>0</v>
      </c>
      <c r="U294" s="25" t="str">
        <f t="shared" si="88"/>
        <v/>
      </c>
      <c r="V294" s="25" t="str">
        <f t="shared" si="89"/>
        <v/>
      </c>
      <c r="W294" s="25" t="str">
        <f t="shared" si="90"/>
        <v/>
      </c>
      <c r="X294" s="110"/>
    </row>
    <row r="295" hidden="1">
      <c r="A295" s="28"/>
      <c r="B295" s="28"/>
      <c r="C295" s="107"/>
      <c r="D295" s="103" t="s">
        <v>215</v>
      </c>
      <c r="E295" s="58">
        <f>F294-E294</f>
        <v>718850</v>
      </c>
      <c r="F295" s="105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23"/>
      <c r="R295" s="23"/>
      <c r="S295" s="100"/>
      <c r="T295" s="24">
        <f t="shared" si="87"/>
        <v>0</v>
      </c>
      <c r="U295" s="25" t="str">
        <f t="shared" si="88"/>
        <v/>
      </c>
      <c r="V295" s="25" t="str">
        <f t="shared" si="89"/>
        <v/>
      </c>
      <c r="W295" s="25" t="str">
        <f t="shared" si="90"/>
        <v/>
      </c>
      <c r="X295" s="110"/>
    </row>
    <row r="296" hidden="1">
      <c r="A296" s="28"/>
      <c r="B296" s="28"/>
      <c r="C296" s="107"/>
      <c r="D296" s="97"/>
      <c r="E296" s="105"/>
      <c r="F296" s="105" t="str">
        <f>IFERROR((#REF!-#REF!)/#REF!,"")</f>
        <v/>
      </c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23"/>
      <c r="R296" s="23"/>
      <c r="S296" s="100"/>
      <c r="T296" s="24">
        <f t="shared" si="87"/>
        <v>0</v>
      </c>
      <c r="U296" s="25" t="str">
        <f t="shared" si="88"/>
        <v/>
      </c>
      <c r="V296" s="25" t="str">
        <f t="shared" si="89"/>
        <v/>
      </c>
      <c r="W296" s="25" t="str">
        <f t="shared" si="90"/>
        <v/>
      </c>
      <c r="X296" s="110"/>
    </row>
    <row r="297" hidden="1">
      <c r="A297" s="81"/>
      <c r="B297" s="81"/>
      <c r="C297" s="194" t="s">
        <v>216</v>
      </c>
      <c r="D297" s="103" t="s">
        <v>201</v>
      </c>
      <c r="E297" s="58">
        <f>380000*2</f>
        <v>760000</v>
      </c>
      <c r="F297" s="58">
        <f>530000*2</f>
        <v>1060000</v>
      </c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23"/>
      <c r="R297" s="23"/>
      <c r="S297" s="100"/>
      <c r="T297" s="24">
        <f t="shared" si="87"/>
        <v>0</v>
      </c>
      <c r="U297" s="25" t="str">
        <f t="shared" si="88"/>
        <v/>
      </c>
      <c r="V297" s="25" t="str">
        <f t="shared" si="89"/>
        <v/>
      </c>
      <c r="W297" s="25" t="str">
        <f t="shared" si="90"/>
        <v/>
      </c>
      <c r="X297" s="26"/>
    </row>
    <row r="298" hidden="1">
      <c r="A298" s="81"/>
      <c r="B298" s="81"/>
      <c r="C298" s="104"/>
      <c r="D298" s="138" t="s">
        <v>156</v>
      </c>
      <c r="E298" s="84">
        <f>(330000*2)</f>
        <v>660000</v>
      </c>
      <c r="F298" s="58">
        <f>(490000*2)</f>
        <v>980000</v>
      </c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23"/>
      <c r="R298" s="23"/>
      <c r="S298" s="100"/>
      <c r="T298" s="24">
        <f t="shared" si="87"/>
        <v>0</v>
      </c>
      <c r="U298" s="25" t="str">
        <f t="shared" si="88"/>
        <v/>
      </c>
      <c r="V298" s="25" t="str">
        <f t="shared" si="89"/>
        <v/>
      </c>
      <c r="W298" s="25" t="str">
        <f t="shared" si="90"/>
        <v/>
      </c>
      <c r="X298" s="26"/>
    </row>
    <row r="299" hidden="1">
      <c r="A299" s="81"/>
      <c r="B299" s="81"/>
      <c r="C299" s="104"/>
      <c r="D299" s="103" t="s">
        <v>203</v>
      </c>
      <c r="E299" s="58">
        <f>370000*2</f>
        <v>740000</v>
      </c>
      <c r="F299" s="58">
        <f>530000*2</f>
        <v>1060000</v>
      </c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23"/>
      <c r="R299" s="23"/>
      <c r="S299" s="100"/>
      <c r="T299" s="24">
        <f t="shared" si="87"/>
        <v>0</v>
      </c>
      <c r="U299" s="25" t="str">
        <f t="shared" si="88"/>
        <v/>
      </c>
      <c r="V299" s="25" t="str">
        <f t="shared" si="89"/>
        <v/>
      </c>
      <c r="W299" s="25" t="str">
        <f t="shared" si="90"/>
        <v/>
      </c>
      <c r="X299" s="26"/>
    </row>
    <row r="300" hidden="1">
      <c r="A300" s="81"/>
      <c r="B300" s="81"/>
      <c r="C300" s="196"/>
      <c r="D300" s="138" t="s">
        <v>101</v>
      </c>
      <c r="E300" s="58">
        <f t="shared" ref="E300:F300" si="109">E297+E298+E299</f>
        <v>2160000</v>
      </c>
      <c r="F300" s="58">
        <f t="shared" si="109"/>
        <v>3100000</v>
      </c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23"/>
      <c r="R300" s="23"/>
      <c r="S300" s="100"/>
      <c r="T300" s="24">
        <f t="shared" si="87"/>
        <v>0</v>
      </c>
      <c r="U300" s="25" t="str">
        <f t="shared" si="88"/>
        <v/>
      </c>
      <c r="V300" s="25" t="str">
        <f t="shared" si="89"/>
        <v/>
      </c>
      <c r="W300" s="25" t="str">
        <f t="shared" si="90"/>
        <v/>
      </c>
      <c r="X300" s="26"/>
    </row>
    <row r="301" hidden="1">
      <c r="A301" s="81"/>
      <c r="B301" s="81"/>
      <c r="C301" s="197"/>
      <c r="D301" s="138" t="s">
        <v>148</v>
      </c>
      <c r="E301" s="58">
        <f>F300-E300</f>
        <v>940000</v>
      </c>
      <c r="F301" s="5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23"/>
      <c r="R301" s="23"/>
      <c r="S301" s="100"/>
      <c r="T301" s="24">
        <f t="shared" si="87"/>
        <v>0</v>
      </c>
      <c r="U301" s="25" t="str">
        <f t="shared" si="88"/>
        <v/>
      </c>
      <c r="V301" s="25" t="str">
        <f t="shared" si="89"/>
        <v/>
      </c>
      <c r="W301" s="25" t="str">
        <f t="shared" si="90"/>
        <v/>
      </c>
      <c r="X301" s="26"/>
    </row>
    <row r="302" hidden="1">
      <c r="A302" s="81"/>
      <c r="B302" s="81"/>
      <c r="C302" s="82"/>
      <c r="D302" s="103"/>
      <c r="E302" s="58"/>
      <c r="F302" s="5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23"/>
      <c r="R302" s="23"/>
      <c r="S302" s="100"/>
      <c r="T302" s="24"/>
      <c r="U302" s="25"/>
      <c r="V302" s="25"/>
      <c r="W302" s="25"/>
      <c r="X302" s="26"/>
    </row>
    <row r="303" hidden="1">
      <c r="A303" s="81"/>
      <c r="B303" s="81"/>
      <c r="C303" s="194" t="s">
        <v>217</v>
      </c>
      <c r="D303" s="138" t="s">
        <v>218</v>
      </c>
      <c r="E303" s="58">
        <f>(330000*2)</f>
        <v>660000</v>
      </c>
      <c r="F303" s="58">
        <f>430000*2</f>
        <v>860000</v>
      </c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23"/>
      <c r="R303" s="23"/>
      <c r="S303" s="100"/>
      <c r="T303" s="24">
        <f t="shared" ref="T303:T307" si="110">P303-(G303+S303)-(P303*R303)</f>
        <v>0</v>
      </c>
      <c r="U303" s="25" t="str">
        <f t="shared" ref="U303:U307" si="111">IFERROR((P303-G303)/G303,"")</f>
        <v/>
      </c>
      <c r="V303" s="25" t="str">
        <f t="shared" ref="V303:V307" si="112">IFERROR((P303-G303)/P303,"")</f>
        <v/>
      </c>
      <c r="W303" s="25" t="str">
        <f t="shared" ref="W303:W307" si="113">IFERROR(T303/P303,"")</f>
        <v/>
      </c>
      <c r="X303" s="26"/>
    </row>
    <row r="304" hidden="1">
      <c r="A304" s="81"/>
      <c r="B304" s="81"/>
      <c r="C304" s="104"/>
      <c r="D304" s="138"/>
      <c r="E304" s="84"/>
      <c r="F304" s="5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23"/>
      <c r="R304" s="23"/>
      <c r="S304" s="100"/>
      <c r="T304" s="24">
        <f t="shared" si="110"/>
        <v>0</v>
      </c>
      <c r="U304" s="25" t="str">
        <f t="shared" si="111"/>
        <v/>
      </c>
      <c r="V304" s="25" t="str">
        <f t="shared" si="112"/>
        <v/>
      </c>
      <c r="W304" s="25" t="str">
        <f t="shared" si="113"/>
        <v/>
      </c>
      <c r="X304" s="26"/>
    </row>
    <row r="305" hidden="1">
      <c r="A305" s="81"/>
      <c r="B305" s="81"/>
      <c r="C305" s="104"/>
      <c r="D305" s="138" t="s">
        <v>219</v>
      </c>
      <c r="E305" s="58">
        <f>370000*2</f>
        <v>740000</v>
      </c>
      <c r="F305" s="58">
        <f>530000*2</f>
        <v>1060000</v>
      </c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23"/>
      <c r="R305" s="23"/>
      <c r="S305" s="100"/>
      <c r="T305" s="24">
        <f t="shared" si="110"/>
        <v>0</v>
      </c>
      <c r="U305" s="25" t="str">
        <f t="shared" si="111"/>
        <v/>
      </c>
      <c r="V305" s="25" t="str">
        <f t="shared" si="112"/>
        <v/>
      </c>
      <c r="W305" s="25" t="str">
        <f t="shared" si="113"/>
        <v/>
      </c>
      <c r="X305" s="26"/>
    </row>
    <row r="306" hidden="1">
      <c r="A306" s="81"/>
      <c r="B306" s="81"/>
      <c r="C306" s="196"/>
      <c r="D306" s="138" t="s">
        <v>101</v>
      </c>
      <c r="E306" s="58">
        <f t="shared" ref="E306:F306" si="114">E303+E305</f>
        <v>1400000</v>
      </c>
      <c r="F306" s="58">
        <f t="shared" si="114"/>
        <v>1920000</v>
      </c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23"/>
      <c r="R306" s="23"/>
      <c r="S306" s="100"/>
      <c r="T306" s="24">
        <f t="shared" si="110"/>
        <v>0</v>
      </c>
      <c r="U306" s="25" t="str">
        <f t="shared" si="111"/>
        <v/>
      </c>
      <c r="V306" s="25" t="str">
        <f t="shared" si="112"/>
        <v/>
      </c>
      <c r="W306" s="25" t="str">
        <f t="shared" si="113"/>
        <v/>
      </c>
      <c r="X306" s="26"/>
    </row>
    <row r="307" hidden="1">
      <c r="A307" s="81"/>
      <c r="B307" s="81"/>
      <c r="C307" s="197"/>
      <c r="D307" s="138" t="s">
        <v>148</v>
      </c>
      <c r="E307" s="58">
        <f>F306-E306</f>
        <v>520000</v>
      </c>
      <c r="F307" s="5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23"/>
      <c r="R307" s="23"/>
      <c r="S307" s="100"/>
      <c r="T307" s="24">
        <f t="shared" si="110"/>
        <v>0</v>
      </c>
      <c r="U307" s="25" t="str">
        <f t="shared" si="111"/>
        <v/>
      </c>
      <c r="V307" s="25" t="str">
        <f t="shared" si="112"/>
        <v/>
      </c>
      <c r="W307" s="25" t="str">
        <f t="shared" si="113"/>
        <v/>
      </c>
      <c r="X307" s="26"/>
    </row>
    <row r="308" hidden="1">
      <c r="A308" s="198"/>
      <c r="B308" s="198"/>
      <c r="C308" s="199"/>
      <c r="D308" s="103"/>
      <c r="E308" s="58"/>
      <c r="F308" s="58"/>
      <c r="G308" s="18"/>
      <c r="H308" s="99"/>
      <c r="I308" s="99"/>
      <c r="J308" s="99"/>
      <c r="K308" s="99"/>
      <c r="L308" s="99"/>
      <c r="M308" s="99"/>
      <c r="N308" s="99"/>
      <c r="O308" s="99"/>
      <c r="P308" s="99"/>
      <c r="Q308" s="23"/>
      <c r="R308" s="23"/>
      <c r="S308" s="100"/>
      <c r="T308" s="24"/>
      <c r="U308" s="25"/>
      <c r="V308" s="25"/>
      <c r="W308" s="25"/>
      <c r="X308" s="26"/>
    </row>
    <row r="309" hidden="1">
      <c r="A309" s="198"/>
      <c r="B309" s="198"/>
      <c r="C309" s="137" t="s">
        <v>220</v>
      </c>
      <c r="D309" s="138" t="s">
        <v>221</v>
      </c>
      <c r="E309" s="58">
        <f>118000*4</f>
        <v>472000</v>
      </c>
      <c r="F309" s="58">
        <f>210000*4</f>
        <v>840000</v>
      </c>
      <c r="G309" s="18">
        <f t="shared" ref="G309:G315" si="115">(F309-E309)/E309</f>
        <v>0.7796610169</v>
      </c>
      <c r="H309" s="99"/>
      <c r="I309" s="99"/>
      <c r="J309" s="99"/>
      <c r="K309" s="99"/>
      <c r="L309" s="99"/>
      <c r="M309" s="99"/>
      <c r="N309" s="99"/>
      <c r="O309" s="99"/>
      <c r="P309" s="99"/>
      <c r="Q309" s="23"/>
      <c r="R309" s="23"/>
      <c r="S309" s="100"/>
      <c r="T309" s="24">
        <f t="shared" ref="T309:T310" si="116">P309-(G309+S309)-(P309*R309)</f>
        <v>-0.7796610169</v>
      </c>
      <c r="U309" s="25">
        <f t="shared" ref="U309:U310" si="117">IFERROR((P309-G309)/G309,"")</f>
        <v>-1</v>
      </c>
      <c r="V309" s="25" t="str">
        <f t="shared" ref="V309:V310" si="118">IFERROR((P309-G309)/P309,"")</f>
        <v/>
      </c>
      <c r="W309" s="25" t="str">
        <f t="shared" ref="W309:W310" si="119">IFERROR(T309/P309,"")</f>
        <v/>
      </c>
      <c r="X309" s="26"/>
    </row>
    <row r="310" hidden="1">
      <c r="A310" s="198"/>
      <c r="B310" s="198"/>
      <c r="C310" s="104"/>
      <c r="D310" s="138" t="s">
        <v>156</v>
      </c>
      <c r="E310" s="84">
        <f>330000*4</f>
        <v>1320000</v>
      </c>
      <c r="F310" s="58">
        <f t="shared" ref="F310:F311" si="120">490000*4</f>
        <v>1960000</v>
      </c>
      <c r="G310" s="18">
        <f t="shared" si="115"/>
        <v>0.4848484848</v>
      </c>
      <c r="H310" s="99"/>
      <c r="I310" s="99"/>
      <c r="J310" s="99"/>
      <c r="K310" s="99"/>
      <c r="L310" s="99"/>
      <c r="M310" s="99"/>
      <c r="N310" s="99"/>
      <c r="O310" s="99"/>
      <c r="P310" s="99"/>
      <c r="Q310" s="23"/>
      <c r="R310" s="23"/>
      <c r="S310" s="100"/>
      <c r="T310" s="24">
        <f t="shared" si="116"/>
        <v>-0.4848484848</v>
      </c>
      <c r="U310" s="25">
        <f t="shared" si="117"/>
        <v>-1</v>
      </c>
      <c r="V310" s="25" t="str">
        <f t="shared" si="118"/>
        <v/>
      </c>
      <c r="W310" s="25" t="str">
        <f t="shared" si="119"/>
        <v/>
      </c>
      <c r="X310" s="26"/>
    </row>
    <row r="311" hidden="1">
      <c r="A311" s="198"/>
      <c r="B311" s="198"/>
      <c r="C311" s="104"/>
      <c r="D311" s="138" t="s">
        <v>222</v>
      </c>
      <c r="E311" s="58">
        <f t="shared" ref="E311:E312" si="121">350000*4</f>
        <v>1400000</v>
      </c>
      <c r="F311" s="58">
        <f t="shared" si="120"/>
        <v>1960000</v>
      </c>
      <c r="G311" s="18">
        <f t="shared" si="115"/>
        <v>0.4</v>
      </c>
      <c r="H311" s="98" t="s">
        <v>223</v>
      </c>
      <c r="I311" s="98" t="s">
        <v>224</v>
      </c>
      <c r="J311" s="98" t="s">
        <v>225</v>
      </c>
      <c r="K311" s="99"/>
      <c r="L311" s="99"/>
      <c r="M311" s="98" t="s">
        <v>226</v>
      </c>
      <c r="N311" s="99"/>
      <c r="O311" s="99"/>
      <c r="P311" s="98" t="s">
        <v>227</v>
      </c>
      <c r="Q311" s="83" t="s">
        <v>228</v>
      </c>
      <c r="R311" s="83" t="s">
        <v>229</v>
      </c>
      <c r="S311" s="200" t="s">
        <v>230</v>
      </c>
      <c r="T311" s="24"/>
      <c r="U311" s="25"/>
      <c r="V311" s="25"/>
      <c r="W311" s="25"/>
      <c r="X311" s="110"/>
    </row>
    <row r="312" hidden="1">
      <c r="A312" s="198"/>
      <c r="B312" s="198"/>
      <c r="C312" s="104"/>
      <c r="D312" s="138" t="s">
        <v>231</v>
      </c>
      <c r="E312" s="58">
        <f t="shared" si="121"/>
        <v>1400000</v>
      </c>
      <c r="F312" s="58">
        <f>520000*4</f>
        <v>2080000</v>
      </c>
      <c r="G312" s="18">
        <f t="shared" si="115"/>
        <v>0.4857142857</v>
      </c>
      <c r="H312" s="99">
        <f>(F312-F311)/4</f>
        <v>30000</v>
      </c>
      <c r="I312" s="99">
        <f>(F310/4)-(F314/2)</f>
        <v>165000</v>
      </c>
      <c r="J312" s="99">
        <f>I312-H312</f>
        <v>135000</v>
      </c>
      <c r="K312" s="99">
        <f>((J312*2)*0.75)-60000</f>
        <v>142500</v>
      </c>
      <c r="L312" s="99"/>
      <c r="M312" s="99">
        <f>I312*0.75</f>
        <v>123750</v>
      </c>
      <c r="N312" s="99"/>
      <c r="O312" s="99"/>
      <c r="P312" s="99">
        <f>H312</f>
        <v>30000</v>
      </c>
      <c r="Q312" s="100">
        <f>M312*2</f>
        <v>247500</v>
      </c>
      <c r="R312" s="100">
        <f>P312*4</f>
        <v>120000</v>
      </c>
      <c r="S312" s="100">
        <f>Q312-R312</f>
        <v>127500</v>
      </c>
      <c r="T312" s="24"/>
      <c r="U312" s="25"/>
      <c r="V312" s="25"/>
      <c r="W312" s="25"/>
      <c r="X312" s="110"/>
    </row>
    <row r="313" hidden="1">
      <c r="A313" s="198"/>
      <c r="B313" s="198"/>
      <c r="C313" s="104"/>
      <c r="D313" s="138" t="s">
        <v>232</v>
      </c>
      <c r="E313" s="84">
        <f>(330000*2)</f>
        <v>660000</v>
      </c>
      <c r="F313" s="58">
        <f>(490000*2)</f>
        <v>980000</v>
      </c>
      <c r="G313" s="18">
        <f t="shared" si="115"/>
        <v>0.4848484848</v>
      </c>
      <c r="H313" s="99"/>
      <c r="I313" s="99">
        <f>(E310/4)-(E314/2)</f>
        <v>109000</v>
      </c>
      <c r="J313" s="99"/>
      <c r="K313" s="99">
        <f>(I312*0.75*2)-120000</f>
        <v>127500</v>
      </c>
      <c r="L313" s="99"/>
      <c r="M313" s="99"/>
      <c r="N313" s="99"/>
      <c r="O313" s="99"/>
      <c r="P313" s="99"/>
      <c r="Q313" s="23"/>
      <c r="R313" s="23"/>
      <c r="S313" s="100"/>
      <c r="T313" s="24"/>
      <c r="U313" s="25"/>
      <c r="V313" s="25"/>
      <c r="W313" s="25"/>
      <c r="X313" s="110"/>
    </row>
    <row r="314" hidden="1">
      <c r="A314" s="198"/>
      <c r="B314" s="198"/>
      <c r="C314" s="104"/>
      <c r="D314" s="138" t="s">
        <v>233</v>
      </c>
      <c r="E314" s="58">
        <f>221000*2</f>
        <v>442000</v>
      </c>
      <c r="F314" s="58">
        <f>325000*2</f>
        <v>650000</v>
      </c>
      <c r="G314" s="18">
        <f t="shared" si="115"/>
        <v>0.4705882353</v>
      </c>
      <c r="H314" s="99">
        <f>H312*4</f>
        <v>120000</v>
      </c>
      <c r="I314" s="99">
        <f>(I312-I313)*2</f>
        <v>112000</v>
      </c>
      <c r="J314" s="99"/>
      <c r="K314" s="99"/>
      <c r="L314" s="99"/>
      <c r="M314" s="99"/>
      <c r="N314" s="99"/>
      <c r="O314" s="99"/>
      <c r="P314" s="99"/>
      <c r="Q314" s="23"/>
      <c r="R314" s="23"/>
      <c r="S314" s="100"/>
      <c r="T314" s="24"/>
      <c r="U314" s="25"/>
      <c r="V314" s="25"/>
      <c r="W314" s="25"/>
      <c r="X314" s="110"/>
    </row>
    <row r="315" hidden="1">
      <c r="A315" s="198"/>
      <c r="B315" s="198"/>
      <c r="C315" s="106"/>
      <c r="D315" s="103" t="s">
        <v>101</v>
      </c>
      <c r="E315" s="58">
        <f t="shared" ref="E315:F315" si="122">SUM(E309:E311)</f>
        <v>3192000</v>
      </c>
      <c r="F315" s="58">
        <f t="shared" si="122"/>
        <v>4760000</v>
      </c>
      <c r="G315" s="18">
        <f t="shared" si="115"/>
        <v>0.4912280702</v>
      </c>
      <c r="H315" s="99"/>
      <c r="I315" s="99"/>
      <c r="J315" s="99"/>
      <c r="K315" s="99"/>
      <c r="L315" s="99"/>
      <c r="M315" s="99"/>
      <c r="N315" s="99"/>
      <c r="O315" s="99"/>
      <c r="P315" s="99"/>
      <c r="Q315" s="23"/>
      <c r="R315" s="23"/>
      <c r="S315" s="100"/>
      <c r="T315" s="24">
        <f>P315-(G315+S315)-(P315*R315)</f>
        <v>-0.4912280702</v>
      </c>
      <c r="U315" s="25">
        <f>IFERROR((P315-G315)/G315,"")</f>
        <v>-1</v>
      </c>
      <c r="V315" s="25" t="str">
        <f>IFERROR((P315-G315)/P315,"")</f>
        <v/>
      </c>
      <c r="W315" s="25" t="str">
        <f>IFERROR(T315/P315,"")</f>
        <v/>
      </c>
      <c r="X315" s="110"/>
    </row>
    <row r="316" hidden="1">
      <c r="A316" s="28"/>
      <c r="B316" s="28"/>
      <c r="C316" s="107"/>
      <c r="D316" s="83" t="s">
        <v>234</v>
      </c>
      <c r="E316" s="105">
        <f>F315-E315</f>
        <v>1568000</v>
      </c>
      <c r="F316" s="105" t="str">
        <f t="shared" ref="F316:F317" si="123">IFERROR((#REF!-#REF!)/#REF!,"")</f>
        <v/>
      </c>
      <c r="G316" s="99"/>
      <c r="H316" s="99"/>
      <c r="I316" s="98">
        <v>218000.0</v>
      </c>
      <c r="J316" s="98">
        <v>330000.0</v>
      </c>
      <c r="K316" s="99"/>
      <c r="L316" s="99"/>
      <c r="M316" s="99"/>
      <c r="N316" s="99"/>
      <c r="O316" s="99"/>
      <c r="P316" s="99"/>
      <c r="Q316" s="23"/>
      <c r="R316" s="23"/>
      <c r="S316" s="100"/>
      <c r="T316" s="24">
        <f t="shared" ref="T316:T317" si="124">P316-(G316+S316)-(P316*R316)-(P316*Q316)</f>
        <v>0</v>
      </c>
      <c r="U316" s="180"/>
      <c r="V316" s="180"/>
      <c r="W316" s="180"/>
      <c r="X316" s="110"/>
    </row>
    <row r="317" hidden="1">
      <c r="A317" s="28"/>
      <c r="B317" s="28"/>
      <c r="C317" s="107"/>
      <c r="D317" s="97"/>
      <c r="E317" s="105"/>
      <c r="F317" s="105" t="str">
        <f t="shared" si="123"/>
        <v/>
      </c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23"/>
      <c r="R317" s="23"/>
      <c r="S317" s="100"/>
      <c r="T317" s="24">
        <f t="shared" si="124"/>
        <v>0</v>
      </c>
      <c r="U317" s="180"/>
      <c r="V317" s="180"/>
      <c r="W317" s="180"/>
      <c r="X317" s="110"/>
    </row>
    <row r="318" hidden="1">
      <c r="A318" s="198"/>
      <c r="B318" s="198"/>
      <c r="C318" s="137" t="s">
        <v>65</v>
      </c>
      <c r="D318" s="138" t="s">
        <v>235</v>
      </c>
      <c r="E318" s="58">
        <f>320000+(36000*2)+30000+20000</f>
        <v>442000</v>
      </c>
      <c r="F318" s="58">
        <f>325000*2</f>
        <v>650000</v>
      </c>
      <c r="G318" s="18">
        <f t="shared" ref="G318:G319" si="125">(F318-E318)/E318</f>
        <v>0.4705882353</v>
      </c>
      <c r="H318" s="99"/>
      <c r="I318" s="99"/>
      <c r="J318" s="99"/>
      <c r="K318" s="99"/>
      <c r="L318" s="99"/>
      <c r="M318" s="99"/>
      <c r="N318" s="99"/>
      <c r="O318" s="99"/>
      <c r="P318" s="99"/>
      <c r="Q318" s="23"/>
      <c r="R318" s="23"/>
      <c r="S318" s="100"/>
      <c r="T318" s="24">
        <f t="shared" ref="T318:T319" si="126">P318-(G318+S318)-(P318*R318)</f>
        <v>-0.4705882353</v>
      </c>
      <c r="U318" s="25">
        <f t="shared" ref="U318:U319" si="127">IFERROR((P318-G318)/G318,"")</f>
        <v>-1</v>
      </c>
      <c r="V318" s="25" t="str">
        <f t="shared" ref="V318:V319" si="128">IFERROR((P318-G318)/P318,"")</f>
        <v/>
      </c>
      <c r="W318" s="25" t="str">
        <f t="shared" ref="W318:W319" si="129">IFERROR(T318/P318,"")</f>
        <v/>
      </c>
      <c r="X318" s="26"/>
    </row>
    <row r="319" hidden="1">
      <c r="A319" s="198"/>
      <c r="B319" s="198"/>
      <c r="C319" s="104"/>
      <c r="D319" s="138" t="s">
        <v>156</v>
      </c>
      <c r="E319" s="84">
        <f>(330000*2)</f>
        <v>660000</v>
      </c>
      <c r="F319" s="58">
        <f>(490000*2)</f>
        <v>980000</v>
      </c>
      <c r="G319" s="18">
        <f t="shared" si="125"/>
        <v>0.4848484848</v>
      </c>
      <c r="H319" s="99"/>
      <c r="I319" s="99"/>
      <c r="J319" s="99"/>
      <c r="K319" s="99"/>
      <c r="L319" s="99"/>
      <c r="M319" s="99"/>
      <c r="N319" s="99"/>
      <c r="O319" s="99"/>
      <c r="P319" s="99"/>
      <c r="Q319" s="23"/>
      <c r="R319" s="23"/>
      <c r="S319" s="100"/>
      <c r="T319" s="24">
        <f t="shared" si="126"/>
        <v>-0.4848484848</v>
      </c>
      <c r="U319" s="25">
        <f t="shared" si="127"/>
        <v>-1</v>
      </c>
      <c r="V319" s="25" t="str">
        <f t="shared" si="128"/>
        <v/>
      </c>
      <c r="W319" s="25" t="str">
        <f t="shared" si="129"/>
        <v/>
      </c>
      <c r="X319" s="26"/>
    </row>
    <row r="320" hidden="1">
      <c r="A320" s="198"/>
      <c r="B320" s="198"/>
      <c r="C320" s="104"/>
      <c r="D320" s="138" t="s">
        <v>236</v>
      </c>
      <c r="E320" s="58">
        <f>380000*2</f>
        <v>760000</v>
      </c>
      <c r="F320" s="58">
        <f>530000*2</f>
        <v>1060000</v>
      </c>
      <c r="G320" s="18"/>
      <c r="H320" s="99"/>
      <c r="I320" s="99"/>
      <c r="J320" s="99"/>
      <c r="K320" s="99"/>
      <c r="L320" s="99"/>
      <c r="M320" s="99"/>
      <c r="N320" s="99"/>
      <c r="O320" s="99"/>
      <c r="P320" s="99"/>
      <c r="Q320" s="23"/>
      <c r="R320" s="23"/>
      <c r="S320" s="100"/>
      <c r="T320" s="24"/>
      <c r="U320" s="25"/>
      <c r="V320" s="25"/>
      <c r="W320" s="25"/>
      <c r="X320" s="110"/>
    </row>
    <row r="321" hidden="1">
      <c r="A321" s="198"/>
      <c r="B321" s="198"/>
      <c r="C321" s="106"/>
      <c r="D321" s="138" t="s">
        <v>237</v>
      </c>
      <c r="E321" s="58">
        <f>430000*2</f>
        <v>860000</v>
      </c>
      <c r="F321" s="58">
        <f>580000*2</f>
        <v>1160000</v>
      </c>
      <c r="G321" s="18">
        <f>(F321-E321)/E321</f>
        <v>0.3488372093</v>
      </c>
      <c r="H321" s="99"/>
      <c r="I321" s="99"/>
      <c r="J321" s="99"/>
      <c r="K321" s="99"/>
      <c r="L321" s="99"/>
      <c r="M321" s="99"/>
      <c r="N321" s="99"/>
      <c r="O321" s="99"/>
      <c r="P321" s="99"/>
      <c r="Q321" s="23"/>
      <c r="R321" s="23"/>
      <c r="S321" s="100"/>
      <c r="T321" s="24">
        <f>P321-(G321+S321)-(P321*R321)</f>
        <v>-0.3488372093</v>
      </c>
      <c r="U321" s="25">
        <f>IFERROR((P321-G321)/G321,"")</f>
        <v>-1</v>
      </c>
      <c r="V321" s="25" t="str">
        <f>IFERROR((P321-G321)/P321,"")</f>
        <v/>
      </c>
      <c r="W321" s="25" t="str">
        <f>IFERROR(T321/P321,"")</f>
        <v/>
      </c>
      <c r="X321" s="110"/>
    </row>
    <row r="322" hidden="1">
      <c r="A322" s="81"/>
      <c r="B322" s="81"/>
      <c r="C322" s="82"/>
      <c r="D322" s="83" t="s">
        <v>238</v>
      </c>
      <c r="E322" s="105">
        <f>370000*2</f>
        <v>740000</v>
      </c>
      <c r="F322" s="58">
        <f>530000*2</f>
        <v>1060000</v>
      </c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23"/>
      <c r="R322" s="23"/>
      <c r="S322" s="100"/>
      <c r="T322" s="24"/>
      <c r="U322" s="180"/>
      <c r="V322" s="180"/>
      <c r="W322" s="180"/>
      <c r="X322" s="110"/>
    </row>
    <row r="323" hidden="1">
      <c r="A323" s="28"/>
      <c r="B323" s="28"/>
      <c r="C323" s="107"/>
      <c r="D323" s="83" t="s">
        <v>101</v>
      </c>
      <c r="E323" s="105">
        <f>E318+E319+E320+E321+E322+(64000)</f>
        <v>3526000</v>
      </c>
      <c r="F323" s="58">
        <f>F318+F319+F320+F321+F322</f>
        <v>4910000</v>
      </c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23"/>
      <c r="R323" s="23"/>
      <c r="S323" s="100"/>
      <c r="T323" s="24"/>
      <c r="U323" s="180"/>
      <c r="V323" s="180"/>
      <c r="W323" s="180"/>
      <c r="X323" s="110"/>
    </row>
    <row r="324" hidden="1">
      <c r="A324" s="28"/>
      <c r="B324" s="28"/>
      <c r="C324" s="107"/>
      <c r="D324" s="83" t="s">
        <v>234</v>
      </c>
      <c r="E324" s="105">
        <f>F323-E323</f>
        <v>1384000</v>
      </c>
      <c r="F324" s="5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23"/>
      <c r="R324" s="23"/>
      <c r="S324" s="100"/>
      <c r="T324" s="24">
        <f t="shared" ref="T324:T360" si="130">P324-(G324+S324)-(P324*R324)-(P324*Q324)</f>
        <v>0</v>
      </c>
      <c r="U324" s="180"/>
      <c r="V324" s="180"/>
      <c r="W324" s="180"/>
      <c r="X324" s="110"/>
    </row>
    <row r="325" hidden="1">
      <c r="A325" s="28"/>
      <c r="B325" s="28"/>
      <c r="C325" s="107"/>
      <c r="D325" s="97"/>
      <c r="E325" s="105"/>
      <c r="F325" s="5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23"/>
      <c r="R325" s="23"/>
      <c r="S325" s="100"/>
      <c r="T325" s="24">
        <f t="shared" si="130"/>
        <v>0</v>
      </c>
      <c r="U325" s="180"/>
      <c r="V325" s="180"/>
      <c r="W325" s="180"/>
      <c r="X325" s="110"/>
    </row>
    <row r="326" hidden="1">
      <c r="A326" s="28"/>
      <c r="B326" s="28"/>
      <c r="C326" s="107"/>
      <c r="D326" s="97"/>
      <c r="E326" s="105"/>
      <c r="F326" s="5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23"/>
      <c r="R326" s="23"/>
      <c r="S326" s="100"/>
      <c r="T326" s="24">
        <f t="shared" si="130"/>
        <v>0</v>
      </c>
      <c r="U326" s="180"/>
      <c r="V326" s="180"/>
      <c r="W326" s="180"/>
      <c r="X326" s="110"/>
    </row>
    <row r="327" hidden="1">
      <c r="A327" s="28"/>
      <c r="B327" s="28"/>
      <c r="C327" s="107"/>
      <c r="D327" s="97"/>
      <c r="E327" s="105"/>
      <c r="F327" s="5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23"/>
      <c r="R327" s="23"/>
      <c r="S327" s="100"/>
      <c r="T327" s="24">
        <f t="shared" si="130"/>
        <v>0</v>
      </c>
      <c r="U327" s="180"/>
      <c r="V327" s="180"/>
      <c r="W327" s="180"/>
      <c r="X327" s="110"/>
    </row>
    <row r="328" hidden="1">
      <c r="A328" s="28"/>
      <c r="B328" s="28"/>
      <c r="C328" s="107"/>
      <c r="D328" s="97"/>
      <c r="E328" s="105"/>
      <c r="F328" s="5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23"/>
      <c r="R328" s="23"/>
      <c r="S328" s="100"/>
      <c r="T328" s="24">
        <f t="shared" si="130"/>
        <v>0</v>
      </c>
      <c r="U328" s="180"/>
      <c r="V328" s="180"/>
      <c r="W328" s="180"/>
      <c r="X328" s="110"/>
    </row>
    <row r="329" hidden="1">
      <c r="A329" s="81"/>
      <c r="B329" s="81"/>
      <c r="C329" s="82" t="s">
        <v>239</v>
      </c>
      <c r="D329" s="83" t="s">
        <v>240</v>
      </c>
      <c r="E329" s="105">
        <f>320000+(36000*4)+400000+40000</f>
        <v>904000</v>
      </c>
      <c r="F329" s="58">
        <f>330000*4</f>
        <v>1320000</v>
      </c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23"/>
      <c r="R329" s="23"/>
      <c r="S329" s="100"/>
      <c r="T329" s="24">
        <f t="shared" si="130"/>
        <v>0</v>
      </c>
      <c r="U329" s="180"/>
      <c r="V329" s="180"/>
      <c r="W329" s="180"/>
      <c r="X329" s="110"/>
    </row>
    <row r="330" hidden="1">
      <c r="A330" s="28"/>
      <c r="B330" s="28"/>
      <c r="C330" s="107"/>
      <c r="D330" s="83" t="s">
        <v>241</v>
      </c>
      <c r="E330" s="201">
        <v>145000.0</v>
      </c>
      <c r="F330" s="84">
        <v>300000.0</v>
      </c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23"/>
      <c r="R330" s="23"/>
      <c r="S330" s="100"/>
      <c r="T330" s="24">
        <f t="shared" si="130"/>
        <v>0</v>
      </c>
      <c r="U330" s="180"/>
      <c r="V330" s="180"/>
      <c r="W330" s="180"/>
      <c r="X330" s="110"/>
    </row>
    <row r="331" hidden="1">
      <c r="A331" s="28"/>
      <c r="B331" s="28"/>
      <c r="C331" s="107"/>
      <c r="D331" s="97"/>
      <c r="E331" s="105">
        <f>E329+E330</f>
        <v>1049000</v>
      </c>
      <c r="F331" s="84">
        <f>F330+F329</f>
        <v>1620000</v>
      </c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23"/>
      <c r="R331" s="23"/>
      <c r="S331" s="100"/>
      <c r="T331" s="24">
        <f t="shared" si="130"/>
        <v>0</v>
      </c>
      <c r="U331" s="180"/>
      <c r="V331" s="180"/>
      <c r="W331" s="180"/>
      <c r="X331" s="110"/>
    </row>
    <row r="332" hidden="1">
      <c r="A332" s="28"/>
      <c r="B332" s="28"/>
      <c r="C332" s="107"/>
      <c r="D332" s="97"/>
      <c r="E332" s="105">
        <f>F331-E331</f>
        <v>571000</v>
      </c>
      <c r="F332" s="105" t="str">
        <f t="shared" ref="F332:F334" si="131">IFERROR((#REF!-#REF!)/#REF!,"")</f>
        <v/>
      </c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23"/>
      <c r="R332" s="23"/>
      <c r="S332" s="100"/>
      <c r="T332" s="24">
        <f t="shared" si="130"/>
        <v>0</v>
      </c>
      <c r="U332" s="180"/>
      <c r="V332" s="180"/>
      <c r="W332" s="180"/>
      <c r="X332" s="110"/>
    </row>
    <row r="333" hidden="1">
      <c r="A333" s="28"/>
      <c r="B333" s="28"/>
      <c r="C333" s="107"/>
      <c r="D333" s="97"/>
      <c r="E333" s="105"/>
      <c r="F333" s="105" t="str">
        <f t="shared" si="131"/>
        <v/>
      </c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23"/>
      <c r="R333" s="23"/>
      <c r="S333" s="100"/>
      <c r="T333" s="24">
        <f t="shared" si="130"/>
        <v>0</v>
      </c>
      <c r="U333" s="180"/>
      <c r="V333" s="180"/>
      <c r="W333" s="180"/>
      <c r="X333" s="110"/>
    </row>
    <row r="334" hidden="1">
      <c r="A334" s="28"/>
      <c r="B334" s="28"/>
      <c r="C334" s="107"/>
      <c r="D334" s="97"/>
      <c r="E334" s="105"/>
      <c r="F334" s="105" t="str">
        <f t="shared" si="131"/>
        <v/>
      </c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23"/>
      <c r="R334" s="23"/>
      <c r="S334" s="100"/>
      <c r="T334" s="24">
        <f t="shared" si="130"/>
        <v>0</v>
      </c>
      <c r="U334" s="180"/>
      <c r="V334" s="180"/>
      <c r="W334" s="180"/>
      <c r="X334" s="110"/>
    </row>
    <row r="335" hidden="1">
      <c r="A335" s="81"/>
      <c r="B335" s="81"/>
      <c r="C335" s="82" t="s">
        <v>242</v>
      </c>
      <c r="D335" s="83" t="s">
        <v>222</v>
      </c>
      <c r="E335" s="105">
        <f>350000*2</f>
        <v>700000</v>
      </c>
      <c r="F335" s="58">
        <f>(490000*2)</f>
        <v>980000</v>
      </c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23"/>
      <c r="R335" s="23"/>
      <c r="S335" s="100"/>
      <c r="T335" s="24">
        <f t="shared" si="130"/>
        <v>0</v>
      </c>
      <c r="U335" s="180"/>
      <c r="V335" s="180"/>
      <c r="W335" s="180"/>
      <c r="X335" s="110"/>
    </row>
    <row r="336" hidden="1">
      <c r="A336" s="28"/>
      <c r="B336" s="28"/>
      <c r="C336" s="107"/>
      <c r="D336" s="83" t="s">
        <v>156</v>
      </c>
      <c r="E336" s="201">
        <f>(330000*2)</f>
        <v>660000</v>
      </c>
      <c r="F336" s="84">
        <f>510000*2</f>
        <v>1020000</v>
      </c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23"/>
      <c r="R336" s="23"/>
      <c r="S336" s="100"/>
      <c r="T336" s="24">
        <f t="shared" si="130"/>
        <v>0</v>
      </c>
      <c r="U336" s="180"/>
      <c r="V336" s="180"/>
      <c r="W336" s="180"/>
      <c r="X336" s="110"/>
    </row>
    <row r="337" hidden="1">
      <c r="A337" s="28"/>
      <c r="B337" s="28"/>
      <c r="C337" s="107"/>
      <c r="D337" s="83" t="s">
        <v>243</v>
      </c>
      <c r="E337" s="105">
        <f>E335+E336</f>
        <v>1360000</v>
      </c>
      <c r="F337" s="84">
        <f>F336+F335</f>
        <v>2000000</v>
      </c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23"/>
      <c r="R337" s="23"/>
      <c r="S337" s="100"/>
      <c r="T337" s="24">
        <f t="shared" si="130"/>
        <v>0</v>
      </c>
      <c r="U337" s="180"/>
      <c r="V337" s="180"/>
      <c r="W337" s="180"/>
      <c r="X337" s="110"/>
    </row>
    <row r="338" hidden="1">
      <c r="A338" s="28"/>
      <c r="B338" s="28"/>
      <c r="C338" s="107"/>
      <c r="D338" s="83" t="s">
        <v>148</v>
      </c>
      <c r="E338" s="105">
        <f>F337-E337</f>
        <v>640000</v>
      </c>
      <c r="F338" s="105" t="str">
        <f t="shared" ref="F338:F340" si="132">IFERROR((#REF!-#REF!)/#REF!,"")</f>
        <v/>
      </c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23"/>
      <c r="R338" s="23"/>
      <c r="S338" s="100"/>
      <c r="T338" s="24">
        <f t="shared" si="130"/>
        <v>0</v>
      </c>
      <c r="U338" s="180"/>
      <c r="V338" s="180"/>
      <c r="W338" s="180"/>
      <c r="X338" s="110"/>
    </row>
    <row r="339" hidden="1">
      <c r="A339" s="28"/>
      <c r="B339" s="28"/>
      <c r="C339" s="107"/>
      <c r="D339" s="97"/>
      <c r="E339" s="105" t="str">
        <f t="shared" ref="E339:E340" si="133">#REF!-(#REF!+#REF!)-(#REF!*#REF!)-(#REF!*#REF!)</f>
        <v>#REF!</v>
      </c>
      <c r="F339" s="105" t="str">
        <f t="shared" si="132"/>
        <v/>
      </c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23"/>
      <c r="R339" s="23"/>
      <c r="S339" s="100"/>
      <c r="T339" s="24">
        <f t="shared" si="130"/>
        <v>0</v>
      </c>
      <c r="U339" s="180"/>
      <c r="V339" s="180"/>
      <c r="W339" s="180"/>
      <c r="X339" s="110"/>
    </row>
    <row r="340" hidden="1">
      <c r="A340" s="28"/>
      <c r="B340" s="28"/>
      <c r="C340" s="107"/>
      <c r="D340" s="97"/>
      <c r="E340" s="105" t="str">
        <f t="shared" si="133"/>
        <v>#REF!</v>
      </c>
      <c r="F340" s="105" t="str">
        <f t="shared" si="132"/>
        <v/>
      </c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23"/>
      <c r="R340" s="23"/>
      <c r="S340" s="100"/>
      <c r="T340" s="24">
        <f t="shared" si="130"/>
        <v>0</v>
      </c>
      <c r="U340" s="180"/>
      <c r="V340" s="180"/>
      <c r="W340" s="180"/>
      <c r="X340" s="110"/>
    </row>
    <row r="341" hidden="1">
      <c r="A341" s="81"/>
      <c r="B341" s="81"/>
      <c r="C341" s="82" t="s">
        <v>242</v>
      </c>
      <c r="D341" s="83" t="s">
        <v>222</v>
      </c>
      <c r="E341" s="105">
        <f>350000*2</f>
        <v>700000</v>
      </c>
      <c r="F341" s="58">
        <f>(490000*2)</f>
        <v>980000</v>
      </c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23"/>
      <c r="R341" s="23"/>
      <c r="S341" s="100"/>
      <c r="T341" s="24">
        <f t="shared" si="130"/>
        <v>0</v>
      </c>
      <c r="U341" s="180"/>
      <c r="V341" s="180"/>
      <c r="W341" s="180"/>
      <c r="X341" s="110"/>
    </row>
    <row r="342" hidden="1">
      <c r="A342" s="28"/>
      <c r="B342" s="28"/>
      <c r="C342" s="107"/>
      <c r="D342" s="83" t="s">
        <v>156</v>
      </c>
      <c r="E342" s="201">
        <f>(330000*2)</f>
        <v>660000</v>
      </c>
      <c r="F342" s="84">
        <f>510000*2</f>
        <v>1020000</v>
      </c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23"/>
      <c r="R342" s="23"/>
      <c r="S342" s="100"/>
      <c r="T342" s="24">
        <f t="shared" si="130"/>
        <v>0</v>
      </c>
      <c r="U342" s="180"/>
      <c r="V342" s="180"/>
      <c r="W342" s="180"/>
      <c r="X342" s="110"/>
    </row>
    <row r="343" hidden="1">
      <c r="A343" s="28"/>
      <c r="B343" s="28"/>
      <c r="C343" s="107"/>
      <c r="D343" s="83" t="s">
        <v>243</v>
      </c>
      <c r="E343" s="105">
        <f>E341+E342</f>
        <v>1360000</v>
      </c>
      <c r="F343" s="84">
        <f>F342+F341</f>
        <v>2000000</v>
      </c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23"/>
      <c r="R343" s="23"/>
      <c r="S343" s="100"/>
      <c r="T343" s="24">
        <f t="shared" si="130"/>
        <v>0</v>
      </c>
      <c r="U343" s="180"/>
      <c r="V343" s="180"/>
      <c r="W343" s="180"/>
      <c r="X343" s="110"/>
    </row>
    <row r="344" hidden="1">
      <c r="A344" s="28"/>
      <c r="B344" s="28"/>
      <c r="C344" s="107"/>
      <c r="D344" s="83" t="s">
        <v>148</v>
      </c>
      <c r="E344" s="105">
        <f>F343-E343</f>
        <v>640000</v>
      </c>
      <c r="F344" s="105" t="str">
        <f t="shared" ref="F344:F347" si="134">IFERROR((#REF!-#REF!)/#REF!,"")</f>
        <v/>
      </c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23"/>
      <c r="R344" s="23"/>
      <c r="S344" s="100"/>
      <c r="T344" s="24">
        <f t="shared" si="130"/>
        <v>0</v>
      </c>
      <c r="U344" s="180"/>
      <c r="V344" s="180"/>
      <c r="W344" s="180"/>
      <c r="X344" s="110"/>
    </row>
    <row r="345" hidden="1">
      <c r="A345" s="28"/>
      <c r="B345" s="28"/>
      <c r="C345" s="107"/>
      <c r="D345" s="97"/>
      <c r="E345" s="105" t="str">
        <f t="shared" ref="E345:E347" si="135">#REF!-(#REF!+#REF!)-(#REF!*#REF!)-(#REF!*#REF!)</f>
        <v>#REF!</v>
      </c>
      <c r="F345" s="105" t="str">
        <f t="shared" si="134"/>
        <v/>
      </c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23"/>
      <c r="R345" s="23"/>
      <c r="S345" s="100"/>
      <c r="T345" s="24">
        <f t="shared" si="130"/>
        <v>0</v>
      </c>
      <c r="U345" s="180"/>
      <c r="V345" s="180"/>
      <c r="W345" s="180"/>
      <c r="X345" s="110"/>
    </row>
    <row r="346" hidden="1">
      <c r="A346" s="28"/>
      <c r="B346" s="28"/>
      <c r="C346" s="107"/>
      <c r="D346" s="97"/>
      <c r="E346" s="105" t="str">
        <f t="shared" si="135"/>
        <v>#REF!</v>
      </c>
      <c r="F346" s="105" t="str">
        <f t="shared" si="134"/>
        <v/>
      </c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23"/>
      <c r="R346" s="23"/>
      <c r="S346" s="100"/>
      <c r="T346" s="24">
        <f t="shared" si="130"/>
        <v>0</v>
      </c>
      <c r="U346" s="180"/>
      <c r="V346" s="180"/>
      <c r="W346" s="180"/>
      <c r="X346" s="110"/>
    </row>
    <row r="347" hidden="1">
      <c r="A347" s="28"/>
      <c r="B347" s="28"/>
      <c r="C347" s="107"/>
      <c r="D347" s="97"/>
      <c r="E347" s="105" t="str">
        <f t="shared" si="135"/>
        <v>#REF!</v>
      </c>
      <c r="F347" s="105" t="str">
        <f t="shared" si="134"/>
        <v/>
      </c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23"/>
      <c r="R347" s="23"/>
      <c r="S347" s="100"/>
      <c r="T347" s="24">
        <f t="shared" si="130"/>
        <v>0</v>
      </c>
      <c r="U347" s="180"/>
      <c r="V347" s="180"/>
      <c r="W347" s="180"/>
      <c r="X347" s="110"/>
    </row>
    <row r="348" hidden="1">
      <c r="A348" s="81"/>
      <c r="B348" s="81"/>
      <c r="C348" s="82" t="s">
        <v>244</v>
      </c>
      <c r="D348" s="83" t="s">
        <v>245</v>
      </c>
      <c r="E348" s="201">
        <f>(110000*2)</f>
        <v>220000</v>
      </c>
      <c r="F348" s="58">
        <f>230000*2</f>
        <v>460000</v>
      </c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23"/>
      <c r="R348" s="23"/>
      <c r="S348" s="100"/>
      <c r="T348" s="24">
        <f t="shared" si="130"/>
        <v>0</v>
      </c>
      <c r="U348" s="180"/>
      <c r="V348" s="180"/>
      <c r="W348" s="180"/>
      <c r="X348" s="110"/>
    </row>
    <row r="349" hidden="1">
      <c r="A349" s="28"/>
      <c r="B349" s="28"/>
      <c r="C349" s="107"/>
      <c r="D349" s="83" t="s">
        <v>156</v>
      </c>
      <c r="E349" s="201">
        <f>(330000*2)</f>
        <v>660000</v>
      </c>
      <c r="F349" s="84">
        <f>(490000*2)</f>
        <v>980000</v>
      </c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23"/>
      <c r="R349" s="23"/>
      <c r="S349" s="100"/>
      <c r="T349" s="24">
        <f t="shared" si="130"/>
        <v>0</v>
      </c>
      <c r="U349" s="180"/>
      <c r="V349" s="180"/>
      <c r="W349" s="180"/>
      <c r="X349" s="110"/>
    </row>
    <row r="350" hidden="1">
      <c r="A350" s="28"/>
      <c r="B350" s="28"/>
      <c r="C350" s="107"/>
      <c r="D350" s="83" t="s">
        <v>243</v>
      </c>
      <c r="E350" s="105">
        <f>E348+E349</f>
        <v>880000</v>
      </c>
      <c r="F350" s="84">
        <f>F349+F348</f>
        <v>1440000</v>
      </c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23"/>
      <c r="R350" s="23"/>
      <c r="S350" s="100"/>
      <c r="T350" s="24">
        <f t="shared" si="130"/>
        <v>0</v>
      </c>
      <c r="U350" s="180"/>
      <c r="V350" s="180"/>
      <c r="W350" s="180"/>
      <c r="X350" s="110"/>
    </row>
    <row r="351" hidden="1">
      <c r="A351" s="28"/>
      <c r="B351" s="28"/>
      <c r="C351" s="107"/>
      <c r="D351" s="83" t="s">
        <v>148</v>
      </c>
      <c r="E351" s="105">
        <f>F350-E350</f>
        <v>560000</v>
      </c>
      <c r="F351" s="105" t="str">
        <f t="shared" ref="F351:F352" si="136">IFERROR((#REF!-#REF!)/#REF!,"")</f>
        <v/>
      </c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23"/>
      <c r="R351" s="23"/>
      <c r="S351" s="100"/>
      <c r="T351" s="24">
        <f t="shared" si="130"/>
        <v>0</v>
      </c>
      <c r="U351" s="180"/>
      <c r="V351" s="180"/>
      <c r="W351" s="180"/>
      <c r="X351" s="110"/>
    </row>
    <row r="352" hidden="1">
      <c r="A352" s="28"/>
      <c r="B352" s="28"/>
      <c r="C352" s="107"/>
      <c r="D352" s="97"/>
      <c r="E352" s="105" t="str">
        <f>#REF!-(#REF!+#REF!)-(#REF!*#REF!)-(#REF!*#REF!)</f>
        <v>#REF!</v>
      </c>
      <c r="F352" s="105" t="str">
        <f t="shared" si="136"/>
        <v/>
      </c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23"/>
      <c r="R352" s="23"/>
      <c r="S352" s="100"/>
      <c r="T352" s="24">
        <f t="shared" si="130"/>
        <v>0</v>
      </c>
      <c r="U352" s="180"/>
      <c r="V352" s="180"/>
      <c r="W352" s="180"/>
      <c r="X352" s="110"/>
    </row>
    <row r="353" hidden="1">
      <c r="A353" s="28"/>
      <c r="B353" s="28"/>
      <c r="C353" s="107"/>
      <c r="D353" s="97"/>
      <c r="E353" s="105"/>
      <c r="F353" s="105"/>
      <c r="G353" s="18" t="str">
        <f t="shared" ref="G353:G357" si="137">(F353-E353)/E353</f>
        <v>#DIV/0!</v>
      </c>
      <c r="H353" s="99"/>
      <c r="I353" s="99"/>
      <c r="J353" s="99"/>
      <c r="K353" s="99"/>
      <c r="L353" s="99"/>
      <c r="M353" s="99"/>
      <c r="N353" s="99"/>
      <c r="O353" s="99"/>
      <c r="P353" s="99"/>
      <c r="Q353" s="23"/>
      <c r="R353" s="23"/>
      <c r="S353" s="100"/>
      <c r="T353" s="24" t="str">
        <f t="shared" si="130"/>
        <v>#DIV/0!</v>
      </c>
      <c r="U353" s="179" t="str">
        <f t="shared" ref="U353:U360" si="138">IFERROR((P353-G353)/G353,"")</f>
        <v/>
      </c>
      <c r="V353" s="179" t="str">
        <f t="shared" ref="V353:V360" si="139">IFERROR((P353-G353)/P353,"")</f>
        <v/>
      </c>
      <c r="W353" s="179" t="str">
        <f t="shared" ref="W353:W360" si="140">IFERROR(T353/P353,"")</f>
        <v/>
      </c>
      <c r="X353" s="26"/>
    </row>
    <row r="354" hidden="1">
      <c r="A354" s="28"/>
      <c r="B354" s="28"/>
      <c r="C354" s="107"/>
      <c r="D354" s="97"/>
      <c r="E354" s="105"/>
      <c r="F354" s="105"/>
      <c r="G354" s="18" t="str">
        <f t="shared" si="137"/>
        <v>#DIV/0!</v>
      </c>
      <c r="H354" s="99"/>
      <c r="I354" s="99"/>
      <c r="J354" s="99"/>
      <c r="K354" s="99"/>
      <c r="L354" s="99"/>
      <c r="M354" s="99"/>
      <c r="N354" s="99"/>
      <c r="O354" s="99"/>
      <c r="P354" s="99"/>
      <c r="Q354" s="23"/>
      <c r="R354" s="23"/>
      <c r="S354" s="100"/>
      <c r="T354" s="24" t="str">
        <f t="shared" si="130"/>
        <v>#DIV/0!</v>
      </c>
      <c r="U354" s="179" t="str">
        <f t="shared" si="138"/>
        <v/>
      </c>
      <c r="V354" s="179" t="str">
        <f t="shared" si="139"/>
        <v/>
      </c>
      <c r="W354" s="179" t="str">
        <f t="shared" si="140"/>
        <v/>
      </c>
      <c r="X354" s="26"/>
    </row>
    <row r="355" hidden="1">
      <c r="A355" s="81"/>
      <c r="B355" s="81"/>
      <c r="C355" s="82" t="s">
        <v>246</v>
      </c>
      <c r="D355" s="103" t="s">
        <v>183</v>
      </c>
      <c r="E355" s="202">
        <v>260000.0</v>
      </c>
      <c r="F355" s="202">
        <v>400000.0</v>
      </c>
      <c r="G355" s="18">
        <f t="shared" si="137"/>
        <v>0.5384615385</v>
      </c>
      <c r="H355" s="99"/>
      <c r="I355" s="99"/>
      <c r="J355" s="99"/>
      <c r="K355" s="99"/>
      <c r="L355" s="99"/>
      <c r="M355" s="99"/>
      <c r="N355" s="99"/>
      <c r="O355" s="99"/>
      <c r="P355" s="99"/>
      <c r="Q355" s="23"/>
      <c r="R355" s="23"/>
      <c r="S355" s="100"/>
      <c r="T355" s="24">
        <f t="shared" si="130"/>
        <v>-0.5384615385</v>
      </c>
      <c r="U355" s="179">
        <f t="shared" si="138"/>
        <v>-1</v>
      </c>
      <c r="V355" s="179" t="str">
        <f t="shared" si="139"/>
        <v/>
      </c>
      <c r="W355" s="179" t="str">
        <f t="shared" si="140"/>
        <v/>
      </c>
      <c r="X355" s="26"/>
    </row>
    <row r="356" hidden="1">
      <c r="A356" s="81"/>
      <c r="B356" s="81"/>
      <c r="D356" s="103" t="s">
        <v>184</v>
      </c>
      <c r="E356" s="202">
        <v>260000.0</v>
      </c>
      <c r="F356" s="202">
        <v>400000.0</v>
      </c>
      <c r="G356" s="18">
        <f t="shared" si="137"/>
        <v>0.5384615385</v>
      </c>
      <c r="H356" s="99"/>
      <c r="I356" s="99"/>
      <c r="J356" s="99"/>
      <c r="K356" s="99"/>
      <c r="L356" s="99"/>
      <c r="M356" s="99"/>
      <c r="N356" s="99"/>
      <c r="O356" s="99"/>
      <c r="P356" s="99"/>
      <c r="Q356" s="23"/>
      <c r="R356" s="23"/>
      <c r="S356" s="100"/>
      <c r="T356" s="24">
        <f t="shared" si="130"/>
        <v>-0.5384615385</v>
      </c>
      <c r="U356" s="179">
        <f t="shared" si="138"/>
        <v>-1</v>
      </c>
      <c r="V356" s="179" t="str">
        <f t="shared" si="139"/>
        <v/>
      </c>
      <c r="W356" s="179" t="str">
        <f t="shared" si="140"/>
        <v/>
      </c>
      <c r="X356" s="26"/>
    </row>
    <row r="357" hidden="1">
      <c r="A357" s="81"/>
      <c r="B357" s="81"/>
      <c r="D357" s="203" t="s">
        <v>247</v>
      </c>
      <c r="E357" s="202">
        <f>820000+(36000*16)+10000*16</f>
        <v>1556000</v>
      </c>
      <c r="F357" s="202">
        <v>2500000.0</v>
      </c>
      <c r="G357" s="18">
        <f t="shared" si="137"/>
        <v>0.6066838046</v>
      </c>
      <c r="H357" s="99"/>
      <c r="I357" s="99"/>
      <c r="J357" s="99"/>
      <c r="K357" s="99"/>
      <c r="L357" s="99"/>
      <c r="M357" s="99"/>
      <c r="N357" s="99"/>
      <c r="O357" s="99"/>
      <c r="P357" s="99"/>
      <c r="Q357" s="23"/>
      <c r="R357" s="23"/>
      <c r="S357" s="100"/>
      <c r="T357" s="24">
        <f t="shared" si="130"/>
        <v>-0.6066838046</v>
      </c>
      <c r="U357" s="179">
        <f t="shared" si="138"/>
        <v>-1</v>
      </c>
      <c r="V357" s="179" t="str">
        <f t="shared" si="139"/>
        <v/>
      </c>
      <c r="W357" s="179" t="str">
        <f t="shared" si="140"/>
        <v/>
      </c>
      <c r="X357" s="26"/>
    </row>
    <row r="358" hidden="1">
      <c r="A358" s="81"/>
      <c r="B358" s="81"/>
      <c r="D358" s="203" t="s">
        <v>248</v>
      </c>
      <c r="E358" s="202">
        <v>500000.0</v>
      </c>
      <c r="F358" s="202" t="s">
        <v>249</v>
      </c>
      <c r="G358" s="204" t="s">
        <v>250</v>
      </c>
      <c r="H358" s="99"/>
      <c r="I358" s="99"/>
      <c r="J358" s="99"/>
      <c r="K358" s="99"/>
      <c r="L358" s="99"/>
      <c r="M358" s="99"/>
      <c r="N358" s="99"/>
      <c r="O358" s="99"/>
      <c r="P358" s="99"/>
      <c r="Q358" s="23"/>
      <c r="R358" s="23"/>
      <c r="S358" s="100"/>
      <c r="T358" s="24" t="str">
        <f t="shared" si="130"/>
        <v>#VALUE!</v>
      </c>
      <c r="U358" s="179" t="str">
        <f t="shared" si="138"/>
        <v/>
      </c>
      <c r="V358" s="179" t="str">
        <f t="shared" si="139"/>
        <v/>
      </c>
      <c r="W358" s="179" t="str">
        <f t="shared" si="140"/>
        <v/>
      </c>
      <c r="X358" s="26"/>
    </row>
    <row r="359" hidden="1">
      <c r="A359" s="81"/>
      <c r="B359" s="81"/>
      <c r="C359" s="205" t="s">
        <v>251</v>
      </c>
      <c r="D359" s="203" t="s">
        <v>252</v>
      </c>
      <c r="E359" s="202">
        <f>470000+170000</f>
        <v>640000</v>
      </c>
      <c r="F359" s="202">
        <f>E359</f>
        <v>640000</v>
      </c>
      <c r="G359" s="18">
        <f>E359</f>
        <v>640000</v>
      </c>
      <c r="H359" s="99"/>
      <c r="I359" s="99"/>
      <c r="J359" s="99"/>
      <c r="K359" s="99"/>
      <c r="L359" s="99"/>
      <c r="M359" s="99"/>
      <c r="N359" s="99"/>
      <c r="O359" s="99"/>
      <c r="P359" s="99"/>
      <c r="Q359" s="23"/>
      <c r="R359" s="23"/>
      <c r="S359" s="100"/>
      <c r="T359" s="24">
        <f t="shared" si="130"/>
        <v>-640000</v>
      </c>
      <c r="U359" s="179">
        <f t="shared" si="138"/>
        <v>-1</v>
      </c>
      <c r="V359" s="179" t="str">
        <f t="shared" si="139"/>
        <v/>
      </c>
      <c r="W359" s="179" t="str">
        <f t="shared" si="140"/>
        <v/>
      </c>
      <c r="X359" s="26"/>
    </row>
    <row r="360" hidden="1">
      <c r="A360" s="81"/>
      <c r="B360" s="81"/>
      <c r="D360" s="203" t="s">
        <v>253</v>
      </c>
      <c r="E360" s="202">
        <f>104800</f>
        <v>104800</v>
      </c>
      <c r="F360" s="202">
        <f>E360*16</f>
        <v>1676800</v>
      </c>
      <c r="G360" s="18">
        <f>E360*23</f>
        <v>2410400</v>
      </c>
      <c r="H360" s="99"/>
      <c r="I360" s="99"/>
      <c r="J360" s="99"/>
      <c r="K360" s="99"/>
      <c r="L360" s="99"/>
      <c r="M360" s="99"/>
      <c r="N360" s="99"/>
      <c r="O360" s="99"/>
      <c r="P360" s="99"/>
      <c r="Q360" s="23"/>
      <c r="R360" s="23"/>
      <c r="S360" s="100"/>
      <c r="T360" s="24">
        <f t="shared" si="130"/>
        <v>-2410400</v>
      </c>
      <c r="U360" s="179">
        <f t="shared" si="138"/>
        <v>-1</v>
      </c>
      <c r="V360" s="179" t="str">
        <f t="shared" si="139"/>
        <v/>
      </c>
      <c r="W360" s="179" t="str">
        <f t="shared" si="140"/>
        <v/>
      </c>
      <c r="X360" s="26"/>
    </row>
    <row r="361" hidden="1">
      <c r="C361" s="107"/>
      <c r="D361" s="83" t="s">
        <v>254</v>
      </c>
      <c r="E361" s="73">
        <v>110000.0</v>
      </c>
      <c r="F361" s="206">
        <f>E361</f>
        <v>110000</v>
      </c>
      <c r="G361" s="99">
        <f>E361</f>
        <v>110000</v>
      </c>
      <c r="H361" s="99"/>
      <c r="I361" s="99"/>
      <c r="J361" s="99"/>
      <c r="K361" s="99"/>
      <c r="L361" s="99"/>
      <c r="M361" s="99"/>
      <c r="N361" s="99"/>
      <c r="O361" s="99"/>
      <c r="P361" s="99"/>
      <c r="Q361" s="23"/>
      <c r="R361" s="23"/>
      <c r="S361" s="100"/>
      <c r="T361" s="24"/>
      <c r="U361" s="179"/>
      <c r="V361" s="179"/>
      <c r="W361" s="179"/>
      <c r="X361" s="26"/>
    </row>
    <row r="362" hidden="1">
      <c r="A362" s="81"/>
      <c r="B362" s="81"/>
      <c r="D362" s="203" t="s">
        <v>255</v>
      </c>
      <c r="E362" s="202">
        <v>298400.0</v>
      </c>
      <c r="F362" s="202">
        <f>E362*16</f>
        <v>4774400</v>
      </c>
      <c r="G362" s="18">
        <f>E362*23</f>
        <v>6863200</v>
      </c>
      <c r="H362" s="99"/>
      <c r="I362" s="99"/>
      <c r="J362" s="99"/>
      <c r="K362" s="99"/>
      <c r="L362" s="99"/>
      <c r="M362" s="99"/>
      <c r="N362" s="99"/>
      <c r="O362" s="99"/>
      <c r="P362" s="99"/>
      <c r="Q362" s="23"/>
      <c r="R362" s="23"/>
      <c r="S362" s="100"/>
      <c r="T362" s="24">
        <f>P362-(G362+S362)-(P362*R362)-(P362*Q362)</f>
        <v>-6863200</v>
      </c>
      <c r="U362" s="179">
        <f>IFERROR((P362-G362)/G362,"")</f>
        <v>-1</v>
      </c>
      <c r="V362" s="179" t="str">
        <f>IFERROR((P362-G362)/P362,"")</f>
        <v/>
      </c>
      <c r="W362" s="179" t="str">
        <f>IFERROR(T362/P362,"")</f>
        <v/>
      </c>
      <c r="X362" s="26"/>
    </row>
    <row r="363" hidden="1">
      <c r="C363" s="107"/>
      <c r="D363" s="83" t="s">
        <v>254</v>
      </c>
      <c r="E363" s="73">
        <v>110000.0</v>
      </c>
      <c r="F363" s="206">
        <f t="shared" ref="F363:F366" si="141">E363</f>
        <v>110000</v>
      </c>
      <c r="G363" s="99">
        <f t="shared" ref="G363:G366" si="142">E363</f>
        <v>110000</v>
      </c>
      <c r="H363" s="99"/>
      <c r="I363" s="99"/>
      <c r="J363" s="99"/>
      <c r="K363" s="99"/>
      <c r="L363" s="99"/>
      <c r="M363" s="99"/>
      <c r="N363" s="99"/>
      <c r="O363" s="99"/>
      <c r="P363" s="99"/>
      <c r="Q363" s="23"/>
      <c r="R363" s="23"/>
      <c r="S363" s="100"/>
      <c r="T363" s="24"/>
      <c r="U363" s="179"/>
      <c r="V363" s="179"/>
      <c r="W363" s="179"/>
      <c r="X363" s="26"/>
    </row>
    <row r="364" hidden="1">
      <c r="A364" s="81"/>
      <c r="B364" s="81"/>
      <c r="D364" s="203" t="s">
        <v>256</v>
      </c>
      <c r="E364" s="202">
        <f>410000+150000</f>
        <v>560000</v>
      </c>
      <c r="F364" s="202">
        <f t="shared" si="141"/>
        <v>560000</v>
      </c>
      <c r="G364" s="18">
        <f t="shared" si="142"/>
        <v>560000</v>
      </c>
      <c r="H364" s="99"/>
      <c r="I364" s="99"/>
      <c r="J364" s="99"/>
      <c r="K364" s="99"/>
      <c r="L364" s="99"/>
      <c r="M364" s="99"/>
      <c r="N364" s="99"/>
      <c r="O364" s="99"/>
      <c r="P364" s="99"/>
      <c r="Q364" s="23"/>
      <c r="R364" s="23"/>
      <c r="S364" s="100"/>
      <c r="T364" s="24">
        <f t="shared" ref="T364:T365" si="143">P364-(G364+S364)-(P364*R364)-(P364*Q364)</f>
        <v>-560000</v>
      </c>
      <c r="U364" s="179">
        <f t="shared" ref="U364:U365" si="144">IFERROR((P364-G364)/G364,"")</f>
        <v>-1</v>
      </c>
      <c r="V364" s="179" t="str">
        <f t="shared" ref="V364:V365" si="145">IFERROR((P364-G364)/P364,"")</f>
        <v/>
      </c>
      <c r="W364" s="179" t="str">
        <f t="shared" ref="W364:W365" si="146">IFERROR(T364/P364,"")</f>
        <v/>
      </c>
      <c r="X364" s="26"/>
    </row>
    <row r="365" hidden="1">
      <c r="A365" s="81"/>
      <c r="B365" s="81"/>
      <c r="D365" s="203" t="s">
        <v>257</v>
      </c>
      <c r="E365" s="202">
        <v>260000.0</v>
      </c>
      <c r="F365" s="202">
        <f t="shared" si="141"/>
        <v>260000</v>
      </c>
      <c r="G365" s="18">
        <f t="shared" si="142"/>
        <v>260000</v>
      </c>
      <c r="H365" s="99"/>
      <c r="I365" s="99"/>
      <c r="J365" s="99"/>
      <c r="K365" s="99"/>
      <c r="L365" s="99"/>
      <c r="M365" s="99"/>
      <c r="N365" s="99"/>
      <c r="O365" s="99"/>
      <c r="P365" s="99"/>
      <c r="Q365" s="23"/>
      <c r="R365" s="23"/>
      <c r="S365" s="100"/>
      <c r="T365" s="24">
        <f t="shared" si="143"/>
        <v>-260000</v>
      </c>
      <c r="U365" s="179">
        <f t="shared" si="144"/>
        <v>-1</v>
      </c>
      <c r="V365" s="179" t="str">
        <f t="shared" si="145"/>
        <v/>
      </c>
      <c r="W365" s="179" t="str">
        <f t="shared" si="146"/>
        <v/>
      </c>
      <c r="X365" s="26"/>
    </row>
    <row r="366" hidden="1">
      <c r="C366" s="107"/>
      <c r="D366" s="83" t="s">
        <v>258</v>
      </c>
      <c r="E366" s="73">
        <v>600000.0</v>
      </c>
      <c r="F366" s="206">
        <f t="shared" si="141"/>
        <v>600000</v>
      </c>
      <c r="G366" s="99">
        <f t="shared" si="142"/>
        <v>600000</v>
      </c>
      <c r="H366" s="99"/>
      <c r="I366" s="99"/>
      <c r="J366" s="99"/>
      <c r="K366" s="99"/>
      <c r="L366" s="99"/>
      <c r="M366" s="99"/>
      <c r="N366" s="99"/>
      <c r="O366" s="99"/>
      <c r="P366" s="99"/>
      <c r="Q366" s="23"/>
      <c r="R366" s="23"/>
      <c r="S366" s="100"/>
      <c r="T366" s="24"/>
      <c r="U366" s="179"/>
      <c r="V366" s="179"/>
      <c r="W366" s="179"/>
      <c r="X366" s="26"/>
    </row>
    <row r="367" hidden="1">
      <c r="A367" s="81"/>
      <c r="B367" s="81"/>
      <c r="D367" s="203" t="s">
        <v>259</v>
      </c>
      <c r="E367" s="202">
        <f>900000</f>
        <v>900000</v>
      </c>
      <c r="F367" s="202">
        <f>57000</f>
        <v>57000</v>
      </c>
      <c r="G367" s="204">
        <v>40000.0</v>
      </c>
      <c r="H367" s="99"/>
      <c r="I367" s="99"/>
      <c r="J367" s="99"/>
      <c r="K367" s="99"/>
      <c r="L367" s="99"/>
      <c r="M367" s="99"/>
      <c r="N367" s="99"/>
      <c r="O367" s="99"/>
      <c r="P367" s="99"/>
      <c r="Q367" s="23"/>
      <c r="R367" s="23"/>
      <c r="S367" s="100"/>
      <c r="T367" s="24">
        <f>P367-(G367+S367)-(P367*R367)-(P367*Q367)</f>
        <v>-40000</v>
      </c>
      <c r="U367" s="179">
        <f>IFERROR((P367-G367)/G367,"")</f>
        <v>-1</v>
      </c>
      <c r="V367" s="179" t="str">
        <f>IFERROR((P367-G367)/P367,"")</f>
        <v/>
      </c>
      <c r="W367" s="179" t="str">
        <f>IFERROR(T367/P367,"")</f>
        <v/>
      </c>
      <c r="X367" s="26"/>
    </row>
    <row r="368" hidden="1">
      <c r="C368" s="107"/>
      <c r="D368" s="83" t="s">
        <v>260</v>
      </c>
      <c r="E368" s="73">
        <f>36000+10000</f>
        <v>46000</v>
      </c>
      <c r="F368" s="206">
        <f t="shared" ref="F368:F371" si="147">E368*16</f>
        <v>736000</v>
      </c>
      <c r="G368" s="99">
        <f t="shared" ref="G368:G371" si="148">E368*23</f>
        <v>1058000</v>
      </c>
      <c r="H368" s="99"/>
      <c r="I368" s="99"/>
      <c r="J368" s="99"/>
      <c r="K368" s="99"/>
      <c r="L368" s="99"/>
      <c r="M368" s="99"/>
      <c r="N368" s="99"/>
      <c r="O368" s="99"/>
      <c r="P368" s="99"/>
      <c r="Q368" s="23"/>
      <c r="R368" s="23"/>
      <c r="S368" s="100"/>
      <c r="T368" s="24"/>
      <c r="U368" s="179"/>
      <c r="V368" s="179"/>
      <c r="W368" s="179"/>
      <c r="X368" s="26"/>
    </row>
    <row r="369" hidden="1">
      <c r="C369" s="107"/>
      <c r="D369" s="83" t="s">
        <v>261</v>
      </c>
      <c r="E369" s="73">
        <v>130000.0</v>
      </c>
      <c r="F369" s="206">
        <f t="shared" si="147"/>
        <v>2080000</v>
      </c>
      <c r="G369" s="99">
        <f t="shared" si="148"/>
        <v>2990000</v>
      </c>
      <c r="H369" s="99"/>
      <c r="I369" s="99"/>
      <c r="J369" s="99"/>
      <c r="K369" s="99"/>
      <c r="L369" s="99"/>
      <c r="M369" s="99"/>
      <c r="N369" s="99"/>
      <c r="O369" s="99"/>
      <c r="P369" s="99"/>
      <c r="Q369" s="23"/>
      <c r="R369" s="23"/>
      <c r="S369" s="100"/>
      <c r="T369" s="24"/>
      <c r="U369" s="179"/>
      <c r="V369" s="179"/>
      <c r="W369" s="179"/>
      <c r="X369" s="26"/>
    </row>
    <row r="370" hidden="1">
      <c r="A370" s="81"/>
      <c r="B370" s="81"/>
      <c r="D370" s="203" t="s">
        <v>156</v>
      </c>
      <c r="E370" s="73">
        <v>350000.0</v>
      </c>
      <c r="F370" s="202">
        <f t="shared" si="147"/>
        <v>5600000</v>
      </c>
      <c r="G370" s="18">
        <f t="shared" si="148"/>
        <v>8050000</v>
      </c>
      <c r="H370" s="99"/>
      <c r="I370" s="99"/>
      <c r="J370" s="99"/>
      <c r="K370" s="99"/>
      <c r="L370" s="99"/>
      <c r="M370" s="99"/>
      <c r="N370" s="99"/>
      <c r="O370" s="99"/>
      <c r="P370" s="99"/>
      <c r="Q370" s="23"/>
      <c r="R370" s="23"/>
      <c r="S370" s="100"/>
      <c r="T370" s="24">
        <f t="shared" ref="T370:T381" si="149">P370-(G370+S370)-(P370*R370)-(P370*Q370)</f>
        <v>-8050000</v>
      </c>
      <c r="U370" s="179">
        <f t="shared" ref="U370:U381" si="150">IFERROR((P370-G370)/G370,"")</f>
        <v>-1</v>
      </c>
      <c r="V370" s="179" t="str">
        <f t="shared" ref="V370:V381" si="151">IFERROR((P370-G370)/P370,"")</f>
        <v/>
      </c>
      <c r="W370" s="179" t="str">
        <f t="shared" ref="W370:W381" si="152">IFERROR(T370/P370,"")</f>
        <v/>
      </c>
      <c r="X370" s="26"/>
    </row>
    <row r="371" hidden="1">
      <c r="A371" s="81"/>
      <c r="B371" s="81"/>
      <c r="D371" s="83" t="s">
        <v>138</v>
      </c>
      <c r="E371" s="73">
        <v>350000.0</v>
      </c>
      <c r="F371" s="207">
        <f t="shared" si="147"/>
        <v>5600000</v>
      </c>
      <c r="G371" s="18">
        <f t="shared" si="148"/>
        <v>8050000</v>
      </c>
      <c r="H371" s="99"/>
      <c r="I371" s="99"/>
      <c r="J371" s="99"/>
      <c r="K371" s="99"/>
      <c r="L371" s="99"/>
      <c r="M371" s="99"/>
      <c r="N371" s="99"/>
      <c r="O371" s="99"/>
      <c r="P371" s="99"/>
      <c r="Q371" s="23"/>
      <c r="R371" s="23"/>
      <c r="S371" s="100"/>
      <c r="T371" s="24">
        <f t="shared" si="149"/>
        <v>-8050000</v>
      </c>
      <c r="U371" s="179">
        <f t="shared" si="150"/>
        <v>-1</v>
      </c>
      <c r="V371" s="179" t="str">
        <f t="shared" si="151"/>
        <v/>
      </c>
      <c r="W371" s="179" t="str">
        <f t="shared" si="152"/>
        <v/>
      </c>
      <c r="X371" s="26"/>
    </row>
    <row r="372" hidden="1">
      <c r="A372" s="28"/>
      <c r="B372" s="28"/>
      <c r="C372" s="107"/>
      <c r="D372" s="83" t="s">
        <v>262</v>
      </c>
      <c r="E372" s="207">
        <f>260000</f>
        <v>260000</v>
      </c>
      <c r="F372" s="207">
        <f>E372</f>
        <v>260000</v>
      </c>
      <c r="G372" s="99">
        <f>E372</f>
        <v>260000</v>
      </c>
      <c r="H372" s="99"/>
      <c r="I372" s="99"/>
      <c r="J372" s="99"/>
      <c r="K372" s="99"/>
      <c r="L372" s="99"/>
      <c r="M372" s="99"/>
      <c r="N372" s="99"/>
      <c r="O372" s="99"/>
      <c r="P372" s="99"/>
      <c r="Q372" s="23"/>
      <c r="R372" s="23"/>
      <c r="S372" s="100"/>
      <c r="T372" s="24">
        <f t="shared" si="149"/>
        <v>-260000</v>
      </c>
      <c r="U372" s="179">
        <f t="shared" si="150"/>
        <v>-1</v>
      </c>
      <c r="V372" s="179" t="str">
        <f t="shared" si="151"/>
        <v/>
      </c>
      <c r="W372" s="179" t="str">
        <f t="shared" si="152"/>
        <v/>
      </c>
      <c r="X372" s="26"/>
    </row>
    <row r="373" hidden="1">
      <c r="A373" s="28"/>
      <c r="B373" s="28"/>
      <c r="C373" s="107"/>
      <c r="D373" s="83" t="s">
        <v>101</v>
      </c>
      <c r="E373" s="207">
        <f t="shared" ref="E373:G373" si="153">E359+E360+E361+E362+E363+E364+E365+E366+E367+E368+E369+E370+E371+E372</f>
        <v>4719200</v>
      </c>
      <c r="F373" s="207">
        <f t="shared" si="153"/>
        <v>23064200</v>
      </c>
      <c r="G373" s="99">
        <f t="shared" si="153"/>
        <v>32001600</v>
      </c>
      <c r="H373" s="99"/>
      <c r="I373" s="99"/>
      <c r="J373" s="99"/>
      <c r="K373" s="99"/>
      <c r="L373" s="99"/>
      <c r="M373" s="99"/>
      <c r="N373" s="99"/>
      <c r="O373" s="99"/>
      <c r="P373" s="99"/>
      <c r="Q373" s="23"/>
      <c r="R373" s="23"/>
      <c r="S373" s="100"/>
      <c r="T373" s="24">
        <f t="shared" si="149"/>
        <v>-32001600</v>
      </c>
      <c r="U373" s="179">
        <f t="shared" si="150"/>
        <v>-1</v>
      </c>
      <c r="V373" s="179" t="str">
        <f t="shared" si="151"/>
        <v/>
      </c>
      <c r="W373" s="179" t="str">
        <f t="shared" si="152"/>
        <v/>
      </c>
      <c r="X373" s="26"/>
    </row>
    <row r="374" hidden="1">
      <c r="A374" s="81"/>
      <c r="B374" s="81"/>
      <c r="C374" s="82" t="s">
        <v>263</v>
      </c>
      <c r="D374" s="103" t="s">
        <v>183</v>
      </c>
      <c r="E374" s="208">
        <v>260000.0</v>
      </c>
      <c r="F374" s="208">
        <f>F373*1.45</f>
        <v>33443090</v>
      </c>
      <c r="G374" s="18">
        <f>G373*1.35</f>
        <v>43202160</v>
      </c>
      <c r="H374" s="99"/>
      <c r="I374" s="99"/>
      <c r="J374" s="99"/>
      <c r="K374" s="99"/>
      <c r="L374" s="99"/>
      <c r="M374" s="99"/>
      <c r="N374" s="99"/>
      <c r="O374" s="99"/>
      <c r="P374" s="99"/>
      <c r="Q374" s="23"/>
      <c r="R374" s="23"/>
      <c r="S374" s="100"/>
      <c r="T374" s="24">
        <f t="shared" si="149"/>
        <v>-43202160</v>
      </c>
      <c r="U374" s="179">
        <f t="shared" si="150"/>
        <v>-1</v>
      </c>
      <c r="V374" s="179" t="str">
        <f t="shared" si="151"/>
        <v/>
      </c>
      <c r="W374" s="179" t="str">
        <f t="shared" si="152"/>
        <v/>
      </c>
      <c r="X374" s="26"/>
    </row>
    <row r="375" hidden="1">
      <c r="A375" s="81"/>
      <c r="B375" s="81"/>
      <c r="D375" s="103" t="s">
        <v>184</v>
      </c>
      <c r="E375" s="208">
        <v>260000.0</v>
      </c>
      <c r="F375" s="208">
        <v>400000.0</v>
      </c>
      <c r="G375" s="18">
        <f>(F375-E375)/E375</f>
        <v>0.5384615385</v>
      </c>
      <c r="H375" s="99"/>
      <c r="I375" s="99"/>
      <c r="J375" s="99"/>
      <c r="K375" s="99"/>
      <c r="L375" s="99"/>
      <c r="M375" s="99"/>
      <c r="N375" s="99"/>
      <c r="O375" s="99"/>
      <c r="P375" s="99"/>
      <c r="Q375" s="23"/>
      <c r="R375" s="23"/>
      <c r="S375" s="100"/>
      <c r="T375" s="24">
        <f t="shared" si="149"/>
        <v>-0.5384615385</v>
      </c>
      <c r="U375" s="179">
        <f t="shared" si="150"/>
        <v>-1</v>
      </c>
      <c r="V375" s="179" t="str">
        <f t="shared" si="151"/>
        <v/>
      </c>
      <c r="W375" s="179" t="str">
        <f t="shared" si="152"/>
        <v/>
      </c>
      <c r="X375" s="26"/>
    </row>
    <row r="376" hidden="1">
      <c r="A376" s="81"/>
      <c r="B376" s="81"/>
      <c r="D376" s="203" t="s">
        <v>247</v>
      </c>
      <c r="E376" s="208">
        <f>820000+(36000*16)+10000*16</f>
        <v>1556000</v>
      </c>
      <c r="F376" s="208">
        <f t="shared" ref="F376:G376" si="154">F374-F373</f>
        <v>10378890</v>
      </c>
      <c r="G376" s="18">
        <f t="shared" si="154"/>
        <v>11200560</v>
      </c>
      <c r="H376" s="99"/>
      <c r="I376" s="99"/>
      <c r="J376" s="99"/>
      <c r="K376" s="99"/>
      <c r="L376" s="99"/>
      <c r="M376" s="99"/>
      <c r="N376" s="99"/>
      <c r="O376" s="99"/>
      <c r="P376" s="99"/>
      <c r="Q376" s="23"/>
      <c r="R376" s="23"/>
      <c r="S376" s="100"/>
      <c r="T376" s="24">
        <f t="shared" si="149"/>
        <v>-11200560</v>
      </c>
      <c r="U376" s="179">
        <f t="shared" si="150"/>
        <v>-1</v>
      </c>
      <c r="V376" s="179" t="str">
        <f t="shared" si="151"/>
        <v/>
      </c>
      <c r="W376" s="179" t="str">
        <f t="shared" si="152"/>
        <v/>
      </c>
      <c r="X376" s="26"/>
    </row>
    <row r="377" hidden="1">
      <c r="A377" s="81"/>
      <c r="B377" s="81"/>
      <c r="D377" s="203" t="s">
        <v>248</v>
      </c>
      <c r="E377" s="208">
        <v>500000.0</v>
      </c>
      <c r="F377" s="208" t="s">
        <v>249</v>
      </c>
      <c r="G377" s="204" t="s">
        <v>250</v>
      </c>
      <c r="H377" s="99"/>
      <c r="I377" s="99"/>
      <c r="J377" s="99"/>
      <c r="K377" s="99"/>
      <c r="L377" s="99"/>
      <c r="M377" s="99"/>
      <c r="N377" s="99"/>
      <c r="O377" s="99"/>
      <c r="P377" s="99"/>
      <c r="Q377" s="23"/>
      <c r="R377" s="23"/>
      <c r="S377" s="100"/>
      <c r="T377" s="24" t="str">
        <f t="shared" si="149"/>
        <v>#VALUE!</v>
      </c>
      <c r="U377" s="179" t="str">
        <f t="shared" si="150"/>
        <v/>
      </c>
      <c r="V377" s="179" t="str">
        <f t="shared" si="151"/>
        <v/>
      </c>
      <c r="W377" s="179" t="str">
        <f t="shared" si="152"/>
        <v/>
      </c>
      <c r="X377" s="26"/>
    </row>
    <row r="378" hidden="1">
      <c r="A378" s="81"/>
      <c r="B378" s="81"/>
      <c r="C378" s="205" t="s">
        <v>251</v>
      </c>
      <c r="D378" s="203" t="s">
        <v>252</v>
      </c>
      <c r="E378" s="202">
        <f>470000+170000</f>
        <v>640000</v>
      </c>
      <c r="F378" s="202">
        <f>E378</f>
        <v>640000</v>
      </c>
      <c r="G378" s="18">
        <f>E378</f>
        <v>640000</v>
      </c>
      <c r="H378" s="99"/>
      <c r="I378" s="99"/>
      <c r="J378" s="99"/>
      <c r="K378" s="99"/>
      <c r="L378" s="99"/>
      <c r="M378" s="99"/>
      <c r="N378" s="99"/>
      <c r="O378" s="99"/>
      <c r="P378" s="99"/>
      <c r="Q378" s="23"/>
      <c r="R378" s="23"/>
      <c r="S378" s="100"/>
      <c r="T378" s="24">
        <f t="shared" si="149"/>
        <v>-640000</v>
      </c>
      <c r="U378" s="179">
        <f t="shared" si="150"/>
        <v>-1</v>
      </c>
      <c r="V378" s="179" t="str">
        <f t="shared" si="151"/>
        <v/>
      </c>
      <c r="W378" s="179" t="str">
        <f t="shared" si="152"/>
        <v/>
      </c>
      <c r="X378" s="26"/>
    </row>
    <row r="379" hidden="1">
      <c r="A379" s="81"/>
      <c r="B379" s="81"/>
      <c r="D379" s="203" t="s">
        <v>253</v>
      </c>
      <c r="E379" s="202">
        <f>104800</f>
        <v>104800</v>
      </c>
      <c r="F379" s="202">
        <f t="shared" ref="F379:F380" si="155">E379*16</f>
        <v>1676800</v>
      </c>
      <c r="G379" s="18">
        <f t="shared" ref="G379:G380" si="156">E379*23</f>
        <v>2410400</v>
      </c>
      <c r="H379" s="99"/>
      <c r="I379" s="99"/>
      <c r="J379" s="99"/>
      <c r="K379" s="99"/>
      <c r="L379" s="99"/>
      <c r="M379" s="99"/>
      <c r="N379" s="99"/>
      <c r="O379" s="99"/>
      <c r="P379" s="99"/>
      <c r="Q379" s="23"/>
      <c r="R379" s="23"/>
      <c r="S379" s="100"/>
      <c r="T379" s="24">
        <f t="shared" si="149"/>
        <v>-2410400</v>
      </c>
      <c r="U379" s="179">
        <f t="shared" si="150"/>
        <v>-1</v>
      </c>
      <c r="V379" s="179" t="str">
        <f t="shared" si="151"/>
        <v/>
      </c>
      <c r="W379" s="179" t="str">
        <f t="shared" si="152"/>
        <v/>
      </c>
      <c r="X379" s="26"/>
    </row>
    <row r="380" hidden="1">
      <c r="A380" s="81"/>
      <c r="B380" s="81"/>
      <c r="D380" s="203" t="s">
        <v>255</v>
      </c>
      <c r="E380" s="202">
        <v>298400.0</v>
      </c>
      <c r="F380" s="202">
        <f t="shared" si="155"/>
        <v>4774400</v>
      </c>
      <c r="G380" s="18">
        <f t="shared" si="156"/>
        <v>6863200</v>
      </c>
      <c r="H380" s="99"/>
      <c r="I380" s="99"/>
      <c r="J380" s="99"/>
      <c r="K380" s="99"/>
      <c r="L380" s="99"/>
      <c r="M380" s="99"/>
      <c r="N380" s="99"/>
      <c r="O380" s="99"/>
      <c r="P380" s="99"/>
      <c r="Q380" s="23"/>
      <c r="R380" s="23"/>
      <c r="S380" s="100"/>
      <c r="T380" s="24">
        <f t="shared" si="149"/>
        <v>-6863200</v>
      </c>
      <c r="U380" s="179">
        <f t="shared" si="150"/>
        <v>-1</v>
      </c>
      <c r="V380" s="179" t="str">
        <f t="shared" si="151"/>
        <v/>
      </c>
      <c r="W380" s="179" t="str">
        <f t="shared" si="152"/>
        <v/>
      </c>
      <c r="X380" s="26"/>
    </row>
    <row r="381" hidden="1">
      <c r="A381" s="81"/>
      <c r="B381" s="81"/>
      <c r="D381" s="203" t="s">
        <v>256</v>
      </c>
      <c r="E381" s="202">
        <f t="shared" ref="E381:E382" si="157">410000+150000</f>
        <v>560000</v>
      </c>
      <c r="F381" s="202">
        <f t="shared" ref="F381:F383" si="158">E381</f>
        <v>560000</v>
      </c>
      <c r="G381" s="18">
        <f t="shared" ref="G381:G383" si="159">E381</f>
        <v>560000</v>
      </c>
      <c r="H381" s="99"/>
      <c r="I381" s="99"/>
      <c r="J381" s="99"/>
      <c r="K381" s="99"/>
      <c r="L381" s="99"/>
      <c r="M381" s="99"/>
      <c r="N381" s="99"/>
      <c r="O381" s="99"/>
      <c r="P381" s="99"/>
      <c r="Q381" s="23"/>
      <c r="R381" s="23"/>
      <c r="S381" s="100"/>
      <c r="T381" s="24">
        <f t="shared" si="149"/>
        <v>-560000</v>
      </c>
      <c r="U381" s="179">
        <f t="shared" si="150"/>
        <v>-1</v>
      </c>
      <c r="V381" s="179" t="str">
        <f t="shared" si="151"/>
        <v/>
      </c>
      <c r="W381" s="179" t="str">
        <f t="shared" si="152"/>
        <v/>
      </c>
      <c r="X381" s="26"/>
    </row>
    <row r="382" hidden="1">
      <c r="A382" s="81"/>
      <c r="B382" s="81"/>
      <c r="D382" s="203" t="s">
        <v>256</v>
      </c>
      <c r="E382" s="202">
        <f t="shared" si="157"/>
        <v>560000</v>
      </c>
      <c r="F382" s="202">
        <f t="shared" si="158"/>
        <v>560000</v>
      </c>
      <c r="G382" s="18">
        <f t="shared" si="159"/>
        <v>560000</v>
      </c>
      <c r="H382" s="99"/>
      <c r="I382" s="99"/>
      <c r="J382" s="99"/>
      <c r="K382" s="99"/>
      <c r="L382" s="99"/>
      <c r="M382" s="99"/>
      <c r="N382" s="99"/>
      <c r="O382" s="99"/>
      <c r="P382" s="99"/>
      <c r="Q382" s="23"/>
      <c r="R382" s="23"/>
      <c r="S382" s="100"/>
      <c r="T382" s="24"/>
      <c r="U382" s="179"/>
      <c r="V382" s="179"/>
      <c r="W382" s="179"/>
      <c r="X382" s="26"/>
    </row>
    <row r="383" hidden="1">
      <c r="A383" s="81"/>
      <c r="B383" s="81"/>
      <c r="D383" s="203" t="s">
        <v>257</v>
      </c>
      <c r="E383" s="202">
        <v>260000.0</v>
      </c>
      <c r="F383" s="202">
        <f t="shared" si="158"/>
        <v>260000</v>
      </c>
      <c r="G383" s="18">
        <f t="shared" si="159"/>
        <v>260000</v>
      </c>
      <c r="H383" s="99"/>
      <c r="I383" s="99"/>
      <c r="J383" s="99"/>
      <c r="K383" s="99"/>
      <c r="L383" s="99"/>
      <c r="M383" s="99"/>
      <c r="N383" s="99"/>
      <c r="O383" s="99"/>
      <c r="P383" s="99"/>
      <c r="Q383" s="23"/>
      <c r="R383" s="23"/>
      <c r="S383" s="100"/>
      <c r="T383" s="24">
        <f t="shared" ref="T383:T408" si="160">P383-(G383+S383)-(P383*R383)-(P383*Q383)</f>
        <v>-260000</v>
      </c>
      <c r="U383" s="179">
        <f t="shared" ref="U383:U408" si="161">IFERROR((P383-G383)/G383,"")</f>
        <v>-1</v>
      </c>
      <c r="V383" s="179" t="str">
        <f t="shared" ref="V383:V408" si="162">IFERROR((P383-G383)/P383,"")</f>
        <v/>
      </c>
      <c r="W383" s="179" t="str">
        <f t="shared" ref="W383:W408" si="163">IFERROR(T383/P383,"")</f>
        <v/>
      </c>
      <c r="X383" s="26"/>
    </row>
    <row r="384" hidden="1">
      <c r="A384" s="81"/>
      <c r="B384" s="81"/>
      <c r="D384" s="203" t="s">
        <v>259</v>
      </c>
      <c r="E384" s="202">
        <f>900000</f>
        <v>900000</v>
      </c>
      <c r="F384" s="202">
        <f>57000</f>
        <v>57000</v>
      </c>
      <c r="G384" s="204">
        <v>40000.0</v>
      </c>
      <c r="H384" s="99"/>
      <c r="I384" s="99"/>
      <c r="J384" s="99"/>
      <c r="K384" s="99"/>
      <c r="L384" s="99"/>
      <c r="M384" s="99"/>
      <c r="N384" s="99"/>
      <c r="O384" s="99"/>
      <c r="P384" s="99"/>
      <c r="Q384" s="23"/>
      <c r="R384" s="23"/>
      <c r="S384" s="100"/>
      <c r="T384" s="24">
        <f t="shared" si="160"/>
        <v>-40000</v>
      </c>
      <c r="U384" s="179">
        <f t="shared" si="161"/>
        <v>-1</v>
      </c>
      <c r="V384" s="179" t="str">
        <f t="shared" si="162"/>
        <v/>
      </c>
      <c r="W384" s="179" t="str">
        <f t="shared" si="163"/>
        <v/>
      </c>
      <c r="X384" s="26"/>
    </row>
    <row r="385" hidden="1">
      <c r="A385" s="81"/>
      <c r="B385" s="81"/>
      <c r="D385" s="203" t="s">
        <v>156</v>
      </c>
      <c r="E385" s="73">
        <v>350000.0</v>
      </c>
      <c r="F385" s="202">
        <f t="shared" ref="F385:F386" si="164">E385*16</f>
        <v>5600000</v>
      </c>
      <c r="G385" s="18">
        <f t="shared" ref="G385:G386" si="165">E385*23</f>
        <v>8050000</v>
      </c>
      <c r="H385" s="99"/>
      <c r="I385" s="99"/>
      <c r="J385" s="99"/>
      <c r="K385" s="99"/>
      <c r="L385" s="99"/>
      <c r="M385" s="99"/>
      <c r="N385" s="99"/>
      <c r="O385" s="99"/>
      <c r="P385" s="99"/>
      <c r="Q385" s="23"/>
      <c r="R385" s="23"/>
      <c r="S385" s="100"/>
      <c r="T385" s="24">
        <f t="shared" si="160"/>
        <v>-8050000</v>
      </c>
      <c r="U385" s="179">
        <f t="shared" si="161"/>
        <v>-1</v>
      </c>
      <c r="V385" s="179" t="str">
        <f t="shared" si="162"/>
        <v/>
      </c>
      <c r="W385" s="179" t="str">
        <f t="shared" si="163"/>
        <v/>
      </c>
      <c r="X385" s="26"/>
    </row>
    <row r="386" hidden="1">
      <c r="A386" s="81"/>
      <c r="B386" s="81"/>
      <c r="D386" s="83" t="s">
        <v>138</v>
      </c>
      <c r="E386" s="73">
        <v>350000.0</v>
      </c>
      <c r="F386" s="105">
        <f t="shared" si="164"/>
        <v>5600000</v>
      </c>
      <c r="G386" s="18">
        <f t="shared" si="165"/>
        <v>8050000</v>
      </c>
      <c r="H386" s="99"/>
      <c r="I386" s="99"/>
      <c r="J386" s="99"/>
      <c r="K386" s="99"/>
      <c r="L386" s="99"/>
      <c r="M386" s="99"/>
      <c r="N386" s="99"/>
      <c r="O386" s="99"/>
      <c r="P386" s="99"/>
      <c r="Q386" s="23"/>
      <c r="R386" s="23"/>
      <c r="S386" s="100"/>
      <c r="T386" s="24">
        <f t="shared" si="160"/>
        <v>-8050000</v>
      </c>
      <c r="U386" s="179">
        <f t="shared" si="161"/>
        <v>-1</v>
      </c>
      <c r="V386" s="179" t="str">
        <f t="shared" si="162"/>
        <v/>
      </c>
      <c r="W386" s="179" t="str">
        <f t="shared" si="163"/>
        <v/>
      </c>
      <c r="X386" s="26"/>
    </row>
    <row r="387" hidden="1">
      <c r="A387" s="28"/>
      <c r="B387" s="28"/>
      <c r="C387" s="107"/>
      <c r="D387" s="83" t="s">
        <v>262</v>
      </c>
      <c r="E387" s="105">
        <f>260000</f>
        <v>260000</v>
      </c>
      <c r="F387" s="105">
        <f>E387</f>
        <v>260000</v>
      </c>
      <c r="G387" s="99">
        <f>E387</f>
        <v>260000</v>
      </c>
      <c r="H387" s="99"/>
      <c r="I387" s="99"/>
      <c r="J387" s="99"/>
      <c r="K387" s="99"/>
      <c r="L387" s="99"/>
      <c r="M387" s="99"/>
      <c r="N387" s="99"/>
      <c r="O387" s="99"/>
      <c r="P387" s="99"/>
      <c r="Q387" s="23"/>
      <c r="R387" s="23"/>
      <c r="S387" s="100"/>
      <c r="T387" s="24">
        <f t="shared" si="160"/>
        <v>-260000</v>
      </c>
      <c r="U387" s="179">
        <f t="shared" si="161"/>
        <v>-1</v>
      </c>
      <c r="V387" s="179" t="str">
        <f t="shared" si="162"/>
        <v/>
      </c>
      <c r="W387" s="179" t="str">
        <f t="shared" si="163"/>
        <v/>
      </c>
      <c r="X387" s="26"/>
    </row>
    <row r="388" hidden="1">
      <c r="A388" s="28"/>
      <c r="B388" s="28"/>
      <c r="C388" s="107"/>
      <c r="D388" s="97"/>
      <c r="E388" s="105"/>
      <c r="F388" s="105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23"/>
      <c r="R388" s="23"/>
      <c r="S388" s="100"/>
      <c r="T388" s="24">
        <f t="shared" si="160"/>
        <v>0</v>
      </c>
      <c r="U388" s="179" t="str">
        <f t="shared" si="161"/>
        <v/>
      </c>
      <c r="V388" s="179" t="str">
        <f t="shared" si="162"/>
        <v/>
      </c>
      <c r="W388" s="179" t="str">
        <f t="shared" si="163"/>
        <v/>
      </c>
      <c r="X388" s="26"/>
    </row>
    <row r="389" hidden="1">
      <c r="A389" s="81"/>
      <c r="B389" s="81"/>
      <c r="C389" s="194" t="s">
        <v>264</v>
      </c>
      <c r="D389" s="83" t="s">
        <v>156</v>
      </c>
      <c r="E389" s="105">
        <f>(330000*2)</f>
        <v>660000</v>
      </c>
      <c r="F389" s="105">
        <f>(490000*2)</f>
        <v>980000</v>
      </c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23"/>
      <c r="R389" s="23"/>
      <c r="S389" s="100"/>
      <c r="T389" s="24">
        <f t="shared" si="160"/>
        <v>0</v>
      </c>
      <c r="U389" s="179" t="str">
        <f t="shared" si="161"/>
        <v/>
      </c>
      <c r="V389" s="179" t="str">
        <f t="shared" si="162"/>
        <v/>
      </c>
      <c r="W389" s="179" t="str">
        <f t="shared" si="163"/>
        <v/>
      </c>
      <c r="X389" s="26"/>
    </row>
    <row r="390" hidden="1">
      <c r="A390" s="81"/>
      <c r="B390" s="81"/>
      <c r="C390" s="104"/>
      <c r="D390" s="83" t="s">
        <v>265</v>
      </c>
      <c r="E390" s="201">
        <v>928000.0</v>
      </c>
      <c r="F390" s="105">
        <f>580000*2+(34000*2)</f>
        <v>1228000</v>
      </c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23"/>
      <c r="R390" s="23"/>
      <c r="S390" s="100"/>
      <c r="T390" s="24">
        <f t="shared" si="160"/>
        <v>0</v>
      </c>
      <c r="U390" s="179" t="str">
        <f t="shared" si="161"/>
        <v/>
      </c>
      <c r="V390" s="179" t="str">
        <f t="shared" si="162"/>
        <v/>
      </c>
      <c r="W390" s="179" t="str">
        <f t="shared" si="163"/>
        <v/>
      </c>
      <c r="X390" s="26"/>
    </row>
    <row r="391" hidden="1">
      <c r="A391" s="81"/>
      <c r="B391" s="81"/>
      <c r="C391" s="104"/>
      <c r="D391" s="83" t="s">
        <v>101</v>
      </c>
      <c r="E391" s="105">
        <f t="shared" ref="E391:F391" si="166">E389+E390</f>
        <v>1588000</v>
      </c>
      <c r="F391" s="105">
        <f t="shared" si="166"/>
        <v>2208000</v>
      </c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23"/>
      <c r="R391" s="23"/>
      <c r="S391" s="100"/>
      <c r="T391" s="24">
        <f t="shared" si="160"/>
        <v>0</v>
      </c>
      <c r="U391" s="179" t="str">
        <f t="shared" si="161"/>
        <v/>
      </c>
      <c r="V391" s="179" t="str">
        <f t="shared" si="162"/>
        <v/>
      </c>
      <c r="W391" s="179" t="str">
        <f t="shared" si="163"/>
        <v/>
      </c>
      <c r="X391" s="26"/>
    </row>
    <row r="392" hidden="1">
      <c r="A392" s="81"/>
      <c r="B392" s="81"/>
      <c r="C392" s="106"/>
      <c r="D392" s="83" t="s">
        <v>148</v>
      </c>
      <c r="E392" s="105">
        <f>F391-E391</f>
        <v>620000</v>
      </c>
      <c r="F392" s="105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23"/>
      <c r="R392" s="23"/>
      <c r="S392" s="100"/>
      <c r="T392" s="24">
        <f t="shared" si="160"/>
        <v>0</v>
      </c>
      <c r="U392" s="179" t="str">
        <f t="shared" si="161"/>
        <v/>
      </c>
      <c r="V392" s="179" t="str">
        <f t="shared" si="162"/>
        <v/>
      </c>
      <c r="W392" s="179" t="str">
        <f t="shared" si="163"/>
        <v/>
      </c>
      <c r="X392" s="26"/>
    </row>
    <row r="393" hidden="1">
      <c r="A393" s="28"/>
      <c r="B393" s="28"/>
      <c r="C393" s="107"/>
      <c r="D393" s="97"/>
      <c r="E393" s="105"/>
      <c r="F393" s="105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23"/>
      <c r="R393" s="23"/>
      <c r="S393" s="100"/>
      <c r="T393" s="24">
        <f t="shared" si="160"/>
        <v>0</v>
      </c>
      <c r="U393" s="179" t="str">
        <f t="shared" si="161"/>
        <v/>
      </c>
      <c r="V393" s="179" t="str">
        <f t="shared" si="162"/>
        <v/>
      </c>
      <c r="W393" s="179" t="str">
        <f t="shared" si="163"/>
        <v/>
      </c>
      <c r="X393" s="26"/>
    </row>
    <row r="394" hidden="1">
      <c r="A394" s="101"/>
      <c r="B394" s="101"/>
      <c r="C394" s="102" t="s">
        <v>266</v>
      </c>
      <c r="D394" s="103" t="s">
        <v>137</v>
      </c>
      <c r="E394" s="58">
        <f>SUM(145000*2)</f>
        <v>290000</v>
      </c>
      <c r="F394" s="58">
        <f>SUM(300000*2)</f>
        <v>600000</v>
      </c>
      <c r="G394" s="18">
        <f t="shared" ref="G394:G395" si="167">(F394-E394)/E394</f>
        <v>1.068965517</v>
      </c>
      <c r="H394" s="99"/>
      <c r="I394" s="99"/>
      <c r="J394" s="99"/>
      <c r="K394" s="99"/>
      <c r="L394" s="99"/>
      <c r="M394" s="99"/>
      <c r="N394" s="99"/>
      <c r="O394" s="99"/>
      <c r="P394" s="99"/>
      <c r="Q394" s="23"/>
      <c r="R394" s="23"/>
      <c r="S394" s="100"/>
      <c r="T394" s="24">
        <f t="shared" si="160"/>
        <v>-1.068965517</v>
      </c>
      <c r="U394" s="179">
        <f t="shared" si="161"/>
        <v>-1</v>
      </c>
      <c r="V394" s="179" t="str">
        <f t="shared" si="162"/>
        <v/>
      </c>
      <c r="W394" s="179" t="str">
        <f t="shared" si="163"/>
        <v/>
      </c>
      <c r="X394" s="26"/>
    </row>
    <row r="395" hidden="1">
      <c r="A395" s="101"/>
      <c r="B395" s="101"/>
      <c r="C395" s="104"/>
      <c r="D395" s="103" t="s">
        <v>81</v>
      </c>
      <c r="E395" s="58">
        <f>320000+(36000*5)+350000+50000</f>
        <v>900000</v>
      </c>
      <c r="F395" s="58">
        <f>300000*5</f>
        <v>1500000</v>
      </c>
      <c r="G395" s="18">
        <f t="shared" si="167"/>
        <v>0.6666666667</v>
      </c>
      <c r="H395" s="99"/>
      <c r="I395" s="99"/>
      <c r="J395" s="99"/>
      <c r="K395" s="99"/>
      <c r="L395" s="99"/>
      <c r="M395" s="99"/>
      <c r="N395" s="99"/>
      <c r="O395" s="99"/>
      <c r="P395" s="99"/>
      <c r="Q395" s="23"/>
      <c r="R395" s="23"/>
      <c r="S395" s="100"/>
      <c r="T395" s="24">
        <f t="shared" si="160"/>
        <v>-0.6666666667</v>
      </c>
      <c r="U395" s="179">
        <f t="shared" si="161"/>
        <v>-1</v>
      </c>
      <c r="V395" s="179" t="str">
        <f t="shared" si="162"/>
        <v/>
      </c>
      <c r="W395" s="179" t="str">
        <f t="shared" si="163"/>
        <v/>
      </c>
      <c r="X395" s="26"/>
    </row>
    <row r="396" hidden="1">
      <c r="A396" s="101"/>
      <c r="B396" s="101"/>
      <c r="C396" s="104"/>
      <c r="D396" s="103" t="s">
        <v>82</v>
      </c>
      <c r="E396" s="105"/>
      <c r="F396" s="105"/>
      <c r="G396" s="108"/>
      <c r="H396" s="99"/>
      <c r="I396" s="99"/>
      <c r="J396" s="99"/>
      <c r="K396" s="99"/>
      <c r="L396" s="99"/>
      <c r="M396" s="99"/>
      <c r="N396" s="99"/>
      <c r="O396" s="99"/>
      <c r="P396" s="99"/>
      <c r="Q396" s="23"/>
      <c r="R396" s="23"/>
      <c r="S396" s="100"/>
      <c r="T396" s="24">
        <f t="shared" si="160"/>
        <v>0</v>
      </c>
      <c r="U396" s="179" t="str">
        <f t="shared" si="161"/>
        <v/>
      </c>
      <c r="V396" s="179" t="str">
        <f t="shared" si="162"/>
        <v/>
      </c>
      <c r="W396" s="179" t="str">
        <f t="shared" si="163"/>
        <v/>
      </c>
      <c r="X396" s="26"/>
    </row>
    <row r="397" hidden="1">
      <c r="A397" s="101"/>
      <c r="B397" s="101"/>
      <c r="C397" s="104"/>
      <c r="D397" s="103" t="s">
        <v>96</v>
      </c>
      <c r="E397" s="105"/>
      <c r="F397" s="105"/>
      <c r="G397" s="108"/>
      <c r="H397" s="99"/>
      <c r="I397" s="99"/>
      <c r="J397" s="99"/>
      <c r="K397" s="99"/>
      <c r="L397" s="99"/>
      <c r="M397" s="99"/>
      <c r="N397" s="99"/>
      <c r="O397" s="99"/>
      <c r="P397" s="99"/>
      <c r="Q397" s="23"/>
      <c r="R397" s="23"/>
      <c r="S397" s="100"/>
      <c r="T397" s="24">
        <f t="shared" si="160"/>
        <v>0</v>
      </c>
      <c r="U397" s="179" t="str">
        <f t="shared" si="161"/>
        <v/>
      </c>
      <c r="V397" s="179" t="str">
        <f t="shared" si="162"/>
        <v/>
      </c>
      <c r="W397" s="179" t="str">
        <f t="shared" si="163"/>
        <v/>
      </c>
      <c r="X397" s="26"/>
    </row>
    <row r="398" hidden="1">
      <c r="A398" s="101"/>
      <c r="B398" s="101"/>
      <c r="C398" s="104"/>
      <c r="D398" s="103" t="s">
        <v>84</v>
      </c>
      <c r="E398" s="105"/>
      <c r="F398" s="105"/>
      <c r="G398" s="108"/>
      <c r="H398" s="99"/>
      <c r="I398" s="99"/>
      <c r="J398" s="99"/>
      <c r="K398" s="99"/>
      <c r="L398" s="99"/>
      <c r="M398" s="99"/>
      <c r="N398" s="99"/>
      <c r="O398" s="99"/>
      <c r="P398" s="99"/>
      <c r="Q398" s="23"/>
      <c r="R398" s="23"/>
      <c r="S398" s="100"/>
      <c r="T398" s="24">
        <f t="shared" si="160"/>
        <v>0</v>
      </c>
      <c r="U398" s="179" t="str">
        <f t="shared" si="161"/>
        <v/>
      </c>
      <c r="V398" s="179" t="str">
        <f t="shared" si="162"/>
        <v/>
      </c>
      <c r="W398" s="179" t="str">
        <f t="shared" si="163"/>
        <v/>
      </c>
      <c r="X398" s="26"/>
    </row>
    <row r="399" hidden="1">
      <c r="A399" s="101"/>
      <c r="B399" s="101"/>
      <c r="C399" s="104"/>
      <c r="D399" s="103" t="s">
        <v>97</v>
      </c>
      <c r="E399" s="58">
        <f>110000*5</f>
        <v>550000</v>
      </c>
      <c r="F399" s="58">
        <f>230000*5</f>
        <v>1150000</v>
      </c>
      <c r="G399" s="18">
        <f t="shared" ref="G399:G400" si="168">(F399-E399)/E399</f>
        <v>1.090909091</v>
      </c>
      <c r="H399" s="99"/>
      <c r="I399" s="99"/>
      <c r="J399" s="99"/>
      <c r="K399" s="99"/>
      <c r="L399" s="99"/>
      <c r="M399" s="99"/>
      <c r="N399" s="99"/>
      <c r="O399" s="99"/>
      <c r="P399" s="99"/>
      <c r="Q399" s="23"/>
      <c r="R399" s="23"/>
      <c r="S399" s="100"/>
      <c r="T399" s="24">
        <f t="shared" si="160"/>
        <v>-1.090909091</v>
      </c>
      <c r="U399" s="179">
        <f t="shared" si="161"/>
        <v>-1</v>
      </c>
      <c r="V399" s="179" t="str">
        <f t="shared" si="162"/>
        <v/>
      </c>
      <c r="W399" s="179" t="str">
        <f t="shared" si="163"/>
        <v/>
      </c>
      <c r="X399" s="26"/>
    </row>
    <row r="400" hidden="1">
      <c r="A400" s="101"/>
      <c r="B400" s="101"/>
      <c r="C400" s="104"/>
      <c r="D400" s="138" t="s">
        <v>156</v>
      </c>
      <c r="E400" s="58">
        <f>370000*5</f>
        <v>1850000</v>
      </c>
      <c r="F400" s="58">
        <f>520000*5</f>
        <v>2600000</v>
      </c>
      <c r="G400" s="18">
        <f t="shared" si="168"/>
        <v>0.4054054054</v>
      </c>
      <c r="H400" s="99"/>
      <c r="I400" s="99"/>
      <c r="J400" s="99"/>
      <c r="K400" s="99"/>
      <c r="L400" s="99"/>
      <c r="M400" s="99"/>
      <c r="N400" s="99"/>
      <c r="O400" s="99"/>
      <c r="P400" s="99"/>
      <c r="Q400" s="23"/>
      <c r="R400" s="23"/>
      <c r="S400" s="100"/>
      <c r="T400" s="24">
        <f t="shared" si="160"/>
        <v>-0.4054054054</v>
      </c>
      <c r="U400" s="179">
        <f t="shared" si="161"/>
        <v>-1</v>
      </c>
      <c r="V400" s="179" t="str">
        <f t="shared" si="162"/>
        <v/>
      </c>
      <c r="W400" s="179" t="str">
        <f t="shared" si="163"/>
        <v/>
      </c>
      <c r="X400" s="26"/>
    </row>
    <row r="401" hidden="1">
      <c r="A401" s="101"/>
      <c r="B401" s="101"/>
      <c r="C401" s="104"/>
      <c r="D401" s="83" t="s">
        <v>267</v>
      </c>
      <c r="E401" s="105"/>
      <c r="F401" s="105"/>
      <c r="G401" s="108"/>
      <c r="H401" s="99"/>
      <c r="I401" s="99"/>
      <c r="J401" s="99"/>
      <c r="K401" s="99"/>
      <c r="L401" s="99"/>
      <c r="M401" s="99"/>
      <c r="N401" s="99"/>
      <c r="O401" s="99"/>
      <c r="P401" s="99"/>
      <c r="Q401" s="23"/>
      <c r="R401" s="23"/>
      <c r="S401" s="100"/>
      <c r="T401" s="24">
        <f t="shared" si="160"/>
        <v>0</v>
      </c>
      <c r="U401" s="179" t="str">
        <f t="shared" si="161"/>
        <v/>
      </c>
      <c r="V401" s="179" t="str">
        <f t="shared" si="162"/>
        <v/>
      </c>
      <c r="W401" s="179" t="str">
        <f t="shared" si="163"/>
        <v/>
      </c>
      <c r="X401" s="26"/>
    </row>
    <row r="402" hidden="1">
      <c r="A402" s="101"/>
      <c r="B402" s="101"/>
      <c r="C402" s="104"/>
      <c r="D402" s="103"/>
      <c r="E402" s="58">
        <f>309000*5</f>
        <v>1545000</v>
      </c>
      <c r="F402" s="58">
        <f>450000*5</f>
        <v>2250000</v>
      </c>
      <c r="G402" s="18">
        <f>(F402-E402)/E402</f>
        <v>0.4563106796</v>
      </c>
      <c r="H402" s="99"/>
      <c r="I402" s="99"/>
      <c r="J402" s="99"/>
      <c r="K402" s="99"/>
      <c r="L402" s="99"/>
      <c r="M402" s="99"/>
      <c r="N402" s="99"/>
      <c r="O402" s="99"/>
      <c r="P402" s="99"/>
      <c r="Q402" s="23"/>
      <c r="R402" s="23"/>
      <c r="S402" s="100"/>
      <c r="T402" s="24">
        <f t="shared" si="160"/>
        <v>-0.4563106796</v>
      </c>
      <c r="U402" s="179">
        <f t="shared" si="161"/>
        <v>-1</v>
      </c>
      <c r="V402" s="179" t="str">
        <f t="shared" si="162"/>
        <v/>
      </c>
      <c r="W402" s="179" t="str">
        <f t="shared" si="163"/>
        <v/>
      </c>
      <c r="X402" s="26"/>
    </row>
    <row r="403" hidden="1">
      <c r="A403" s="101"/>
      <c r="B403" s="101"/>
      <c r="C403" s="104"/>
      <c r="D403" s="97"/>
      <c r="E403" s="105"/>
      <c r="F403" s="105"/>
      <c r="G403" s="108"/>
      <c r="H403" s="99"/>
      <c r="I403" s="99"/>
      <c r="J403" s="99"/>
      <c r="K403" s="99"/>
      <c r="L403" s="99"/>
      <c r="M403" s="99"/>
      <c r="N403" s="99"/>
      <c r="O403" s="99"/>
      <c r="P403" s="99"/>
      <c r="Q403" s="23"/>
      <c r="R403" s="23"/>
      <c r="S403" s="100"/>
      <c r="T403" s="24">
        <f t="shared" si="160"/>
        <v>0</v>
      </c>
      <c r="U403" s="179" t="str">
        <f t="shared" si="161"/>
        <v/>
      </c>
      <c r="V403" s="179" t="str">
        <f t="shared" si="162"/>
        <v/>
      </c>
      <c r="W403" s="179" t="str">
        <f t="shared" si="163"/>
        <v/>
      </c>
      <c r="X403" s="26"/>
    </row>
    <row r="404" hidden="1">
      <c r="A404" s="101"/>
      <c r="B404" s="101"/>
      <c r="C404" s="104"/>
      <c r="D404" s="103"/>
      <c r="E404" s="58">
        <f t="shared" ref="E404:F404" si="169">SUM(E391:E403)</f>
        <v>7343000</v>
      </c>
      <c r="F404" s="58">
        <f t="shared" si="169"/>
        <v>10308000</v>
      </c>
      <c r="G404" s="18">
        <f>(F404-E404)/E404</f>
        <v>0.4037859186</v>
      </c>
      <c r="H404" s="99"/>
      <c r="I404" s="99"/>
      <c r="J404" s="99"/>
      <c r="K404" s="99"/>
      <c r="L404" s="99"/>
      <c r="M404" s="99"/>
      <c r="N404" s="99"/>
      <c r="O404" s="99"/>
      <c r="P404" s="99"/>
      <c r="Q404" s="23"/>
      <c r="R404" s="23"/>
      <c r="S404" s="100"/>
      <c r="T404" s="24">
        <f t="shared" si="160"/>
        <v>-0.4037859186</v>
      </c>
      <c r="U404" s="179">
        <f t="shared" si="161"/>
        <v>-1</v>
      </c>
      <c r="V404" s="179" t="str">
        <f t="shared" si="162"/>
        <v/>
      </c>
      <c r="W404" s="179" t="str">
        <f t="shared" si="163"/>
        <v/>
      </c>
      <c r="X404" s="26"/>
    </row>
    <row r="405" hidden="1">
      <c r="A405" s="101"/>
      <c r="B405" s="101"/>
      <c r="C405" s="209"/>
      <c r="D405" s="97"/>
      <c r="E405" s="105"/>
      <c r="F405" s="105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23"/>
      <c r="R405" s="23"/>
      <c r="S405" s="100"/>
      <c r="T405" s="24">
        <f t="shared" si="160"/>
        <v>0</v>
      </c>
      <c r="U405" s="179" t="str">
        <f t="shared" si="161"/>
        <v/>
      </c>
      <c r="V405" s="179" t="str">
        <f t="shared" si="162"/>
        <v/>
      </c>
      <c r="W405" s="179" t="str">
        <f t="shared" si="163"/>
        <v/>
      </c>
      <c r="X405" s="26"/>
    </row>
    <row r="406" hidden="1">
      <c r="A406" s="101"/>
      <c r="B406" s="101"/>
      <c r="C406" s="209"/>
      <c r="D406" s="97"/>
      <c r="E406" s="105"/>
      <c r="F406" s="105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23"/>
      <c r="R406" s="23"/>
      <c r="S406" s="100"/>
      <c r="T406" s="24">
        <f t="shared" si="160"/>
        <v>0</v>
      </c>
      <c r="U406" s="179" t="str">
        <f t="shared" si="161"/>
        <v/>
      </c>
      <c r="V406" s="179" t="str">
        <f t="shared" si="162"/>
        <v/>
      </c>
      <c r="W406" s="179" t="str">
        <f t="shared" si="163"/>
        <v/>
      </c>
      <c r="X406" s="26"/>
    </row>
    <row r="407" hidden="1">
      <c r="A407" s="85"/>
      <c r="B407" s="85"/>
      <c r="C407" s="86" t="s">
        <v>268</v>
      </c>
      <c r="D407" s="83" t="s">
        <v>269</v>
      </c>
      <c r="E407" s="105">
        <f>320000+(36000*4)+60000+40000</f>
        <v>564000</v>
      </c>
      <c r="F407" s="105">
        <f>300000*4</f>
        <v>1200000</v>
      </c>
      <c r="G407" s="18">
        <f t="shared" ref="G407:G408" si="170">(F407-E407)/E407</f>
        <v>1.127659574</v>
      </c>
      <c r="H407" s="99"/>
      <c r="I407" s="99"/>
      <c r="J407" s="99"/>
      <c r="K407" s="99"/>
      <c r="L407" s="99"/>
      <c r="M407" s="99"/>
      <c r="N407" s="99"/>
      <c r="O407" s="99"/>
      <c r="P407" s="99"/>
      <c r="Q407" s="23"/>
      <c r="R407" s="23"/>
      <c r="S407" s="100"/>
      <c r="T407" s="24">
        <f t="shared" si="160"/>
        <v>-1.127659574</v>
      </c>
      <c r="U407" s="179">
        <f t="shared" si="161"/>
        <v>-1</v>
      </c>
      <c r="V407" s="179" t="str">
        <f t="shared" si="162"/>
        <v/>
      </c>
      <c r="W407" s="179" t="str">
        <f t="shared" si="163"/>
        <v/>
      </c>
      <c r="X407" s="26"/>
    </row>
    <row r="408" hidden="1">
      <c r="A408" s="28"/>
      <c r="B408" s="28"/>
      <c r="C408" s="107"/>
      <c r="D408" s="97"/>
      <c r="E408" s="105">
        <f>F407-E407</f>
        <v>636000</v>
      </c>
      <c r="F408" s="105"/>
      <c r="G408" s="18">
        <f t="shared" si="170"/>
        <v>-1</v>
      </c>
      <c r="H408" s="99"/>
      <c r="I408" s="99"/>
      <c r="J408" s="99"/>
      <c r="K408" s="99"/>
      <c r="L408" s="99"/>
      <c r="M408" s="99"/>
      <c r="N408" s="99"/>
      <c r="O408" s="99"/>
      <c r="P408" s="99"/>
      <c r="Q408" s="23"/>
      <c r="R408" s="23"/>
      <c r="S408" s="100"/>
      <c r="T408" s="24">
        <f t="shared" si="160"/>
        <v>1</v>
      </c>
      <c r="U408" s="179">
        <f t="shared" si="161"/>
        <v>-1</v>
      </c>
      <c r="V408" s="179" t="str">
        <f t="shared" si="162"/>
        <v/>
      </c>
      <c r="W408" s="179" t="str">
        <f t="shared" si="163"/>
        <v/>
      </c>
      <c r="X408" s="26"/>
    </row>
    <row r="409" hidden="1">
      <c r="A409" s="28"/>
      <c r="B409" s="28"/>
      <c r="C409" s="107"/>
      <c r="D409" s="97"/>
      <c r="E409" s="105"/>
      <c r="F409" s="105"/>
      <c r="G409" s="18"/>
      <c r="H409" s="99"/>
      <c r="I409" s="99"/>
      <c r="J409" s="99"/>
      <c r="K409" s="99"/>
      <c r="L409" s="99"/>
      <c r="M409" s="99"/>
      <c r="N409" s="99"/>
      <c r="O409" s="99"/>
      <c r="P409" s="99"/>
      <c r="Q409" s="23"/>
      <c r="R409" s="23"/>
      <c r="S409" s="100"/>
      <c r="T409" s="24"/>
      <c r="U409" s="179"/>
      <c r="V409" s="179"/>
      <c r="W409" s="179"/>
      <c r="X409" s="26"/>
    </row>
    <row r="410" hidden="1">
      <c r="A410" s="28"/>
      <c r="B410" s="28"/>
      <c r="C410" s="107"/>
      <c r="D410" s="97"/>
      <c r="E410" s="201" t="s">
        <v>172</v>
      </c>
      <c r="F410" s="201" t="s">
        <v>270</v>
      </c>
      <c r="G410" s="18" t="str">
        <f t="shared" ref="G410:G415" si="171">(F410-E410)/E410</f>
        <v>#VALUE!</v>
      </c>
      <c r="H410" s="99"/>
      <c r="I410" s="99"/>
      <c r="J410" s="99"/>
      <c r="K410" s="99"/>
      <c r="L410" s="99"/>
      <c r="M410" s="99"/>
      <c r="N410" s="99"/>
      <c r="O410" s="99"/>
      <c r="P410" s="99"/>
      <c r="Q410" s="23"/>
      <c r="R410" s="23"/>
      <c r="S410" s="100"/>
      <c r="T410" s="24" t="str">
        <f t="shared" ref="T410:T416" si="172">P410-(G410+S410)-(P410*R410)-(P410*Q410)</f>
        <v>#VALUE!</v>
      </c>
      <c r="U410" s="179" t="str">
        <f t="shared" ref="U410:U416" si="173">IFERROR((P410-G410)/G410,"")</f>
        <v/>
      </c>
      <c r="V410" s="179" t="str">
        <f t="shared" ref="V410:V416" si="174">IFERROR((P410-G410)/P410,"")</f>
        <v/>
      </c>
      <c r="W410" s="179" t="str">
        <f t="shared" ref="W410:W416" si="175">IFERROR(T410/P410,"")</f>
        <v/>
      </c>
      <c r="X410" s="26"/>
    </row>
    <row r="411" hidden="1">
      <c r="A411" s="81"/>
      <c r="B411" s="81"/>
      <c r="C411" s="194" t="s">
        <v>271</v>
      </c>
      <c r="D411" s="83" t="s">
        <v>272</v>
      </c>
      <c r="E411" s="201">
        <v>60000.0</v>
      </c>
      <c r="F411" s="201"/>
      <c r="G411" s="18">
        <f t="shared" si="171"/>
        <v>-1</v>
      </c>
      <c r="H411" s="99"/>
      <c r="I411" s="99"/>
      <c r="J411" s="99"/>
      <c r="K411" s="99"/>
      <c r="L411" s="99"/>
      <c r="M411" s="99"/>
      <c r="N411" s="99"/>
      <c r="O411" s="99"/>
      <c r="P411" s="99"/>
      <c r="Q411" s="23"/>
      <c r="R411" s="23"/>
      <c r="S411" s="100"/>
      <c r="T411" s="24">
        <f t="shared" si="172"/>
        <v>1</v>
      </c>
      <c r="U411" s="179">
        <f t="shared" si="173"/>
        <v>-1</v>
      </c>
      <c r="V411" s="179" t="str">
        <f t="shared" si="174"/>
        <v/>
      </c>
      <c r="W411" s="179" t="str">
        <f t="shared" si="175"/>
        <v/>
      </c>
      <c r="X411" s="26"/>
    </row>
    <row r="412" hidden="1">
      <c r="A412" s="81"/>
      <c r="B412" s="81"/>
      <c r="C412" s="104"/>
      <c r="D412" s="83" t="s">
        <v>176</v>
      </c>
      <c r="E412" s="201">
        <f>160000+36000+15000+10000</f>
        <v>221000</v>
      </c>
      <c r="F412" s="201">
        <v>300000.0</v>
      </c>
      <c r="G412" s="18">
        <f t="shared" si="171"/>
        <v>0.3574660633</v>
      </c>
      <c r="H412" s="99"/>
      <c r="I412" s="99"/>
      <c r="J412" s="99"/>
      <c r="K412" s="99"/>
      <c r="L412" s="99"/>
      <c r="M412" s="99"/>
      <c r="N412" s="99"/>
      <c r="O412" s="99"/>
      <c r="P412" s="99"/>
      <c r="Q412" s="23"/>
      <c r="R412" s="23"/>
      <c r="S412" s="100"/>
      <c r="T412" s="24">
        <f t="shared" si="172"/>
        <v>-0.3574660633</v>
      </c>
      <c r="U412" s="179">
        <f t="shared" si="173"/>
        <v>-1</v>
      </c>
      <c r="V412" s="179" t="str">
        <f t="shared" si="174"/>
        <v/>
      </c>
      <c r="W412" s="179" t="str">
        <f t="shared" si="175"/>
        <v/>
      </c>
      <c r="X412" s="26"/>
    </row>
    <row r="413" hidden="1">
      <c r="A413" s="81"/>
      <c r="B413" s="81"/>
      <c r="C413" s="104"/>
      <c r="D413" s="83" t="s">
        <v>273</v>
      </c>
      <c r="E413" s="201">
        <v>130000.0</v>
      </c>
      <c r="F413" s="201">
        <v>200000.0</v>
      </c>
      <c r="G413" s="18">
        <f t="shared" si="171"/>
        <v>0.5384615385</v>
      </c>
      <c r="H413" s="99"/>
      <c r="I413" s="99"/>
      <c r="J413" s="99"/>
      <c r="K413" s="99"/>
      <c r="L413" s="99"/>
      <c r="M413" s="99"/>
      <c r="N413" s="99"/>
      <c r="O413" s="99"/>
      <c r="P413" s="99"/>
      <c r="Q413" s="23"/>
      <c r="R413" s="23"/>
      <c r="S413" s="100"/>
      <c r="T413" s="24">
        <f t="shared" si="172"/>
        <v>-0.5384615385</v>
      </c>
      <c r="U413" s="179">
        <f t="shared" si="173"/>
        <v>-1</v>
      </c>
      <c r="V413" s="179" t="str">
        <f t="shared" si="174"/>
        <v/>
      </c>
      <c r="W413" s="179" t="str">
        <f t="shared" si="175"/>
        <v/>
      </c>
      <c r="X413" s="26"/>
    </row>
    <row r="414" hidden="1">
      <c r="A414" s="81"/>
      <c r="B414" s="81"/>
      <c r="C414" s="104"/>
      <c r="D414" s="83" t="s">
        <v>156</v>
      </c>
      <c r="E414" s="201">
        <v>330000.0</v>
      </c>
      <c r="F414" s="201">
        <v>450000.0</v>
      </c>
      <c r="G414" s="18">
        <f t="shared" si="171"/>
        <v>0.3636363636</v>
      </c>
      <c r="H414" s="99"/>
      <c r="I414" s="99"/>
      <c r="J414" s="99"/>
      <c r="K414" s="99"/>
      <c r="L414" s="99"/>
      <c r="M414" s="99"/>
      <c r="N414" s="99"/>
      <c r="O414" s="99"/>
      <c r="P414" s="99"/>
      <c r="Q414" s="23"/>
      <c r="R414" s="23"/>
      <c r="S414" s="100"/>
      <c r="T414" s="24">
        <f t="shared" si="172"/>
        <v>-0.3636363636</v>
      </c>
      <c r="U414" s="179">
        <f t="shared" si="173"/>
        <v>-1</v>
      </c>
      <c r="V414" s="179" t="str">
        <f t="shared" si="174"/>
        <v/>
      </c>
      <c r="W414" s="179" t="str">
        <f t="shared" si="175"/>
        <v/>
      </c>
      <c r="X414" s="26"/>
    </row>
    <row r="415" hidden="1">
      <c r="A415" s="81"/>
      <c r="B415" s="81"/>
      <c r="C415" s="104"/>
      <c r="D415" s="83" t="s">
        <v>101</v>
      </c>
      <c r="E415" s="210">
        <f>SUM(E411:E414)</f>
        <v>741000</v>
      </c>
      <c r="F415" s="210">
        <f>SUM(F410:F414)</f>
        <v>950000</v>
      </c>
      <c r="G415" s="18">
        <f t="shared" si="171"/>
        <v>0.2820512821</v>
      </c>
      <c r="H415" s="99"/>
      <c r="I415" s="99"/>
      <c r="J415" s="99"/>
      <c r="K415" s="99"/>
      <c r="L415" s="99"/>
      <c r="M415" s="99"/>
      <c r="N415" s="99"/>
      <c r="O415" s="99"/>
      <c r="P415" s="99"/>
      <c r="Q415" s="23"/>
      <c r="R415" s="23"/>
      <c r="S415" s="100"/>
      <c r="T415" s="24">
        <f t="shared" si="172"/>
        <v>-0.2820512821</v>
      </c>
      <c r="U415" s="179">
        <f t="shared" si="173"/>
        <v>-1</v>
      </c>
      <c r="V415" s="179" t="str">
        <f t="shared" si="174"/>
        <v/>
      </c>
      <c r="W415" s="179" t="str">
        <f t="shared" si="175"/>
        <v/>
      </c>
      <c r="X415" s="26"/>
    </row>
    <row r="416" hidden="1">
      <c r="A416" s="81"/>
      <c r="B416" s="81"/>
      <c r="C416" s="104"/>
      <c r="D416" s="83" t="s">
        <v>148</v>
      </c>
      <c r="E416" s="211">
        <f>F415-E415</f>
        <v>209000</v>
      </c>
      <c r="F416" s="201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23"/>
      <c r="R416" s="23"/>
      <c r="S416" s="100"/>
      <c r="T416" s="24">
        <f t="shared" si="172"/>
        <v>0</v>
      </c>
      <c r="U416" s="179" t="str">
        <f t="shared" si="173"/>
        <v/>
      </c>
      <c r="V416" s="179" t="str">
        <f t="shared" si="174"/>
        <v/>
      </c>
      <c r="W416" s="179" t="str">
        <f t="shared" si="175"/>
        <v/>
      </c>
      <c r="X416" s="26"/>
    </row>
    <row r="417" hidden="1">
      <c r="A417" s="81"/>
      <c r="B417" s="81"/>
      <c r="C417" s="104"/>
      <c r="D417" s="97"/>
      <c r="E417" s="201" t="s">
        <v>172</v>
      </c>
      <c r="F417" s="201" t="s">
        <v>274</v>
      </c>
      <c r="G417" s="18"/>
      <c r="H417" s="99">
        <f>F422-F415</f>
        <v>160000</v>
      </c>
      <c r="I417" s="98" t="s">
        <v>275</v>
      </c>
      <c r="J417" s="99"/>
      <c r="K417" s="99"/>
      <c r="L417" s="99"/>
      <c r="M417" s="99"/>
      <c r="N417" s="99"/>
      <c r="O417" s="99"/>
      <c r="P417" s="99"/>
      <c r="Q417" s="23"/>
      <c r="R417" s="23"/>
      <c r="S417" s="100"/>
      <c r="T417" s="24"/>
      <c r="U417" s="179"/>
      <c r="V417" s="179"/>
      <c r="W417" s="179"/>
      <c r="X417" s="26"/>
    </row>
    <row r="418" hidden="1">
      <c r="A418" s="81"/>
      <c r="B418" s="81"/>
      <c r="C418" s="104"/>
      <c r="D418" s="83" t="s">
        <v>272</v>
      </c>
      <c r="E418" s="201">
        <v>60000.0</v>
      </c>
      <c r="F418" s="201"/>
      <c r="G418" s="18">
        <f t="shared" ref="G418:G422" si="176">(F418-E418)/E418</f>
        <v>-1</v>
      </c>
      <c r="H418" s="99">
        <f>F415-F422</f>
        <v>-160000</v>
      </c>
      <c r="I418" s="99"/>
      <c r="J418" s="99"/>
      <c r="K418" s="99"/>
      <c r="L418" s="99"/>
      <c r="M418" s="99"/>
      <c r="N418" s="99"/>
      <c r="O418" s="99"/>
      <c r="P418" s="99"/>
      <c r="Q418" s="23"/>
      <c r="R418" s="23"/>
      <c r="S418" s="100"/>
      <c r="T418" s="24">
        <f t="shared" ref="T418:T424" si="177">P418-(G418+S418)-(P418*R418)-(P418*Q418)</f>
        <v>1</v>
      </c>
      <c r="U418" s="179">
        <f t="shared" ref="U418:U424" si="178">IFERROR((P418-G418)/G418,"")</f>
        <v>-1</v>
      </c>
      <c r="V418" s="179" t="str">
        <f t="shared" ref="V418:V424" si="179">IFERROR((P418-G418)/P418,"")</f>
        <v/>
      </c>
      <c r="W418" s="179" t="str">
        <f t="shared" ref="W418:W424" si="180">IFERROR(T418/P418,"")</f>
        <v/>
      </c>
      <c r="X418" s="26"/>
    </row>
    <row r="419" hidden="1">
      <c r="A419" s="81"/>
      <c r="B419" s="81"/>
      <c r="C419" s="104"/>
      <c r="D419" s="83" t="s">
        <v>176</v>
      </c>
      <c r="E419" s="201">
        <f>E412</f>
        <v>221000</v>
      </c>
      <c r="F419" s="201">
        <v>350000.0</v>
      </c>
      <c r="G419" s="18">
        <f t="shared" si="176"/>
        <v>0.5837104072</v>
      </c>
      <c r="H419" s="99"/>
      <c r="I419" s="99"/>
      <c r="J419" s="99"/>
      <c r="K419" s="99"/>
      <c r="L419" s="99"/>
      <c r="M419" s="99"/>
      <c r="N419" s="99"/>
      <c r="O419" s="99"/>
      <c r="P419" s="99"/>
      <c r="Q419" s="23"/>
      <c r="R419" s="23"/>
      <c r="S419" s="100"/>
      <c r="T419" s="24">
        <f t="shared" si="177"/>
        <v>-0.5837104072</v>
      </c>
      <c r="U419" s="179">
        <f t="shared" si="178"/>
        <v>-1</v>
      </c>
      <c r="V419" s="179" t="str">
        <f t="shared" si="179"/>
        <v/>
      </c>
      <c r="W419" s="179" t="str">
        <f t="shared" si="180"/>
        <v/>
      </c>
      <c r="X419" s="26"/>
    </row>
    <row r="420" hidden="1">
      <c r="A420" s="81"/>
      <c r="B420" s="81"/>
      <c r="C420" s="104"/>
      <c r="D420" s="83" t="s">
        <v>273</v>
      </c>
      <c r="E420" s="201">
        <v>130000.0</v>
      </c>
      <c r="F420" s="201">
        <v>250000.0</v>
      </c>
      <c r="G420" s="18">
        <f t="shared" si="176"/>
        <v>0.9230769231</v>
      </c>
      <c r="H420" s="99"/>
      <c r="I420" s="99"/>
      <c r="J420" s="99"/>
      <c r="K420" s="99"/>
      <c r="L420" s="99"/>
      <c r="M420" s="99"/>
      <c r="N420" s="99"/>
      <c r="O420" s="99"/>
      <c r="P420" s="99"/>
      <c r="Q420" s="23"/>
      <c r="R420" s="23"/>
      <c r="S420" s="100"/>
      <c r="T420" s="24">
        <f t="shared" si="177"/>
        <v>-0.9230769231</v>
      </c>
      <c r="U420" s="179">
        <f t="shared" si="178"/>
        <v>-1</v>
      </c>
      <c r="V420" s="179" t="str">
        <f t="shared" si="179"/>
        <v/>
      </c>
      <c r="W420" s="179" t="str">
        <f t="shared" si="180"/>
        <v/>
      </c>
      <c r="X420" s="26"/>
    </row>
    <row r="421" hidden="1">
      <c r="A421" s="81"/>
      <c r="B421" s="81"/>
      <c r="C421" s="104"/>
      <c r="D421" s="83" t="s">
        <v>156</v>
      </c>
      <c r="E421" s="201">
        <v>330000.0</v>
      </c>
      <c r="F421" s="201">
        <v>510000.0</v>
      </c>
      <c r="G421" s="18">
        <f t="shared" si="176"/>
        <v>0.5454545455</v>
      </c>
      <c r="H421" s="99"/>
      <c r="I421" s="99"/>
      <c r="J421" s="99"/>
      <c r="K421" s="99"/>
      <c r="L421" s="99"/>
      <c r="M421" s="99"/>
      <c r="N421" s="99"/>
      <c r="O421" s="99"/>
      <c r="P421" s="99"/>
      <c r="Q421" s="23"/>
      <c r="R421" s="23"/>
      <c r="S421" s="100"/>
      <c r="T421" s="24">
        <f t="shared" si="177"/>
        <v>-0.5454545455</v>
      </c>
      <c r="U421" s="179">
        <f t="shared" si="178"/>
        <v>-1</v>
      </c>
      <c r="V421" s="179" t="str">
        <f t="shared" si="179"/>
        <v/>
      </c>
      <c r="W421" s="179" t="str">
        <f t="shared" si="180"/>
        <v/>
      </c>
      <c r="X421" s="26"/>
    </row>
    <row r="422" hidden="1">
      <c r="A422" s="81"/>
      <c r="B422" s="81"/>
      <c r="C422" s="106"/>
      <c r="D422" s="83" t="s">
        <v>198</v>
      </c>
      <c r="E422" s="210">
        <f t="shared" ref="E422:F422" si="181">E418+E419+E420+E421</f>
        <v>741000</v>
      </c>
      <c r="F422" s="210">
        <f t="shared" si="181"/>
        <v>1110000</v>
      </c>
      <c r="G422" s="18">
        <f t="shared" si="176"/>
        <v>0.4979757085</v>
      </c>
      <c r="H422" s="99"/>
      <c r="I422" s="99"/>
      <c r="J422" s="99"/>
      <c r="K422" s="99"/>
      <c r="L422" s="99"/>
      <c r="M422" s="99"/>
      <c r="N422" s="99"/>
      <c r="O422" s="99"/>
      <c r="P422" s="99"/>
      <c r="Q422" s="23"/>
      <c r="R422" s="23"/>
      <c r="S422" s="100"/>
      <c r="T422" s="24">
        <f t="shared" si="177"/>
        <v>-0.4979757085</v>
      </c>
      <c r="U422" s="179">
        <f t="shared" si="178"/>
        <v>-1</v>
      </c>
      <c r="V422" s="179" t="str">
        <f t="shared" si="179"/>
        <v/>
      </c>
      <c r="W422" s="179" t="str">
        <f t="shared" si="180"/>
        <v/>
      </c>
      <c r="X422" s="26"/>
    </row>
    <row r="423" hidden="1">
      <c r="A423" s="28"/>
      <c r="B423" s="28"/>
      <c r="C423" s="107"/>
      <c r="D423" s="83" t="s">
        <v>148</v>
      </c>
      <c r="E423" s="212">
        <f>F422-E422</f>
        <v>369000</v>
      </c>
      <c r="F423" s="201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23"/>
      <c r="R423" s="23"/>
      <c r="S423" s="100"/>
      <c r="T423" s="24">
        <f t="shared" si="177"/>
        <v>0</v>
      </c>
      <c r="U423" s="179" t="str">
        <f t="shared" si="178"/>
        <v/>
      </c>
      <c r="V423" s="179" t="str">
        <f t="shared" si="179"/>
        <v/>
      </c>
      <c r="W423" s="179" t="str">
        <f t="shared" si="180"/>
        <v/>
      </c>
      <c r="X423" s="26"/>
    </row>
    <row r="424" hidden="1">
      <c r="A424" s="28"/>
      <c r="B424" s="28"/>
      <c r="C424" s="107"/>
      <c r="D424" s="213" t="s">
        <v>275</v>
      </c>
      <c r="E424" s="210">
        <f>H417</f>
        <v>160000</v>
      </c>
      <c r="F424" s="201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23"/>
      <c r="R424" s="23"/>
      <c r="S424" s="100"/>
      <c r="T424" s="24">
        <f t="shared" si="177"/>
        <v>0</v>
      </c>
      <c r="U424" s="179" t="str">
        <f t="shared" si="178"/>
        <v/>
      </c>
      <c r="V424" s="179" t="str">
        <f t="shared" si="179"/>
        <v/>
      </c>
      <c r="W424" s="179" t="str">
        <f t="shared" si="180"/>
        <v/>
      </c>
      <c r="X424" s="26"/>
    </row>
    <row r="425" hidden="1">
      <c r="A425" s="28"/>
      <c r="B425" s="28"/>
      <c r="C425" s="107"/>
      <c r="D425" s="83"/>
      <c r="E425" s="105"/>
      <c r="F425" s="201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23"/>
      <c r="R425" s="23"/>
      <c r="S425" s="100"/>
      <c r="T425" s="24"/>
      <c r="U425" s="179"/>
      <c r="V425" s="179"/>
      <c r="W425" s="179"/>
      <c r="X425" s="26"/>
    </row>
    <row r="426" hidden="1">
      <c r="A426" s="81"/>
      <c r="B426" s="81"/>
      <c r="C426" s="194" t="s">
        <v>276</v>
      </c>
      <c r="D426" s="83" t="s">
        <v>272</v>
      </c>
      <c r="E426" s="201">
        <v>60000.0</v>
      </c>
      <c r="F426" s="201"/>
      <c r="G426" s="18">
        <f t="shared" ref="G426:G430" si="182">(F426-E426)/E426</f>
        <v>-1</v>
      </c>
      <c r="H426" s="99"/>
      <c r="I426" s="99"/>
      <c r="J426" s="99"/>
      <c r="K426" s="99"/>
      <c r="L426" s="99"/>
      <c r="M426" s="99"/>
      <c r="N426" s="99"/>
      <c r="O426" s="99"/>
      <c r="P426" s="99"/>
      <c r="Q426" s="23"/>
      <c r="R426" s="23"/>
      <c r="S426" s="100"/>
      <c r="T426" s="24">
        <f t="shared" ref="T426:T430" si="183">P426-(G426+S426)-(P426*R426)-(P426*Q426)</f>
        <v>1</v>
      </c>
      <c r="U426" s="179">
        <f t="shared" ref="U426:U430" si="184">IFERROR((P426-G426)/G426,"")</f>
        <v>-1</v>
      </c>
      <c r="V426" s="179" t="str">
        <f t="shared" ref="V426:V430" si="185">IFERROR((P426-G426)/P426,"")</f>
        <v/>
      </c>
      <c r="W426" s="179" t="str">
        <f t="shared" ref="W426:W430" si="186">IFERROR(T426/P426,"")</f>
        <v/>
      </c>
      <c r="X426" s="26"/>
    </row>
    <row r="427" hidden="1">
      <c r="A427" s="81"/>
      <c r="B427" s="81"/>
      <c r="C427" s="104"/>
      <c r="D427" s="83" t="s">
        <v>169</v>
      </c>
      <c r="E427" s="201">
        <f>370000</f>
        <v>370000</v>
      </c>
      <c r="F427" s="201">
        <v>450000.0</v>
      </c>
      <c r="G427" s="18">
        <f t="shared" si="182"/>
        <v>0.2162162162</v>
      </c>
      <c r="H427" s="99">
        <f>F427-E427</f>
        <v>80000</v>
      </c>
      <c r="I427" s="99"/>
      <c r="J427" s="99"/>
      <c r="K427" s="99"/>
      <c r="L427" s="99"/>
      <c r="M427" s="99"/>
      <c r="N427" s="99"/>
      <c r="O427" s="99"/>
      <c r="P427" s="99"/>
      <c r="Q427" s="23"/>
      <c r="R427" s="23"/>
      <c r="S427" s="100"/>
      <c r="T427" s="24">
        <f t="shared" si="183"/>
        <v>-0.2162162162</v>
      </c>
      <c r="U427" s="179">
        <f t="shared" si="184"/>
        <v>-1</v>
      </c>
      <c r="V427" s="179" t="str">
        <f t="shared" si="185"/>
        <v/>
      </c>
      <c r="W427" s="179" t="str">
        <f t="shared" si="186"/>
        <v/>
      </c>
      <c r="X427" s="26"/>
    </row>
    <row r="428" hidden="1">
      <c r="A428" s="81"/>
      <c r="B428" s="81"/>
      <c r="C428" s="104"/>
      <c r="D428" s="83" t="s">
        <v>273</v>
      </c>
      <c r="E428" s="201">
        <v>130000.0</v>
      </c>
      <c r="F428" s="201">
        <v>180000.0</v>
      </c>
      <c r="G428" s="18">
        <f t="shared" si="182"/>
        <v>0.3846153846</v>
      </c>
      <c r="H428" s="99"/>
      <c r="I428" s="99"/>
      <c r="J428" s="99"/>
      <c r="K428" s="99"/>
      <c r="L428" s="99"/>
      <c r="M428" s="99"/>
      <c r="N428" s="99"/>
      <c r="O428" s="99"/>
      <c r="P428" s="99"/>
      <c r="Q428" s="23"/>
      <c r="R428" s="23"/>
      <c r="S428" s="100"/>
      <c r="T428" s="24">
        <f t="shared" si="183"/>
        <v>-0.3846153846</v>
      </c>
      <c r="U428" s="179">
        <f t="shared" si="184"/>
        <v>-1</v>
      </c>
      <c r="V428" s="179" t="str">
        <f t="shared" si="185"/>
        <v/>
      </c>
      <c r="W428" s="179" t="str">
        <f t="shared" si="186"/>
        <v/>
      </c>
      <c r="X428" s="26"/>
    </row>
    <row r="429" hidden="1">
      <c r="A429" s="81"/>
      <c r="B429" s="81"/>
      <c r="C429" s="104"/>
      <c r="D429" s="83" t="s">
        <v>277</v>
      </c>
      <c r="E429" s="201">
        <v>185000.0</v>
      </c>
      <c r="F429" s="201">
        <f>290000</f>
        <v>290000</v>
      </c>
      <c r="G429" s="18">
        <f t="shared" si="182"/>
        <v>0.5675675676</v>
      </c>
      <c r="H429" s="99"/>
      <c r="I429" s="99"/>
      <c r="J429" s="99"/>
      <c r="K429" s="99"/>
      <c r="L429" s="99"/>
      <c r="M429" s="99"/>
      <c r="N429" s="99"/>
      <c r="O429" s="99"/>
      <c r="P429" s="99"/>
      <c r="Q429" s="23"/>
      <c r="R429" s="23"/>
      <c r="S429" s="100"/>
      <c r="T429" s="24">
        <f t="shared" si="183"/>
        <v>-0.5675675676</v>
      </c>
      <c r="U429" s="179">
        <f t="shared" si="184"/>
        <v>-1</v>
      </c>
      <c r="V429" s="179" t="str">
        <f t="shared" si="185"/>
        <v/>
      </c>
      <c r="W429" s="179" t="str">
        <f t="shared" si="186"/>
        <v/>
      </c>
      <c r="X429" s="26"/>
    </row>
    <row r="430" hidden="1">
      <c r="A430" s="81"/>
      <c r="B430" s="81"/>
      <c r="C430" s="104"/>
      <c r="D430" s="83" t="s">
        <v>101</v>
      </c>
      <c r="E430" s="210">
        <f>SUM(E426:E429)</f>
        <v>745000</v>
      </c>
      <c r="F430" s="210">
        <f>F426+F427+F428+F429</f>
        <v>920000</v>
      </c>
      <c r="G430" s="18">
        <f t="shared" si="182"/>
        <v>0.2348993289</v>
      </c>
      <c r="H430" s="99"/>
      <c r="I430" s="99"/>
      <c r="J430" s="99"/>
      <c r="K430" s="99"/>
      <c r="L430" s="99"/>
      <c r="M430" s="99"/>
      <c r="N430" s="99"/>
      <c r="O430" s="99"/>
      <c r="P430" s="99"/>
      <c r="Q430" s="23"/>
      <c r="R430" s="23"/>
      <c r="S430" s="100"/>
      <c r="T430" s="24">
        <f t="shared" si="183"/>
        <v>-0.2348993289</v>
      </c>
      <c r="U430" s="179">
        <f t="shared" si="184"/>
        <v>-1</v>
      </c>
      <c r="V430" s="179" t="str">
        <f t="shared" si="185"/>
        <v/>
      </c>
      <c r="W430" s="179" t="str">
        <f t="shared" si="186"/>
        <v/>
      </c>
      <c r="X430" s="26"/>
    </row>
    <row r="431" hidden="1">
      <c r="A431" s="81"/>
      <c r="B431" s="81"/>
      <c r="C431" s="104"/>
      <c r="D431" s="83" t="s">
        <v>148</v>
      </c>
      <c r="E431" s="211">
        <f>F430-E430</f>
        <v>175000</v>
      </c>
      <c r="F431" s="201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23"/>
      <c r="R431" s="23"/>
      <c r="S431" s="100"/>
      <c r="T431" s="24"/>
      <c r="U431" s="179"/>
      <c r="V431" s="179"/>
      <c r="W431" s="179"/>
      <c r="X431" s="26"/>
    </row>
    <row r="432" hidden="1">
      <c r="A432" s="81"/>
      <c r="B432" s="81"/>
      <c r="C432" s="104"/>
      <c r="D432" s="213"/>
      <c r="E432" s="201" t="s">
        <v>172</v>
      </c>
      <c r="F432" s="201" t="s">
        <v>278</v>
      </c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23"/>
      <c r="R432" s="23"/>
      <c r="S432" s="100"/>
      <c r="T432" s="24">
        <f t="shared" ref="T432:T437" si="187">P432-(G432+S432)-(P432*R432)-(P432*Q432)</f>
        <v>0</v>
      </c>
      <c r="U432" s="179" t="str">
        <f t="shared" ref="U432:U437" si="188">IFERROR((P432-G432)/G432,"")</f>
        <v/>
      </c>
      <c r="V432" s="179" t="str">
        <f t="shared" ref="V432:V437" si="189">IFERROR((P432-G432)/P432,"")</f>
        <v/>
      </c>
      <c r="W432" s="179" t="str">
        <f t="shared" ref="W432:W437" si="190">IFERROR(T432/P432,"")</f>
        <v/>
      </c>
      <c r="X432" s="26"/>
    </row>
    <row r="433" hidden="1">
      <c r="A433" s="81"/>
      <c r="B433" s="81"/>
      <c r="C433" s="104"/>
      <c r="D433" s="83" t="s">
        <v>272</v>
      </c>
      <c r="E433" s="201">
        <v>60000.0</v>
      </c>
      <c r="F433" s="201"/>
      <c r="G433" s="18">
        <f t="shared" ref="G433:G437" si="191">(F433-E433)/E433</f>
        <v>-1</v>
      </c>
      <c r="H433" s="99"/>
      <c r="I433" s="99"/>
      <c r="J433" s="99"/>
      <c r="K433" s="99"/>
      <c r="L433" s="99"/>
      <c r="M433" s="99"/>
      <c r="N433" s="99"/>
      <c r="O433" s="99"/>
      <c r="P433" s="99"/>
      <c r="Q433" s="23"/>
      <c r="R433" s="23"/>
      <c r="S433" s="100"/>
      <c r="T433" s="24">
        <f t="shared" si="187"/>
        <v>1</v>
      </c>
      <c r="U433" s="179">
        <f t="shared" si="188"/>
        <v>-1</v>
      </c>
      <c r="V433" s="179" t="str">
        <f t="shared" si="189"/>
        <v/>
      </c>
      <c r="W433" s="179" t="str">
        <f t="shared" si="190"/>
        <v/>
      </c>
      <c r="X433" s="26"/>
    </row>
    <row r="434" hidden="1">
      <c r="A434" s="81"/>
      <c r="B434" s="81"/>
      <c r="C434" s="104"/>
      <c r="D434" s="83" t="s">
        <v>169</v>
      </c>
      <c r="E434" s="201">
        <v>370000.0</v>
      </c>
      <c r="F434" s="201">
        <v>510000.0</v>
      </c>
      <c r="G434" s="18">
        <f t="shared" si="191"/>
        <v>0.3783783784</v>
      </c>
      <c r="H434" s="99"/>
      <c r="I434" s="99"/>
      <c r="J434" s="99"/>
      <c r="K434" s="99"/>
      <c r="L434" s="99"/>
      <c r="M434" s="99"/>
      <c r="N434" s="99"/>
      <c r="O434" s="99"/>
      <c r="P434" s="99"/>
      <c r="Q434" s="23"/>
      <c r="R434" s="23"/>
      <c r="S434" s="100"/>
      <c r="T434" s="24">
        <f t="shared" si="187"/>
        <v>-0.3783783784</v>
      </c>
      <c r="U434" s="179">
        <f t="shared" si="188"/>
        <v>-1</v>
      </c>
      <c r="V434" s="179" t="str">
        <f t="shared" si="189"/>
        <v/>
      </c>
      <c r="W434" s="179" t="str">
        <f t="shared" si="190"/>
        <v/>
      </c>
      <c r="X434" s="26"/>
    </row>
    <row r="435" hidden="1">
      <c r="A435" s="81"/>
      <c r="B435" s="81"/>
      <c r="C435" s="104"/>
      <c r="D435" s="83" t="s">
        <v>273</v>
      </c>
      <c r="E435" s="201">
        <v>130000.0</v>
      </c>
      <c r="F435" s="201">
        <v>250000.0</v>
      </c>
      <c r="G435" s="18">
        <f t="shared" si="191"/>
        <v>0.9230769231</v>
      </c>
      <c r="H435" s="99"/>
      <c r="I435" s="99"/>
      <c r="J435" s="99"/>
      <c r="K435" s="99"/>
      <c r="L435" s="99"/>
      <c r="M435" s="99"/>
      <c r="N435" s="99"/>
      <c r="O435" s="99"/>
      <c r="P435" s="99"/>
      <c r="Q435" s="23"/>
      <c r="R435" s="23"/>
      <c r="S435" s="100"/>
      <c r="T435" s="24">
        <f t="shared" si="187"/>
        <v>-0.9230769231</v>
      </c>
      <c r="U435" s="179">
        <f t="shared" si="188"/>
        <v>-1</v>
      </c>
      <c r="V435" s="179" t="str">
        <f t="shared" si="189"/>
        <v/>
      </c>
      <c r="W435" s="179" t="str">
        <f t="shared" si="190"/>
        <v/>
      </c>
      <c r="X435" s="26"/>
    </row>
    <row r="436" hidden="1">
      <c r="A436" s="81"/>
      <c r="B436" s="81"/>
      <c r="C436" s="104"/>
      <c r="D436" s="83" t="s">
        <v>277</v>
      </c>
      <c r="E436" s="201">
        <v>185000.0</v>
      </c>
      <c r="F436" s="201">
        <v>320000.0</v>
      </c>
      <c r="G436" s="18">
        <f t="shared" si="191"/>
        <v>0.7297297297</v>
      </c>
      <c r="H436" s="99"/>
      <c r="I436" s="99"/>
      <c r="J436" s="99"/>
      <c r="K436" s="99"/>
      <c r="L436" s="99"/>
      <c r="M436" s="99"/>
      <c r="N436" s="99"/>
      <c r="O436" s="99"/>
      <c r="P436" s="99"/>
      <c r="Q436" s="23"/>
      <c r="R436" s="23"/>
      <c r="S436" s="100"/>
      <c r="T436" s="24">
        <f t="shared" si="187"/>
        <v>-0.7297297297</v>
      </c>
      <c r="U436" s="179">
        <f t="shared" si="188"/>
        <v>-1</v>
      </c>
      <c r="V436" s="179" t="str">
        <f t="shared" si="189"/>
        <v/>
      </c>
      <c r="W436" s="179" t="str">
        <f t="shared" si="190"/>
        <v/>
      </c>
      <c r="X436" s="26"/>
    </row>
    <row r="437" hidden="1">
      <c r="A437" s="81"/>
      <c r="B437" s="81"/>
      <c r="C437" s="106"/>
      <c r="D437" s="83" t="s">
        <v>101</v>
      </c>
      <c r="E437" s="210">
        <f t="shared" ref="E437:F437" si="192">E433+E434+E435+E436</f>
        <v>745000</v>
      </c>
      <c r="F437" s="210">
        <f t="shared" si="192"/>
        <v>1080000</v>
      </c>
      <c r="G437" s="18">
        <f t="shared" si="191"/>
        <v>0.4496644295</v>
      </c>
      <c r="H437" s="99"/>
      <c r="I437" s="99"/>
      <c r="J437" s="99"/>
      <c r="K437" s="99"/>
      <c r="L437" s="99"/>
      <c r="M437" s="99"/>
      <c r="N437" s="99"/>
      <c r="O437" s="99"/>
      <c r="P437" s="99"/>
      <c r="Q437" s="23"/>
      <c r="R437" s="23"/>
      <c r="S437" s="100"/>
      <c r="T437" s="24">
        <f t="shared" si="187"/>
        <v>-0.4496644295</v>
      </c>
      <c r="U437" s="179">
        <f t="shared" si="188"/>
        <v>-1</v>
      </c>
      <c r="V437" s="179" t="str">
        <f t="shared" si="189"/>
        <v/>
      </c>
      <c r="W437" s="179" t="str">
        <f t="shared" si="190"/>
        <v/>
      </c>
      <c r="X437" s="26"/>
    </row>
    <row r="438" hidden="1">
      <c r="A438" s="81"/>
      <c r="B438" s="81"/>
      <c r="C438" s="82"/>
      <c r="D438" s="83" t="s">
        <v>148</v>
      </c>
      <c r="E438" s="214">
        <f>F437-E437</f>
        <v>335000</v>
      </c>
      <c r="F438" s="210"/>
      <c r="G438" s="18"/>
      <c r="H438" s="99"/>
      <c r="I438" s="99"/>
      <c r="J438" s="99"/>
      <c r="K438" s="99"/>
      <c r="L438" s="99"/>
      <c r="M438" s="99"/>
      <c r="N438" s="99"/>
      <c r="O438" s="99"/>
      <c r="P438" s="99"/>
      <c r="Q438" s="23"/>
      <c r="R438" s="23"/>
      <c r="S438" s="100"/>
      <c r="T438" s="24"/>
      <c r="U438" s="179"/>
      <c r="V438" s="179"/>
      <c r="W438" s="179"/>
      <c r="X438" s="26"/>
    </row>
    <row r="439" hidden="1">
      <c r="A439" s="28"/>
      <c r="B439" s="28"/>
      <c r="C439" s="107"/>
      <c r="D439" s="83" t="s">
        <v>279</v>
      </c>
      <c r="E439" s="212">
        <f>F430-F437</f>
        <v>-160000</v>
      </c>
      <c r="F439" s="105"/>
      <c r="G439" s="18"/>
      <c r="H439" s="99"/>
      <c r="I439" s="99"/>
      <c r="J439" s="99"/>
      <c r="K439" s="99"/>
      <c r="L439" s="99"/>
      <c r="M439" s="99"/>
      <c r="N439" s="99"/>
      <c r="O439" s="99"/>
      <c r="P439" s="99"/>
      <c r="Q439" s="23"/>
      <c r="R439" s="23"/>
      <c r="S439" s="100"/>
      <c r="T439" s="24">
        <f t="shared" ref="T439:T442" si="193">P439-(G439+S439)-(P439*R439)-(P439*Q439)</f>
        <v>0</v>
      </c>
      <c r="U439" s="179" t="str">
        <f t="shared" ref="U439:U442" si="194">IFERROR((P439-G439)/G439,"")</f>
        <v/>
      </c>
      <c r="V439" s="179" t="str">
        <f t="shared" ref="V439:V442" si="195">IFERROR((P439-G439)/P439,"")</f>
        <v/>
      </c>
      <c r="W439" s="179" t="str">
        <f t="shared" ref="W439:W442" si="196">IFERROR(T439/P439,"")</f>
        <v/>
      </c>
      <c r="X439" s="26"/>
    </row>
    <row r="440" hidden="1">
      <c r="A440" s="28"/>
      <c r="B440" s="28"/>
      <c r="C440" s="107"/>
      <c r="D440" s="97"/>
      <c r="E440" s="105"/>
      <c r="F440" s="201" t="s">
        <v>280</v>
      </c>
      <c r="G440" s="18"/>
      <c r="H440" s="99"/>
      <c r="I440" s="99"/>
      <c r="J440" s="99"/>
      <c r="K440" s="99"/>
      <c r="L440" s="99"/>
      <c r="M440" s="99"/>
      <c r="N440" s="99"/>
      <c r="O440" s="99"/>
      <c r="P440" s="99"/>
      <c r="Q440" s="23"/>
      <c r="R440" s="23"/>
      <c r="S440" s="100"/>
      <c r="T440" s="24">
        <f t="shared" si="193"/>
        <v>0</v>
      </c>
      <c r="U440" s="179" t="str">
        <f t="shared" si="194"/>
        <v/>
      </c>
      <c r="V440" s="179" t="str">
        <f t="shared" si="195"/>
        <v/>
      </c>
      <c r="W440" s="179" t="str">
        <f t="shared" si="196"/>
        <v/>
      </c>
      <c r="X440" s="26"/>
    </row>
    <row r="441" hidden="1">
      <c r="A441" s="81"/>
      <c r="B441" s="81"/>
      <c r="C441" s="194" t="s">
        <v>281</v>
      </c>
      <c r="D441" s="83" t="s">
        <v>240</v>
      </c>
      <c r="E441" s="105">
        <f>E412</f>
        <v>221000</v>
      </c>
      <c r="F441" s="201">
        <v>300000.0</v>
      </c>
      <c r="G441" s="18">
        <f t="shared" ref="G441:G442" si="197">(F441-E441)/E441</f>
        <v>0.3574660633</v>
      </c>
      <c r="H441" s="99"/>
      <c r="I441" s="99"/>
      <c r="J441" s="99"/>
      <c r="K441" s="99"/>
      <c r="L441" s="99"/>
      <c r="M441" s="99"/>
      <c r="N441" s="99"/>
      <c r="O441" s="99"/>
      <c r="P441" s="99"/>
      <c r="Q441" s="23"/>
      <c r="R441" s="23"/>
      <c r="S441" s="100"/>
      <c r="T441" s="24">
        <f t="shared" si="193"/>
        <v>-0.3574660633</v>
      </c>
      <c r="U441" s="179">
        <f t="shared" si="194"/>
        <v>-1</v>
      </c>
      <c r="V441" s="179" t="str">
        <f t="shared" si="195"/>
        <v/>
      </c>
      <c r="W441" s="179" t="str">
        <f t="shared" si="196"/>
        <v/>
      </c>
      <c r="X441" s="26"/>
    </row>
    <row r="442" hidden="1">
      <c r="A442" s="81"/>
      <c r="B442" s="81"/>
      <c r="C442" s="104"/>
      <c r="D442" s="83" t="s">
        <v>282</v>
      </c>
      <c r="E442" s="201">
        <v>309000.0</v>
      </c>
      <c r="F442" s="201">
        <v>420000.0</v>
      </c>
      <c r="G442" s="18">
        <f t="shared" si="197"/>
        <v>0.359223301</v>
      </c>
      <c r="H442" s="99"/>
      <c r="I442" s="99"/>
      <c r="J442" s="99"/>
      <c r="K442" s="99"/>
      <c r="L442" s="99"/>
      <c r="M442" s="99"/>
      <c r="N442" s="99"/>
      <c r="O442" s="99"/>
      <c r="P442" s="99"/>
      <c r="Q442" s="23"/>
      <c r="R442" s="23"/>
      <c r="S442" s="100"/>
      <c r="T442" s="24">
        <f t="shared" si="193"/>
        <v>-0.359223301</v>
      </c>
      <c r="U442" s="179">
        <f t="shared" si="194"/>
        <v>-1</v>
      </c>
      <c r="V442" s="179" t="str">
        <f t="shared" si="195"/>
        <v/>
      </c>
      <c r="W442" s="179" t="str">
        <f t="shared" si="196"/>
        <v/>
      </c>
      <c r="X442" s="26"/>
    </row>
    <row r="443" hidden="1">
      <c r="A443" s="81"/>
      <c r="B443" s="81"/>
      <c r="C443" s="104"/>
      <c r="D443" s="83" t="s">
        <v>272</v>
      </c>
      <c r="E443" s="201">
        <v>60000.0</v>
      </c>
      <c r="F443" s="201"/>
      <c r="G443" s="18"/>
      <c r="H443" s="99"/>
      <c r="I443" s="99"/>
      <c r="J443" s="99"/>
      <c r="K443" s="99"/>
      <c r="L443" s="99"/>
      <c r="M443" s="99"/>
      <c r="N443" s="99"/>
      <c r="O443" s="99"/>
      <c r="P443" s="99"/>
      <c r="Q443" s="23"/>
      <c r="R443" s="23"/>
      <c r="S443" s="100"/>
      <c r="T443" s="24"/>
      <c r="U443" s="179"/>
      <c r="V443" s="179"/>
      <c r="W443" s="179"/>
      <c r="X443" s="26"/>
    </row>
    <row r="444" hidden="1">
      <c r="A444" s="81"/>
      <c r="B444" s="81"/>
      <c r="C444" s="104"/>
      <c r="D444" s="83" t="s">
        <v>265</v>
      </c>
      <c r="E444" s="201">
        <v>450000.0</v>
      </c>
      <c r="F444" s="201">
        <v>540000.0</v>
      </c>
      <c r="G444" s="18">
        <f t="shared" ref="G444:G445" si="199">(F444-E444)/E444</f>
        <v>0.2</v>
      </c>
      <c r="H444" s="99"/>
      <c r="I444" s="99"/>
      <c r="J444" s="99"/>
      <c r="K444" s="99"/>
      <c r="L444" s="99"/>
      <c r="M444" s="99"/>
      <c r="N444" s="99"/>
      <c r="O444" s="99"/>
      <c r="P444" s="99"/>
      <c r="Q444" s="23"/>
      <c r="R444" s="23"/>
      <c r="S444" s="100"/>
      <c r="T444" s="24">
        <f t="shared" ref="T444:T481" si="200">P444-(G444+S444)-(P444*R444)-(P444*Q444)</f>
        <v>-0.2</v>
      </c>
      <c r="U444" s="179">
        <f t="shared" ref="U444:U673" si="201">IFERROR((P444-G444)/G444,"")</f>
        <v>-1</v>
      </c>
      <c r="V444" s="179" t="str">
        <f t="shared" ref="V444:V673" si="202">IFERROR((P444-G444)/P444,"")</f>
        <v/>
      </c>
      <c r="W444" s="179" t="str">
        <f t="shared" ref="W444:W673" si="203">IFERROR(T444/P444,"")</f>
        <v/>
      </c>
      <c r="X444" s="26"/>
    </row>
    <row r="445" hidden="1">
      <c r="A445" s="81"/>
      <c r="B445" s="81"/>
      <c r="C445" s="104"/>
      <c r="D445" s="83" t="s">
        <v>101</v>
      </c>
      <c r="E445" s="210">
        <f t="shared" ref="E445:F445" si="198">E441+E442+E444</f>
        <v>980000</v>
      </c>
      <c r="F445" s="210">
        <f t="shared" si="198"/>
        <v>1260000</v>
      </c>
      <c r="G445" s="18">
        <f t="shared" si="199"/>
        <v>0.2857142857</v>
      </c>
      <c r="H445" s="99"/>
      <c r="I445" s="99"/>
      <c r="J445" s="99"/>
      <c r="K445" s="99"/>
      <c r="L445" s="99"/>
      <c r="M445" s="99"/>
      <c r="N445" s="99"/>
      <c r="O445" s="99"/>
      <c r="P445" s="99"/>
      <c r="Q445" s="23"/>
      <c r="R445" s="23"/>
      <c r="S445" s="100"/>
      <c r="T445" s="24">
        <f t="shared" si="200"/>
        <v>-0.2857142857</v>
      </c>
      <c r="U445" s="179">
        <f t="shared" si="201"/>
        <v>-1</v>
      </c>
      <c r="V445" s="179" t="str">
        <f t="shared" si="202"/>
        <v/>
      </c>
      <c r="W445" s="179" t="str">
        <f t="shared" si="203"/>
        <v/>
      </c>
      <c r="X445" s="26"/>
    </row>
    <row r="446" hidden="1">
      <c r="A446" s="81"/>
      <c r="B446" s="81"/>
      <c r="C446" s="104"/>
      <c r="D446" s="83" t="s">
        <v>148</v>
      </c>
      <c r="E446" s="214">
        <f>F445-E445</f>
        <v>280000</v>
      </c>
      <c r="F446" s="105"/>
      <c r="G446" s="18"/>
      <c r="H446" s="99"/>
      <c r="I446" s="99"/>
      <c r="J446" s="99"/>
      <c r="K446" s="99"/>
      <c r="L446" s="99"/>
      <c r="M446" s="99"/>
      <c r="N446" s="99"/>
      <c r="O446" s="99"/>
      <c r="P446" s="99"/>
      <c r="Q446" s="23"/>
      <c r="R446" s="23"/>
      <c r="S446" s="100"/>
      <c r="T446" s="24">
        <f t="shared" si="200"/>
        <v>0</v>
      </c>
      <c r="U446" s="179" t="str">
        <f t="shared" si="201"/>
        <v/>
      </c>
      <c r="V446" s="179" t="str">
        <f t="shared" si="202"/>
        <v/>
      </c>
      <c r="W446" s="179" t="str">
        <f t="shared" si="203"/>
        <v/>
      </c>
      <c r="X446" s="26"/>
    </row>
    <row r="447" hidden="1">
      <c r="A447" s="81"/>
      <c r="B447" s="81"/>
      <c r="C447" s="104"/>
      <c r="D447" s="97"/>
      <c r="E447" s="105"/>
      <c r="F447" s="201" t="s">
        <v>278</v>
      </c>
      <c r="G447" s="18"/>
      <c r="H447" s="99"/>
      <c r="I447" s="99"/>
      <c r="J447" s="99"/>
      <c r="K447" s="99"/>
      <c r="L447" s="99"/>
      <c r="M447" s="99"/>
      <c r="N447" s="99"/>
      <c r="O447" s="99"/>
      <c r="P447" s="99"/>
      <c r="Q447" s="23"/>
      <c r="R447" s="23"/>
      <c r="S447" s="100"/>
      <c r="T447" s="24">
        <f t="shared" si="200"/>
        <v>0</v>
      </c>
      <c r="U447" s="179" t="str">
        <f t="shared" si="201"/>
        <v/>
      </c>
      <c r="V447" s="179" t="str">
        <f t="shared" si="202"/>
        <v/>
      </c>
      <c r="W447" s="179" t="str">
        <f t="shared" si="203"/>
        <v/>
      </c>
      <c r="X447" s="26"/>
    </row>
    <row r="448" hidden="1">
      <c r="A448" s="81"/>
      <c r="B448" s="81"/>
      <c r="C448" s="104"/>
      <c r="D448" s="83" t="s">
        <v>240</v>
      </c>
      <c r="E448" s="105">
        <f>E419</f>
        <v>221000</v>
      </c>
      <c r="F448" s="201">
        <v>350000.0</v>
      </c>
      <c r="G448" s="18">
        <f t="shared" ref="G448:G449" si="204">(F448-E448)/E448</f>
        <v>0.5837104072</v>
      </c>
      <c r="H448" s="99"/>
      <c r="I448" s="99"/>
      <c r="J448" s="99"/>
      <c r="K448" s="99"/>
      <c r="L448" s="99"/>
      <c r="M448" s="99"/>
      <c r="N448" s="99"/>
      <c r="O448" s="99"/>
      <c r="P448" s="99"/>
      <c r="Q448" s="23"/>
      <c r="R448" s="23"/>
      <c r="S448" s="100"/>
      <c r="T448" s="24">
        <f t="shared" si="200"/>
        <v>-0.5837104072</v>
      </c>
      <c r="U448" s="179">
        <f t="shared" si="201"/>
        <v>-1</v>
      </c>
      <c r="V448" s="179" t="str">
        <f t="shared" si="202"/>
        <v/>
      </c>
      <c r="W448" s="179" t="str">
        <f t="shared" si="203"/>
        <v/>
      </c>
      <c r="X448" s="26"/>
    </row>
    <row r="449" hidden="1">
      <c r="A449" s="81"/>
      <c r="B449" s="81"/>
      <c r="C449" s="104"/>
      <c r="D449" s="83" t="s">
        <v>282</v>
      </c>
      <c r="E449" s="201">
        <v>309000.0</v>
      </c>
      <c r="F449" s="201">
        <v>430000.0</v>
      </c>
      <c r="G449" s="18">
        <f t="shared" si="204"/>
        <v>0.3915857605</v>
      </c>
      <c r="H449" s="99"/>
      <c r="I449" s="99"/>
      <c r="J449" s="99"/>
      <c r="K449" s="99"/>
      <c r="L449" s="99"/>
      <c r="M449" s="99"/>
      <c r="N449" s="99"/>
      <c r="O449" s="99"/>
      <c r="P449" s="99"/>
      <c r="Q449" s="23"/>
      <c r="R449" s="23"/>
      <c r="S449" s="100"/>
      <c r="T449" s="24">
        <f t="shared" si="200"/>
        <v>-0.3915857605</v>
      </c>
      <c r="U449" s="179">
        <f t="shared" si="201"/>
        <v>-1</v>
      </c>
      <c r="V449" s="179" t="str">
        <f t="shared" si="202"/>
        <v/>
      </c>
      <c r="W449" s="179" t="str">
        <f t="shared" si="203"/>
        <v/>
      </c>
      <c r="X449" s="26"/>
    </row>
    <row r="450" hidden="1">
      <c r="A450" s="81"/>
      <c r="B450" s="81"/>
      <c r="C450" s="104"/>
      <c r="D450" s="83" t="s">
        <v>272</v>
      </c>
      <c r="E450" s="201">
        <v>60000.0</v>
      </c>
      <c r="F450" s="201"/>
      <c r="G450" s="18"/>
      <c r="H450" s="99"/>
      <c r="I450" s="99"/>
      <c r="J450" s="99"/>
      <c r="K450" s="99"/>
      <c r="L450" s="99"/>
      <c r="M450" s="99"/>
      <c r="N450" s="99"/>
      <c r="O450" s="99"/>
      <c r="P450" s="99"/>
      <c r="Q450" s="23"/>
      <c r="R450" s="23"/>
      <c r="S450" s="100"/>
      <c r="T450" s="24">
        <f t="shared" si="200"/>
        <v>0</v>
      </c>
      <c r="U450" s="179" t="str">
        <f t="shared" si="201"/>
        <v/>
      </c>
      <c r="V450" s="179" t="str">
        <f t="shared" si="202"/>
        <v/>
      </c>
      <c r="W450" s="179" t="str">
        <f t="shared" si="203"/>
        <v/>
      </c>
      <c r="X450" s="26"/>
    </row>
    <row r="451" hidden="1">
      <c r="A451" s="81"/>
      <c r="B451" s="81"/>
      <c r="C451" s="104"/>
      <c r="D451" s="83" t="s">
        <v>265</v>
      </c>
      <c r="E451" s="201">
        <v>450000.0</v>
      </c>
      <c r="F451" s="201">
        <v>600000.0</v>
      </c>
      <c r="G451" s="18">
        <f t="shared" ref="G451:G452" si="206">(F451-E451)/E451</f>
        <v>0.3333333333</v>
      </c>
      <c r="H451" s="99"/>
      <c r="I451" s="99"/>
      <c r="J451" s="99"/>
      <c r="K451" s="99"/>
      <c r="L451" s="99"/>
      <c r="M451" s="99"/>
      <c r="N451" s="99"/>
      <c r="O451" s="99"/>
      <c r="P451" s="99"/>
      <c r="Q451" s="23"/>
      <c r="R451" s="23"/>
      <c r="S451" s="100"/>
      <c r="T451" s="24">
        <f t="shared" si="200"/>
        <v>-0.3333333333</v>
      </c>
      <c r="U451" s="179">
        <f t="shared" si="201"/>
        <v>-1</v>
      </c>
      <c r="V451" s="179" t="str">
        <f t="shared" si="202"/>
        <v/>
      </c>
      <c r="W451" s="179" t="str">
        <f t="shared" si="203"/>
        <v/>
      </c>
      <c r="X451" s="26"/>
    </row>
    <row r="452" hidden="1">
      <c r="A452" s="81"/>
      <c r="B452" s="81"/>
      <c r="C452" s="104"/>
      <c r="D452" s="83" t="s">
        <v>101</v>
      </c>
      <c r="E452" s="215">
        <f t="shared" ref="E452:F452" si="205">E448+E449+E450+E451</f>
        <v>1040000</v>
      </c>
      <c r="F452" s="105">
        <f t="shared" si="205"/>
        <v>1380000</v>
      </c>
      <c r="G452" s="18">
        <f t="shared" si="206"/>
        <v>0.3269230769</v>
      </c>
      <c r="H452" s="99"/>
      <c r="I452" s="99"/>
      <c r="J452" s="99"/>
      <c r="K452" s="99"/>
      <c r="L452" s="99"/>
      <c r="M452" s="99"/>
      <c r="N452" s="99"/>
      <c r="O452" s="99"/>
      <c r="P452" s="99"/>
      <c r="Q452" s="23"/>
      <c r="R452" s="23"/>
      <c r="S452" s="100"/>
      <c r="T452" s="24">
        <f t="shared" si="200"/>
        <v>-0.3269230769</v>
      </c>
      <c r="U452" s="179">
        <f t="shared" si="201"/>
        <v>-1</v>
      </c>
      <c r="V452" s="179" t="str">
        <f t="shared" si="202"/>
        <v/>
      </c>
      <c r="W452" s="179" t="str">
        <f t="shared" si="203"/>
        <v/>
      </c>
      <c r="X452" s="26"/>
    </row>
    <row r="453" hidden="1">
      <c r="A453" s="81"/>
      <c r="B453" s="81"/>
      <c r="C453" s="106"/>
      <c r="D453" s="83" t="s">
        <v>148</v>
      </c>
      <c r="E453" s="214">
        <f>F452-E452</f>
        <v>340000</v>
      </c>
      <c r="F453" s="105"/>
      <c r="G453" s="18"/>
      <c r="H453" s="99"/>
      <c r="I453" s="99"/>
      <c r="J453" s="99"/>
      <c r="K453" s="99"/>
      <c r="L453" s="99"/>
      <c r="M453" s="99"/>
      <c r="N453" s="99"/>
      <c r="O453" s="99"/>
      <c r="P453" s="99"/>
      <c r="Q453" s="23"/>
      <c r="R453" s="23"/>
      <c r="S453" s="100"/>
      <c r="T453" s="24">
        <f t="shared" si="200"/>
        <v>0</v>
      </c>
      <c r="U453" s="179" t="str">
        <f t="shared" si="201"/>
        <v/>
      </c>
      <c r="V453" s="179" t="str">
        <f t="shared" si="202"/>
        <v/>
      </c>
      <c r="W453" s="179" t="str">
        <f t="shared" si="203"/>
        <v/>
      </c>
      <c r="X453" s="26"/>
    </row>
    <row r="454" hidden="1">
      <c r="A454" s="28"/>
      <c r="B454" s="28"/>
      <c r="C454" s="107"/>
      <c r="D454" s="83" t="s">
        <v>279</v>
      </c>
      <c r="E454" s="105">
        <f>F445-F452</f>
        <v>-120000</v>
      </c>
      <c r="F454" s="105"/>
      <c r="G454" s="18"/>
      <c r="H454" s="99"/>
      <c r="I454" s="99"/>
      <c r="J454" s="99"/>
      <c r="K454" s="99"/>
      <c r="L454" s="99"/>
      <c r="M454" s="99"/>
      <c r="N454" s="99"/>
      <c r="O454" s="99"/>
      <c r="P454" s="99"/>
      <c r="Q454" s="23"/>
      <c r="R454" s="23"/>
      <c r="S454" s="100"/>
      <c r="T454" s="24">
        <f t="shared" si="200"/>
        <v>0</v>
      </c>
      <c r="U454" s="179" t="str">
        <f t="shared" si="201"/>
        <v/>
      </c>
      <c r="V454" s="179" t="str">
        <f t="shared" si="202"/>
        <v/>
      </c>
      <c r="W454" s="179" t="str">
        <f t="shared" si="203"/>
        <v/>
      </c>
      <c r="X454" s="26"/>
    </row>
    <row r="455" hidden="1">
      <c r="A455" s="28"/>
      <c r="B455" s="28"/>
      <c r="C455" s="107"/>
      <c r="D455" s="97"/>
      <c r="E455" s="105"/>
      <c r="F455" s="201" t="s">
        <v>280</v>
      </c>
      <c r="G455" s="18"/>
      <c r="H455" s="99"/>
      <c r="I455" s="99"/>
      <c r="J455" s="99"/>
      <c r="K455" s="99"/>
      <c r="L455" s="99"/>
      <c r="M455" s="99"/>
      <c r="N455" s="99"/>
      <c r="O455" s="99"/>
      <c r="P455" s="99"/>
      <c r="Q455" s="23"/>
      <c r="R455" s="23"/>
      <c r="S455" s="100"/>
      <c r="T455" s="24">
        <f t="shared" si="200"/>
        <v>0</v>
      </c>
      <c r="U455" s="179" t="str">
        <f t="shared" si="201"/>
        <v/>
      </c>
      <c r="V455" s="179" t="str">
        <f t="shared" si="202"/>
        <v/>
      </c>
      <c r="W455" s="179" t="str">
        <f t="shared" si="203"/>
        <v/>
      </c>
      <c r="X455" s="26"/>
    </row>
    <row r="456" hidden="1">
      <c r="A456" s="81"/>
      <c r="B456" s="81"/>
      <c r="C456" s="194" t="s">
        <v>283</v>
      </c>
      <c r="D456" s="83" t="s">
        <v>240</v>
      </c>
      <c r="E456" s="105">
        <f>E448</f>
        <v>221000</v>
      </c>
      <c r="F456" s="201">
        <v>350000.0</v>
      </c>
      <c r="G456" s="18">
        <f t="shared" ref="G456:G461" si="207">(F456-E456)/E456</f>
        <v>0.5837104072</v>
      </c>
      <c r="H456" s="99"/>
      <c r="I456" s="99"/>
      <c r="J456" s="99"/>
      <c r="K456" s="99"/>
      <c r="L456" s="99"/>
      <c r="M456" s="99"/>
      <c r="N456" s="99"/>
      <c r="O456" s="99"/>
      <c r="P456" s="99"/>
      <c r="Q456" s="23"/>
      <c r="R456" s="23"/>
      <c r="S456" s="100"/>
      <c r="T456" s="24">
        <f t="shared" si="200"/>
        <v>-0.5837104072</v>
      </c>
      <c r="U456" s="179">
        <f t="shared" si="201"/>
        <v>-1</v>
      </c>
      <c r="V456" s="179" t="str">
        <f t="shared" si="202"/>
        <v/>
      </c>
      <c r="W456" s="179" t="str">
        <f t="shared" si="203"/>
        <v/>
      </c>
      <c r="X456" s="26"/>
    </row>
    <row r="457" hidden="1">
      <c r="A457" s="81"/>
      <c r="B457" s="81"/>
      <c r="C457" s="104"/>
      <c r="D457" s="83" t="s">
        <v>284</v>
      </c>
      <c r="E457" s="201">
        <v>666000.0</v>
      </c>
      <c r="F457" s="105">
        <f>850000</f>
        <v>850000</v>
      </c>
      <c r="G457" s="18">
        <f t="shared" si="207"/>
        <v>0.2762762763</v>
      </c>
      <c r="H457" s="99"/>
      <c r="I457" s="99"/>
      <c r="J457" s="99"/>
      <c r="K457" s="99"/>
      <c r="L457" s="99"/>
      <c r="M457" s="99"/>
      <c r="N457" s="99"/>
      <c r="O457" s="99"/>
      <c r="P457" s="99"/>
      <c r="Q457" s="23"/>
      <c r="R457" s="23"/>
      <c r="S457" s="100"/>
      <c r="T457" s="24">
        <f t="shared" si="200"/>
        <v>-0.2762762763</v>
      </c>
      <c r="U457" s="179">
        <f t="shared" si="201"/>
        <v>-1</v>
      </c>
      <c r="V457" s="179" t="str">
        <f t="shared" si="202"/>
        <v/>
      </c>
      <c r="W457" s="179" t="str">
        <f t="shared" si="203"/>
        <v/>
      </c>
      <c r="X457" s="26"/>
    </row>
    <row r="458" hidden="1">
      <c r="A458" s="81"/>
      <c r="B458" s="81"/>
      <c r="C458" s="104"/>
      <c r="D458" s="83" t="s">
        <v>285</v>
      </c>
      <c r="E458" s="201">
        <v>130000.0</v>
      </c>
      <c r="F458" s="201">
        <v>180000.0</v>
      </c>
      <c r="G458" s="18">
        <f t="shared" si="207"/>
        <v>0.3846153846</v>
      </c>
      <c r="H458" s="99"/>
      <c r="I458" s="99"/>
      <c r="J458" s="99"/>
      <c r="K458" s="99"/>
      <c r="L458" s="99"/>
      <c r="M458" s="99"/>
      <c r="N458" s="99"/>
      <c r="O458" s="99"/>
      <c r="P458" s="99"/>
      <c r="Q458" s="23"/>
      <c r="R458" s="23"/>
      <c r="S458" s="100"/>
      <c r="T458" s="24">
        <f t="shared" si="200"/>
        <v>-0.3846153846</v>
      </c>
      <c r="U458" s="179">
        <f t="shared" si="201"/>
        <v>-1</v>
      </c>
      <c r="V458" s="179" t="str">
        <f t="shared" si="202"/>
        <v/>
      </c>
      <c r="W458" s="179" t="str">
        <f t="shared" si="203"/>
        <v/>
      </c>
      <c r="X458" s="26"/>
    </row>
    <row r="459" hidden="1">
      <c r="A459" s="81"/>
      <c r="B459" s="81"/>
      <c r="C459" s="104"/>
      <c r="D459" s="83" t="s">
        <v>169</v>
      </c>
      <c r="E459" s="201">
        <v>370000.0</v>
      </c>
      <c r="F459" s="201">
        <v>450000.0</v>
      </c>
      <c r="G459" s="18">
        <f t="shared" si="207"/>
        <v>0.2162162162</v>
      </c>
      <c r="H459" s="99"/>
      <c r="I459" s="99"/>
      <c r="J459" s="99"/>
      <c r="K459" s="99"/>
      <c r="L459" s="99"/>
      <c r="M459" s="99"/>
      <c r="N459" s="99"/>
      <c r="O459" s="99"/>
      <c r="P459" s="99"/>
      <c r="Q459" s="23"/>
      <c r="R459" s="23"/>
      <c r="S459" s="100"/>
      <c r="T459" s="24">
        <f t="shared" si="200"/>
        <v>-0.2162162162</v>
      </c>
      <c r="U459" s="179">
        <f t="shared" si="201"/>
        <v>-1</v>
      </c>
      <c r="V459" s="179" t="str">
        <f t="shared" si="202"/>
        <v/>
      </c>
      <c r="W459" s="179" t="str">
        <f t="shared" si="203"/>
        <v/>
      </c>
      <c r="X459" s="26"/>
    </row>
    <row r="460" hidden="1">
      <c r="A460" s="81"/>
      <c r="B460" s="81"/>
      <c r="C460" s="104"/>
      <c r="D460" s="83" t="s">
        <v>286</v>
      </c>
      <c r="E460" s="201">
        <v>60000.0</v>
      </c>
      <c r="F460" s="201"/>
      <c r="G460" s="18">
        <f t="shared" si="207"/>
        <v>-1</v>
      </c>
      <c r="H460" s="99"/>
      <c r="I460" s="99"/>
      <c r="J460" s="99"/>
      <c r="K460" s="99"/>
      <c r="L460" s="99"/>
      <c r="M460" s="99"/>
      <c r="N460" s="99"/>
      <c r="O460" s="99"/>
      <c r="P460" s="99"/>
      <c r="Q460" s="23"/>
      <c r="R460" s="23"/>
      <c r="S460" s="100"/>
      <c r="T460" s="24">
        <f t="shared" si="200"/>
        <v>1</v>
      </c>
      <c r="U460" s="179">
        <f t="shared" si="201"/>
        <v>-1</v>
      </c>
      <c r="V460" s="179" t="str">
        <f t="shared" si="202"/>
        <v/>
      </c>
      <c r="W460" s="179" t="str">
        <f t="shared" si="203"/>
        <v/>
      </c>
      <c r="X460" s="26"/>
    </row>
    <row r="461" hidden="1">
      <c r="A461" s="81"/>
      <c r="B461" s="81"/>
      <c r="C461" s="104"/>
      <c r="D461" s="83" t="s">
        <v>287</v>
      </c>
      <c r="E461" s="210">
        <f>E456+E457+E458+E459+E460</f>
        <v>1447000</v>
      </c>
      <c r="F461" s="105">
        <f>SUM(F456:F460)</f>
        <v>1830000</v>
      </c>
      <c r="G461" s="18">
        <f t="shared" si="207"/>
        <v>0.2646855563</v>
      </c>
      <c r="H461" s="99"/>
      <c r="I461" s="99"/>
      <c r="J461" s="99"/>
      <c r="K461" s="99"/>
      <c r="L461" s="99"/>
      <c r="M461" s="99"/>
      <c r="N461" s="99"/>
      <c r="O461" s="99"/>
      <c r="P461" s="99"/>
      <c r="Q461" s="23"/>
      <c r="R461" s="23"/>
      <c r="S461" s="100"/>
      <c r="T461" s="24">
        <f t="shared" si="200"/>
        <v>-0.2646855563</v>
      </c>
      <c r="U461" s="179">
        <f t="shared" si="201"/>
        <v>-1</v>
      </c>
      <c r="V461" s="179" t="str">
        <f t="shared" si="202"/>
        <v/>
      </c>
      <c r="W461" s="179" t="str">
        <f t="shared" si="203"/>
        <v/>
      </c>
      <c r="X461" s="26"/>
    </row>
    <row r="462" hidden="1">
      <c r="A462" s="81"/>
      <c r="B462" s="81"/>
      <c r="C462" s="104"/>
      <c r="D462" s="83" t="s">
        <v>148</v>
      </c>
      <c r="E462" s="214">
        <f>F461-E461</f>
        <v>383000</v>
      </c>
      <c r="F462" s="105"/>
      <c r="G462" s="18"/>
      <c r="H462" s="99"/>
      <c r="I462" s="99"/>
      <c r="J462" s="99"/>
      <c r="K462" s="99"/>
      <c r="L462" s="99"/>
      <c r="M462" s="99"/>
      <c r="N462" s="99"/>
      <c r="O462" s="99"/>
      <c r="P462" s="99"/>
      <c r="Q462" s="23"/>
      <c r="R462" s="23"/>
      <c r="S462" s="100"/>
      <c r="T462" s="24">
        <f t="shared" si="200"/>
        <v>0</v>
      </c>
      <c r="U462" s="179" t="str">
        <f t="shared" si="201"/>
        <v/>
      </c>
      <c r="V462" s="179" t="str">
        <f t="shared" si="202"/>
        <v/>
      </c>
      <c r="W462" s="179" t="str">
        <f t="shared" si="203"/>
        <v/>
      </c>
      <c r="X462" s="26"/>
    </row>
    <row r="463" hidden="1">
      <c r="A463" s="81"/>
      <c r="B463" s="81"/>
      <c r="C463" s="104"/>
      <c r="D463" s="97"/>
      <c r="E463" s="105"/>
      <c r="F463" s="105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23"/>
      <c r="R463" s="23"/>
      <c r="S463" s="100"/>
      <c r="T463" s="24">
        <f t="shared" si="200"/>
        <v>0</v>
      </c>
      <c r="U463" s="179" t="str">
        <f t="shared" si="201"/>
        <v/>
      </c>
      <c r="V463" s="179" t="str">
        <f t="shared" si="202"/>
        <v/>
      </c>
      <c r="W463" s="179" t="str">
        <f t="shared" si="203"/>
        <v/>
      </c>
      <c r="X463" s="26"/>
    </row>
    <row r="464" hidden="1">
      <c r="A464" s="81"/>
      <c r="B464" s="81"/>
      <c r="C464" s="104"/>
      <c r="D464" s="97"/>
      <c r="E464" s="105"/>
      <c r="F464" s="105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23"/>
      <c r="R464" s="23"/>
      <c r="S464" s="100"/>
      <c r="T464" s="24">
        <f t="shared" si="200"/>
        <v>0</v>
      </c>
      <c r="U464" s="179" t="str">
        <f t="shared" si="201"/>
        <v/>
      </c>
      <c r="V464" s="179" t="str">
        <f t="shared" si="202"/>
        <v/>
      </c>
      <c r="W464" s="179" t="str">
        <f t="shared" si="203"/>
        <v/>
      </c>
      <c r="X464" s="26"/>
    </row>
    <row r="465" hidden="1">
      <c r="A465" s="81"/>
      <c r="B465" s="81"/>
      <c r="C465" s="104"/>
      <c r="D465" s="83" t="s">
        <v>240</v>
      </c>
      <c r="E465" s="201">
        <f>E456</f>
        <v>221000</v>
      </c>
      <c r="F465" s="201">
        <v>350000.0</v>
      </c>
      <c r="G465" s="18">
        <f t="shared" ref="G465:G471" si="208">(F465-E465)/E465</f>
        <v>0.5837104072</v>
      </c>
      <c r="H465" s="99"/>
      <c r="I465" s="99"/>
      <c r="J465" s="99"/>
      <c r="K465" s="99"/>
      <c r="L465" s="99"/>
      <c r="M465" s="99"/>
      <c r="N465" s="99"/>
      <c r="O465" s="99"/>
      <c r="P465" s="99"/>
      <c r="Q465" s="23"/>
      <c r="R465" s="23"/>
      <c r="S465" s="100"/>
      <c r="T465" s="24">
        <f t="shared" si="200"/>
        <v>-0.5837104072</v>
      </c>
      <c r="U465" s="179">
        <f t="shared" si="201"/>
        <v>-1</v>
      </c>
      <c r="V465" s="179" t="str">
        <f t="shared" si="202"/>
        <v/>
      </c>
      <c r="W465" s="179" t="str">
        <f t="shared" si="203"/>
        <v/>
      </c>
      <c r="X465" s="26"/>
    </row>
    <row r="466" hidden="1">
      <c r="A466" s="81"/>
      <c r="B466" s="81"/>
      <c r="C466" s="104"/>
      <c r="D466" s="83" t="s">
        <v>284</v>
      </c>
      <c r="E466" s="201">
        <v>666000.0</v>
      </c>
      <c r="F466" s="201">
        <v>870000.0</v>
      </c>
      <c r="G466" s="18">
        <f t="shared" si="208"/>
        <v>0.3063063063</v>
      </c>
      <c r="H466" s="99"/>
      <c r="I466" s="99"/>
      <c r="J466" s="99"/>
      <c r="K466" s="99"/>
      <c r="L466" s="99"/>
      <c r="M466" s="99"/>
      <c r="N466" s="99"/>
      <c r="O466" s="99"/>
      <c r="P466" s="99"/>
      <c r="Q466" s="23"/>
      <c r="R466" s="23"/>
      <c r="S466" s="100"/>
      <c r="T466" s="24">
        <f t="shared" si="200"/>
        <v>-0.3063063063</v>
      </c>
      <c r="U466" s="179">
        <f t="shared" si="201"/>
        <v>-1</v>
      </c>
      <c r="V466" s="179" t="str">
        <f t="shared" si="202"/>
        <v/>
      </c>
      <c r="W466" s="179" t="str">
        <f t="shared" si="203"/>
        <v/>
      </c>
      <c r="X466" s="26"/>
    </row>
    <row r="467" hidden="1">
      <c r="A467" s="81"/>
      <c r="B467" s="81"/>
      <c r="C467" s="104"/>
      <c r="D467" s="83" t="s">
        <v>285</v>
      </c>
      <c r="E467" s="201">
        <v>130000.0</v>
      </c>
      <c r="F467" s="201">
        <v>250000.0</v>
      </c>
      <c r="G467" s="18">
        <f t="shared" si="208"/>
        <v>0.9230769231</v>
      </c>
      <c r="H467" s="99"/>
      <c r="I467" s="99"/>
      <c r="J467" s="99"/>
      <c r="K467" s="99"/>
      <c r="L467" s="99"/>
      <c r="M467" s="99"/>
      <c r="N467" s="99"/>
      <c r="O467" s="99"/>
      <c r="P467" s="99"/>
      <c r="Q467" s="23"/>
      <c r="R467" s="23"/>
      <c r="S467" s="100"/>
      <c r="T467" s="24">
        <f t="shared" si="200"/>
        <v>-0.9230769231</v>
      </c>
      <c r="U467" s="179">
        <f t="shared" si="201"/>
        <v>-1</v>
      </c>
      <c r="V467" s="179" t="str">
        <f t="shared" si="202"/>
        <v/>
      </c>
      <c r="W467" s="179" t="str">
        <f t="shared" si="203"/>
        <v/>
      </c>
      <c r="X467" s="26"/>
    </row>
    <row r="468" hidden="1">
      <c r="A468" s="81"/>
      <c r="B468" s="81"/>
      <c r="C468" s="104"/>
      <c r="D468" s="83" t="s">
        <v>169</v>
      </c>
      <c r="E468" s="201">
        <v>370000.0</v>
      </c>
      <c r="F468" s="201">
        <v>490000.0</v>
      </c>
      <c r="G468" s="18">
        <f t="shared" si="208"/>
        <v>0.3243243243</v>
      </c>
      <c r="H468" s="99"/>
      <c r="I468" s="99"/>
      <c r="J468" s="99"/>
      <c r="K468" s="99"/>
      <c r="L468" s="99"/>
      <c r="M468" s="99"/>
      <c r="N468" s="99"/>
      <c r="O468" s="99"/>
      <c r="P468" s="99"/>
      <c r="Q468" s="23"/>
      <c r="R468" s="23"/>
      <c r="S468" s="100"/>
      <c r="T468" s="24">
        <f t="shared" si="200"/>
        <v>-0.3243243243</v>
      </c>
      <c r="U468" s="179">
        <f t="shared" si="201"/>
        <v>-1</v>
      </c>
      <c r="V468" s="179" t="str">
        <f t="shared" si="202"/>
        <v/>
      </c>
      <c r="W468" s="179" t="str">
        <f t="shared" si="203"/>
        <v/>
      </c>
      <c r="X468" s="26"/>
    </row>
    <row r="469" hidden="1">
      <c r="A469" s="81"/>
      <c r="B469" s="81"/>
      <c r="C469" s="104"/>
      <c r="D469" s="83" t="s">
        <v>286</v>
      </c>
      <c r="E469" s="201">
        <v>60000.0</v>
      </c>
      <c r="F469" s="201"/>
      <c r="G469" s="18">
        <f t="shared" si="208"/>
        <v>-1</v>
      </c>
      <c r="H469" s="99"/>
      <c r="I469" s="99"/>
      <c r="J469" s="99"/>
      <c r="K469" s="99"/>
      <c r="L469" s="99"/>
      <c r="M469" s="99"/>
      <c r="N469" s="99"/>
      <c r="O469" s="99"/>
      <c r="P469" s="99"/>
      <c r="Q469" s="23"/>
      <c r="R469" s="23"/>
      <c r="S469" s="100"/>
      <c r="T469" s="24">
        <f t="shared" si="200"/>
        <v>1</v>
      </c>
      <c r="U469" s="179">
        <f t="shared" si="201"/>
        <v>-1</v>
      </c>
      <c r="V469" s="179" t="str">
        <f t="shared" si="202"/>
        <v/>
      </c>
      <c r="W469" s="179" t="str">
        <f t="shared" si="203"/>
        <v/>
      </c>
      <c r="X469" s="26"/>
    </row>
    <row r="470" hidden="1">
      <c r="A470" s="81"/>
      <c r="B470" s="81"/>
      <c r="C470" s="104"/>
      <c r="D470" s="83" t="s">
        <v>287</v>
      </c>
      <c r="E470" s="210">
        <f>E465+E466+E467+E468+E469</f>
        <v>1447000</v>
      </c>
      <c r="F470" s="210">
        <f>SUM(F465:F469)</f>
        <v>1960000</v>
      </c>
      <c r="G470" s="18">
        <f t="shared" si="208"/>
        <v>0.3545266068</v>
      </c>
      <c r="H470" s="99"/>
      <c r="I470" s="99"/>
      <c r="J470" s="99"/>
      <c r="K470" s="99"/>
      <c r="L470" s="99"/>
      <c r="M470" s="99"/>
      <c r="N470" s="99"/>
      <c r="O470" s="99"/>
      <c r="P470" s="99"/>
      <c r="Q470" s="23"/>
      <c r="R470" s="23"/>
      <c r="S470" s="100"/>
      <c r="T470" s="24">
        <f t="shared" si="200"/>
        <v>-0.3545266068</v>
      </c>
      <c r="U470" s="179">
        <f t="shared" si="201"/>
        <v>-1</v>
      </c>
      <c r="V470" s="179" t="str">
        <f t="shared" si="202"/>
        <v/>
      </c>
      <c r="W470" s="179" t="str">
        <f t="shared" si="203"/>
        <v/>
      </c>
      <c r="X470" s="26"/>
    </row>
    <row r="471" hidden="1">
      <c r="A471" s="81"/>
      <c r="B471" s="81"/>
      <c r="C471" s="106"/>
      <c r="D471" s="83" t="s">
        <v>148</v>
      </c>
      <c r="E471" s="214">
        <f>F470-E470</f>
        <v>513000</v>
      </c>
      <c r="F471" s="105"/>
      <c r="G471" s="18">
        <f t="shared" si="208"/>
        <v>-1</v>
      </c>
      <c r="H471" s="99"/>
      <c r="I471" s="99"/>
      <c r="J471" s="99"/>
      <c r="K471" s="99"/>
      <c r="L471" s="99"/>
      <c r="M471" s="99"/>
      <c r="N471" s="99"/>
      <c r="O471" s="99"/>
      <c r="P471" s="99"/>
      <c r="Q471" s="23"/>
      <c r="R471" s="23"/>
      <c r="S471" s="100"/>
      <c r="T471" s="24">
        <f t="shared" si="200"/>
        <v>1</v>
      </c>
      <c r="U471" s="179">
        <f t="shared" si="201"/>
        <v>-1</v>
      </c>
      <c r="V471" s="179" t="str">
        <f t="shared" si="202"/>
        <v/>
      </c>
      <c r="W471" s="179" t="str">
        <f t="shared" si="203"/>
        <v/>
      </c>
      <c r="X471" s="26"/>
    </row>
    <row r="472" hidden="1">
      <c r="A472" s="81"/>
      <c r="B472" s="81"/>
      <c r="C472" s="196"/>
      <c r="D472" s="97"/>
      <c r="E472" s="105">
        <f>F461-F470</f>
        <v>-130000</v>
      </c>
      <c r="F472" s="105"/>
      <c r="G472" s="75"/>
      <c r="H472" s="99"/>
      <c r="I472" s="99"/>
      <c r="J472" s="99"/>
      <c r="K472" s="99"/>
      <c r="L472" s="99"/>
      <c r="M472" s="99"/>
      <c r="N472" s="99"/>
      <c r="O472" s="99"/>
      <c r="P472" s="99"/>
      <c r="Q472" s="23"/>
      <c r="R472" s="23"/>
      <c r="S472" s="100"/>
      <c r="T472" s="24">
        <f t="shared" si="200"/>
        <v>0</v>
      </c>
      <c r="U472" s="179" t="str">
        <f t="shared" si="201"/>
        <v/>
      </c>
      <c r="V472" s="179" t="str">
        <f t="shared" si="202"/>
        <v/>
      </c>
      <c r="W472" s="179" t="str">
        <f t="shared" si="203"/>
        <v/>
      </c>
      <c r="X472" s="26"/>
    </row>
    <row r="473" hidden="1">
      <c r="A473" s="81"/>
      <c r="B473" s="81"/>
      <c r="C473" s="196"/>
      <c r="D473" s="97"/>
      <c r="E473" s="105"/>
      <c r="F473" s="105"/>
      <c r="G473" s="18"/>
      <c r="H473" s="98"/>
      <c r="I473" s="98"/>
      <c r="J473" s="99"/>
      <c r="K473" s="99"/>
      <c r="L473" s="99"/>
      <c r="M473" s="99"/>
      <c r="N473" s="99"/>
      <c r="O473" s="99"/>
      <c r="P473" s="99"/>
      <c r="Q473" s="23"/>
      <c r="R473" s="23"/>
      <c r="S473" s="100"/>
      <c r="T473" s="24">
        <f t="shared" si="200"/>
        <v>0</v>
      </c>
      <c r="U473" s="179" t="str">
        <f t="shared" si="201"/>
        <v/>
      </c>
      <c r="V473" s="179" t="str">
        <f t="shared" si="202"/>
        <v/>
      </c>
      <c r="W473" s="179" t="str">
        <f t="shared" si="203"/>
        <v/>
      </c>
      <c r="X473" s="26"/>
    </row>
    <row r="474" hidden="1">
      <c r="A474" s="81"/>
      <c r="B474" s="81"/>
      <c r="C474" s="196" t="s">
        <v>288</v>
      </c>
      <c r="D474" s="216" t="s">
        <v>289</v>
      </c>
      <c r="E474" s="217">
        <v>55000.0</v>
      </c>
      <c r="F474" s="218">
        <f>200000*0.7</f>
        <v>140000</v>
      </c>
      <c r="G474" s="18">
        <f t="shared" ref="G474:G479" si="209">(F474-E474)/E474</f>
        <v>1.545454545</v>
      </c>
      <c r="H474" s="98"/>
      <c r="I474" s="219"/>
      <c r="J474" s="99"/>
      <c r="K474" s="99"/>
      <c r="L474" s="99"/>
      <c r="M474" s="99"/>
      <c r="N474" s="99"/>
      <c r="O474" s="99"/>
      <c r="P474" s="99"/>
      <c r="Q474" s="23"/>
      <c r="R474" s="23"/>
      <c r="S474" s="100"/>
      <c r="T474" s="24">
        <f t="shared" si="200"/>
        <v>-1.545454545</v>
      </c>
      <c r="U474" s="179">
        <f t="shared" si="201"/>
        <v>-1</v>
      </c>
      <c r="V474" s="179" t="str">
        <f t="shared" si="202"/>
        <v/>
      </c>
      <c r="W474" s="179" t="str">
        <f t="shared" si="203"/>
        <v/>
      </c>
      <c r="X474" s="26"/>
    </row>
    <row r="475" hidden="1">
      <c r="A475" s="81"/>
      <c r="B475" s="81"/>
      <c r="C475" s="104"/>
      <c r="D475" s="220" t="s">
        <v>290</v>
      </c>
      <c r="E475" s="217">
        <v>145000.0</v>
      </c>
      <c r="F475" s="218">
        <f>300000*0.7</f>
        <v>210000</v>
      </c>
      <c r="G475" s="18">
        <f t="shared" si="209"/>
        <v>0.4482758621</v>
      </c>
      <c r="H475" s="98"/>
      <c r="I475" s="219"/>
      <c r="J475" s="99"/>
      <c r="K475" s="99"/>
      <c r="L475" s="99"/>
      <c r="M475" s="99"/>
      <c r="N475" s="99"/>
      <c r="O475" s="99"/>
      <c r="P475" s="99"/>
      <c r="Q475" s="23"/>
      <c r="R475" s="23"/>
      <c r="S475" s="100"/>
      <c r="T475" s="24">
        <f t="shared" si="200"/>
        <v>-0.4482758621</v>
      </c>
      <c r="U475" s="179">
        <f t="shared" si="201"/>
        <v>-1</v>
      </c>
      <c r="V475" s="179" t="str">
        <f t="shared" si="202"/>
        <v/>
      </c>
      <c r="W475" s="179" t="str">
        <f t="shared" si="203"/>
        <v/>
      </c>
      <c r="X475" s="26"/>
    </row>
    <row r="476" hidden="1">
      <c r="A476" s="81"/>
      <c r="B476" s="81"/>
      <c r="C476" s="104"/>
      <c r="D476" s="220" t="s">
        <v>291</v>
      </c>
      <c r="E476" s="217">
        <v>170000.0</v>
      </c>
      <c r="F476" s="218">
        <f>350000*0.7</f>
        <v>245000</v>
      </c>
      <c r="G476" s="18">
        <f t="shared" si="209"/>
        <v>0.4411764706</v>
      </c>
      <c r="H476" s="98"/>
      <c r="I476" s="219"/>
      <c r="J476" s="99"/>
      <c r="K476" s="99"/>
      <c r="L476" s="99"/>
      <c r="M476" s="99"/>
      <c r="N476" s="99"/>
      <c r="O476" s="99"/>
      <c r="P476" s="99"/>
      <c r="Q476" s="23"/>
      <c r="R476" s="23"/>
      <c r="S476" s="100"/>
      <c r="T476" s="24">
        <f t="shared" si="200"/>
        <v>-0.4411764706</v>
      </c>
      <c r="U476" s="179">
        <f t="shared" si="201"/>
        <v>-1</v>
      </c>
      <c r="V476" s="179" t="str">
        <f t="shared" si="202"/>
        <v/>
      </c>
      <c r="W476" s="179" t="str">
        <f t="shared" si="203"/>
        <v/>
      </c>
      <c r="X476" s="26"/>
    </row>
    <row r="477" hidden="1">
      <c r="A477" s="81"/>
      <c r="B477" s="81"/>
      <c r="C477" s="104"/>
      <c r="D477" s="220" t="s">
        <v>292</v>
      </c>
      <c r="E477" s="217">
        <v>200000.0</v>
      </c>
      <c r="F477" s="218">
        <f>600000*0.7</f>
        <v>420000</v>
      </c>
      <c r="G477" s="18">
        <f t="shared" si="209"/>
        <v>1.1</v>
      </c>
      <c r="H477" s="98"/>
      <c r="I477" s="83"/>
      <c r="J477" s="99"/>
      <c r="K477" s="99"/>
      <c r="L477" s="99"/>
      <c r="M477" s="99"/>
      <c r="N477" s="99"/>
      <c r="O477" s="99"/>
      <c r="P477" s="99"/>
      <c r="Q477" s="23"/>
      <c r="R477" s="23"/>
      <c r="S477" s="100"/>
      <c r="T477" s="24">
        <f t="shared" si="200"/>
        <v>-1.1</v>
      </c>
      <c r="U477" s="179">
        <f t="shared" si="201"/>
        <v>-1</v>
      </c>
      <c r="V477" s="179" t="str">
        <f t="shared" si="202"/>
        <v/>
      </c>
      <c r="W477" s="179" t="str">
        <f t="shared" si="203"/>
        <v/>
      </c>
      <c r="X477" s="26"/>
    </row>
    <row r="478" hidden="1">
      <c r="A478" s="81"/>
      <c r="B478" s="81"/>
      <c r="C478" s="104"/>
      <c r="D478" s="221" t="s">
        <v>293</v>
      </c>
      <c r="E478" s="217">
        <v>260000.0</v>
      </c>
      <c r="F478" s="217">
        <f>720000*0.7</f>
        <v>504000</v>
      </c>
      <c r="G478" s="18">
        <f t="shared" si="209"/>
        <v>0.9384615385</v>
      </c>
      <c r="H478" s="98"/>
      <c r="I478" s="219"/>
      <c r="J478" s="99"/>
      <c r="K478" s="99"/>
      <c r="L478" s="99"/>
      <c r="M478" s="99"/>
      <c r="N478" s="99"/>
      <c r="O478" s="99"/>
      <c r="P478" s="99"/>
      <c r="Q478" s="23"/>
      <c r="R478" s="23"/>
      <c r="S478" s="100"/>
      <c r="T478" s="24">
        <f t="shared" si="200"/>
        <v>-0.9384615385</v>
      </c>
      <c r="U478" s="179">
        <f t="shared" si="201"/>
        <v>-1</v>
      </c>
      <c r="V478" s="179" t="str">
        <f t="shared" si="202"/>
        <v/>
      </c>
      <c r="W478" s="179" t="str">
        <f t="shared" si="203"/>
        <v/>
      </c>
      <c r="X478" s="26"/>
    </row>
    <row r="479" hidden="1">
      <c r="A479" s="81"/>
      <c r="B479" s="81"/>
      <c r="C479" s="104"/>
      <c r="D479" s="221" t="s">
        <v>294</v>
      </c>
      <c r="E479" s="217">
        <v>380000.0</v>
      </c>
      <c r="F479" s="217">
        <f>890000*0.7</f>
        <v>623000</v>
      </c>
      <c r="G479" s="18">
        <f t="shared" si="209"/>
        <v>0.6394736842</v>
      </c>
      <c r="H479" s="98"/>
      <c r="I479" s="219"/>
      <c r="J479" s="99"/>
      <c r="K479" s="99"/>
      <c r="L479" s="99"/>
      <c r="M479" s="99"/>
      <c r="N479" s="99"/>
      <c r="O479" s="99"/>
      <c r="P479" s="99"/>
      <c r="Q479" s="23"/>
      <c r="R479" s="23"/>
      <c r="S479" s="100"/>
      <c r="T479" s="24">
        <f t="shared" si="200"/>
        <v>-0.6394736842</v>
      </c>
      <c r="U479" s="179">
        <f t="shared" si="201"/>
        <v>-1</v>
      </c>
      <c r="V479" s="179" t="str">
        <f t="shared" si="202"/>
        <v/>
      </c>
      <c r="W479" s="179" t="str">
        <f t="shared" si="203"/>
        <v/>
      </c>
      <c r="X479" s="26"/>
    </row>
    <row r="480" hidden="1">
      <c r="A480" s="81"/>
      <c r="B480" s="81"/>
      <c r="C480" s="196"/>
      <c r="D480" s="97"/>
      <c r="E480" s="105"/>
      <c r="F480" s="105"/>
      <c r="G480" s="18"/>
      <c r="H480" s="99"/>
      <c r="I480" s="99"/>
      <c r="J480" s="99"/>
      <c r="K480" s="99"/>
      <c r="L480" s="99"/>
      <c r="M480" s="99"/>
      <c r="N480" s="99"/>
      <c r="O480" s="99"/>
      <c r="P480" s="99"/>
      <c r="Q480" s="23"/>
      <c r="R480" s="23"/>
      <c r="S480" s="100"/>
      <c r="T480" s="24">
        <f t="shared" si="200"/>
        <v>0</v>
      </c>
      <c r="U480" s="179" t="str">
        <f t="shared" si="201"/>
        <v/>
      </c>
      <c r="V480" s="179" t="str">
        <f t="shared" si="202"/>
        <v/>
      </c>
      <c r="W480" s="179" t="str">
        <f t="shared" si="203"/>
        <v/>
      </c>
      <c r="X480" s="26"/>
    </row>
    <row r="481" hidden="1">
      <c r="A481" s="81"/>
      <c r="B481" s="81"/>
      <c r="C481" s="197"/>
      <c r="D481" s="97"/>
      <c r="E481" s="105"/>
      <c r="F481" s="105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23"/>
      <c r="R481" s="23"/>
      <c r="S481" s="100"/>
      <c r="T481" s="24">
        <f t="shared" si="200"/>
        <v>0</v>
      </c>
      <c r="U481" s="179" t="str">
        <f t="shared" si="201"/>
        <v/>
      </c>
      <c r="V481" s="179" t="str">
        <f t="shared" si="202"/>
        <v/>
      </c>
      <c r="W481" s="179" t="str">
        <f t="shared" si="203"/>
        <v/>
      </c>
      <c r="X481" s="26"/>
    </row>
    <row r="482" hidden="1">
      <c r="A482" s="183"/>
      <c r="B482" s="183"/>
      <c r="C482" s="184" t="s">
        <v>193</v>
      </c>
      <c r="D482" s="222" t="s">
        <v>295</v>
      </c>
      <c r="E482" s="223">
        <v>190000.0</v>
      </c>
      <c r="F482" s="224">
        <v>700000.0</v>
      </c>
      <c r="G482" s="34">
        <f t="shared" ref="G482:G486" si="210">(F482-E482)/E482</f>
        <v>2.684210526</v>
      </c>
      <c r="H482" s="188"/>
      <c r="I482" s="188"/>
      <c r="J482" s="188"/>
      <c r="K482" s="188"/>
      <c r="L482" s="188"/>
      <c r="M482" s="188"/>
      <c r="N482" s="188"/>
      <c r="O482" s="188"/>
      <c r="P482" s="188"/>
      <c r="Q482" s="39"/>
      <c r="R482" s="39"/>
      <c r="S482" s="189"/>
      <c r="T482" s="24">
        <f t="shared" ref="T482:T495" si="211">P482-(G482+S482)-(P482*R482)</f>
        <v>-2.684210526</v>
      </c>
      <c r="U482" s="25">
        <f t="shared" si="201"/>
        <v>-1</v>
      </c>
      <c r="V482" s="25" t="str">
        <f t="shared" si="202"/>
        <v/>
      </c>
      <c r="W482" s="25" t="str">
        <f t="shared" si="203"/>
        <v/>
      </c>
      <c r="X482" s="42"/>
    </row>
    <row r="483" hidden="1">
      <c r="A483" s="183"/>
      <c r="B483" s="183"/>
      <c r="C483" s="104"/>
      <c r="D483" s="222" t="s">
        <v>296</v>
      </c>
      <c r="E483" s="223">
        <v>1708800.0</v>
      </c>
      <c r="F483" s="186">
        <f>460000*5</f>
        <v>2300000</v>
      </c>
      <c r="G483" s="34">
        <f t="shared" si="210"/>
        <v>0.3459737828</v>
      </c>
      <c r="H483" s="188"/>
      <c r="I483" s="188"/>
      <c r="J483" s="188"/>
      <c r="K483" s="188"/>
      <c r="L483" s="188"/>
      <c r="M483" s="188"/>
      <c r="N483" s="188"/>
      <c r="O483" s="188"/>
      <c r="P483" s="188"/>
      <c r="Q483" s="39"/>
      <c r="R483" s="39"/>
      <c r="S483" s="189"/>
      <c r="T483" s="24">
        <f t="shared" si="211"/>
        <v>-0.3459737828</v>
      </c>
      <c r="U483" s="25">
        <f t="shared" si="201"/>
        <v>-1</v>
      </c>
      <c r="V483" s="25" t="str">
        <f t="shared" si="202"/>
        <v/>
      </c>
      <c r="W483" s="25" t="str">
        <f t="shared" si="203"/>
        <v/>
      </c>
      <c r="X483" s="190"/>
    </row>
    <row r="484" hidden="1">
      <c r="A484" s="183"/>
      <c r="B484" s="183"/>
      <c r="C484" s="104"/>
      <c r="D484" s="222" t="s">
        <v>297</v>
      </c>
      <c r="E484" s="223">
        <v>1105200.0</v>
      </c>
      <c r="F484" s="186">
        <f>580000*5</f>
        <v>2900000</v>
      </c>
      <c r="G484" s="34">
        <f t="shared" si="210"/>
        <v>1.623959464</v>
      </c>
      <c r="H484" s="188"/>
      <c r="I484" s="188"/>
      <c r="J484" s="188"/>
      <c r="K484" s="188"/>
      <c r="L484" s="188"/>
      <c r="M484" s="188"/>
      <c r="N484" s="188"/>
      <c r="O484" s="188"/>
      <c r="P484" s="188"/>
      <c r="Q484" s="39"/>
      <c r="R484" s="39"/>
      <c r="S484" s="189"/>
      <c r="T484" s="24">
        <f t="shared" si="211"/>
        <v>-1.623959464</v>
      </c>
      <c r="U484" s="25">
        <f t="shared" si="201"/>
        <v>-1</v>
      </c>
      <c r="V484" s="25" t="str">
        <f t="shared" si="202"/>
        <v/>
      </c>
      <c r="W484" s="25" t="str">
        <f t="shared" si="203"/>
        <v/>
      </c>
      <c r="X484" s="190"/>
    </row>
    <row r="485" hidden="1">
      <c r="A485" s="183"/>
      <c r="B485" s="183"/>
      <c r="C485" s="104"/>
      <c r="D485" s="222" t="s">
        <v>298</v>
      </c>
      <c r="E485" s="223">
        <v>150000.0</v>
      </c>
      <c r="F485" s="186">
        <f>SUM(300000*2)</f>
        <v>600000</v>
      </c>
      <c r="G485" s="34">
        <f t="shared" si="210"/>
        <v>3</v>
      </c>
      <c r="H485" s="188"/>
      <c r="I485" s="188"/>
      <c r="J485" s="188"/>
      <c r="K485" s="188"/>
      <c r="L485" s="188"/>
      <c r="M485" s="188"/>
      <c r="N485" s="188"/>
      <c r="O485" s="188"/>
      <c r="P485" s="188"/>
      <c r="Q485" s="39"/>
      <c r="R485" s="39"/>
      <c r="S485" s="189"/>
      <c r="T485" s="24">
        <f t="shared" si="211"/>
        <v>-3</v>
      </c>
      <c r="U485" s="25">
        <f t="shared" si="201"/>
        <v>-1</v>
      </c>
      <c r="V485" s="25" t="str">
        <f t="shared" si="202"/>
        <v/>
      </c>
      <c r="W485" s="25" t="str">
        <f t="shared" si="203"/>
        <v/>
      </c>
      <c r="X485" s="42"/>
    </row>
    <row r="486" hidden="1">
      <c r="A486" s="183"/>
      <c r="B486" s="183"/>
      <c r="C486" s="104"/>
      <c r="D486" s="222" t="s">
        <v>299</v>
      </c>
      <c r="E486" s="186">
        <f>320000+(36000*4)+350000+40000</f>
        <v>854000</v>
      </c>
      <c r="F486" s="186">
        <f>300000*5</f>
        <v>1500000</v>
      </c>
      <c r="G486" s="34">
        <f t="shared" si="210"/>
        <v>0.756440281</v>
      </c>
      <c r="H486" s="188"/>
      <c r="I486" s="188"/>
      <c r="J486" s="188"/>
      <c r="K486" s="188"/>
      <c r="L486" s="188"/>
      <c r="M486" s="188"/>
      <c r="N486" s="188"/>
      <c r="O486" s="188"/>
      <c r="P486" s="188"/>
      <c r="Q486" s="39"/>
      <c r="R486" s="39"/>
      <c r="S486" s="189"/>
      <c r="T486" s="24">
        <f t="shared" si="211"/>
        <v>-0.756440281</v>
      </c>
      <c r="U486" s="25">
        <f t="shared" si="201"/>
        <v>-1</v>
      </c>
      <c r="V486" s="25" t="str">
        <f t="shared" si="202"/>
        <v/>
      </c>
      <c r="W486" s="25" t="str">
        <f t="shared" si="203"/>
        <v/>
      </c>
      <c r="X486" s="42"/>
    </row>
    <row r="487" hidden="1">
      <c r="A487" s="183"/>
      <c r="B487" s="183"/>
      <c r="C487" s="104"/>
      <c r="D487" s="222" t="s">
        <v>300</v>
      </c>
      <c r="E487" s="191"/>
      <c r="F487" s="191"/>
      <c r="G487" s="192"/>
      <c r="H487" s="188"/>
      <c r="I487" s="188"/>
      <c r="J487" s="188"/>
      <c r="K487" s="188"/>
      <c r="L487" s="188"/>
      <c r="M487" s="188"/>
      <c r="N487" s="188"/>
      <c r="O487" s="188"/>
      <c r="P487" s="188"/>
      <c r="Q487" s="39"/>
      <c r="R487" s="39"/>
      <c r="S487" s="189"/>
      <c r="T487" s="24">
        <f t="shared" si="211"/>
        <v>0</v>
      </c>
      <c r="U487" s="25" t="str">
        <f t="shared" si="201"/>
        <v/>
      </c>
      <c r="V487" s="25" t="str">
        <f t="shared" si="202"/>
        <v/>
      </c>
      <c r="W487" s="25" t="str">
        <f t="shared" si="203"/>
        <v/>
      </c>
      <c r="X487" s="42"/>
    </row>
    <row r="488" hidden="1">
      <c r="A488" s="183"/>
      <c r="B488" s="183"/>
      <c r="C488" s="104"/>
      <c r="D488" s="222" t="s">
        <v>301</v>
      </c>
      <c r="E488" s="191"/>
      <c r="F488" s="191"/>
      <c r="G488" s="192"/>
      <c r="H488" s="188"/>
      <c r="I488" s="188"/>
      <c r="J488" s="188"/>
      <c r="K488" s="188"/>
      <c r="L488" s="188"/>
      <c r="M488" s="188"/>
      <c r="N488" s="188"/>
      <c r="O488" s="188"/>
      <c r="P488" s="188"/>
      <c r="Q488" s="39"/>
      <c r="R488" s="39"/>
      <c r="S488" s="189"/>
      <c r="T488" s="24">
        <f t="shared" si="211"/>
        <v>0</v>
      </c>
      <c r="U488" s="25" t="str">
        <f t="shared" si="201"/>
        <v/>
      </c>
      <c r="V488" s="25" t="str">
        <f t="shared" si="202"/>
        <v/>
      </c>
      <c r="W488" s="25" t="str">
        <f t="shared" si="203"/>
        <v/>
      </c>
      <c r="X488" s="42"/>
    </row>
    <row r="489" hidden="1">
      <c r="A489" s="183"/>
      <c r="B489" s="183"/>
      <c r="C489" s="104"/>
      <c r="D489" s="222" t="s">
        <v>302</v>
      </c>
      <c r="E489" s="191"/>
      <c r="F489" s="191"/>
      <c r="G489" s="192"/>
      <c r="H489" s="188"/>
      <c r="I489" s="188"/>
      <c r="J489" s="188"/>
      <c r="K489" s="188"/>
      <c r="L489" s="188"/>
      <c r="M489" s="188"/>
      <c r="N489" s="188"/>
      <c r="O489" s="188"/>
      <c r="P489" s="188"/>
      <c r="Q489" s="39"/>
      <c r="R489" s="39"/>
      <c r="S489" s="189"/>
      <c r="T489" s="24">
        <f t="shared" si="211"/>
        <v>0</v>
      </c>
      <c r="U489" s="25" t="str">
        <f t="shared" si="201"/>
        <v/>
      </c>
      <c r="V489" s="25" t="str">
        <f t="shared" si="202"/>
        <v/>
      </c>
      <c r="W489" s="25" t="str">
        <f t="shared" si="203"/>
        <v/>
      </c>
      <c r="X489" s="42"/>
    </row>
    <row r="490" hidden="1">
      <c r="A490" s="183"/>
      <c r="B490" s="183"/>
      <c r="C490" s="104"/>
      <c r="D490" s="222" t="s">
        <v>303</v>
      </c>
      <c r="E490" s="186">
        <f>110000*4</f>
        <v>440000</v>
      </c>
      <c r="F490" s="186">
        <f>230000*5</f>
        <v>1150000</v>
      </c>
      <c r="G490" s="34">
        <f t="shared" ref="G490:G491" si="212">(F490-E490)/E490</f>
        <v>1.613636364</v>
      </c>
      <c r="H490" s="188"/>
      <c r="I490" s="188"/>
      <c r="J490" s="188"/>
      <c r="K490" s="188"/>
      <c r="L490" s="188"/>
      <c r="M490" s="188"/>
      <c r="N490" s="188"/>
      <c r="O490" s="188"/>
      <c r="P490" s="188"/>
      <c r="Q490" s="39"/>
      <c r="R490" s="39"/>
      <c r="S490" s="189"/>
      <c r="T490" s="24">
        <f t="shared" si="211"/>
        <v>-1.613636364</v>
      </c>
      <c r="U490" s="25">
        <f t="shared" si="201"/>
        <v>-1</v>
      </c>
      <c r="V490" s="25" t="str">
        <f t="shared" si="202"/>
        <v/>
      </c>
      <c r="W490" s="25" t="str">
        <f t="shared" si="203"/>
        <v/>
      </c>
      <c r="X490" s="42"/>
    </row>
    <row r="491" hidden="1">
      <c r="A491" s="183"/>
      <c r="B491" s="183"/>
      <c r="C491" s="104"/>
      <c r="D491" s="222" t="s">
        <v>304</v>
      </c>
      <c r="E491" s="186">
        <f>330000*4</f>
        <v>1320000</v>
      </c>
      <c r="F491" s="186">
        <f>520000*5</f>
        <v>2600000</v>
      </c>
      <c r="G491" s="34">
        <f t="shared" si="212"/>
        <v>0.9696969697</v>
      </c>
      <c r="H491" s="188"/>
      <c r="I491" s="188"/>
      <c r="J491" s="188"/>
      <c r="K491" s="188"/>
      <c r="L491" s="188"/>
      <c r="M491" s="188"/>
      <c r="N491" s="188"/>
      <c r="O491" s="188"/>
      <c r="P491" s="188"/>
      <c r="Q491" s="39"/>
      <c r="R491" s="39"/>
      <c r="S491" s="189"/>
      <c r="T491" s="24">
        <f t="shared" si="211"/>
        <v>-0.9696969697</v>
      </c>
      <c r="U491" s="25">
        <f t="shared" si="201"/>
        <v>-1</v>
      </c>
      <c r="V491" s="25" t="str">
        <f t="shared" si="202"/>
        <v/>
      </c>
      <c r="W491" s="25" t="str">
        <f t="shared" si="203"/>
        <v/>
      </c>
      <c r="X491" s="42"/>
    </row>
    <row r="492" hidden="1">
      <c r="A492" s="183"/>
      <c r="B492" s="183"/>
      <c r="C492" s="104"/>
      <c r="D492" s="82" t="s">
        <v>305</v>
      </c>
      <c r="E492" s="193">
        <f>300000*4</f>
        <v>1200000</v>
      </c>
      <c r="F492" s="191"/>
      <c r="G492" s="192"/>
      <c r="H492" s="188"/>
      <c r="I492" s="188"/>
      <c r="J492" s="188"/>
      <c r="K492" s="188"/>
      <c r="L492" s="188"/>
      <c r="M492" s="188"/>
      <c r="N492" s="188"/>
      <c r="O492" s="188"/>
      <c r="P492" s="188"/>
      <c r="Q492" s="39"/>
      <c r="R492" s="39"/>
      <c r="S492" s="189"/>
      <c r="T492" s="24">
        <f t="shared" si="211"/>
        <v>0</v>
      </c>
      <c r="U492" s="25" t="str">
        <f t="shared" si="201"/>
        <v/>
      </c>
      <c r="V492" s="25" t="str">
        <f t="shared" si="202"/>
        <v/>
      </c>
      <c r="W492" s="25" t="str">
        <f t="shared" si="203"/>
        <v/>
      </c>
      <c r="X492" s="42"/>
    </row>
    <row r="493" hidden="1">
      <c r="A493" s="183"/>
      <c r="B493" s="183"/>
      <c r="C493" s="104"/>
      <c r="D493" s="107"/>
      <c r="E493" s="191"/>
      <c r="F493" s="191"/>
      <c r="G493" s="34"/>
      <c r="H493" s="188"/>
      <c r="I493" s="188"/>
      <c r="J493" s="188"/>
      <c r="K493" s="188"/>
      <c r="L493" s="188"/>
      <c r="M493" s="188"/>
      <c r="N493" s="188"/>
      <c r="O493" s="188"/>
      <c r="P493" s="188"/>
      <c r="Q493" s="39"/>
      <c r="R493" s="39"/>
      <c r="S493" s="189"/>
      <c r="T493" s="24">
        <f t="shared" si="211"/>
        <v>0</v>
      </c>
      <c r="U493" s="25" t="str">
        <f t="shared" si="201"/>
        <v/>
      </c>
      <c r="V493" s="25" t="str">
        <f t="shared" si="202"/>
        <v/>
      </c>
      <c r="W493" s="25" t="str">
        <f t="shared" si="203"/>
        <v/>
      </c>
      <c r="X493" s="42"/>
    </row>
    <row r="494" hidden="1">
      <c r="A494" s="183"/>
      <c r="B494" s="183"/>
      <c r="C494" s="104"/>
      <c r="D494" s="107"/>
      <c r="E494" s="191"/>
      <c r="F494" s="191"/>
      <c r="G494" s="192"/>
      <c r="H494" s="188"/>
      <c r="I494" s="188"/>
      <c r="J494" s="188"/>
      <c r="K494" s="188"/>
      <c r="L494" s="188"/>
      <c r="M494" s="188"/>
      <c r="N494" s="188"/>
      <c r="O494" s="188"/>
      <c r="P494" s="188"/>
      <c r="Q494" s="39"/>
      <c r="R494" s="39"/>
      <c r="S494" s="189"/>
      <c r="T494" s="24">
        <f t="shared" si="211"/>
        <v>0</v>
      </c>
      <c r="U494" s="25" t="str">
        <f t="shared" si="201"/>
        <v/>
      </c>
      <c r="V494" s="25" t="str">
        <f t="shared" si="202"/>
        <v/>
      </c>
      <c r="W494" s="25" t="str">
        <f t="shared" si="203"/>
        <v/>
      </c>
      <c r="X494" s="42"/>
    </row>
    <row r="495" hidden="1">
      <c r="A495" s="183"/>
      <c r="B495" s="183"/>
      <c r="C495" s="106"/>
      <c r="D495" s="185"/>
      <c r="E495" s="186"/>
      <c r="F495" s="186"/>
      <c r="G495" s="34"/>
      <c r="H495" s="188"/>
      <c r="I495" s="188"/>
      <c r="J495" s="188"/>
      <c r="K495" s="188"/>
      <c r="L495" s="188"/>
      <c r="M495" s="188"/>
      <c r="N495" s="188"/>
      <c r="O495" s="188"/>
      <c r="P495" s="188"/>
      <c r="Q495" s="39"/>
      <c r="R495" s="39"/>
      <c r="S495" s="189"/>
      <c r="T495" s="24">
        <f t="shared" si="211"/>
        <v>0</v>
      </c>
      <c r="U495" s="25" t="str">
        <f t="shared" si="201"/>
        <v/>
      </c>
      <c r="V495" s="25" t="str">
        <f t="shared" si="202"/>
        <v/>
      </c>
      <c r="W495" s="25" t="str">
        <f t="shared" si="203"/>
        <v/>
      </c>
      <c r="X495" s="42"/>
    </row>
    <row r="496" hidden="1">
      <c r="A496" s="28"/>
      <c r="B496" s="28"/>
      <c r="C496" s="107"/>
      <c r="D496" s="97"/>
      <c r="E496" s="105"/>
      <c r="F496" s="105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23"/>
      <c r="R496" s="23"/>
      <c r="S496" s="100"/>
      <c r="T496" s="24">
        <f t="shared" ref="T496:T673" si="213">P496-(G496+S496)-(P496*R496)-(P496*Q496)</f>
        <v>0</v>
      </c>
      <c r="U496" s="179" t="str">
        <f t="shared" si="201"/>
        <v/>
      </c>
      <c r="V496" s="179" t="str">
        <f t="shared" si="202"/>
        <v/>
      </c>
      <c r="W496" s="179" t="str">
        <f t="shared" si="203"/>
        <v/>
      </c>
      <c r="X496" s="26"/>
    </row>
    <row r="497" hidden="1">
      <c r="A497" s="28"/>
      <c r="B497" s="28"/>
      <c r="C497" s="107"/>
      <c r="D497" s="97"/>
      <c r="E497" s="105"/>
      <c r="F497" s="105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23"/>
      <c r="R497" s="23"/>
      <c r="S497" s="100"/>
      <c r="T497" s="24">
        <f t="shared" si="213"/>
        <v>0</v>
      </c>
      <c r="U497" s="179" t="str">
        <f t="shared" si="201"/>
        <v/>
      </c>
      <c r="V497" s="179" t="str">
        <f t="shared" si="202"/>
        <v/>
      </c>
      <c r="W497" s="179" t="str">
        <f t="shared" si="203"/>
        <v/>
      </c>
      <c r="X497" s="26"/>
    </row>
    <row r="498" hidden="1">
      <c r="A498" s="85"/>
      <c r="B498" s="85"/>
      <c r="C498" s="86" t="s">
        <v>306</v>
      </c>
      <c r="D498" s="83" t="s">
        <v>307</v>
      </c>
      <c r="E498" s="201">
        <f>55000*2</f>
        <v>110000</v>
      </c>
      <c r="F498" s="105">
        <f>200000*2</f>
        <v>400000</v>
      </c>
      <c r="G498" s="18">
        <f t="shared" ref="G498:G501" si="214">(F498-E498)/E498</f>
        <v>2.636363636</v>
      </c>
      <c r="H498" s="99"/>
      <c r="I498" s="99"/>
      <c r="J498" s="99"/>
      <c r="K498" s="99"/>
      <c r="L498" s="99"/>
      <c r="M498" s="99"/>
      <c r="N498" s="99"/>
      <c r="O498" s="99"/>
      <c r="P498" s="99"/>
      <c r="Q498" s="23"/>
      <c r="R498" s="23"/>
      <c r="S498" s="100"/>
      <c r="T498" s="24">
        <f t="shared" si="213"/>
        <v>-2.636363636</v>
      </c>
      <c r="U498" s="179">
        <f t="shared" si="201"/>
        <v>-1</v>
      </c>
      <c r="V498" s="179" t="str">
        <f t="shared" si="202"/>
        <v/>
      </c>
      <c r="W498" s="179" t="str">
        <f t="shared" si="203"/>
        <v/>
      </c>
      <c r="X498" s="26"/>
    </row>
    <row r="499" hidden="1">
      <c r="A499" s="28"/>
      <c r="B499" s="28"/>
      <c r="C499" s="107"/>
      <c r="D499" s="83" t="s">
        <v>308</v>
      </c>
      <c r="E499" s="105">
        <f>600000</f>
        <v>600000</v>
      </c>
      <c r="F499" s="201">
        <v>800000.0</v>
      </c>
      <c r="G499" s="18">
        <f t="shared" si="214"/>
        <v>0.3333333333</v>
      </c>
      <c r="H499" s="99"/>
      <c r="I499" s="99"/>
      <c r="J499" s="99"/>
      <c r="K499" s="99"/>
      <c r="L499" s="99"/>
      <c r="M499" s="99"/>
      <c r="N499" s="99"/>
      <c r="O499" s="99"/>
      <c r="P499" s="99"/>
      <c r="Q499" s="23"/>
      <c r="R499" s="23"/>
      <c r="S499" s="100"/>
      <c r="T499" s="24">
        <f t="shared" si="213"/>
        <v>-0.3333333333</v>
      </c>
      <c r="U499" s="179">
        <f t="shared" si="201"/>
        <v>-1</v>
      </c>
      <c r="V499" s="179" t="str">
        <f t="shared" si="202"/>
        <v/>
      </c>
      <c r="W499" s="179" t="str">
        <f t="shared" si="203"/>
        <v/>
      </c>
      <c r="X499" s="26"/>
    </row>
    <row r="500" hidden="1">
      <c r="A500" s="28"/>
      <c r="B500" s="28"/>
      <c r="C500" s="107"/>
      <c r="D500" s="83" t="s">
        <v>309</v>
      </c>
      <c r="E500" s="201">
        <v>2860000.0</v>
      </c>
      <c r="F500" s="201">
        <v>5000000.0</v>
      </c>
      <c r="G500" s="18">
        <f t="shared" si="214"/>
        <v>0.7482517483</v>
      </c>
      <c r="H500" s="99"/>
      <c r="I500" s="99"/>
      <c r="J500" s="99"/>
      <c r="K500" s="99"/>
      <c r="L500" s="99"/>
      <c r="M500" s="99"/>
      <c r="N500" s="99"/>
      <c r="O500" s="99"/>
      <c r="P500" s="99"/>
      <c r="Q500" s="23"/>
      <c r="R500" s="23"/>
      <c r="S500" s="100"/>
      <c r="T500" s="24">
        <f t="shared" si="213"/>
        <v>-0.7482517483</v>
      </c>
      <c r="U500" s="179">
        <f t="shared" si="201"/>
        <v>-1</v>
      </c>
      <c r="V500" s="179" t="str">
        <f t="shared" si="202"/>
        <v/>
      </c>
      <c r="W500" s="179" t="str">
        <f t="shared" si="203"/>
        <v/>
      </c>
      <c r="X500" s="26"/>
    </row>
    <row r="501" hidden="1">
      <c r="A501" s="28"/>
      <c r="B501" s="28"/>
      <c r="C501" s="107"/>
      <c r="D501" s="97"/>
      <c r="E501" s="105">
        <f t="shared" ref="E501:F501" si="215">E498+E499+E500</f>
        <v>3570000</v>
      </c>
      <c r="F501" s="105">
        <f t="shared" si="215"/>
        <v>6200000</v>
      </c>
      <c r="G501" s="18">
        <f t="shared" si="214"/>
        <v>0.7366946779</v>
      </c>
      <c r="H501" s="99"/>
      <c r="I501" s="99"/>
      <c r="J501" s="99"/>
      <c r="K501" s="99"/>
      <c r="L501" s="99"/>
      <c r="M501" s="99"/>
      <c r="N501" s="99"/>
      <c r="O501" s="99"/>
      <c r="P501" s="99"/>
      <c r="Q501" s="23"/>
      <c r="R501" s="23"/>
      <c r="S501" s="100"/>
      <c r="T501" s="24">
        <f t="shared" si="213"/>
        <v>-0.7366946779</v>
      </c>
      <c r="U501" s="179">
        <f t="shared" si="201"/>
        <v>-1</v>
      </c>
      <c r="V501" s="179" t="str">
        <f t="shared" si="202"/>
        <v/>
      </c>
      <c r="W501" s="179" t="str">
        <f t="shared" si="203"/>
        <v/>
      </c>
      <c r="X501" s="26"/>
    </row>
    <row r="502" hidden="1">
      <c r="A502" s="28"/>
      <c r="B502" s="28"/>
      <c r="C502" s="225"/>
      <c r="D502" s="226"/>
      <c r="E502" s="105"/>
      <c r="F502" s="105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23"/>
      <c r="R502" s="23"/>
      <c r="S502" s="100"/>
      <c r="T502" s="24">
        <f t="shared" si="213"/>
        <v>0</v>
      </c>
      <c r="U502" s="179" t="str">
        <f t="shared" si="201"/>
        <v/>
      </c>
      <c r="V502" s="179" t="str">
        <f t="shared" si="202"/>
        <v/>
      </c>
      <c r="W502" s="179" t="str">
        <f t="shared" si="203"/>
        <v/>
      </c>
      <c r="X502" s="26"/>
    </row>
    <row r="503" hidden="1">
      <c r="A503" s="85"/>
      <c r="B503" s="85"/>
      <c r="C503" s="227" t="s">
        <v>310</v>
      </c>
      <c r="D503" s="228" t="s">
        <v>307</v>
      </c>
      <c r="E503" s="201">
        <f>55000*2</f>
        <v>110000</v>
      </c>
      <c r="F503" s="105">
        <f>200000*2</f>
        <v>400000</v>
      </c>
      <c r="G503" s="18">
        <f t="shared" ref="G503:G506" si="216">(F503-E503)/E503</f>
        <v>2.636363636</v>
      </c>
      <c r="H503" s="99"/>
      <c r="I503" s="99"/>
      <c r="J503" s="99"/>
      <c r="K503" s="99"/>
      <c r="L503" s="99"/>
      <c r="M503" s="99"/>
      <c r="N503" s="99"/>
      <c r="O503" s="99"/>
      <c r="P503" s="99"/>
      <c r="Q503" s="23"/>
      <c r="R503" s="23"/>
      <c r="S503" s="100"/>
      <c r="T503" s="24">
        <f t="shared" si="213"/>
        <v>-2.636363636</v>
      </c>
      <c r="U503" s="179">
        <f t="shared" si="201"/>
        <v>-1</v>
      </c>
      <c r="V503" s="179" t="str">
        <f t="shared" si="202"/>
        <v/>
      </c>
      <c r="W503" s="179" t="str">
        <f t="shared" si="203"/>
        <v/>
      </c>
      <c r="X503" s="26"/>
    </row>
    <row r="504" hidden="1">
      <c r="A504" s="28"/>
      <c r="B504" s="28"/>
      <c r="C504" s="229"/>
      <c r="D504" s="230" t="s">
        <v>311</v>
      </c>
      <c r="E504" s="201">
        <v>150000.0</v>
      </c>
      <c r="F504" s="201">
        <v>200000.0</v>
      </c>
      <c r="G504" s="18">
        <f t="shared" si="216"/>
        <v>0.3333333333</v>
      </c>
      <c r="H504" s="99"/>
      <c r="I504" s="99"/>
      <c r="J504" s="99"/>
      <c r="K504" s="99"/>
      <c r="L504" s="99"/>
      <c r="M504" s="99"/>
      <c r="N504" s="99"/>
      <c r="O504" s="99"/>
      <c r="P504" s="99"/>
      <c r="Q504" s="23"/>
      <c r="R504" s="23"/>
      <c r="S504" s="100"/>
      <c r="T504" s="24">
        <f t="shared" si="213"/>
        <v>-0.3333333333</v>
      </c>
      <c r="U504" s="179">
        <f t="shared" si="201"/>
        <v>-1</v>
      </c>
      <c r="V504" s="179" t="str">
        <f t="shared" si="202"/>
        <v/>
      </c>
      <c r="W504" s="179" t="str">
        <f t="shared" si="203"/>
        <v/>
      </c>
      <c r="X504" s="26"/>
    </row>
    <row r="505" hidden="1">
      <c r="A505" s="28"/>
      <c r="B505" s="28"/>
      <c r="C505" s="231"/>
      <c r="D505" s="232" t="s">
        <v>309</v>
      </c>
      <c r="E505" s="201">
        <v>2860000.0</v>
      </c>
      <c r="F505" s="201">
        <v>5000000.0</v>
      </c>
      <c r="G505" s="18">
        <f t="shared" si="216"/>
        <v>0.7482517483</v>
      </c>
      <c r="H505" s="99"/>
      <c r="I505" s="99"/>
      <c r="J505" s="99"/>
      <c r="K505" s="99"/>
      <c r="L505" s="99"/>
      <c r="M505" s="99"/>
      <c r="N505" s="99"/>
      <c r="O505" s="99"/>
      <c r="P505" s="99"/>
      <c r="Q505" s="23"/>
      <c r="R505" s="23"/>
      <c r="S505" s="100"/>
      <c r="T505" s="24">
        <f t="shared" si="213"/>
        <v>-0.7482517483</v>
      </c>
      <c r="U505" s="179">
        <f t="shared" si="201"/>
        <v>-1</v>
      </c>
      <c r="V505" s="179" t="str">
        <f t="shared" si="202"/>
        <v/>
      </c>
      <c r="W505" s="179" t="str">
        <f t="shared" si="203"/>
        <v/>
      </c>
      <c r="X505" s="26"/>
    </row>
    <row r="506" hidden="1">
      <c r="A506" s="28"/>
      <c r="B506" s="28"/>
      <c r="C506" s="233"/>
      <c r="D506" s="234"/>
      <c r="E506" s="105">
        <f t="shared" ref="E506:F506" si="217">E503+E504+E505</f>
        <v>3120000</v>
      </c>
      <c r="F506" s="105">
        <f t="shared" si="217"/>
        <v>5600000</v>
      </c>
      <c r="G506" s="18">
        <f t="shared" si="216"/>
        <v>0.7948717949</v>
      </c>
      <c r="H506" s="99"/>
      <c r="I506" s="99"/>
      <c r="J506" s="99"/>
      <c r="K506" s="99"/>
      <c r="L506" s="99"/>
      <c r="M506" s="99"/>
      <c r="N506" s="99"/>
      <c r="O506" s="99"/>
      <c r="P506" s="99"/>
      <c r="Q506" s="23"/>
      <c r="R506" s="23"/>
      <c r="S506" s="100"/>
      <c r="T506" s="24">
        <f t="shared" si="213"/>
        <v>-0.7948717949</v>
      </c>
      <c r="U506" s="179">
        <f t="shared" si="201"/>
        <v>-1</v>
      </c>
      <c r="V506" s="179" t="str">
        <f t="shared" si="202"/>
        <v/>
      </c>
      <c r="W506" s="179" t="str">
        <f t="shared" si="203"/>
        <v/>
      </c>
      <c r="X506" s="26"/>
    </row>
    <row r="507" hidden="1">
      <c r="A507" s="28"/>
      <c r="B507" s="28"/>
      <c r="C507" s="107"/>
      <c r="D507" s="97"/>
      <c r="E507" s="105"/>
      <c r="F507" s="105"/>
      <c r="G507" s="18"/>
      <c r="H507" s="99"/>
      <c r="I507" s="99"/>
      <c r="J507" s="99"/>
      <c r="K507" s="99"/>
      <c r="L507" s="99"/>
      <c r="M507" s="99"/>
      <c r="N507" s="99"/>
      <c r="O507" s="99"/>
      <c r="P507" s="99"/>
      <c r="Q507" s="23"/>
      <c r="R507" s="23"/>
      <c r="S507" s="100"/>
      <c r="T507" s="24">
        <f t="shared" si="213"/>
        <v>0</v>
      </c>
      <c r="U507" s="179" t="str">
        <f t="shared" si="201"/>
        <v/>
      </c>
      <c r="V507" s="179" t="str">
        <f t="shared" si="202"/>
        <v/>
      </c>
      <c r="W507" s="179" t="str">
        <f t="shared" si="203"/>
        <v/>
      </c>
      <c r="X507" s="26"/>
    </row>
    <row r="508" hidden="1">
      <c r="A508" s="28"/>
      <c r="B508" s="28"/>
      <c r="C508" s="107"/>
      <c r="D508" s="97"/>
      <c r="E508" s="105"/>
      <c r="F508" s="105"/>
      <c r="G508" s="18"/>
      <c r="H508" s="99"/>
      <c r="I508" s="99"/>
      <c r="J508" s="99"/>
      <c r="K508" s="99"/>
      <c r="L508" s="99"/>
      <c r="M508" s="99"/>
      <c r="N508" s="99"/>
      <c r="O508" s="99"/>
      <c r="P508" s="99"/>
      <c r="Q508" s="23"/>
      <c r="R508" s="23"/>
      <c r="S508" s="100"/>
      <c r="T508" s="24">
        <f t="shared" si="213"/>
        <v>0</v>
      </c>
      <c r="U508" s="179" t="str">
        <f t="shared" si="201"/>
        <v/>
      </c>
      <c r="V508" s="179" t="str">
        <f t="shared" si="202"/>
        <v/>
      </c>
      <c r="W508" s="179" t="str">
        <f t="shared" si="203"/>
        <v/>
      </c>
      <c r="X508" s="26"/>
    </row>
    <row r="509" hidden="1">
      <c r="A509" s="28"/>
      <c r="B509" s="28"/>
      <c r="C509" s="225"/>
      <c r="D509" s="226"/>
      <c r="E509" s="105"/>
      <c r="F509" s="105"/>
      <c r="G509" s="18"/>
      <c r="H509" s="99"/>
      <c r="I509" s="99"/>
      <c r="J509" s="99"/>
      <c r="K509" s="99"/>
      <c r="L509" s="99"/>
      <c r="M509" s="99"/>
      <c r="N509" s="99"/>
      <c r="O509" s="99"/>
      <c r="P509" s="99"/>
      <c r="Q509" s="23"/>
      <c r="R509" s="23"/>
      <c r="S509" s="100"/>
      <c r="T509" s="24">
        <f t="shared" si="213"/>
        <v>0</v>
      </c>
      <c r="U509" s="179" t="str">
        <f t="shared" si="201"/>
        <v/>
      </c>
      <c r="V509" s="179" t="str">
        <f t="shared" si="202"/>
        <v/>
      </c>
      <c r="W509" s="179" t="str">
        <f t="shared" si="203"/>
        <v/>
      </c>
      <c r="X509" s="26"/>
    </row>
    <row r="510" hidden="1">
      <c r="A510" s="28"/>
      <c r="B510" s="28"/>
      <c r="C510" s="235" t="s">
        <v>312</v>
      </c>
      <c r="D510" s="228" t="s">
        <v>156</v>
      </c>
      <c r="E510" s="201">
        <v>330000.0</v>
      </c>
      <c r="F510" s="201">
        <v>490000.0</v>
      </c>
      <c r="G510" s="18">
        <f t="shared" ref="G510:G512" si="218">(F510-E510)/E510</f>
        <v>0.4848484848</v>
      </c>
      <c r="H510" s="99">
        <f>F510-E510</f>
        <v>160000</v>
      </c>
      <c r="I510" s="99"/>
      <c r="J510" s="99"/>
      <c r="K510" s="99"/>
      <c r="L510" s="99"/>
      <c r="M510" s="99"/>
      <c r="N510" s="99"/>
      <c r="O510" s="99"/>
      <c r="P510" s="99"/>
      <c r="Q510" s="23"/>
      <c r="R510" s="23"/>
      <c r="S510" s="100"/>
      <c r="T510" s="24">
        <f t="shared" si="213"/>
        <v>-0.4848484848</v>
      </c>
      <c r="U510" s="179">
        <f t="shared" si="201"/>
        <v>-1</v>
      </c>
      <c r="V510" s="179" t="str">
        <f t="shared" si="202"/>
        <v/>
      </c>
      <c r="W510" s="179" t="str">
        <f t="shared" si="203"/>
        <v/>
      </c>
      <c r="X510" s="26"/>
    </row>
    <row r="511" hidden="1">
      <c r="A511" s="28"/>
      <c r="B511" s="28"/>
      <c r="C511" s="236"/>
      <c r="D511" s="230" t="s">
        <v>313</v>
      </c>
      <c r="E511" s="201">
        <v>390000.0</v>
      </c>
      <c r="F511" s="201">
        <v>600000.0</v>
      </c>
      <c r="G511" s="18">
        <f t="shared" si="218"/>
        <v>0.5384615385</v>
      </c>
      <c r="H511" s="99">
        <f>F511-E510</f>
        <v>270000</v>
      </c>
      <c r="I511" s="99"/>
      <c r="J511" s="99"/>
      <c r="K511" s="99"/>
      <c r="L511" s="99"/>
      <c r="M511" s="99"/>
      <c r="N511" s="99"/>
      <c r="O511" s="99"/>
      <c r="P511" s="99"/>
      <c r="Q511" s="23"/>
      <c r="R511" s="23"/>
      <c r="S511" s="100"/>
      <c r="T511" s="24">
        <f t="shared" si="213"/>
        <v>-0.5384615385</v>
      </c>
      <c r="U511" s="179">
        <f t="shared" si="201"/>
        <v>-1</v>
      </c>
      <c r="V511" s="179" t="str">
        <f t="shared" si="202"/>
        <v/>
      </c>
      <c r="W511" s="179" t="str">
        <f t="shared" si="203"/>
        <v/>
      </c>
      <c r="X511" s="26"/>
    </row>
    <row r="512" hidden="1">
      <c r="A512" s="28"/>
      <c r="B512" s="28"/>
      <c r="C512" s="237"/>
      <c r="D512" s="232" t="s">
        <v>314</v>
      </c>
      <c r="E512" s="201">
        <v>330000.0</v>
      </c>
      <c r="F512" s="201">
        <v>510000.0</v>
      </c>
      <c r="G512" s="18">
        <f t="shared" si="218"/>
        <v>0.5454545455</v>
      </c>
      <c r="H512" s="99">
        <f>F512-E512</f>
        <v>180000</v>
      </c>
      <c r="I512" s="99"/>
      <c r="J512" s="99"/>
      <c r="K512" s="99"/>
      <c r="L512" s="99"/>
      <c r="M512" s="99"/>
      <c r="N512" s="99"/>
      <c r="O512" s="99"/>
      <c r="P512" s="99"/>
      <c r="Q512" s="23"/>
      <c r="R512" s="23"/>
      <c r="S512" s="100"/>
      <c r="T512" s="24">
        <f t="shared" si="213"/>
        <v>-0.5454545455</v>
      </c>
      <c r="U512" s="179">
        <f t="shared" si="201"/>
        <v>-1</v>
      </c>
      <c r="V512" s="179" t="str">
        <f t="shared" si="202"/>
        <v/>
      </c>
      <c r="W512" s="179" t="str">
        <f t="shared" si="203"/>
        <v/>
      </c>
      <c r="X512" s="26"/>
    </row>
    <row r="513" hidden="1">
      <c r="A513" s="28"/>
      <c r="B513" s="28"/>
      <c r="C513" s="233"/>
      <c r="D513" s="234"/>
      <c r="E513" s="105"/>
      <c r="F513" s="105"/>
      <c r="G513" s="18"/>
      <c r="H513" s="99"/>
      <c r="I513" s="99"/>
      <c r="J513" s="99"/>
      <c r="K513" s="99"/>
      <c r="L513" s="99"/>
      <c r="M513" s="99"/>
      <c r="N513" s="99"/>
      <c r="O513" s="99"/>
      <c r="P513" s="99"/>
      <c r="Q513" s="23"/>
      <c r="R513" s="23"/>
      <c r="S513" s="100"/>
      <c r="T513" s="24">
        <f t="shared" si="213"/>
        <v>0</v>
      </c>
      <c r="U513" s="179" t="str">
        <f t="shared" si="201"/>
        <v/>
      </c>
      <c r="V513" s="179" t="str">
        <f t="shared" si="202"/>
        <v/>
      </c>
      <c r="W513" s="179" t="str">
        <f t="shared" si="203"/>
        <v/>
      </c>
      <c r="X513" s="26"/>
    </row>
    <row r="514" hidden="1">
      <c r="A514" s="28"/>
      <c r="B514" s="28"/>
      <c r="C514" s="107"/>
      <c r="D514" s="97"/>
      <c r="E514" s="105"/>
      <c r="F514" s="105"/>
      <c r="G514" s="18"/>
      <c r="H514" s="99"/>
      <c r="I514" s="99"/>
      <c r="J514" s="99"/>
      <c r="K514" s="99"/>
      <c r="L514" s="99"/>
      <c r="M514" s="99"/>
      <c r="N514" s="99"/>
      <c r="O514" s="99"/>
      <c r="P514" s="99"/>
      <c r="Q514" s="23"/>
      <c r="R514" s="23"/>
      <c r="S514" s="100"/>
      <c r="T514" s="24">
        <f t="shared" si="213"/>
        <v>0</v>
      </c>
      <c r="U514" s="179" t="str">
        <f t="shared" si="201"/>
        <v/>
      </c>
      <c r="V514" s="179" t="str">
        <f t="shared" si="202"/>
        <v/>
      </c>
      <c r="W514" s="179" t="str">
        <f t="shared" si="203"/>
        <v/>
      </c>
      <c r="X514" s="26"/>
    </row>
    <row r="515" hidden="1">
      <c r="A515" s="28"/>
      <c r="B515" s="28"/>
      <c r="C515" s="82" t="s">
        <v>315</v>
      </c>
      <c r="D515" s="83" t="s">
        <v>316</v>
      </c>
      <c r="E515" s="201">
        <f>2070000+160000</f>
        <v>2230000</v>
      </c>
      <c r="F515" s="201">
        <v>3000000.0</v>
      </c>
      <c r="G515" s="18">
        <f>(F515-E515)/E515</f>
        <v>0.3452914798</v>
      </c>
      <c r="H515" s="99">
        <f>F515-E515</f>
        <v>770000</v>
      </c>
      <c r="I515" s="99"/>
      <c r="J515" s="99"/>
      <c r="K515" s="99"/>
      <c r="L515" s="99"/>
      <c r="M515" s="99"/>
      <c r="N515" s="99"/>
      <c r="O515" s="99"/>
      <c r="P515" s="99"/>
      <c r="Q515" s="23"/>
      <c r="R515" s="23"/>
      <c r="S515" s="100"/>
      <c r="T515" s="24">
        <f t="shared" si="213"/>
        <v>-0.3452914798</v>
      </c>
      <c r="U515" s="179">
        <f t="shared" si="201"/>
        <v>-1</v>
      </c>
      <c r="V515" s="179" t="str">
        <f t="shared" si="202"/>
        <v/>
      </c>
      <c r="W515" s="179" t="str">
        <f t="shared" si="203"/>
        <v/>
      </c>
      <c r="X515" s="26"/>
    </row>
    <row r="516" hidden="1">
      <c r="A516" s="28"/>
      <c r="B516" s="28"/>
      <c r="C516" s="107"/>
      <c r="D516" s="97"/>
      <c r="E516" s="105"/>
      <c r="F516" s="105"/>
      <c r="G516" s="18"/>
      <c r="H516" s="99"/>
      <c r="I516" s="99"/>
      <c r="J516" s="99"/>
      <c r="K516" s="99"/>
      <c r="L516" s="99"/>
      <c r="M516" s="99"/>
      <c r="N516" s="99"/>
      <c r="O516" s="99"/>
      <c r="P516" s="99"/>
      <c r="Q516" s="23"/>
      <c r="R516" s="23"/>
      <c r="S516" s="100"/>
      <c r="T516" s="24">
        <f t="shared" si="213"/>
        <v>0</v>
      </c>
      <c r="U516" s="179" t="str">
        <f t="shared" si="201"/>
        <v/>
      </c>
      <c r="V516" s="179" t="str">
        <f t="shared" si="202"/>
        <v/>
      </c>
      <c r="W516" s="179" t="str">
        <f t="shared" si="203"/>
        <v/>
      </c>
      <c r="X516" s="26"/>
    </row>
    <row r="517" hidden="1">
      <c r="A517" s="28"/>
      <c r="B517" s="28"/>
      <c r="C517" s="107"/>
      <c r="D517" s="97"/>
      <c r="E517" s="105"/>
      <c r="F517" s="105"/>
      <c r="G517" s="18"/>
      <c r="H517" s="99"/>
      <c r="I517" s="99"/>
      <c r="J517" s="99"/>
      <c r="K517" s="99"/>
      <c r="L517" s="99"/>
      <c r="M517" s="99"/>
      <c r="N517" s="99"/>
      <c r="O517" s="99"/>
      <c r="P517" s="99"/>
      <c r="Q517" s="23"/>
      <c r="R517" s="23"/>
      <c r="S517" s="100"/>
      <c r="T517" s="24">
        <f t="shared" si="213"/>
        <v>0</v>
      </c>
      <c r="U517" s="179" t="str">
        <f t="shared" si="201"/>
        <v/>
      </c>
      <c r="V517" s="179" t="str">
        <f t="shared" si="202"/>
        <v/>
      </c>
      <c r="W517" s="179" t="str">
        <f t="shared" si="203"/>
        <v/>
      </c>
      <c r="X517" s="26"/>
    </row>
    <row r="518" hidden="1">
      <c r="A518" s="28"/>
      <c r="B518" s="28"/>
      <c r="C518" s="82" t="s">
        <v>317</v>
      </c>
      <c r="D518" s="238" t="s">
        <v>318</v>
      </c>
      <c r="E518" s="201">
        <v>1191200.0</v>
      </c>
      <c r="F518" s="105">
        <f>730000*2</f>
        <v>1460000</v>
      </c>
      <c r="G518" s="18">
        <f t="shared" ref="G518:G526" si="219">(F518-E518)/E518</f>
        <v>0.2256548019</v>
      </c>
      <c r="H518" s="99"/>
      <c r="I518" s="99"/>
      <c r="J518" s="99"/>
      <c r="K518" s="99"/>
      <c r="L518" s="99"/>
      <c r="M518" s="99"/>
      <c r="N518" s="99"/>
      <c r="O518" s="99"/>
      <c r="P518" s="99"/>
      <c r="Q518" s="23"/>
      <c r="R518" s="23"/>
      <c r="S518" s="100"/>
      <c r="T518" s="24">
        <f t="shared" si="213"/>
        <v>-0.2256548019</v>
      </c>
      <c r="U518" s="179">
        <f t="shared" si="201"/>
        <v>-1</v>
      </c>
      <c r="V518" s="179" t="str">
        <f t="shared" si="202"/>
        <v/>
      </c>
      <c r="W518" s="179" t="str">
        <f t="shared" si="203"/>
        <v/>
      </c>
      <c r="X518" s="26"/>
    </row>
    <row r="519" hidden="1">
      <c r="A519" s="28"/>
      <c r="B519" s="28"/>
      <c r="C519" s="107"/>
      <c r="D519" s="238" t="s">
        <v>319</v>
      </c>
      <c r="E519" s="201">
        <v>559300.0</v>
      </c>
      <c r="F519" s="105">
        <f>440000*2</f>
        <v>880000</v>
      </c>
      <c r="G519" s="18">
        <f t="shared" si="219"/>
        <v>0.5733953156</v>
      </c>
      <c r="H519" s="99"/>
      <c r="I519" s="99"/>
      <c r="J519" s="99"/>
      <c r="K519" s="99"/>
      <c r="L519" s="99"/>
      <c r="M519" s="99"/>
      <c r="N519" s="99"/>
      <c r="O519" s="99"/>
      <c r="P519" s="99"/>
      <c r="Q519" s="23"/>
      <c r="R519" s="23"/>
      <c r="S519" s="100"/>
      <c r="T519" s="24">
        <f t="shared" si="213"/>
        <v>-0.5733953156</v>
      </c>
      <c r="U519" s="179">
        <f t="shared" si="201"/>
        <v>-1</v>
      </c>
      <c r="V519" s="179" t="str">
        <f t="shared" si="202"/>
        <v/>
      </c>
      <c r="W519" s="179" t="str">
        <f t="shared" si="203"/>
        <v/>
      </c>
      <c r="X519" s="26"/>
    </row>
    <row r="520" hidden="1">
      <c r="A520" s="28"/>
      <c r="B520" s="28"/>
      <c r="C520" s="107"/>
      <c r="D520" s="238" t="s">
        <v>320</v>
      </c>
      <c r="E520" s="201">
        <v>350000.0</v>
      </c>
      <c r="F520" s="201">
        <v>580000.0</v>
      </c>
      <c r="G520" s="18">
        <f t="shared" si="219"/>
        <v>0.6571428571</v>
      </c>
      <c r="H520" s="99"/>
      <c r="I520" s="99"/>
      <c r="J520" s="99"/>
      <c r="K520" s="99"/>
      <c r="L520" s="99"/>
      <c r="M520" s="99"/>
      <c r="N520" s="99"/>
      <c r="O520" s="99"/>
      <c r="P520" s="99"/>
      <c r="Q520" s="23"/>
      <c r="R520" s="23"/>
      <c r="S520" s="100"/>
      <c r="T520" s="24">
        <f t="shared" si="213"/>
        <v>-0.6571428571</v>
      </c>
      <c r="U520" s="179">
        <f t="shared" si="201"/>
        <v>-1</v>
      </c>
      <c r="V520" s="179" t="str">
        <f t="shared" si="202"/>
        <v/>
      </c>
      <c r="W520" s="179" t="str">
        <f t="shared" si="203"/>
        <v/>
      </c>
      <c r="X520" s="26"/>
    </row>
    <row r="521" hidden="1">
      <c r="A521" s="28"/>
      <c r="B521" s="28"/>
      <c r="C521" s="107"/>
      <c r="D521" s="238" t="s">
        <v>321</v>
      </c>
      <c r="E521" s="105">
        <f>320000+(36000*2)+30000+20000</f>
        <v>442000</v>
      </c>
      <c r="F521" s="105">
        <f>325000*2</f>
        <v>650000</v>
      </c>
      <c r="G521" s="18">
        <f t="shared" si="219"/>
        <v>0.4705882353</v>
      </c>
      <c r="H521" s="99"/>
      <c r="I521" s="99"/>
      <c r="J521" s="99"/>
      <c r="K521" s="99"/>
      <c r="L521" s="99"/>
      <c r="M521" s="99"/>
      <c r="N521" s="99"/>
      <c r="O521" s="99"/>
      <c r="P521" s="99"/>
      <c r="Q521" s="23"/>
      <c r="R521" s="23"/>
      <c r="S521" s="100"/>
      <c r="T521" s="24">
        <f t="shared" si="213"/>
        <v>-0.4705882353</v>
      </c>
      <c r="U521" s="179">
        <f t="shared" si="201"/>
        <v>-1</v>
      </c>
      <c r="V521" s="179" t="str">
        <f t="shared" si="202"/>
        <v/>
      </c>
      <c r="W521" s="179" t="str">
        <f t="shared" si="203"/>
        <v/>
      </c>
      <c r="X521" s="26"/>
    </row>
    <row r="522" hidden="1">
      <c r="A522" s="28"/>
      <c r="B522" s="28"/>
      <c r="C522" s="107"/>
      <c r="D522" s="238" t="s">
        <v>322</v>
      </c>
      <c r="E522" s="105">
        <f>390000*2</f>
        <v>780000</v>
      </c>
      <c r="F522" s="105">
        <f>600000*2</f>
        <v>1200000</v>
      </c>
      <c r="G522" s="18">
        <f t="shared" si="219"/>
        <v>0.5384615385</v>
      </c>
      <c r="H522" s="99"/>
      <c r="I522" s="99"/>
      <c r="J522" s="99"/>
      <c r="K522" s="99"/>
      <c r="L522" s="99"/>
      <c r="M522" s="99"/>
      <c r="N522" s="99"/>
      <c r="O522" s="99"/>
      <c r="P522" s="99"/>
      <c r="Q522" s="23"/>
      <c r="R522" s="23"/>
      <c r="S522" s="100"/>
      <c r="T522" s="24">
        <f t="shared" si="213"/>
        <v>-0.5384615385</v>
      </c>
      <c r="U522" s="179">
        <f t="shared" si="201"/>
        <v>-1</v>
      </c>
      <c r="V522" s="179" t="str">
        <f t="shared" si="202"/>
        <v/>
      </c>
      <c r="W522" s="179" t="str">
        <f t="shared" si="203"/>
        <v/>
      </c>
      <c r="X522" s="26"/>
    </row>
    <row r="523" hidden="1">
      <c r="A523" s="28"/>
      <c r="B523" s="28"/>
      <c r="C523" s="107"/>
      <c r="D523" s="238" t="s">
        <v>323</v>
      </c>
      <c r="E523" s="105">
        <f>(130000*2)</f>
        <v>260000</v>
      </c>
      <c r="F523" s="201">
        <f>250000*2</f>
        <v>500000</v>
      </c>
      <c r="G523" s="18">
        <f t="shared" si="219"/>
        <v>0.9230769231</v>
      </c>
      <c r="H523" s="99"/>
      <c r="I523" s="99"/>
      <c r="J523" s="99"/>
      <c r="K523" s="99"/>
      <c r="L523" s="99"/>
      <c r="M523" s="99"/>
      <c r="N523" s="99"/>
      <c r="O523" s="99"/>
      <c r="P523" s="99"/>
      <c r="Q523" s="23"/>
      <c r="R523" s="23"/>
      <c r="S523" s="100"/>
      <c r="T523" s="24">
        <f t="shared" si="213"/>
        <v>-0.9230769231</v>
      </c>
      <c r="U523" s="179">
        <f t="shared" si="201"/>
        <v>-1</v>
      </c>
      <c r="V523" s="179" t="str">
        <f t="shared" si="202"/>
        <v/>
      </c>
      <c r="W523" s="179" t="str">
        <f t="shared" si="203"/>
        <v/>
      </c>
      <c r="X523" s="26"/>
    </row>
    <row r="524" hidden="1">
      <c r="A524" s="28"/>
      <c r="B524" s="28"/>
      <c r="C524" s="107"/>
      <c r="D524" s="83" t="s">
        <v>284</v>
      </c>
      <c r="E524" s="201">
        <f>666000*2</f>
        <v>1332000</v>
      </c>
      <c r="F524" s="105">
        <f>870000*2</f>
        <v>1740000</v>
      </c>
      <c r="G524" s="18">
        <f t="shared" si="219"/>
        <v>0.3063063063</v>
      </c>
      <c r="H524" s="99"/>
      <c r="I524" s="99"/>
      <c r="J524" s="99"/>
      <c r="K524" s="99"/>
      <c r="L524" s="99"/>
      <c r="M524" s="99"/>
      <c r="N524" s="99"/>
      <c r="O524" s="99"/>
      <c r="P524" s="99"/>
      <c r="Q524" s="23"/>
      <c r="R524" s="23"/>
      <c r="S524" s="100"/>
      <c r="T524" s="24">
        <f t="shared" si="213"/>
        <v>-0.3063063063</v>
      </c>
      <c r="U524" s="179">
        <f t="shared" si="201"/>
        <v>-1</v>
      </c>
      <c r="V524" s="179" t="str">
        <f t="shared" si="202"/>
        <v/>
      </c>
      <c r="W524" s="179" t="str">
        <f t="shared" si="203"/>
        <v/>
      </c>
      <c r="X524" s="26"/>
    </row>
    <row r="525" hidden="1">
      <c r="A525" s="28"/>
      <c r="B525" s="28"/>
      <c r="C525" s="107"/>
      <c r="D525" s="83" t="s">
        <v>101</v>
      </c>
      <c r="E525" s="105">
        <f t="shared" ref="E525:F525" si="220">E518+E519+E520+E521+E522+E523+E524</f>
        <v>4914500</v>
      </c>
      <c r="F525" s="105">
        <f t="shared" si="220"/>
        <v>7010000</v>
      </c>
      <c r="G525" s="18">
        <f t="shared" si="219"/>
        <v>0.4263912911</v>
      </c>
      <c r="H525" s="99"/>
      <c r="I525" s="99"/>
      <c r="J525" s="99"/>
      <c r="K525" s="99"/>
      <c r="L525" s="99"/>
      <c r="M525" s="99"/>
      <c r="N525" s="99"/>
      <c r="O525" s="99"/>
      <c r="P525" s="99"/>
      <c r="Q525" s="23"/>
      <c r="R525" s="23"/>
      <c r="S525" s="100"/>
      <c r="T525" s="24">
        <f t="shared" si="213"/>
        <v>-0.4263912911</v>
      </c>
      <c r="U525" s="179">
        <f t="shared" si="201"/>
        <v>-1</v>
      </c>
      <c r="V525" s="179" t="str">
        <f t="shared" si="202"/>
        <v/>
      </c>
      <c r="W525" s="179" t="str">
        <f t="shared" si="203"/>
        <v/>
      </c>
      <c r="X525" s="26"/>
    </row>
    <row r="526" hidden="1">
      <c r="A526" s="28"/>
      <c r="B526" s="28"/>
      <c r="C526" s="107"/>
      <c r="D526" s="83" t="s">
        <v>148</v>
      </c>
      <c r="E526" s="105">
        <f>F525-E525</f>
        <v>2095500</v>
      </c>
      <c r="F526" s="105"/>
      <c r="G526" s="18">
        <f t="shared" si="219"/>
        <v>-1</v>
      </c>
      <c r="H526" s="99"/>
      <c r="I526" s="99"/>
      <c r="J526" s="99"/>
      <c r="K526" s="99"/>
      <c r="L526" s="99"/>
      <c r="M526" s="99"/>
      <c r="N526" s="99"/>
      <c r="O526" s="99"/>
      <c r="P526" s="99"/>
      <c r="Q526" s="23"/>
      <c r="R526" s="23"/>
      <c r="S526" s="100"/>
      <c r="T526" s="24">
        <f t="shared" si="213"/>
        <v>1</v>
      </c>
      <c r="U526" s="179">
        <f t="shared" si="201"/>
        <v>-1</v>
      </c>
      <c r="V526" s="179" t="str">
        <f t="shared" si="202"/>
        <v/>
      </c>
      <c r="W526" s="179" t="str">
        <f t="shared" si="203"/>
        <v/>
      </c>
      <c r="X526" s="26"/>
    </row>
    <row r="527" hidden="1">
      <c r="A527" s="28"/>
      <c r="B527" s="28"/>
      <c r="C527" s="107"/>
      <c r="D527" s="97"/>
      <c r="E527" s="105"/>
      <c r="F527" s="105"/>
      <c r="G527" s="18"/>
      <c r="H527" s="99"/>
      <c r="I527" s="99"/>
      <c r="J527" s="99"/>
      <c r="K527" s="99"/>
      <c r="L527" s="99"/>
      <c r="M527" s="99"/>
      <c r="N527" s="99"/>
      <c r="O527" s="99"/>
      <c r="P527" s="99"/>
      <c r="Q527" s="23"/>
      <c r="R527" s="23"/>
      <c r="S527" s="100"/>
      <c r="T527" s="24">
        <f t="shared" si="213"/>
        <v>0</v>
      </c>
      <c r="U527" s="179" t="str">
        <f t="shared" si="201"/>
        <v/>
      </c>
      <c r="V527" s="179" t="str">
        <f t="shared" si="202"/>
        <v/>
      </c>
      <c r="W527" s="179" t="str">
        <f t="shared" si="203"/>
        <v/>
      </c>
      <c r="X527" s="26"/>
    </row>
    <row r="528" hidden="1">
      <c r="A528" s="28"/>
      <c r="B528" s="28"/>
      <c r="C528" s="225"/>
      <c r="D528" s="238"/>
      <c r="E528" s="105"/>
      <c r="F528" s="105"/>
      <c r="G528" s="18"/>
      <c r="H528" s="99"/>
      <c r="I528" s="99"/>
      <c r="J528" s="99"/>
      <c r="K528" s="99"/>
      <c r="L528" s="99"/>
      <c r="M528" s="99"/>
      <c r="N528" s="99"/>
      <c r="O528" s="99"/>
      <c r="P528" s="99"/>
      <c r="Q528" s="23"/>
      <c r="R528" s="23"/>
      <c r="S528" s="100"/>
      <c r="T528" s="24">
        <f t="shared" si="213"/>
        <v>0</v>
      </c>
      <c r="U528" s="179" t="str">
        <f t="shared" si="201"/>
        <v/>
      </c>
      <c r="V528" s="179" t="str">
        <f t="shared" si="202"/>
        <v/>
      </c>
      <c r="W528" s="179" t="str">
        <f t="shared" si="203"/>
        <v/>
      </c>
      <c r="X528" s="26"/>
    </row>
    <row r="529" hidden="1">
      <c r="A529" s="28"/>
      <c r="B529" s="28"/>
      <c r="C529" s="239" t="s">
        <v>324</v>
      </c>
      <c r="D529" s="240" t="s">
        <v>321</v>
      </c>
      <c r="E529" s="105">
        <f>320000+(36000*2)+30000+20000</f>
        <v>442000</v>
      </c>
      <c r="F529" s="105">
        <f>325000*2</f>
        <v>650000</v>
      </c>
      <c r="G529" s="18">
        <f t="shared" ref="G529:G533" si="221">(F529-E529)/E529</f>
        <v>0.4705882353</v>
      </c>
      <c r="H529" s="99"/>
      <c r="I529" s="99"/>
      <c r="J529" s="99"/>
      <c r="K529" s="99"/>
      <c r="L529" s="99"/>
      <c r="M529" s="99"/>
      <c r="N529" s="99"/>
      <c r="O529" s="99"/>
      <c r="P529" s="99"/>
      <c r="Q529" s="23"/>
      <c r="R529" s="23"/>
      <c r="S529" s="100"/>
      <c r="T529" s="24">
        <f t="shared" si="213"/>
        <v>-0.4705882353</v>
      </c>
      <c r="U529" s="179">
        <f t="shared" si="201"/>
        <v>-1</v>
      </c>
      <c r="V529" s="179" t="str">
        <f t="shared" si="202"/>
        <v/>
      </c>
      <c r="W529" s="179" t="str">
        <f t="shared" si="203"/>
        <v/>
      </c>
      <c r="X529" s="26"/>
    </row>
    <row r="530" hidden="1">
      <c r="A530" s="28"/>
      <c r="B530" s="28"/>
      <c r="C530" s="229"/>
      <c r="D530" s="241" t="s">
        <v>325</v>
      </c>
      <c r="E530" s="105">
        <f>(330000*2)</f>
        <v>660000</v>
      </c>
      <c r="F530" s="105">
        <f>430000*2</f>
        <v>860000</v>
      </c>
      <c r="G530" s="18">
        <f t="shared" si="221"/>
        <v>0.303030303</v>
      </c>
      <c r="H530" s="99"/>
      <c r="I530" s="99"/>
      <c r="J530" s="99"/>
      <c r="K530" s="99"/>
      <c r="L530" s="99"/>
      <c r="M530" s="99"/>
      <c r="N530" s="99"/>
      <c r="O530" s="99"/>
      <c r="P530" s="99"/>
      <c r="Q530" s="23"/>
      <c r="R530" s="23"/>
      <c r="S530" s="100"/>
      <c r="T530" s="24">
        <f t="shared" si="213"/>
        <v>-0.303030303</v>
      </c>
      <c r="U530" s="179">
        <f t="shared" si="201"/>
        <v>-1</v>
      </c>
      <c r="V530" s="179" t="str">
        <f t="shared" si="202"/>
        <v/>
      </c>
      <c r="W530" s="179" t="str">
        <f t="shared" si="203"/>
        <v/>
      </c>
      <c r="X530" s="26"/>
    </row>
    <row r="531" hidden="1">
      <c r="A531" s="28"/>
      <c r="B531" s="28"/>
      <c r="C531" s="229"/>
      <c r="D531" s="241" t="s">
        <v>284</v>
      </c>
      <c r="E531" s="105">
        <f>666000*2</f>
        <v>1332000</v>
      </c>
      <c r="F531" s="105">
        <f>850000*2</f>
        <v>1700000</v>
      </c>
      <c r="G531" s="18">
        <f t="shared" si="221"/>
        <v>0.2762762763</v>
      </c>
      <c r="H531" s="99"/>
      <c r="I531" s="99"/>
      <c r="J531" s="99"/>
      <c r="K531" s="99"/>
      <c r="L531" s="99"/>
      <c r="M531" s="99"/>
      <c r="N531" s="99"/>
      <c r="O531" s="99"/>
      <c r="P531" s="99"/>
      <c r="Q531" s="23"/>
      <c r="R531" s="23"/>
      <c r="S531" s="100"/>
      <c r="T531" s="24">
        <f t="shared" si="213"/>
        <v>-0.2762762763</v>
      </c>
      <c r="U531" s="179">
        <f t="shared" si="201"/>
        <v>-1</v>
      </c>
      <c r="V531" s="179" t="str">
        <f t="shared" si="202"/>
        <v/>
      </c>
      <c r="W531" s="179" t="str">
        <f t="shared" si="203"/>
        <v/>
      </c>
      <c r="X531" s="26"/>
    </row>
    <row r="532" hidden="1">
      <c r="A532" s="28"/>
      <c r="B532" s="28"/>
      <c r="C532" s="229"/>
      <c r="D532" s="230" t="s">
        <v>158</v>
      </c>
      <c r="E532" s="105">
        <f>370000*2</f>
        <v>740000</v>
      </c>
      <c r="F532" s="105">
        <f>550000*2</f>
        <v>1100000</v>
      </c>
      <c r="G532" s="18">
        <f t="shared" si="221"/>
        <v>0.4864864865</v>
      </c>
      <c r="H532" s="99"/>
      <c r="I532" s="99"/>
      <c r="J532" s="99"/>
      <c r="K532" s="99"/>
      <c r="L532" s="99"/>
      <c r="M532" s="99"/>
      <c r="N532" s="99"/>
      <c r="O532" s="99"/>
      <c r="P532" s="99"/>
      <c r="Q532" s="23"/>
      <c r="R532" s="23"/>
      <c r="S532" s="100"/>
      <c r="T532" s="24">
        <f t="shared" si="213"/>
        <v>-0.4864864865</v>
      </c>
      <c r="U532" s="179">
        <f t="shared" si="201"/>
        <v>-1</v>
      </c>
      <c r="V532" s="179" t="str">
        <f t="shared" si="202"/>
        <v/>
      </c>
      <c r="W532" s="179" t="str">
        <f t="shared" si="203"/>
        <v/>
      </c>
      <c r="X532" s="26"/>
    </row>
    <row r="533" hidden="1">
      <c r="A533" s="28"/>
      <c r="B533" s="28"/>
      <c r="C533" s="229"/>
      <c r="D533" s="230" t="s">
        <v>101</v>
      </c>
      <c r="E533" s="105">
        <f t="shared" ref="E533:F533" si="222">SUM(E529:E532)</f>
        <v>3174000</v>
      </c>
      <c r="F533" s="105">
        <f t="shared" si="222"/>
        <v>4310000</v>
      </c>
      <c r="G533" s="18">
        <f t="shared" si="221"/>
        <v>0.3579080025</v>
      </c>
      <c r="H533" s="99"/>
      <c r="I533" s="99"/>
      <c r="J533" s="99"/>
      <c r="K533" s="99"/>
      <c r="L533" s="99"/>
      <c r="M533" s="99"/>
      <c r="N533" s="99"/>
      <c r="O533" s="99"/>
      <c r="P533" s="99"/>
      <c r="Q533" s="23"/>
      <c r="R533" s="23"/>
      <c r="S533" s="100"/>
      <c r="T533" s="24">
        <f t="shared" si="213"/>
        <v>-0.3579080025</v>
      </c>
      <c r="U533" s="179">
        <f t="shared" si="201"/>
        <v>-1</v>
      </c>
      <c r="V533" s="179" t="str">
        <f t="shared" si="202"/>
        <v/>
      </c>
      <c r="W533" s="179" t="str">
        <f t="shared" si="203"/>
        <v/>
      </c>
      <c r="X533" s="26"/>
    </row>
    <row r="534" hidden="1">
      <c r="A534" s="28"/>
      <c r="B534" s="28"/>
      <c r="C534" s="231"/>
      <c r="D534" s="232" t="s">
        <v>148</v>
      </c>
      <c r="E534" s="105">
        <f>F533-E533</f>
        <v>1136000</v>
      </c>
      <c r="F534" s="105"/>
      <c r="G534" s="18"/>
      <c r="H534" s="99"/>
      <c r="I534" s="99"/>
      <c r="J534" s="99"/>
      <c r="K534" s="99"/>
      <c r="L534" s="99"/>
      <c r="M534" s="99"/>
      <c r="N534" s="99"/>
      <c r="O534" s="99"/>
      <c r="P534" s="99"/>
      <c r="Q534" s="23"/>
      <c r="R534" s="23"/>
      <c r="S534" s="100"/>
      <c r="T534" s="24">
        <f t="shared" si="213"/>
        <v>0</v>
      </c>
      <c r="U534" s="179" t="str">
        <f t="shared" si="201"/>
        <v/>
      </c>
      <c r="V534" s="179" t="str">
        <f t="shared" si="202"/>
        <v/>
      </c>
      <c r="W534" s="179" t="str">
        <f t="shared" si="203"/>
        <v/>
      </c>
      <c r="X534" s="26"/>
    </row>
    <row r="535" hidden="1">
      <c r="A535" s="28"/>
      <c r="B535" s="28"/>
      <c r="C535" s="233"/>
      <c r="D535" s="234"/>
      <c r="E535" s="105"/>
      <c r="F535" s="105"/>
      <c r="G535" s="18"/>
      <c r="H535" s="99"/>
      <c r="I535" s="99"/>
      <c r="J535" s="99"/>
      <c r="K535" s="99"/>
      <c r="L535" s="99"/>
      <c r="M535" s="99"/>
      <c r="N535" s="99"/>
      <c r="O535" s="99"/>
      <c r="P535" s="99"/>
      <c r="Q535" s="23"/>
      <c r="R535" s="23"/>
      <c r="S535" s="100"/>
      <c r="T535" s="24">
        <f t="shared" si="213"/>
        <v>0</v>
      </c>
      <c r="U535" s="179" t="str">
        <f t="shared" si="201"/>
        <v/>
      </c>
      <c r="V535" s="179" t="str">
        <f t="shared" si="202"/>
        <v/>
      </c>
      <c r="W535" s="179" t="str">
        <f t="shared" si="203"/>
        <v/>
      </c>
      <c r="X535" s="26"/>
    </row>
    <row r="536" hidden="1">
      <c r="A536" s="28"/>
      <c r="B536" s="28"/>
      <c r="C536" s="107"/>
      <c r="D536" s="97"/>
      <c r="E536" s="105"/>
      <c r="F536" s="105"/>
      <c r="G536" s="18"/>
      <c r="H536" s="99"/>
      <c r="I536" s="99"/>
      <c r="J536" s="99"/>
      <c r="K536" s="99"/>
      <c r="L536" s="99"/>
      <c r="M536" s="99"/>
      <c r="N536" s="99"/>
      <c r="O536" s="99"/>
      <c r="P536" s="99"/>
      <c r="Q536" s="23"/>
      <c r="R536" s="23"/>
      <c r="S536" s="100"/>
      <c r="T536" s="24">
        <f t="shared" si="213"/>
        <v>0</v>
      </c>
      <c r="U536" s="179" t="str">
        <f t="shared" si="201"/>
        <v/>
      </c>
      <c r="V536" s="179" t="str">
        <f t="shared" si="202"/>
        <v/>
      </c>
      <c r="W536" s="179" t="str">
        <f t="shared" si="203"/>
        <v/>
      </c>
      <c r="X536" s="26"/>
    </row>
    <row r="537" hidden="1">
      <c r="A537" s="28"/>
      <c r="B537" s="28"/>
      <c r="C537" s="242" t="s">
        <v>326</v>
      </c>
      <c r="D537" s="83" t="s">
        <v>327</v>
      </c>
      <c r="E537" s="105">
        <f>260000*2</f>
        <v>520000</v>
      </c>
      <c r="F537" s="105">
        <f>430000*2</f>
        <v>860000</v>
      </c>
      <c r="G537" s="18">
        <f t="shared" ref="G537:G539" si="223">(F537-E537)/E537</f>
        <v>0.6538461538</v>
      </c>
      <c r="H537" s="99"/>
      <c r="I537" s="99"/>
      <c r="J537" s="99"/>
      <c r="K537" s="99"/>
      <c r="L537" s="99"/>
      <c r="M537" s="99"/>
      <c r="N537" s="99"/>
      <c r="O537" s="99"/>
      <c r="P537" s="99"/>
      <c r="Q537" s="23"/>
      <c r="R537" s="23"/>
      <c r="S537" s="100"/>
      <c r="T537" s="24">
        <f t="shared" si="213"/>
        <v>-0.6538461538</v>
      </c>
      <c r="U537" s="179">
        <f t="shared" si="201"/>
        <v>-1</v>
      </c>
      <c r="V537" s="179" t="str">
        <f t="shared" si="202"/>
        <v/>
      </c>
      <c r="W537" s="179" t="str">
        <f t="shared" si="203"/>
        <v/>
      </c>
      <c r="X537" s="26"/>
    </row>
    <row r="538" hidden="1">
      <c r="A538" s="28"/>
      <c r="B538" s="28"/>
      <c r="C538" s="107"/>
      <c r="D538" s="83" t="s">
        <v>328</v>
      </c>
      <c r="E538" s="201">
        <v>220000.0</v>
      </c>
      <c r="F538" s="201">
        <v>320000.0</v>
      </c>
      <c r="G538" s="18">
        <f t="shared" si="223"/>
        <v>0.4545454545</v>
      </c>
      <c r="H538" s="99"/>
      <c r="I538" s="99"/>
      <c r="J538" s="99"/>
      <c r="K538" s="99"/>
      <c r="L538" s="99"/>
      <c r="M538" s="99"/>
      <c r="N538" s="99"/>
      <c r="O538" s="99"/>
      <c r="P538" s="99"/>
      <c r="Q538" s="23"/>
      <c r="R538" s="23"/>
      <c r="S538" s="100"/>
      <c r="T538" s="24">
        <f t="shared" si="213"/>
        <v>-0.4545454545</v>
      </c>
      <c r="U538" s="179">
        <f t="shared" si="201"/>
        <v>-1</v>
      </c>
      <c r="V538" s="179" t="str">
        <f t="shared" si="202"/>
        <v/>
      </c>
      <c r="W538" s="179" t="str">
        <f t="shared" si="203"/>
        <v/>
      </c>
      <c r="X538" s="26"/>
    </row>
    <row r="539" hidden="1">
      <c r="A539" s="28"/>
      <c r="B539" s="28"/>
      <c r="C539" s="107"/>
      <c r="D539" s="83" t="s">
        <v>101</v>
      </c>
      <c r="E539" s="105">
        <f>E537+E538</f>
        <v>740000</v>
      </c>
      <c r="F539" s="105">
        <f>SUM(F537:F538)</f>
        <v>1180000</v>
      </c>
      <c r="G539" s="18">
        <f t="shared" si="223"/>
        <v>0.5945945946</v>
      </c>
      <c r="H539" s="99"/>
      <c r="I539" s="99"/>
      <c r="J539" s="99"/>
      <c r="K539" s="99"/>
      <c r="L539" s="99"/>
      <c r="M539" s="99"/>
      <c r="N539" s="99"/>
      <c r="O539" s="99"/>
      <c r="P539" s="99"/>
      <c r="Q539" s="23"/>
      <c r="R539" s="23"/>
      <c r="S539" s="100"/>
      <c r="T539" s="24">
        <f t="shared" si="213"/>
        <v>-0.5945945946</v>
      </c>
      <c r="U539" s="179">
        <f t="shared" si="201"/>
        <v>-1</v>
      </c>
      <c r="V539" s="179" t="str">
        <f t="shared" si="202"/>
        <v/>
      </c>
      <c r="W539" s="179" t="str">
        <f t="shared" si="203"/>
        <v/>
      </c>
      <c r="X539" s="26"/>
    </row>
    <row r="540" hidden="1">
      <c r="A540" s="28"/>
      <c r="B540" s="28"/>
      <c r="C540" s="107"/>
      <c r="D540" s="83" t="s">
        <v>148</v>
      </c>
      <c r="E540" s="105">
        <f>F539-E539</f>
        <v>440000</v>
      </c>
      <c r="F540" s="105"/>
      <c r="G540" s="18"/>
      <c r="H540" s="99"/>
      <c r="I540" s="99"/>
      <c r="J540" s="99"/>
      <c r="K540" s="99"/>
      <c r="L540" s="99"/>
      <c r="M540" s="99"/>
      <c r="N540" s="99"/>
      <c r="O540" s="99"/>
      <c r="P540" s="99"/>
      <c r="Q540" s="23"/>
      <c r="R540" s="23"/>
      <c r="S540" s="100"/>
      <c r="T540" s="24">
        <f t="shared" si="213"/>
        <v>0</v>
      </c>
      <c r="U540" s="179" t="str">
        <f t="shared" si="201"/>
        <v/>
      </c>
      <c r="V540" s="179" t="str">
        <f t="shared" si="202"/>
        <v/>
      </c>
      <c r="W540" s="179" t="str">
        <f t="shared" si="203"/>
        <v/>
      </c>
      <c r="X540" s="26"/>
    </row>
    <row r="541" hidden="1">
      <c r="A541" s="28"/>
      <c r="B541" s="28"/>
      <c r="C541" s="107"/>
      <c r="D541" s="97"/>
      <c r="E541" s="105"/>
      <c r="F541" s="105"/>
      <c r="G541" s="18"/>
      <c r="H541" s="99"/>
      <c r="I541" s="99"/>
      <c r="J541" s="99"/>
      <c r="K541" s="99"/>
      <c r="L541" s="99"/>
      <c r="M541" s="99"/>
      <c r="N541" s="99"/>
      <c r="O541" s="99"/>
      <c r="P541" s="99"/>
      <c r="Q541" s="23"/>
      <c r="R541" s="23"/>
      <c r="S541" s="100"/>
      <c r="T541" s="24">
        <f t="shared" si="213"/>
        <v>0</v>
      </c>
      <c r="U541" s="179" t="str">
        <f t="shared" si="201"/>
        <v/>
      </c>
      <c r="V541" s="179" t="str">
        <f t="shared" si="202"/>
        <v/>
      </c>
      <c r="W541" s="179" t="str">
        <f t="shared" si="203"/>
        <v/>
      </c>
      <c r="X541" s="26"/>
    </row>
    <row r="542" hidden="1">
      <c r="A542" s="28"/>
      <c r="B542" s="28"/>
      <c r="C542" s="107"/>
      <c r="D542" s="97"/>
      <c r="E542" s="201" t="s">
        <v>206</v>
      </c>
      <c r="F542" s="201" t="s">
        <v>329</v>
      </c>
      <c r="G542" s="18"/>
      <c r="H542" s="99"/>
      <c r="I542" s="99"/>
      <c r="J542" s="99"/>
      <c r="K542" s="99"/>
      <c r="L542" s="99"/>
      <c r="M542" s="99"/>
      <c r="N542" s="99"/>
      <c r="O542" s="99"/>
      <c r="P542" s="99"/>
      <c r="Q542" s="23"/>
      <c r="R542" s="23"/>
      <c r="S542" s="100"/>
      <c r="T542" s="24">
        <f t="shared" si="213"/>
        <v>0</v>
      </c>
      <c r="U542" s="179" t="str">
        <f t="shared" si="201"/>
        <v/>
      </c>
      <c r="V542" s="179" t="str">
        <f t="shared" si="202"/>
        <v/>
      </c>
      <c r="W542" s="179" t="str">
        <f t="shared" si="203"/>
        <v/>
      </c>
      <c r="X542" s="26"/>
    </row>
    <row r="543" hidden="1">
      <c r="A543" s="28"/>
      <c r="B543" s="28"/>
      <c r="C543" s="82" t="s">
        <v>330</v>
      </c>
      <c r="D543" s="83" t="s">
        <v>272</v>
      </c>
      <c r="E543" s="201">
        <v>60000.0</v>
      </c>
      <c r="F543" s="105"/>
      <c r="G543" s="18"/>
      <c r="H543" s="99"/>
      <c r="I543" s="99"/>
      <c r="J543" s="99"/>
      <c r="K543" s="99"/>
      <c r="L543" s="99"/>
      <c r="M543" s="99"/>
      <c r="N543" s="99"/>
      <c r="O543" s="99"/>
      <c r="P543" s="99"/>
      <c r="Q543" s="23"/>
      <c r="R543" s="23"/>
      <c r="S543" s="100"/>
      <c r="T543" s="24">
        <f t="shared" si="213"/>
        <v>0</v>
      </c>
      <c r="U543" s="179" t="str">
        <f t="shared" si="201"/>
        <v/>
      </c>
      <c r="V543" s="179" t="str">
        <f t="shared" si="202"/>
        <v/>
      </c>
      <c r="W543" s="179" t="str">
        <f t="shared" si="203"/>
        <v/>
      </c>
      <c r="X543" s="26"/>
    </row>
    <row r="544" hidden="1">
      <c r="A544" s="28"/>
      <c r="B544" s="28"/>
      <c r="C544" s="107"/>
      <c r="D544" s="83" t="s">
        <v>158</v>
      </c>
      <c r="E544" s="201">
        <f>370000</f>
        <v>370000</v>
      </c>
      <c r="F544" s="105">
        <f>520000-40000</f>
        <v>480000</v>
      </c>
      <c r="G544" s="18">
        <f t="shared" ref="G544:G547" si="224">(F544-E544)/E544</f>
        <v>0.2972972973</v>
      </c>
      <c r="H544" s="99">
        <f>F544-E544</f>
        <v>110000</v>
      </c>
      <c r="I544" s="99"/>
      <c r="J544" s="99"/>
      <c r="K544" s="99"/>
      <c r="L544" s="99"/>
      <c r="M544" s="99"/>
      <c r="N544" s="99"/>
      <c r="O544" s="99"/>
      <c r="P544" s="99"/>
      <c r="Q544" s="23"/>
      <c r="R544" s="23"/>
      <c r="S544" s="100"/>
      <c r="T544" s="24">
        <f t="shared" si="213"/>
        <v>-0.2972972973</v>
      </c>
      <c r="U544" s="179">
        <f t="shared" si="201"/>
        <v>-1</v>
      </c>
      <c r="V544" s="179" t="str">
        <f t="shared" si="202"/>
        <v/>
      </c>
      <c r="W544" s="179" t="str">
        <f t="shared" si="203"/>
        <v/>
      </c>
      <c r="X544" s="26"/>
    </row>
    <row r="545" hidden="1">
      <c r="A545" s="28"/>
      <c r="B545" s="28"/>
      <c r="C545" s="107"/>
      <c r="D545" s="83" t="s">
        <v>273</v>
      </c>
      <c r="E545" s="201">
        <f>130000</f>
        <v>130000</v>
      </c>
      <c r="F545" s="201">
        <v>180000.0</v>
      </c>
      <c r="G545" s="18">
        <f t="shared" si="224"/>
        <v>0.3846153846</v>
      </c>
      <c r="H545" s="99"/>
      <c r="I545" s="99"/>
      <c r="J545" s="99"/>
      <c r="K545" s="99"/>
      <c r="L545" s="99"/>
      <c r="M545" s="99"/>
      <c r="N545" s="99"/>
      <c r="O545" s="99"/>
      <c r="P545" s="99"/>
      <c r="Q545" s="23"/>
      <c r="R545" s="23"/>
      <c r="S545" s="100"/>
      <c r="T545" s="24">
        <f t="shared" si="213"/>
        <v>-0.3846153846</v>
      </c>
      <c r="U545" s="179">
        <f t="shared" si="201"/>
        <v>-1</v>
      </c>
      <c r="V545" s="179" t="str">
        <f t="shared" si="202"/>
        <v/>
      </c>
      <c r="W545" s="179" t="str">
        <f t="shared" si="203"/>
        <v/>
      </c>
      <c r="X545" s="26"/>
    </row>
    <row r="546" hidden="1">
      <c r="A546" s="28"/>
      <c r="B546" s="28"/>
      <c r="C546" s="107"/>
      <c r="D546" s="83" t="s">
        <v>277</v>
      </c>
      <c r="E546" s="201">
        <f>185000</f>
        <v>185000</v>
      </c>
      <c r="F546" s="201">
        <v>280000.0</v>
      </c>
      <c r="G546" s="18">
        <f t="shared" si="224"/>
        <v>0.5135135135</v>
      </c>
      <c r="H546" s="99"/>
      <c r="I546" s="99"/>
      <c r="J546" s="99"/>
      <c r="K546" s="99"/>
      <c r="L546" s="99"/>
      <c r="M546" s="99"/>
      <c r="N546" s="99"/>
      <c r="O546" s="99"/>
      <c r="P546" s="99"/>
      <c r="Q546" s="23"/>
      <c r="R546" s="23"/>
      <c r="S546" s="100"/>
      <c r="T546" s="24">
        <f t="shared" si="213"/>
        <v>-0.5135135135</v>
      </c>
      <c r="U546" s="179">
        <f t="shared" si="201"/>
        <v>-1</v>
      </c>
      <c r="V546" s="179" t="str">
        <f t="shared" si="202"/>
        <v/>
      </c>
      <c r="W546" s="179" t="str">
        <f t="shared" si="203"/>
        <v/>
      </c>
      <c r="X546" s="26"/>
    </row>
    <row r="547" hidden="1">
      <c r="A547" s="28"/>
      <c r="B547" s="28"/>
      <c r="C547" s="107"/>
      <c r="D547" s="213" t="s">
        <v>101</v>
      </c>
      <c r="E547" s="105">
        <f>SUM(E543:E546)</f>
        <v>745000</v>
      </c>
      <c r="F547" s="210">
        <f>SUM(F544:F546)</f>
        <v>940000</v>
      </c>
      <c r="G547" s="18">
        <f t="shared" si="224"/>
        <v>0.2617449664</v>
      </c>
      <c r="H547" s="99"/>
      <c r="I547" s="99"/>
      <c r="J547" s="99"/>
      <c r="K547" s="99"/>
      <c r="L547" s="99"/>
      <c r="M547" s="99"/>
      <c r="N547" s="99"/>
      <c r="O547" s="99"/>
      <c r="P547" s="99"/>
      <c r="Q547" s="23"/>
      <c r="R547" s="23"/>
      <c r="S547" s="100"/>
      <c r="T547" s="24">
        <f t="shared" si="213"/>
        <v>-0.2617449664</v>
      </c>
      <c r="U547" s="179">
        <f t="shared" si="201"/>
        <v>-1</v>
      </c>
      <c r="V547" s="179" t="str">
        <f t="shared" si="202"/>
        <v/>
      </c>
      <c r="W547" s="179" t="str">
        <f t="shared" si="203"/>
        <v/>
      </c>
      <c r="X547" s="26"/>
    </row>
    <row r="548" hidden="1">
      <c r="A548" s="28"/>
      <c r="B548" s="28"/>
      <c r="C548" s="107"/>
      <c r="D548" s="213" t="s">
        <v>148</v>
      </c>
      <c r="E548" s="105">
        <f>F547-E547</f>
        <v>195000</v>
      </c>
      <c r="F548" s="105"/>
      <c r="G548" s="18"/>
      <c r="H548" s="99"/>
      <c r="I548" s="99"/>
      <c r="J548" s="99"/>
      <c r="K548" s="99"/>
      <c r="L548" s="99"/>
      <c r="M548" s="99"/>
      <c r="N548" s="99"/>
      <c r="O548" s="99"/>
      <c r="P548" s="99"/>
      <c r="Q548" s="23"/>
      <c r="R548" s="23"/>
      <c r="S548" s="100"/>
      <c r="T548" s="24">
        <f t="shared" si="213"/>
        <v>0</v>
      </c>
      <c r="U548" s="179" t="str">
        <f t="shared" si="201"/>
        <v/>
      </c>
      <c r="V548" s="179" t="str">
        <f t="shared" si="202"/>
        <v/>
      </c>
      <c r="W548" s="179" t="str">
        <f t="shared" si="203"/>
        <v/>
      </c>
      <c r="X548" s="26"/>
    </row>
    <row r="549" hidden="1">
      <c r="A549" s="28"/>
      <c r="B549" s="28"/>
      <c r="C549" s="107"/>
      <c r="D549" s="213" t="s">
        <v>331</v>
      </c>
      <c r="E549" s="105">
        <f>F547-1080000</f>
        <v>-140000</v>
      </c>
      <c r="F549" s="105"/>
      <c r="G549" s="18"/>
      <c r="H549" s="99"/>
      <c r="I549" s="99"/>
      <c r="J549" s="99"/>
      <c r="K549" s="99"/>
      <c r="L549" s="99"/>
      <c r="M549" s="99"/>
      <c r="N549" s="99"/>
      <c r="O549" s="99"/>
      <c r="P549" s="99"/>
      <c r="Q549" s="23"/>
      <c r="R549" s="23"/>
      <c r="S549" s="100"/>
      <c r="T549" s="24">
        <f t="shared" si="213"/>
        <v>0</v>
      </c>
      <c r="U549" s="179" t="str">
        <f t="shared" si="201"/>
        <v/>
      </c>
      <c r="V549" s="179" t="str">
        <f t="shared" si="202"/>
        <v/>
      </c>
      <c r="W549" s="179" t="str">
        <f t="shared" si="203"/>
        <v/>
      </c>
      <c r="X549" s="26"/>
    </row>
    <row r="550" hidden="1">
      <c r="A550" s="28"/>
      <c r="B550" s="28"/>
      <c r="C550" s="107"/>
      <c r="D550" s="97"/>
      <c r="E550" s="201"/>
      <c r="F550" s="201" t="s">
        <v>278</v>
      </c>
      <c r="G550" s="18"/>
      <c r="H550" s="99"/>
      <c r="I550" s="99"/>
      <c r="J550" s="99"/>
      <c r="K550" s="99"/>
      <c r="L550" s="99"/>
      <c r="M550" s="99"/>
      <c r="N550" s="99"/>
      <c r="O550" s="99"/>
      <c r="P550" s="99"/>
      <c r="Q550" s="23"/>
      <c r="R550" s="23"/>
      <c r="S550" s="100"/>
      <c r="T550" s="24">
        <f t="shared" si="213"/>
        <v>0</v>
      </c>
      <c r="U550" s="179" t="str">
        <f t="shared" si="201"/>
        <v/>
      </c>
      <c r="V550" s="179" t="str">
        <f t="shared" si="202"/>
        <v/>
      </c>
      <c r="W550" s="179" t="str">
        <f t="shared" si="203"/>
        <v/>
      </c>
      <c r="X550" s="26"/>
    </row>
    <row r="551" hidden="1">
      <c r="A551" s="28"/>
      <c r="B551" s="28"/>
      <c r="C551" s="107"/>
      <c r="D551" s="97"/>
      <c r="E551" s="201">
        <v>60000.0</v>
      </c>
      <c r="F551" s="98"/>
      <c r="G551" s="18"/>
      <c r="H551" s="99"/>
      <c r="I551" s="99"/>
      <c r="J551" s="99"/>
      <c r="K551" s="99"/>
      <c r="L551" s="99"/>
      <c r="M551" s="99"/>
      <c r="N551" s="99"/>
      <c r="O551" s="99"/>
      <c r="P551" s="99"/>
      <c r="Q551" s="23"/>
      <c r="R551" s="23"/>
      <c r="S551" s="100"/>
      <c r="T551" s="24">
        <f t="shared" si="213"/>
        <v>0</v>
      </c>
      <c r="U551" s="179" t="str">
        <f t="shared" si="201"/>
        <v/>
      </c>
      <c r="V551" s="179" t="str">
        <f t="shared" si="202"/>
        <v/>
      </c>
      <c r="W551" s="179" t="str">
        <f t="shared" si="203"/>
        <v/>
      </c>
      <c r="X551" s="26"/>
    </row>
    <row r="552" hidden="1">
      <c r="A552" s="28"/>
      <c r="B552" s="28"/>
      <c r="C552" s="107"/>
      <c r="D552" s="97"/>
      <c r="E552" s="201">
        <f>370000</f>
        <v>370000</v>
      </c>
      <c r="F552" s="98">
        <v>530000.0</v>
      </c>
      <c r="G552" s="18">
        <f t="shared" ref="G552:G555" si="225">(F552-E552)/E552</f>
        <v>0.4324324324</v>
      </c>
      <c r="H552" s="99"/>
      <c r="I552" s="99"/>
      <c r="J552" s="99"/>
      <c r="K552" s="99"/>
      <c r="L552" s="99"/>
      <c r="M552" s="99"/>
      <c r="N552" s="99"/>
      <c r="O552" s="99"/>
      <c r="P552" s="99"/>
      <c r="Q552" s="23"/>
      <c r="R552" s="23"/>
      <c r="S552" s="100"/>
      <c r="T552" s="24">
        <f t="shared" si="213"/>
        <v>-0.4324324324</v>
      </c>
      <c r="U552" s="179">
        <f t="shared" si="201"/>
        <v>-1</v>
      </c>
      <c r="V552" s="179" t="str">
        <f t="shared" si="202"/>
        <v/>
      </c>
      <c r="W552" s="179" t="str">
        <f t="shared" si="203"/>
        <v/>
      </c>
      <c r="X552" s="26"/>
    </row>
    <row r="553" hidden="1">
      <c r="A553" s="28"/>
      <c r="B553" s="28"/>
      <c r="C553" s="107"/>
      <c r="D553" s="97"/>
      <c r="E553" s="201">
        <f>130000</f>
        <v>130000</v>
      </c>
      <c r="F553" s="98">
        <v>250000.0</v>
      </c>
      <c r="G553" s="18">
        <f t="shared" si="225"/>
        <v>0.9230769231</v>
      </c>
      <c r="H553" s="99"/>
      <c r="I553" s="99"/>
      <c r="J553" s="99"/>
      <c r="K553" s="99"/>
      <c r="L553" s="99"/>
      <c r="M553" s="99"/>
      <c r="N553" s="99"/>
      <c r="O553" s="99"/>
      <c r="P553" s="99"/>
      <c r="Q553" s="23"/>
      <c r="R553" s="23"/>
      <c r="S553" s="100"/>
      <c r="T553" s="24">
        <f t="shared" si="213"/>
        <v>-0.9230769231</v>
      </c>
      <c r="U553" s="179">
        <f t="shared" si="201"/>
        <v>-1</v>
      </c>
      <c r="V553" s="179" t="str">
        <f t="shared" si="202"/>
        <v/>
      </c>
      <c r="W553" s="179" t="str">
        <f t="shared" si="203"/>
        <v/>
      </c>
      <c r="X553" s="26"/>
    </row>
    <row r="554" hidden="1">
      <c r="A554" s="28"/>
      <c r="B554" s="28"/>
      <c r="C554" s="107"/>
      <c r="D554" s="97"/>
      <c r="E554" s="201">
        <f>185000</f>
        <v>185000</v>
      </c>
      <c r="F554" s="98">
        <v>320000.0</v>
      </c>
      <c r="G554" s="18">
        <f t="shared" si="225"/>
        <v>0.7297297297</v>
      </c>
      <c r="H554" s="99"/>
      <c r="I554" s="99"/>
      <c r="J554" s="99"/>
      <c r="K554" s="99"/>
      <c r="L554" s="99"/>
      <c r="M554" s="99"/>
      <c r="N554" s="99"/>
      <c r="O554" s="99"/>
      <c r="P554" s="99"/>
      <c r="Q554" s="23"/>
      <c r="R554" s="23"/>
      <c r="S554" s="100"/>
      <c r="T554" s="24">
        <f t="shared" si="213"/>
        <v>-0.7297297297</v>
      </c>
      <c r="U554" s="179">
        <f t="shared" si="201"/>
        <v>-1</v>
      </c>
      <c r="V554" s="179" t="str">
        <f t="shared" si="202"/>
        <v/>
      </c>
      <c r="W554" s="179" t="str">
        <f t="shared" si="203"/>
        <v/>
      </c>
      <c r="X554" s="26"/>
    </row>
    <row r="555" hidden="1">
      <c r="A555" s="28"/>
      <c r="B555" s="28"/>
      <c r="C555" s="107"/>
      <c r="D555" s="97"/>
      <c r="E555" s="105">
        <f>SUM(E551:E554)</f>
        <v>745000</v>
      </c>
      <c r="F555" s="99">
        <f>SUM(F552:F554)</f>
        <v>1100000</v>
      </c>
      <c r="G555" s="18">
        <f t="shared" si="225"/>
        <v>0.4765100671</v>
      </c>
      <c r="H555" s="99"/>
      <c r="I555" s="99"/>
      <c r="J555" s="99"/>
      <c r="K555" s="99"/>
      <c r="L555" s="99"/>
      <c r="M555" s="99"/>
      <c r="N555" s="99"/>
      <c r="O555" s="99"/>
      <c r="P555" s="99"/>
      <c r="Q555" s="23"/>
      <c r="R555" s="23"/>
      <c r="S555" s="100"/>
      <c r="T555" s="24">
        <f t="shared" si="213"/>
        <v>-0.4765100671</v>
      </c>
      <c r="U555" s="179">
        <f t="shared" si="201"/>
        <v>-1</v>
      </c>
      <c r="V555" s="179" t="str">
        <f t="shared" si="202"/>
        <v/>
      </c>
      <c r="W555" s="179" t="str">
        <f t="shared" si="203"/>
        <v/>
      </c>
      <c r="X555" s="26"/>
    </row>
    <row r="556" hidden="1">
      <c r="A556" s="28"/>
      <c r="B556" s="28"/>
      <c r="C556" s="107"/>
      <c r="D556" s="97"/>
      <c r="E556" s="105"/>
      <c r="F556" s="105"/>
      <c r="G556" s="18"/>
      <c r="H556" s="99"/>
      <c r="I556" s="99"/>
      <c r="J556" s="99"/>
      <c r="K556" s="99"/>
      <c r="L556" s="99"/>
      <c r="M556" s="99"/>
      <c r="N556" s="99"/>
      <c r="O556" s="99"/>
      <c r="P556" s="99"/>
      <c r="Q556" s="23"/>
      <c r="R556" s="23"/>
      <c r="S556" s="100"/>
      <c r="T556" s="24">
        <f t="shared" si="213"/>
        <v>0</v>
      </c>
      <c r="U556" s="179" t="str">
        <f t="shared" si="201"/>
        <v/>
      </c>
      <c r="V556" s="179" t="str">
        <f t="shared" si="202"/>
        <v/>
      </c>
      <c r="W556" s="179" t="str">
        <f t="shared" si="203"/>
        <v/>
      </c>
      <c r="X556" s="26"/>
    </row>
    <row r="557" hidden="1">
      <c r="A557" s="28"/>
      <c r="B557" s="28"/>
      <c r="C557" s="82" t="s">
        <v>332</v>
      </c>
      <c r="D557" s="83" t="s">
        <v>333</v>
      </c>
      <c r="E557" s="105">
        <f>210000*4</f>
        <v>840000</v>
      </c>
      <c r="F557" s="105">
        <f>250000*4</f>
        <v>1000000</v>
      </c>
      <c r="G557" s="18">
        <f t="shared" ref="G557:G563" si="226">(F557-E557)/E557</f>
        <v>0.1904761905</v>
      </c>
      <c r="H557" s="99"/>
      <c r="I557" s="99"/>
      <c r="J557" s="99"/>
      <c r="K557" s="99"/>
      <c r="L557" s="99"/>
      <c r="M557" s="99"/>
      <c r="N557" s="99"/>
      <c r="O557" s="99"/>
      <c r="P557" s="99"/>
      <c r="Q557" s="23"/>
      <c r="R557" s="23"/>
      <c r="S557" s="100"/>
      <c r="T557" s="24">
        <f t="shared" si="213"/>
        <v>-0.1904761905</v>
      </c>
      <c r="U557" s="179">
        <f t="shared" si="201"/>
        <v>-1</v>
      </c>
      <c r="V557" s="179" t="str">
        <f t="shared" si="202"/>
        <v/>
      </c>
      <c r="W557" s="179" t="str">
        <f t="shared" si="203"/>
        <v/>
      </c>
      <c r="X557" s="26"/>
    </row>
    <row r="558" hidden="1">
      <c r="A558" s="28"/>
      <c r="B558" s="28"/>
      <c r="C558" s="107"/>
      <c r="D558" s="83" t="s">
        <v>334</v>
      </c>
      <c r="E558" s="201">
        <v>145000.0</v>
      </c>
      <c r="F558" s="201">
        <v>280000.0</v>
      </c>
      <c r="G558" s="18">
        <f t="shared" si="226"/>
        <v>0.9310344828</v>
      </c>
      <c r="H558" s="99"/>
      <c r="I558" s="99"/>
      <c r="J558" s="99"/>
      <c r="K558" s="99"/>
      <c r="L558" s="99"/>
      <c r="M558" s="99"/>
      <c r="N558" s="99"/>
      <c r="O558" s="99"/>
      <c r="P558" s="99"/>
      <c r="Q558" s="23"/>
      <c r="R558" s="23"/>
      <c r="S558" s="100"/>
      <c r="T558" s="24">
        <f t="shared" si="213"/>
        <v>-0.9310344828</v>
      </c>
      <c r="U558" s="179">
        <f t="shared" si="201"/>
        <v>-1</v>
      </c>
      <c r="V558" s="179" t="str">
        <f t="shared" si="202"/>
        <v/>
      </c>
      <c r="W558" s="179" t="str">
        <f t="shared" si="203"/>
        <v/>
      </c>
      <c r="X558" s="26"/>
    </row>
    <row r="559" hidden="1">
      <c r="A559" s="28"/>
      <c r="B559" s="28"/>
      <c r="C559" s="107"/>
      <c r="D559" s="83" t="s">
        <v>335</v>
      </c>
      <c r="E559" s="201">
        <f>330000*4</f>
        <v>1320000</v>
      </c>
      <c r="F559" s="105">
        <f>490000*4</f>
        <v>1960000</v>
      </c>
      <c r="G559" s="18">
        <f t="shared" si="226"/>
        <v>0.4848484848</v>
      </c>
      <c r="H559" s="99"/>
      <c r="I559" s="99"/>
      <c r="J559" s="99"/>
      <c r="K559" s="99"/>
      <c r="L559" s="99"/>
      <c r="M559" s="99"/>
      <c r="N559" s="99"/>
      <c r="O559" s="99"/>
      <c r="P559" s="99"/>
      <c r="Q559" s="23"/>
      <c r="R559" s="23"/>
      <c r="S559" s="100"/>
      <c r="T559" s="24">
        <f t="shared" si="213"/>
        <v>-0.4848484848</v>
      </c>
      <c r="U559" s="179">
        <f t="shared" si="201"/>
        <v>-1</v>
      </c>
      <c r="V559" s="179" t="str">
        <f t="shared" si="202"/>
        <v/>
      </c>
      <c r="W559" s="179" t="str">
        <f t="shared" si="203"/>
        <v/>
      </c>
      <c r="X559" s="26"/>
    </row>
    <row r="560" hidden="1">
      <c r="A560" s="28"/>
      <c r="B560" s="28"/>
      <c r="C560" s="107"/>
      <c r="D560" s="83" t="s">
        <v>336</v>
      </c>
      <c r="E560" s="201">
        <v>1720000.0</v>
      </c>
      <c r="F560" s="201">
        <v>2150000.0</v>
      </c>
      <c r="G560" s="18">
        <f t="shared" si="226"/>
        <v>0.25</v>
      </c>
      <c r="H560" s="99"/>
      <c r="I560" s="99"/>
      <c r="J560" s="99"/>
      <c r="K560" s="99"/>
      <c r="L560" s="99"/>
      <c r="M560" s="99"/>
      <c r="N560" s="99"/>
      <c r="O560" s="99"/>
      <c r="P560" s="99"/>
      <c r="Q560" s="23"/>
      <c r="R560" s="23"/>
      <c r="S560" s="100"/>
      <c r="T560" s="24">
        <f t="shared" si="213"/>
        <v>-0.25</v>
      </c>
      <c r="U560" s="179">
        <f t="shared" si="201"/>
        <v>-1</v>
      </c>
      <c r="V560" s="179" t="str">
        <f t="shared" si="202"/>
        <v/>
      </c>
      <c r="W560" s="179" t="str">
        <f t="shared" si="203"/>
        <v/>
      </c>
      <c r="X560" s="26"/>
    </row>
    <row r="561" hidden="1">
      <c r="A561" s="28"/>
      <c r="B561" s="28"/>
      <c r="C561" s="107"/>
      <c r="D561" s="83" t="s">
        <v>337</v>
      </c>
      <c r="E561" s="105">
        <f>370000*4</f>
        <v>1480000</v>
      </c>
      <c r="F561" s="105">
        <f>510000*4</f>
        <v>2040000</v>
      </c>
      <c r="G561" s="18">
        <f t="shared" si="226"/>
        <v>0.3783783784</v>
      </c>
      <c r="H561" s="99"/>
      <c r="I561" s="99"/>
      <c r="J561" s="99"/>
      <c r="K561" s="99"/>
      <c r="L561" s="99"/>
      <c r="M561" s="99"/>
      <c r="N561" s="99"/>
      <c r="O561" s="99"/>
      <c r="P561" s="99"/>
      <c r="Q561" s="23"/>
      <c r="R561" s="23"/>
      <c r="S561" s="100"/>
      <c r="T561" s="24">
        <f t="shared" si="213"/>
        <v>-0.3783783784</v>
      </c>
      <c r="U561" s="179">
        <f t="shared" si="201"/>
        <v>-1</v>
      </c>
      <c r="V561" s="179" t="str">
        <f t="shared" si="202"/>
        <v/>
      </c>
      <c r="W561" s="179" t="str">
        <f t="shared" si="203"/>
        <v/>
      </c>
      <c r="X561" s="26"/>
    </row>
    <row r="562" hidden="1">
      <c r="A562" s="28"/>
      <c r="B562" s="28"/>
      <c r="C562" s="107"/>
      <c r="D562" s="83" t="s">
        <v>338</v>
      </c>
      <c r="E562" s="201">
        <v>145000.0</v>
      </c>
      <c r="F562" s="201">
        <v>280000.0</v>
      </c>
      <c r="G562" s="18">
        <f t="shared" si="226"/>
        <v>0.9310344828</v>
      </c>
      <c r="H562" s="99"/>
      <c r="I562" s="99"/>
      <c r="J562" s="99"/>
      <c r="K562" s="99"/>
      <c r="L562" s="99"/>
      <c r="M562" s="99"/>
      <c r="N562" s="99"/>
      <c r="O562" s="99"/>
      <c r="P562" s="99"/>
      <c r="Q562" s="23"/>
      <c r="R562" s="23"/>
      <c r="S562" s="100"/>
      <c r="T562" s="24">
        <f t="shared" si="213"/>
        <v>-0.9310344828</v>
      </c>
      <c r="U562" s="179">
        <f t="shared" si="201"/>
        <v>-1</v>
      </c>
      <c r="V562" s="179" t="str">
        <f t="shared" si="202"/>
        <v/>
      </c>
      <c r="W562" s="179" t="str">
        <f t="shared" si="203"/>
        <v/>
      </c>
      <c r="X562" s="26"/>
    </row>
    <row r="563" hidden="1">
      <c r="A563" s="28"/>
      <c r="B563" s="28"/>
      <c r="C563" s="107"/>
      <c r="D563" s="83" t="s">
        <v>101</v>
      </c>
      <c r="E563" s="105">
        <f t="shared" ref="E563:F563" si="227">SUM(E557:E562)</f>
        <v>5650000</v>
      </c>
      <c r="F563" s="105">
        <f t="shared" si="227"/>
        <v>7710000</v>
      </c>
      <c r="G563" s="18">
        <f t="shared" si="226"/>
        <v>0.3646017699</v>
      </c>
      <c r="H563" s="99"/>
      <c r="I563" s="99"/>
      <c r="J563" s="99"/>
      <c r="K563" s="99"/>
      <c r="L563" s="99"/>
      <c r="M563" s="99"/>
      <c r="N563" s="99"/>
      <c r="O563" s="99"/>
      <c r="P563" s="99"/>
      <c r="Q563" s="23"/>
      <c r="R563" s="23"/>
      <c r="S563" s="100"/>
      <c r="T563" s="24">
        <f t="shared" si="213"/>
        <v>-0.3646017699</v>
      </c>
      <c r="U563" s="179">
        <f t="shared" si="201"/>
        <v>-1</v>
      </c>
      <c r="V563" s="179" t="str">
        <f t="shared" si="202"/>
        <v/>
      </c>
      <c r="W563" s="179" t="str">
        <f t="shared" si="203"/>
        <v/>
      </c>
      <c r="X563" s="26"/>
    </row>
    <row r="564" hidden="1">
      <c r="A564" s="28"/>
      <c r="B564" s="28"/>
      <c r="C564" s="107"/>
      <c r="D564" s="83" t="s">
        <v>148</v>
      </c>
      <c r="E564" s="105">
        <f>F563-E563</f>
        <v>2060000</v>
      </c>
      <c r="F564" s="105"/>
      <c r="G564" s="18"/>
      <c r="H564" s="99"/>
      <c r="I564" s="99"/>
      <c r="J564" s="99"/>
      <c r="K564" s="99"/>
      <c r="L564" s="99"/>
      <c r="M564" s="99"/>
      <c r="N564" s="99"/>
      <c r="O564" s="99"/>
      <c r="P564" s="99"/>
      <c r="Q564" s="23"/>
      <c r="R564" s="23"/>
      <c r="S564" s="100"/>
      <c r="T564" s="24">
        <f t="shared" si="213"/>
        <v>0</v>
      </c>
      <c r="U564" s="179" t="str">
        <f t="shared" si="201"/>
        <v/>
      </c>
      <c r="V564" s="179" t="str">
        <f t="shared" si="202"/>
        <v/>
      </c>
      <c r="W564" s="179" t="str">
        <f t="shared" si="203"/>
        <v/>
      </c>
      <c r="X564" s="26"/>
    </row>
    <row r="565" hidden="1">
      <c r="A565" s="28"/>
      <c r="B565" s="28"/>
      <c r="C565" s="107"/>
      <c r="D565" s="97"/>
      <c r="E565" s="105"/>
      <c r="F565" s="105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23"/>
      <c r="R565" s="23"/>
      <c r="S565" s="100"/>
      <c r="T565" s="24">
        <f t="shared" si="213"/>
        <v>0</v>
      </c>
      <c r="U565" s="179" t="str">
        <f t="shared" si="201"/>
        <v/>
      </c>
      <c r="V565" s="179" t="str">
        <f t="shared" si="202"/>
        <v/>
      </c>
      <c r="W565" s="179" t="str">
        <f t="shared" si="203"/>
        <v/>
      </c>
      <c r="X565" s="26"/>
    </row>
    <row r="566" hidden="1">
      <c r="A566" s="28"/>
      <c r="B566" s="28"/>
      <c r="C566" s="107"/>
      <c r="D566" s="97"/>
      <c r="E566" s="105"/>
      <c r="F566" s="201" t="s">
        <v>339</v>
      </c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23"/>
      <c r="R566" s="23"/>
      <c r="S566" s="100"/>
      <c r="T566" s="24">
        <f t="shared" si="213"/>
        <v>0</v>
      </c>
      <c r="U566" s="179" t="str">
        <f t="shared" si="201"/>
        <v/>
      </c>
      <c r="V566" s="179" t="str">
        <f t="shared" si="202"/>
        <v/>
      </c>
      <c r="W566" s="179" t="str">
        <f t="shared" si="203"/>
        <v/>
      </c>
      <c r="X566" s="26"/>
    </row>
    <row r="567" hidden="1">
      <c r="A567" s="28"/>
      <c r="B567" s="28"/>
      <c r="C567" s="82" t="s">
        <v>340</v>
      </c>
      <c r="D567" s="83" t="s">
        <v>272</v>
      </c>
      <c r="E567" s="201">
        <v>60000.0</v>
      </c>
      <c r="F567" s="201"/>
      <c r="G567" s="18">
        <f t="shared" ref="G567:G572" si="228">(F567-E567)/E567</f>
        <v>-1</v>
      </c>
      <c r="H567" s="99"/>
      <c r="I567" s="99"/>
      <c r="J567" s="99"/>
      <c r="K567" s="99"/>
      <c r="L567" s="99"/>
      <c r="M567" s="99"/>
      <c r="N567" s="99"/>
      <c r="O567" s="99"/>
      <c r="P567" s="99"/>
      <c r="Q567" s="23"/>
      <c r="R567" s="23"/>
      <c r="S567" s="100"/>
      <c r="T567" s="24">
        <f t="shared" si="213"/>
        <v>1</v>
      </c>
      <c r="U567" s="179">
        <f t="shared" si="201"/>
        <v>-1</v>
      </c>
      <c r="V567" s="179" t="str">
        <f t="shared" si="202"/>
        <v/>
      </c>
      <c r="W567" s="179" t="str">
        <f t="shared" si="203"/>
        <v/>
      </c>
      <c r="X567" s="26"/>
    </row>
    <row r="568" hidden="1">
      <c r="A568" s="28"/>
      <c r="B568" s="28"/>
      <c r="C568" s="82" t="s">
        <v>341</v>
      </c>
      <c r="D568" s="83" t="s">
        <v>176</v>
      </c>
      <c r="E568" s="201">
        <f>160000+36000+15000+10000</f>
        <v>221000</v>
      </c>
      <c r="F568" s="201">
        <v>280000.0</v>
      </c>
      <c r="G568" s="18">
        <f t="shared" si="228"/>
        <v>0.2669683258</v>
      </c>
      <c r="H568" s="99"/>
      <c r="I568" s="99"/>
      <c r="J568" s="99"/>
      <c r="K568" s="99"/>
      <c r="L568" s="99"/>
      <c r="M568" s="99"/>
      <c r="N568" s="99"/>
      <c r="O568" s="99"/>
      <c r="P568" s="99"/>
      <c r="Q568" s="23"/>
      <c r="R568" s="23"/>
      <c r="S568" s="100"/>
      <c r="T568" s="24">
        <f t="shared" si="213"/>
        <v>-0.2669683258</v>
      </c>
      <c r="U568" s="179">
        <f t="shared" si="201"/>
        <v>-1</v>
      </c>
      <c r="V568" s="179" t="str">
        <f t="shared" si="202"/>
        <v/>
      </c>
      <c r="W568" s="179" t="str">
        <f t="shared" si="203"/>
        <v/>
      </c>
      <c r="X568" s="26"/>
    </row>
    <row r="569" hidden="1">
      <c r="A569" s="28"/>
      <c r="B569" s="28"/>
      <c r="C569" s="107"/>
      <c r="D569" s="83" t="s">
        <v>273</v>
      </c>
      <c r="E569" s="201">
        <v>130000.0</v>
      </c>
      <c r="F569" s="201">
        <v>180000.0</v>
      </c>
      <c r="G569" s="18">
        <f t="shared" si="228"/>
        <v>0.3846153846</v>
      </c>
      <c r="H569" s="99"/>
      <c r="I569" s="99"/>
      <c r="J569" s="99"/>
      <c r="K569" s="99"/>
      <c r="L569" s="99"/>
      <c r="M569" s="99"/>
      <c r="N569" s="99"/>
      <c r="O569" s="99"/>
      <c r="P569" s="99"/>
      <c r="Q569" s="23"/>
      <c r="R569" s="23"/>
      <c r="S569" s="100"/>
      <c r="T569" s="24">
        <f t="shared" si="213"/>
        <v>-0.3846153846</v>
      </c>
      <c r="U569" s="179">
        <f t="shared" si="201"/>
        <v>-1</v>
      </c>
      <c r="V569" s="179" t="str">
        <f t="shared" si="202"/>
        <v/>
      </c>
      <c r="W569" s="179" t="str">
        <f t="shared" si="203"/>
        <v/>
      </c>
      <c r="X569" s="26"/>
    </row>
    <row r="570" hidden="1">
      <c r="A570" s="28"/>
      <c r="B570" s="28"/>
      <c r="C570" s="107"/>
      <c r="D570" s="83" t="s">
        <v>284</v>
      </c>
      <c r="E570" s="201">
        <v>666000.0</v>
      </c>
      <c r="F570" s="201">
        <v>850000.0</v>
      </c>
      <c r="G570" s="18">
        <f t="shared" si="228"/>
        <v>0.2762762763</v>
      </c>
      <c r="H570" s="99"/>
      <c r="I570" s="99"/>
      <c r="J570" s="99"/>
      <c r="K570" s="99"/>
      <c r="L570" s="99"/>
      <c r="M570" s="99"/>
      <c r="N570" s="99"/>
      <c r="O570" s="99"/>
      <c r="P570" s="99"/>
      <c r="Q570" s="23"/>
      <c r="R570" s="23"/>
      <c r="S570" s="100"/>
      <c r="T570" s="24">
        <f t="shared" si="213"/>
        <v>-0.2762762763</v>
      </c>
      <c r="U570" s="179">
        <f t="shared" si="201"/>
        <v>-1</v>
      </c>
      <c r="V570" s="179" t="str">
        <f t="shared" si="202"/>
        <v/>
      </c>
      <c r="W570" s="179" t="str">
        <f t="shared" si="203"/>
        <v/>
      </c>
      <c r="X570" s="26"/>
    </row>
    <row r="571" hidden="1">
      <c r="A571" s="28"/>
      <c r="B571" s="28"/>
      <c r="C571" s="107"/>
      <c r="D571" s="83" t="s">
        <v>101</v>
      </c>
      <c r="E571" s="210">
        <f>SUM(E567:E570)</f>
        <v>1077000</v>
      </c>
      <c r="F571" s="210">
        <f>SUM(F566:F570)</f>
        <v>1310000</v>
      </c>
      <c r="G571" s="18">
        <f t="shared" si="228"/>
        <v>0.2163416899</v>
      </c>
      <c r="H571" s="99"/>
      <c r="I571" s="99"/>
      <c r="J571" s="99"/>
      <c r="K571" s="99"/>
      <c r="L571" s="99"/>
      <c r="M571" s="99"/>
      <c r="N571" s="99"/>
      <c r="O571" s="99"/>
      <c r="P571" s="99"/>
      <c r="Q571" s="23"/>
      <c r="R571" s="23"/>
      <c r="S571" s="100"/>
      <c r="T571" s="24">
        <f t="shared" si="213"/>
        <v>-0.2163416899</v>
      </c>
      <c r="U571" s="179">
        <f t="shared" si="201"/>
        <v>-1</v>
      </c>
      <c r="V571" s="179" t="str">
        <f t="shared" si="202"/>
        <v/>
      </c>
      <c r="W571" s="179" t="str">
        <f t="shared" si="203"/>
        <v/>
      </c>
      <c r="X571" s="26"/>
    </row>
    <row r="572" hidden="1">
      <c r="A572" s="28"/>
      <c r="B572" s="28"/>
      <c r="C572" s="107"/>
      <c r="D572" s="83" t="s">
        <v>148</v>
      </c>
      <c r="E572" s="211">
        <f>F571-E571</f>
        <v>233000</v>
      </c>
      <c r="F572" s="201"/>
      <c r="G572" s="18">
        <f t="shared" si="228"/>
        <v>-1</v>
      </c>
      <c r="H572" s="99"/>
      <c r="I572" s="99"/>
      <c r="J572" s="99"/>
      <c r="K572" s="99"/>
      <c r="L572" s="99"/>
      <c r="M572" s="99"/>
      <c r="N572" s="99"/>
      <c r="O572" s="99"/>
      <c r="P572" s="99"/>
      <c r="Q572" s="23"/>
      <c r="R572" s="23"/>
      <c r="S572" s="100"/>
      <c r="T572" s="24">
        <f t="shared" si="213"/>
        <v>1</v>
      </c>
      <c r="U572" s="179">
        <f t="shared" si="201"/>
        <v>-1</v>
      </c>
      <c r="V572" s="179" t="str">
        <f t="shared" si="202"/>
        <v/>
      </c>
      <c r="W572" s="179" t="str">
        <f t="shared" si="203"/>
        <v/>
      </c>
      <c r="X572" s="26"/>
    </row>
    <row r="573" hidden="1">
      <c r="A573" s="28"/>
      <c r="B573" s="28"/>
      <c r="C573" s="107"/>
      <c r="D573" s="97"/>
      <c r="E573" s="105"/>
      <c r="F573" s="201" t="s">
        <v>278</v>
      </c>
      <c r="G573" s="18"/>
      <c r="H573" s="99"/>
      <c r="I573" s="99"/>
      <c r="J573" s="99"/>
      <c r="K573" s="99"/>
      <c r="L573" s="99"/>
      <c r="M573" s="99"/>
      <c r="N573" s="99"/>
      <c r="O573" s="99"/>
      <c r="P573" s="99"/>
      <c r="Q573" s="23"/>
      <c r="R573" s="23"/>
      <c r="S573" s="100"/>
      <c r="T573" s="24">
        <f t="shared" si="213"/>
        <v>0</v>
      </c>
      <c r="U573" s="179" t="str">
        <f t="shared" si="201"/>
        <v/>
      </c>
      <c r="V573" s="179" t="str">
        <f t="shared" si="202"/>
        <v/>
      </c>
      <c r="W573" s="179" t="str">
        <f t="shared" si="203"/>
        <v/>
      </c>
      <c r="X573" s="26"/>
    </row>
    <row r="574" hidden="1">
      <c r="A574" s="28"/>
      <c r="B574" s="28"/>
      <c r="C574" s="107"/>
      <c r="D574" s="97"/>
      <c r="E574" s="105"/>
      <c r="F574" s="201">
        <v>325000.0</v>
      </c>
      <c r="G574" s="18"/>
      <c r="H574" s="99"/>
      <c r="I574" s="99"/>
      <c r="J574" s="99"/>
      <c r="K574" s="99"/>
      <c r="L574" s="99"/>
      <c r="M574" s="99"/>
      <c r="N574" s="99"/>
      <c r="O574" s="99"/>
      <c r="P574" s="99"/>
      <c r="Q574" s="23"/>
      <c r="R574" s="23"/>
      <c r="S574" s="100"/>
      <c r="T574" s="24">
        <f t="shared" si="213"/>
        <v>0</v>
      </c>
      <c r="U574" s="179" t="str">
        <f t="shared" si="201"/>
        <v/>
      </c>
      <c r="V574" s="179" t="str">
        <f t="shared" si="202"/>
        <v/>
      </c>
      <c r="W574" s="179" t="str">
        <f t="shared" si="203"/>
        <v/>
      </c>
      <c r="X574" s="26"/>
    </row>
    <row r="575" hidden="1">
      <c r="A575" s="28"/>
      <c r="B575" s="28"/>
      <c r="C575" s="107"/>
      <c r="D575" s="97"/>
      <c r="E575" s="105"/>
      <c r="F575" s="201">
        <v>250000.0</v>
      </c>
      <c r="G575" s="18"/>
      <c r="H575" s="99"/>
      <c r="I575" s="99"/>
      <c r="J575" s="99"/>
      <c r="K575" s="99"/>
      <c r="L575" s="99"/>
      <c r="M575" s="99"/>
      <c r="N575" s="99"/>
      <c r="O575" s="99"/>
      <c r="P575" s="99"/>
      <c r="Q575" s="23"/>
      <c r="R575" s="23"/>
      <c r="S575" s="100"/>
      <c r="T575" s="24">
        <f t="shared" si="213"/>
        <v>0</v>
      </c>
      <c r="U575" s="179" t="str">
        <f t="shared" si="201"/>
        <v/>
      </c>
      <c r="V575" s="179" t="str">
        <f t="shared" si="202"/>
        <v/>
      </c>
      <c r="W575" s="179" t="str">
        <f t="shared" si="203"/>
        <v/>
      </c>
      <c r="X575" s="26"/>
    </row>
    <row r="576" hidden="1">
      <c r="A576" s="28"/>
      <c r="B576" s="28"/>
      <c r="C576" s="107"/>
      <c r="D576" s="97"/>
      <c r="E576" s="105"/>
      <c r="F576" s="201">
        <v>870000.0</v>
      </c>
      <c r="G576" s="18"/>
      <c r="H576" s="99"/>
      <c r="I576" s="99"/>
      <c r="J576" s="99"/>
      <c r="K576" s="99"/>
      <c r="L576" s="99"/>
      <c r="M576" s="99"/>
      <c r="N576" s="99"/>
      <c r="O576" s="99"/>
      <c r="P576" s="99"/>
      <c r="Q576" s="23"/>
      <c r="R576" s="23"/>
      <c r="S576" s="100"/>
      <c r="T576" s="24">
        <f t="shared" si="213"/>
        <v>0</v>
      </c>
      <c r="U576" s="179" t="str">
        <f t="shared" si="201"/>
        <v/>
      </c>
      <c r="V576" s="179" t="str">
        <f t="shared" si="202"/>
        <v/>
      </c>
      <c r="W576" s="179" t="str">
        <f t="shared" si="203"/>
        <v/>
      </c>
      <c r="X576" s="26"/>
    </row>
    <row r="577" hidden="1">
      <c r="A577" s="28"/>
      <c r="B577" s="28"/>
      <c r="C577" s="107"/>
      <c r="D577" s="83" t="s">
        <v>331</v>
      </c>
      <c r="E577" s="105">
        <f>F577-F571</f>
        <v>135000</v>
      </c>
      <c r="F577" s="105">
        <f>F574+F575+F576</f>
        <v>1445000</v>
      </c>
      <c r="G577" s="18">
        <f>(F577-E577)/E577</f>
        <v>9.703703704</v>
      </c>
      <c r="H577" s="99"/>
      <c r="I577" s="99"/>
      <c r="J577" s="99"/>
      <c r="K577" s="99"/>
      <c r="L577" s="99"/>
      <c r="M577" s="99"/>
      <c r="N577" s="99"/>
      <c r="O577" s="99"/>
      <c r="P577" s="99"/>
      <c r="Q577" s="23"/>
      <c r="R577" s="23"/>
      <c r="S577" s="100"/>
      <c r="T577" s="24">
        <f t="shared" si="213"/>
        <v>-9.703703704</v>
      </c>
      <c r="U577" s="179">
        <f t="shared" si="201"/>
        <v>-1</v>
      </c>
      <c r="V577" s="179" t="str">
        <f t="shared" si="202"/>
        <v/>
      </c>
      <c r="W577" s="179" t="str">
        <f t="shared" si="203"/>
        <v/>
      </c>
      <c r="X577" s="26"/>
    </row>
    <row r="578" hidden="1">
      <c r="A578" s="28"/>
      <c r="B578" s="28"/>
      <c r="C578" s="107"/>
      <c r="D578" s="97"/>
      <c r="E578" s="105"/>
      <c r="F578" s="105"/>
      <c r="G578" s="18"/>
      <c r="H578" s="99"/>
      <c r="I578" s="99"/>
      <c r="J578" s="99"/>
      <c r="K578" s="99"/>
      <c r="L578" s="99"/>
      <c r="M578" s="99"/>
      <c r="N578" s="99"/>
      <c r="O578" s="99"/>
      <c r="P578" s="99"/>
      <c r="Q578" s="23"/>
      <c r="R578" s="23"/>
      <c r="S578" s="100"/>
      <c r="T578" s="24">
        <f t="shared" si="213"/>
        <v>0</v>
      </c>
      <c r="U578" s="179" t="str">
        <f t="shared" si="201"/>
        <v/>
      </c>
      <c r="V578" s="179" t="str">
        <f t="shared" si="202"/>
        <v/>
      </c>
      <c r="W578" s="179" t="str">
        <f t="shared" si="203"/>
        <v/>
      </c>
      <c r="X578" s="26"/>
    </row>
    <row r="579" hidden="1">
      <c r="A579" s="28"/>
      <c r="B579" s="28"/>
      <c r="C579" s="107"/>
      <c r="D579" s="97"/>
      <c r="E579" s="105"/>
      <c r="F579" s="105"/>
      <c r="G579" s="18"/>
      <c r="H579" s="99"/>
      <c r="I579" s="99"/>
      <c r="J579" s="99"/>
      <c r="K579" s="99"/>
      <c r="L579" s="99"/>
      <c r="M579" s="99"/>
      <c r="N579" s="99"/>
      <c r="O579" s="99"/>
      <c r="P579" s="99"/>
      <c r="Q579" s="23"/>
      <c r="R579" s="23"/>
      <c r="S579" s="100"/>
      <c r="T579" s="24">
        <f t="shared" si="213"/>
        <v>0</v>
      </c>
      <c r="U579" s="179" t="str">
        <f t="shared" si="201"/>
        <v/>
      </c>
      <c r="V579" s="179" t="str">
        <f t="shared" si="202"/>
        <v/>
      </c>
      <c r="W579" s="179" t="str">
        <f t="shared" si="203"/>
        <v/>
      </c>
      <c r="X579" s="26"/>
    </row>
    <row r="580" hidden="1">
      <c r="A580" s="28"/>
      <c r="B580" s="28"/>
      <c r="C580" s="82" t="s">
        <v>342</v>
      </c>
      <c r="D580" s="83" t="s">
        <v>273</v>
      </c>
      <c r="E580" s="201">
        <v>130000.0</v>
      </c>
      <c r="F580" s="201">
        <v>200000.0</v>
      </c>
      <c r="G580" s="18"/>
      <c r="H580" s="99"/>
      <c r="I580" s="99"/>
      <c r="J580" s="99"/>
      <c r="K580" s="99"/>
      <c r="L580" s="99"/>
      <c r="M580" s="99"/>
      <c r="N580" s="99"/>
      <c r="O580" s="99"/>
      <c r="P580" s="99"/>
      <c r="Q580" s="23"/>
      <c r="R580" s="23"/>
      <c r="S580" s="100"/>
      <c r="T580" s="24">
        <f t="shared" si="213"/>
        <v>0</v>
      </c>
      <c r="U580" s="179" t="str">
        <f t="shared" si="201"/>
        <v/>
      </c>
      <c r="V580" s="179" t="str">
        <f t="shared" si="202"/>
        <v/>
      </c>
      <c r="W580" s="179" t="str">
        <f t="shared" si="203"/>
        <v/>
      </c>
      <c r="X580" s="26"/>
    </row>
    <row r="581" hidden="1">
      <c r="A581" s="28"/>
      <c r="B581" s="28"/>
      <c r="C581" s="107"/>
      <c r="D581" s="83" t="s">
        <v>156</v>
      </c>
      <c r="E581" s="201">
        <v>330000.0</v>
      </c>
      <c r="F581" s="201">
        <v>450000.0</v>
      </c>
      <c r="G581" s="18"/>
      <c r="H581" s="99"/>
      <c r="I581" s="99"/>
      <c r="J581" s="99"/>
      <c r="K581" s="99"/>
      <c r="L581" s="99"/>
      <c r="M581" s="99"/>
      <c r="N581" s="99"/>
      <c r="O581" s="99"/>
      <c r="P581" s="99"/>
      <c r="Q581" s="23"/>
      <c r="R581" s="23"/>
      <c r="S581" s="100"/>
      <c r="T581" s="24">
        <f t="shared" si="213"/>
        <v>0</v>
      </c>
      <c r="U581" s="179" t="str">
        <f t="shared" si="201"/>
        <v/>
      </c>
      <c r="V581" s="179" t="str">
        <f t="shared" si="202"/>
        <v/>
      </c>
      <c r="W581" s="179" t="str">
        <f t="shared" si="203"/>
        <v/>
      </c>
      <c r="X581" s="26"/>
    </row>
    <row r="582" hidden="1">
      <c r="A582" s="28"/>
      <c r="B582" s="28"/>
      <c r="C582" s="107"/>
      <c r="D582" s="83" t="s">
        <v>101</v>
      </c>
      <c r="E582" s="210">
        <f>SUM(E578:E581)</f>
        <v>460000</v>
      </c>
      <c r="F582" s="210">
        <f>F580+F581</f>
        <v>650000</v>
      </c>
      <c r="G582" s="18">
        <f>(F582-E582)/E582</f>
        <v>0.4130434783</v>
      </c>
      <c r="H582" s="99"/>
      <c r="I582" s="99"/>
      <c r="J582" s="99"/>
      <c r="K582" s="99"/>
      <c r="L582" s="99"/>
      <c r="M582" s="99"/>
      <c r="N582" s="99"/>
      <c r="O582" s="99"/>
      <c r="P582" s="99"/>
      <c r="Q582" s="23"/>
      <c r="R582" s="23"/>
      <c r="S582" s="100"/>
      <c r="T582" s="24">
        <f t="shared" si="213"/>
        <v>-0.4130434783</v>
      </c>
      <c r="U582" s="179">
        <f t="shared" si="201"/>
        <v>-1</v>
      </c>
      <c r="V582" s="179" t="str">
        <f t="shared" si="202"/>
        <v/>
      </c>
      <c r="W582" s="179" t="str">
        <f t="shared" si="203"/>
        <v/>
      </c>
      <c r="X582" s="26"/>
    </row>
    <row r="583" hidden="1">
      <c r="A583" s="28"/>
      <c r="B583" s="28"/>
      <c r="C583" s="107"/>
      <c r="D583" s="83" t="s">
        <v>148</v>
      </c>
      <c r="E583" s="105">
        <f>F582-E582</f>
        <v>190000</v>
      </c>
      <c r="F583" s="105"/>
      <c r="G583" s="18"/>
      <c r="H583" s="99"/>
      <c r="I583" s="99"/>
      <c r="J583" s="99"/>
      <c r="K583" s="99"/>
      <c r="L583" s="99"/>
      <c r="M583" s="99"/>
      <c r="N583" s="99"/>
      <c r="O583" s="99"/>
      <c r="P583" s="99"/>
      <c r="Q583" s="23"/>
      <c r="R583" s="23"/>
      <c r="S583" s="100"/>
      <c r="T583" s="24">
        <f t="shared" si="213"/>
        <v>0</v>
      </c>
      <c r="U583" s="179" t="str">
        <f t="shared" si="201"/>
        <v/>
      </c>
      <c r="V583" s="179" t="str">
        <f t="shared" si="202"/>
        <v/>
      </c>
      <c r="W583" s="179" t="str">
        <f t="shared" si="203"/>
        <v/>
      </c>
      <c r="X583" s="26"/>
    </row>
    <row r="584" hidden="1">
      <c r="A584" s="28"/>
      <c r="B584" s="28"/>
      <c r="C584" s="107"/>
      <c r="D584" s="97"/>
      <c r="E584" s="105"/>
      <c r="F584" s="105"/>
      <c r="G584" s="18"/>
      <c r="H584" s="98" t="s">
        <v>343</v>
      </c>
      <c r="I584" s="99"/>
      <c r="J584" s="99"/>
      <c r="K584" s="99"/>
      <c r="L584" s="99"/>
      <c r="M584" s="99"/>
      <c r="N584" s="99"/>
      <c r="O584" s="99"/>
      <c r="P584" s="99"/>
      <c r="Q584" s="23"/>
      <c r="R584" s="23"/>
      <c r="S584" s="100"/>
      <c r="T584" s="24">
        <f t="shared" si="213"/>
        <v>0</v>
      </c>
      <c r="U584" s="179" t="str">
        <f t="shared" si="201"/>
        <v/>
      </c>
      <c r="V584" s="179" t="str">
        <f t="shared" si="202"/>
        <v/>
      </c>
      <c r="W584" s="179" t="str">
        <f t="shared" si="203"/>
        <v/>
      </c>
      <c r="X584" s="26"/>
    </row>
    <row r="585" hidden="1">
      <c r="A585" s="28"/>
      <c r="B585" s="28"/>
      <c r="C585" s="243" t="s">
        <v>344</v>
      </c>
      <c r="D585" s="83" t="s">
        <v>158</v>
      </c>
      <c r="E585" s="201">
        <v>400000.0</v>
      </c>
      <c r="F585" s="201">
        <v>550000.0</v>
      </c>
      <c r="G585" s="18">
        <f t="shared" ref="G585:G588" si="229">(F585-E585)/E585</f>
        <v>0.375</v>
      </c>
      <c r="H585" s="98">
        <v>490000.0</v>
      </c>
      <c r="I585" s="99">
        <f t="shared" ref="I585:I588" si="230">F585-H585</f>
        <v>60000</v>
      </c>
      <c r="J585" s="99"/>
      <c r="K585" s="99"/>
      <c r="L585" s="99"/>
      <c r="M585" s="99"/>
      <c r="N585" s="99"/>
      <c r="O585" s="99"/>
      <c r="P585" s="99"/>
      <c r="Q585" s="23"/>
      <c r="R585" s="23"/>
      <c r="S585" s="100"/>
      <c r="T585" s="24">
        <f t="shared" si="213"/>
        <v>-0.375</v>
      </c>
      <c r="U585" s="179">
        <f t="shared" si="201"/>
        <v>-1</v>
      </c>
      <c r="V585" s="179" t="str">
        <f t="shared" si="202"/>
        <v/>
      </c>
      <c r="W585" s="179" t="str">
        <f t="shared" si="203"/>
        <v/>
      </c>
      <c r="X585" s="26"/>
    </row>
    <row r="586" hidden="1">
      <c r="A586" s="28"/>
      <c r="B586" s="28"/>
      <c r="C586" s="244"/>
      <c r="D586" s="83" t="s">
        <v>345</v>
      </c>
      <c r="E586" s="201">
        <v>280000.0</v>
      </c>
      <c r="F586" s="201">
        <v>450000.0</v>
      </c>
      <c r="G586" s="18">
        <f t="shared" si="229"/>
        <v>0.6071428571</v>
      </c>
      <c r="H586" s="98">
        <v>370000.0</v>
      </c>
      <c r="I586" s="99">
        <f t="shared" si="230"/>
        <v>80000</v>
      </c>
      <c r="J586" s="99"/>
      <c r="K586" s="99"/>
      <c r="L586" s="99"/>
      <c r="M586" s="99"/>
      <c r="N586" s="99"/>
      <c r="O586" s="99"/>
      <c r="P586" s="99"/>
      <c r="Q586" s="23"/>
      <c r="R586" s="23"/>
      <c r="S586" s="100"/>
      <c r="T586" s="24">
        <f t="shared" si="213"/>
        <v>-0.6071428571</v>
      </c>
      <c r="U586" s="179">
        <f t="shared" si="201"/>
        <v>-1</v>
      </c>
      <c r="V586" s="179" t="str">
        <f t="shared" si="202"/>
        <v/>
      </c>
      <c r="W586" s="179" t="str">
        <f t="shared" si="203"/>
        <v/>
      </c>
      <c r="X586" s="26"/>
    </row>
    <row r="587" hidden="1">
      <c r="A587" s="28"/>
      <c r="B587" s="28"/>
      <c r="C587" s="244"/>
      <c r="D587" s="83" t="s">
        <v>325</v>
      </c>
      <c r="E587" s="201">
        <v>270000.0</v>
      </c>
      <c r="F587" s="201">
        <v>450000.0</v>
      </c>
      <c r="G587" s="18">
        <f t="shared" si="229"/>
        <v>0.6666666667</v>
      </c>
      <c r="H587" s="98">
        <v>420000.0</v>
      </c>
      <c r="I587" s="99">
        <f t="shared" si="230"/>
        <v>30000</v>
      </c>
      <c r="J587" s="99"/>
      <c r="K587" s="99"/>
      <c r="L587" s="99"/>
      <c r="M587" s="99"/>
      <c r="N587" s="99"/>
      <c r="O587" s="99"/>
      <c r="P587" s="99"/>
      <c r="Q587" s="23"/>
      <c r="R587" s="23"/>
      <c r="S587" s="100"/>
      <c r="T587" s="24">
        <f t="shared" si="213"/>
        <v>-0.6666666667</v>
      </c>
      <c r="U587" s="179">
        <f t="shared" si="201"/>
        <v>-1</v>
      </c>
      <c r="V587" s="179" t="str">
        <f t="shared" si="202"/>
        <v/>
      </c>
      <c r="W587" s="179" t="str">
        <f t="shared" si="203"/>
        <v/>
      </c>
      <c r="X587" s="26"/>
    </row>
    <row r="588" hidden="1">
      <c r="A588" s="28"/>
      <c r="B588" s="28"/>
      <c r="C588" s="244"/>
      <c r="D588" s="83" t="s">
        <v>156</v>
      </c>
      <c r="E588" s="201">
        <v>330000.0</v>
      </c>
      <c r="F588" s="201">
        <v>510000.0</v>
      </c>
      <c r="G588" s="18">
        <f t="shared" si="229"/>
        <v>0.5454545455</v>
      </c>
      <c r="H588" s="98">
        <v>460000.0</v>
      </c>
      <c r="I588" s="99">
        <f t="shared" si="230"/>
        <v>50000</v>
      </c>
      <c r="J588" s="99"/>
      <c r="K588" s="99"/>
      <c r="L588" s="99"/>
      <c r="M588" s="99"/>
      <c r="N588" s="99"/>
      <c r="O588" s="99"/>
      <c r="P588" s="99"/>
      <c r="Q588" s="23"/>
      <c r="R588" s="23"/>
      <c r="S588" s="100"/>
      <c r="T588" s="24">
        <f t="shared" si="213"/>
        <v>-0.5454545455</v>
      </c>
      <c r="U588" s="179">
        <f t="shared" si="201"/>
        <v>-1</v>
      </c>
      <c r="V588" s="179" t="str">
        <f t="shared" si="202"/>
        <v/>
      </c>
      <c r="W588" s="179" t="str">
        <f t="shared" si="203"/>
        <v/>
      </c>
      <c r="X588" s="26"/>
    </row>
    <row r="589" hidden="1">
      <c r="A589" s="28"/>
      <c r="B589" s="28"/>
      <c r="C589" s="244"/>
      <c r="D589" s="83" t="s">
        <v>287</v>
      </c>
      <c r="E589" s="105">
        <f t="shared" ref="E589:F589" si="231">E585+E586+E587+E588</f>
        <v>1280000</v>
      </c>
      <c r="F589" s="105">
        <f t="shared" si="231"/>
        <v>1960000</v>
      </c>
      <c r="G589" s="99"/>
      <c r="H589" s="99">
        <f>H585+H586+H587+H588</f>
        <v>1740000</v>
      </c>
      <c r="I589" s="99"/>
      <c r="J589" s="99"/>
      <c r="K589" s="99"/>
      <c r="L589" s="99"/>
      <c r="M589" s="99"/>
      <c r="N589" s="99"/>
      <c r="O589" s="99"/>
      <c r="P589" s="99"/>
      <c r="Q589" s="23"/>
      <c r="R589" s="23"/>
      <c r="S589" s="100"/>
      <c r="T589" s="24">
        <f t="shared" si="213"/>
        <v>0</v>
      </c>
      <c r="U589" s="179" t="str">
        <f t="shared" si="201"/>
        <v/>
      </c>
      <c r="V589" s="179" t="str">
        <f t="shared" si="202"/>
        <v/>
      </c>
      <c r="W589" s="179" t="str">
        <f t="shared" si="203"/>
        <v/>
      </c>
      <c r="X589" s="26"/>
    </row>
    <row r="590" hidden="1">
      <c r="A590" s="28"/>
      <c r="B590" s="28"/>
      <c r="C590" s="245"/>
      <c r="D590" s="83" t="s">
        <v>148</v>
      </c>
      <c r="E590" s="105">
        <f>F589-E589</f>
        <v>680000</v>
      </c>
      <c r="F590" s="105"/>
      <c r="G590" s="99"/>
      <c r="H590" s="99">
        <f>H589-E589</f>
        <v>460000</v>
      </c>
      <c r="I590" s="99"/>
      <c r="J590" s="99"/>
      <c r="K590" s="99"/>
      <c r="L590" s="99"/>
      <c r="M590" s="99"/>
      <c r="N590" s="99"/>
      <c r="O590" s="99"/>
      <c r="P590" s="99"/>
      <c r="Q590" s="23"/>
      <c r="R590" s="23"/>
      <c r="S590" s="100"/>
      <c r="T590" s="24">
        <f t="shared" si="213"/>
        <v>0</v>
      </c>
      <c r="U590" s="179" t="str">
        <f t="shared" si="201"/>
        <v/>
      </c>
      <c r="V590" s="179" t="str">
        <f t="shared" si="202"/>
        <v/>
      </c>
      <c r="W590" s="179" t="str">
        <f t="shared" si="203"/>
        <v/>
      </c>
      <c r="X590" s="26"/>
    </row>
    <row r="591" hidden="1">
      <c r="A591" s="28"/>
      <c r="B591" s="28"/>
      <c r="C591" s="107"/>
      <c r="D591" s="97"/>
      <c r="E591" s="105"/>
      <c r="F591" s="105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23"/>
      <c r="R591" s="23"/>
      <c r="S591" s="100"/>
      <c r="T591" s="24">
        <f t="shared" si="213"/>
        <v>0</v>
      </c>
      <c r="U591" s="179" t="str">
        <f t="shared" si="201"/>
        <v/>
      </c>
      <c r="V591" s="179" t="str">
        <f t="shared" si="202"/>
        <v/>
      </c>
      <c r="W591" s="179" t="str">
        <f t="shared" si="203"/>
        <v/>
      </c>
      <c r="X591" s="26"/>
    </row>
    <row r="592" hidden="1">
      <c r="A592" s="28"/>
      <c r="B592" s="28"/>
      <c r="C592" s="107"/>
      <c r="D592" s="97"/>
      <c r="E592" s="105"/>
      <c r="F592" s="105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23"/>
      <c r="R592" s="23"/>
      <c r="S592" s="100"/>
      <c r="T592" s="24">
        <f t="shared" si="213"/>
        <v>0</v>
      </c>
      <c r="U592" s="179" t="str">
        <f t="shared" si="201"/>
        <v/>
      </c>
      <c r="V592" s="179" t="str">
        <f t="shared" si="202"/>
        <v/>
      </c>
      <c r="W592" s="179" t="str">
        <f t="shared" si="203"/>
        <v/>
      </c>
      <c r="X592" s="26"/>
    </row>
    <row r="593" hidden="1">
      <c r="A593" s="28"/>
      <c r="B593" s="28"/>
      <c r="C593" s="82" t="s">
        <v>346</v>
      </c>
      <c r="D593" s="238" t="s">
        <v>347</v>
      </c>
      <c r="E593" s="201">
        <v>500000.0</v>
      </c>
      <c r="F593" s="201">
        <f>E593*1.7</f>
        <v>850000</v>
      </c>
      <c r="G593" s="18">
        <f t="shared" ref="G593:G604" si="232">(F593-E593)/E593</f>
        <v>0.7</v>
      </c>
      <c r="H593" s="99"/>
      <c r="I593" s="99"/>
      <c r="J593" s="99"/>
      <c r="K593" s="99"/>
      <c r="L593" s="99"/>
      <c r="M593" s="99"/>
      <c r="N593" s="99"/>
      <c r="O593" s="99"/>
      <c r="P593" s="99"/>
      <c r="Q593" s="23"/>
      <c r="R593" s="23"/>
      <c r="S593" s="100"/>
      <c r="T593" s="24">
        <f t="shared" si="213"/>
        <v>-0.7</v>
      </c>
      <c r="U593" s="179">
        <f t="shared" si="201"/>
        <v>-1</v>
      </c>
      <c r="V593" s="179" t="str">
        <f t="shared" si="202"/>
        <v/>
      </c>
      <c r="W593" s="179" t="str">
        <f t="shared" si="203"/>
        <v/>
      </c>
      <c r="X593" s="26"/>
    </row>
    <row r="594" hidden="1">
      <c r="A594" s="28"/>
      <c r="B594" s="28"/>
      <c r="C594" s="107"/>
      <c r="D594" s="238" t="s">
        <v>348</v>
      </c>
      <c r="E594" s="201">
        <f>184000*16+100000</f>
        <v>3044000</v>
      </c>
      <c r="F594" s="201">
        <f t="shared" ref="F594:F596" si="233">E594*1.35</f>
        <v>4109400</v>
      </c>
      <c r="G594" s="18">
        <f t="shared" si="232"/>
        <v>0.35</v>
      </c>
      <c r="H594" s="99"/>
      <c r="I594" s="99"/>
      <c r="J594" s="99"/>
      <c r="K594" s="99"/>
      <c r="L594" s="99"/>
      <c r="M594" s="99"/>
      <c r="N594" s="99"/>
      <c r="O594" s="99"/>
      <c r="P594" s="99"/>
      <c r="Q594" s="23"/>
      <c r="R594" s="23"/>
      <c r="S594" s="100"/>
      <c r="T594" s="24">
        <f t="shared" si="213"/>
        <v>-0.35</v>
      </c>
      <c r="U594" s="179">
        <f t="shared" si="201"/>
        <v>-1</v>
      </c>
      <c r="V594" s="179" t="str">
        <f t="shared" si="202"/>
        <v/>
      </c>
      <c r="W594" s="179" t="str">
        <f t="shared" si="203"/>
        <v/>
      </c>
      <c r="X594" s="26"/>
    </row>
    <row r="595" hidden="1">
      <c r="A595" s="28"/>
      <c r="B595" s="28"/>
      <c r="C595" s="238" t="s">
        <v>73</v>
      </c>
      <c r="D595" s="238" t="s">
        <v>349</v>
      </c>
      <c r="E595" s="201">
        <f>380000*16+100000</f>
        <v>6180000</v>
      </c>
      <c r="F595" s="201">
        <f t="shared" si="233"/>
        <v>8343000</v>
      </c>
      <c r="G595" s="18">
        <f t="shared" si="232"/>
        <v>0.35</v>
      </c>
      <c r="H595" s="99"/>
      <c r="I595" s="99"/>
      <c r="J595" s="99"/>
      <c r="K595" s="99"/>
      <c r="L595" s="99"/>
      <c r="M595" s="99"/>
      <c r="N595" s="99"/>
      <c r="O595" s="99"/>
      <c r="P595" s="99"/>
      <c r="Q595" s="23"/>
      <c r="R595" s="23"/>
      <c r="S595" s="100"/>
      <c r="T595" s="24">
        <f t="shared" si="213"/>
        <v>-0.35</v>
      </c>
      <c r="U595" s="179">
        <f t="shared" si="201"/>
        <v>-1</v>
      </c>
      <c r="V595" s="179" t="str">
        <f t="shared" si="202"/>
        <v/>
      </c>
      <c r="W595" s="179" t="str">
        <f t="shared" si="203"/>
        <v/>
      </c>
      <c r="X595" s="26"/>
    </row>
    <row r="596" hidden="1">
      <c r="A596" s="28"/>
      <c r="B596" s="28"/>
      <c r="C596" s="107"/>
      <c r="D596" s="238" t="s">
        <v>350</v>
      </c>
      <c r="E596" s="201">
        <f>E593</f>
        <v>500000</v>
      </c>
      <c r="F596" s="201">
        <f t="shared" si="233"/>
        <v>675000</v>
      </c>
      <c r="G596" s="18">
        <f t="shared" si="232"/>
        <v>0.35</v>
      </c>
      <c r="H596" s="99"/>
      <c r="I596" s="99"/>
      <c r="J596" s="99"/>
      <c r="K596" s="99"/>
      <c r="L596" s="99"/>
      <c r="M596" s="99"/>
      <c r="N596" s="99"/>
      <c r="O596" s="99"/>
      <c r="P596" s="99"/>
      <c r="Q596" s="23"/>
      <c r="R596" s="23"/>
      <c r="S596" s="100"/>
      <c r="T596" s="24">
        <f t="shared" si="213"/>
        <v>-0.35</v>
      </c>
      <c r="U596" s="179">
        <f t="shared" si="201"/>
        <v>-1</v>
      </c>
      <c r="V596" s="179" t="str">
        <f t="shared" si="202"/>
        <v/>
      </c>
      <c r="W596" s="179" t="str">
        <f t="shared" si="203"/>
        <v/>
      </c>
      <c r="X596" s="26"/>
    </row>
    <row r="597" hidden="1">
      <c r="A597" s="28"/>
      <c r="B597" s="28"/>
      <c r="C597" s="107"/>
      <c r="D597" s="238" t="s">
        <v>351</v>
      </c>
      <c r="E597" s="201">
        <v>260000.0</v>
      </c>
      <c r="F597" s="201">
        <v>550000.0</v>
      </c>
      <c r="G597" s="18">
        <f t="shared" si="232"/>
        <v>1.115384615</v>
      </c>
      <c r="H597" s="99"/>
      <c r="I597" s="99"/>
      <c r="J597" s="99"/>
      <c r="K597" s="99"/>
      <c r="L597" s="99"/>
      <c r="M597" s="99"/>
      <c r="N597" s="99"/>
      <c r="O597" s="99"/>
      <c r="P597" s="99"/>
      <c r="Q597" s="23"/>
      <c r="R597" s="23"/>
      <c r="S597" s="100"/>
      <c r="T597" s="24">
        <f t="shared" si="213"/>
        <v>-1.115384615</v>
      </c>
      <c r="U597" s="179">
        <f t="shared" si="201"/>
        <v>-1</v>
      </c>
      <c r="V597" s="179" t="str">
        <f t="shared" si="202"/>
        <v/>
      </c>
      <c r="W597" s="179" t="str">
        <f t="shared" si="203"/>
        <v/>
      </c>
      <c r="X597" s="26"/>
    </row>
    <row r="598" hidden="1">
      <c r="A598" s="28"/>
      <c r="B598" s="28"/>
      <c r="C598" s="107"/>
      <c r="D598" s="83" t="s">
        <v>352</v>
      </c>
      <c r="E598" s="105">
        <f>600000+(36000*16)+160000+500000</f>
        <v>1836000</v>
      </c>
      <c r="F598" s="201">
        <f>E598*1.5</f>
        <v>2754000</v>
      </c>
      <c r="G598" s="18">
        <f t="shared" si="232"/>
        <v>0.5</v>
      </c>
      <c r="H598" s="99"/>
      <c r="I598" s="99"/>
      <c r="J598" s="99"/>
      <c r="K598" s="99"/>
      <c r="L598" s="99"/>
      <c r="M598" s="99"/>
      <c r="N598" s="99"/>
      <c r="O598" s="99"/>
      <c r="P598" s="99"/>
      <c r="Q598" s="23"/>
      <c r="R598" s="23"/>
      <c r="S598" s="100"/>
      <c r="T598" s="24">
        <f t="shared" si="213"/>
        <v>-0.5</v>
      </c>
      <c r="U598" s="179">
        <f t="shared" si="201"/>
        <v>-1</v>
      </c>
      <c r="V598" s="179" t="str">
        <f t="shared" si="202"/>
        <v/>
      </c>
      <c r="W598" s="179" t="str">
        <f t="shared" si="203"/>
        <v/>
      </c>
      <c r="X598" s="26"/>
    </row>
    <row r="599" hidden="1">
      <c r="A599" s="28"/>
      <c r="B599" s="28"/>
      <c r="C599" s="107"/>
      <c r="D599" s="238" t="s">
        <v>353</v>
      </c>
      <c r="E599" s="105">
        <f>130000*16</f>
        <v>2080000</v>
      </c>
      <c r="F599" s="105">
        <f>200000*16</f>
        <v>3200000</v>
      </c>
      <c r="G599" s="18">
        <f t="shared" si="232"/>
        <v>0.5384615385</v>
      </c>
      <c r="H599" s="99"/>
      <c r="I599" s="99"/>
      <c r="J599" s="99"/>
      <c r="K599" s="99"/>
      <c r="L599" s="99"/>
      <c r="M599" s="99"/>
      <c r="N599" s="99"/>
      <c r="O599" s="99"/>
      <c r="P599" s="99"/>
      <c r="Q599" s="23"/>
      <c r="R599" s="23"/>
      <c r="S599" s="100"/>
      <c r="T599" s="24">
        <f t="shared" si="213"/>
        <v>-0.5384615385</v>
      </c>
      <c r="U599" s="179">
        <f t="shared" si="201"/>
        <v>-1</v>
      </c>
      <c r="V599" s="179" t="str">
        <f t="shared" si="202"/>
        <v/>
      </c>
      <c r="W599" s="179" t="str">
        <f t="shared" si="203"/>
        <v/>
      </c>
      <c r="X599" s="26"/>
    </row>
    <row r="600" hidden="1">
      <c r="A600" s="28"/>
      <c r="B600" s="28"/>
      <c r="C600" s="107"/>
      <c r="D600" s="83" t="s">
        <v>91</v>
      </c>
      <c r="E600" s="105">
        <f>350000*16</f>
        <v>5600000</v>
      </c>
      <c r="F600" s="105">
        <f t="shared" ref="F600:F601" si="234">490000*16</f>
        <v>7840000</v>
      </c>
      <c r="G600" s="18">
        <f t="shared" si="232"/>
        <v>0.4</v>
      </c>
      <c r="H600" s="99"/>
      <c r="I600" s="99"/>
      <c r="J600" s="99"/>
      <c r="K600" s="99"/>
      <c r="L600" s="99"/>
      <c r="M600" s="99"/>
      <c r="N600" s="99"/>
      <c r="O600" s="99"/>
      <c r="P600" s="99"/>
      <c r="Q600" s="23"/>
      <c r="R600" s="23"/>
      <c r="S600" s="100"/>
      <c r="T600" s="24">
        <f t="shared" si="213"/>
        <v>-0.4</v>
      </c>
      <c r="U600" s="179">
        <f t="shared" si="201"/>
        <v>-1</v>
      </c>
      <c r="V600" s="179" t="str">
        <f t="shared" si="202"/>
        <v/>
      </c>
      <c r="W600" s="179" t="str">
        <f t="shared" si="203"/>
        <v/>
      </c>
      <c r="X600" s="26"/>
    </row>
    <row r="601" hidden="1">
      <c r="A601" s="28"/>
      <c r="B601" s="28"/>
      <c r="C601" s="107"/>
      <c r="D601" s="83" t="s">
        <v>354</v>
      </c>
      <c r="E601" s="105">
        <f>370000*16</f>
        <v>5920000</v>
      </c>
      <c r="F601" s="105">
        <f t="shared" si="234"/>
        <v>7840000</v>
      </c>
      <c r="G601" s="18">
        <f t="shared" si="232"/>
        <v>0.3243243243</v>
      </c>
      <c r="H601" s="99"/>
      <c r="I601" s="99"/>
      <c r="J601" s="99"/>
      <c r="K601" s="99"/>
      <c r="L601" s="99"/>
      <c r="M601" s="99"/>
      <c r="N601" s="99"/>
      <c r="O601" s="99"/>
      <c r="P601" s="99"/>
      <c r="Q601" s="23"/>
      <c r="R601" s="23"/>
      <c r="S601" s="100"/>
      <c r="T601" s="24">
        <f t="shared" si="213"/>
        <v>-0.3243243243</v>
      </c>
      <c r="U601" s="179">
        <f t="shared" si="201"/>
        <v>-1</v>
      </c>
      <c r="V601" s="179" t="str">
        <f t="shared" si="202"/>
        <v/>
      </c>
      <c r="W601" s="179" t="str">
        <f t="shared" si="203"/>
        <v/>
      </c>
      <c r="X601" s="26"/>
    </row>
    <row r="602" hidden="1">
      <c r="A602" s="28"/>
      <c r="B602" s="28"/>
      <c r="C602" s="107"/>
      <c r="D602" s="83" t="s">
        <v>355</v>
      </c>
      <c r="E602" s="105">
        <f t="shared" ref="E602:F602" si="235">E597</f>
        <v>260000</v>
      </c>
      <c r="F602" s="105">
        <f t="shared" si="235"/>
        <v>550000</v>
      </c>
      <c r="G602" s="18">
        <f t="shared" si="232"/>
        <v>1.115384615</v>
      </c>
      <c r="H602" s="99"/>
      <c r="I602" s="99"/>
      <c r="J602" s="99"/>
      <c r="K602" s="99"/>
      <c r="L602" s="99"/>
      <c r="M602" s="99"/>
      <c r="N602" s="99"/>
      <c r="O602" s="99"/>
      <c r="P602" s="99"/>
      <c r="Q602" s="23"/>
      <c r="R602" s="23"/>
      <c r="S602" s="100"/>
      <c r="T602" s="24">
        <f t="shared" si="213"/>
        <v>-1.115384615</v>
      </c>
      <c r="U602" s="179">
        <f t="shared" si="201"/>
        <v>-1</v>
      </c>
      <c r="V602" s="179" t="str">
        <f t="shared" si="202"/>
        <v/>
      </c>
      <c r="W602" s="179" t="str">
        <f t="shared" si="203"/>
        <v/>
      </c>
      <c r="X602" s="26"/>
    </row>
    <row r="603" hidden="1">
      <c r="A603" s="28"/>
      <c r="B603" s="28"/>
      <c r="C603" s="107"/>
      <c r="D603" s="83" t="s">
        <v>101</v>
      </c>
      <c r="E603" s="105">
        <f t="shared" ref="E603:F603" si="236">SUM(E593:E602)</f>
        <v>26180000</v>
      </c>
      <c r="F603" s="105">
        <f t="shared" si="236"/>
        <v>36711400</v>
      </c>
      <c r="G603" s="18">
        <f t="shared" si="232"/>
        <v>0.4022689076</v>
      </c>
      <c r="H603" s="99"/>
      <c r="I603" s="99"/>
      <c r="J603" s="99"/>
      <c r="K603" s="99"/>
      <c r="L603" s="99"/>
      <c r="M603" s="99"/>
      <c r="N603" s="99"/>
      <c r="O603" s="99"/>
      <c r="P603" s="99"/>
      <c r="Q603" s="23"/>
      <c r="R603" s="23"/>
      <c r="S603" s="100"/>
      <c r="T603" s="24">
        <f t="shared" si="213"/>
        <v>-0.4022689076</v>
      </c>
      <c r="U603" s="179">
        <f t="shared" si="201"/>
        <v>-1</v>
      </c>
      <c r="V603" s="179" t="str">
        <f t="shared" si="202"/>
        <v/>
      </c>
      <c r="W603" s="179" t="str">
        <f t="shared" si="203"/>
        <v/>
      </c>
      <c r="X603" s="26"/>
    </row>
    <row r="604" hidden="1">
      <c r="A604" s="28"/>
      <c r="B604" s="28"/>
      <c r="C604" s="107"/>
      <c r="D604" s="83" t="s">
        <v>148</v>
      </c>
      <c r="E604" s="105">
        <f>F603-E603</f>
        <v>10531400</v>
      </c>
      <c r="F604" s="105"/>
      <c r="G604" s="18">
        <f t="shared" si="232"/>
        <v>-1</v>
      </c>
      <c r="H604" s="99"/>
      <c r="I604" s="99"/>
      <c r="J604" s="99"/>
      <c r="K604" s="99"/>
      <c r="L604" s="99"/>
      <c r="M604" s="99"/>
      <c r="N604" s="99"/>
      <c r="O604" s="99"/>
      <c r="P604" s="99"/>
      <c r="Q604" s="23"/>
      <c r="R604" s="23"/>
      <c r="S604" s="100"/>
      <c r="T604" s="24">
        <f t="shared" si="213"/>
        <v>1</v>
      </c>
      <c r="U604" s="179">
        <f t="shared" si="201"/>
        <v>-1</v>
      </c>
      <c r="V604" s="179" t="str">
        <f t="shared" si="202"/>
        <v/>
      </c>
      <c r="W604" s="179" t="str">
        <f t="shared" si="203"/>
        <v/>
      </c>
      <c r="X604" s="26"/>
    </row>
    <row r="605" hidden="1">
      <c r="A605" s="28"/>
      <c r="B605" s="28"/>
      <c r="C605" s="107"/>
      <c r="D605" s="97"/>
      <c r="E605" s="105"/>
      <c r="F605" s="105"/>
      <c r="G605" s="18"/>
      <c r="H605" s="99"/>
      <c r="I605" s="99"/>
      <c r="J605" s="99"/>
      <c r="K605" s="99"/>
      <c r="L605" s="99"/>
      <c r="M605" s="99"/>
      <c r="N605" s="99"/>
      <c r="O605" s="99"/>
      <c r="P605" s="99"/>
      <c r="Q605" s="23"/>
      <c r="R605" s="23"/>
      <c r="S605" s="100"/>
      <c r="T605" s="24">
        <f t="shared" si="213"/>
        <v>0</v>
      </c>
      <c r="U605" s="179" t="str">
        <f t="shared" si="201"/>
        <v/>
      </c>
      <c r="V605" s="179" t="str">
        <f t="shared" si="202"/>
        <v/>
      </c>
      <c r="W605" s="179" t="str">
        <f t="shared" si="203"/>
        <v/>
      </c>
      <c r="X605" s="26"/>
    </row>
    <row r="606" hidden="1">
      <c r="A606" s="28"/>
      <c r="B606" s="28"/>
      <c r="C606" s="107"/>
      <c r="D606" s="97"/>
      <c r="E606" s="105"/>
      <c r="F606" s="105"/>
      <c r="G606" s="18"/>
      <c r="H606" s="99"/>
      <c r="I606" s="99"/>
      <c r="J606" s="99"/>
      <c r="K606" s="99"/>
      <c r="L606" s="99"/>
      <c r="M606" s="99"/>
      <c r="N606" s="99"/>
      <c r="O606" s="99"/>
      <c r="P606" s="99"/>
      <c r="Q606" s="23"/>
      <c r="R606" s="23"/>
      <c r="S606" s="100"/>
      <c r="T606" s="24">
        <f t="shared" si="213"/>
        <v>0</v>
      </c>
      <c r="U606" s="179" t="str">
        <f t="shared" si="201"/>
        <v/>
      </c>
      <c r="V606" s="179" t="str">
        <f t="shared" si="202"/>
        <v/>
      </c>
      <c r="W606" s="179" t="str">
        <f t="shared" si="203"/>
        <v/>
      </c>
      <c r="X606" s="26"/>
    </row>
    <row r="607" hidden="1">
      <c r="A607" s="28"/>
      <c r="B607" s="28"/>
      <c r="C607" s="107"/>
      <c r="D607" s="97"/>
      <c r="E607" s="105"/>
      <c r="F607" s="105"/>
      <c r="G607" s="18"/>
      <c r="H607" s="99"/>
      <c r="I607" s="99"/>
      <c r="J607" s="99"/>
      <c r="K607" s="99"/>
      <c r="L607" s="99"/>
      <c r="M607" s="99"/>
      <c r="N607" s="99"/>
      <c r="O607" s="99"/>
      <c r="P607" s="99"/>
      <c r="Q607" s="23"/>
      <c r="R607" s="23"/>
      <c r="S607" s="100"/>
      <c r="T607" s="24">
        <f t="shared" si="213"/>
        <v>0</v>
      </c>
      <c r="U607" s="179" t="str">
        <f t="shared" si="201"/>
        <v/>
      </c>
      <c r="V607" s="179" t="str">
        <f t="shared" si="202"/>
        <v/>
      </c>
      <c r="W607" s="179" t="str">
        <f t="shared" si="203"/>
        <v/>
      </c>
      <c r="X607" s="26"/>
    </row>
    <row r="608" hidden="1">
      <c r="A608" s="28"/>
      <c r="B608" s="28"/>
      <c r="C608" s="82" t="s">
        <v>356</v>
      </c>
      <c r="D608" s="83" t="s">
        <v>357</v>
      </c>
      <c r="E608" s="105">
        <f>320000+(36000*2)+30000+20000</f>
        <v>442000</v>
      </c>
      <c r="F608" s="105">
        <f>325000*2</f>
        <v>650000</v>
      </c>
      <c r="G608" s="18">
        <f t="shared" ref="G608:G611" si="237">(F608-E608)/E608</f>
        <v>0.4705882353</v>
      </c>
      <c r="H608" s="99"/>
      <c r="I608" s="99"/>
      <c r="J608" s="99"/>
      <c r="K608" s="99"/>
      <c r="L608" s="99"/>
      <c r="M608" s="99"/>
      <c r="N608" s="99"/>
      <c r="O608" s="99"/>
      <c r="P608" s="99"/>
      <c r="Q608" s="23"/>
      <c r="R608" s="23"/>
      <c r="S608" s="100"/>
      <c r="T608" s="24">
        <f t="shared" si="213"/>
        <v>-0.4705882353</v>
      </c>
      <c r="U608" s="179">
        <f t="shared" si="201"/>
        <v>-1</v>
      </c>
      <c r="V608" s="179" t="str">
        <f t="shared" si="202"/>
        <v/>
      </c>
      <c r="W608" s="179" t="str">
        <f t="shared" si="203"/>
        <v/>
      </c>
      <c r="X608" s="26"/>
    </row>
    <row r="609" hidden="1">
      <c r="A609" s="28"/>
      <c r="B609" s="28"/>
      <c r="C609" s="107"/>
      <c r="D609" s="83" t="s">
        <v>358</v>
      </c>
      <c r="E609" s="105">
        <f>558000*2</f>
        <v>1116000</v>
      </c>
      <c r="F609" s="105">
        <f>730000*2</f>
        <v>1460000</v>
      </c>
      <c r="G609" s="18">
        <f t="shared" si="237"/>
        <v>0.3082437276</v>
      </c>
      <c r="H609" s="99"/>
      <c r="I609" s="99"/>
      <c r="J609" s="99"/>
      <c r="K609" s="99"/>
      <c r="L609" s="99"/>
      <c r="M609" s="99"/>
      <c r="N609" s="99"/>
      <c r="O609" s="99"/>
      <c r="P609" s="99"/>
      <c r="Q609" s="23"/>
      <c r="R609" s="23"/>
      <c r="S609" s="100"/>
      <c r="T609" s="24">
        <f t="shared" si="213"/>
        <v>-0.3082437276</v>
      </c>
      <c r="U609" s="179">
        <f t="shared" si="201"/>
        <v>-1</v>
      </c>
      <c r="V609" s="179" t="str">
        <f t="shared" si="202"/>
        <v/>
      </c>
      <c r="W609" s="179" t="str">
        <f t="shared" si="203"/>
        <v/>
      </c>
      <c r="X609" s="26"/>
    </row>
    <row r="610" hidden="1">
      <c r="A610" s="28"/>
      <c r="B610" s="28"/>
      <c r="C610" s="107"/>
      <c r="D610" s="83" t="s">
        <v>359</v>
      </c>
      <c r="E610" s="105">
        <f>685200*2</f>
        <v>1370400</v>
      </c>
      <c r="F610" s="105">
        <f>850000*2</f>
        <v>1700000</v>
      </c>
      <c r="G610" s="18">
        <f t="shared" si="237"/>
        <v>0.2405137186</v>
      </c>
      <c r="H610" s="99"/>
      <c r="I610" s="99"/>
      <c r="J610" s="99"/>
      <c r="K610" s="99"/>
      <c r="L610" s="99"/>
      <c r="M610" s="99"/>
      <c r="N610" s="99"/>
      <c r="O610" s="99"/>
      <c r="P610" s="99"/>
      <c r="Q610" s="23"/>
      <c r="R610" s="23"/>
      <c r="S610" s="100"/>
      <c r="T610" s="24">
        <f t="shared" si="213"/>
        <v>-0.2405137186</v>
      </c>
      <c r="U610" s="179">
        <f t="shared" si="201"/>
        <v>-1</v>
      </c>
      <c r="V610" s="179" t="str">
        <f t="shared" si="202"/>
        <v/>
      </c>
      <c r="W610" s="179" t="str">
        <f t="shared" si="203"/>
        <v/>
      </c>
      <c r="X610" s="26"/>
    </row>
    <row r="611" hidden="1">
      <c r="A611" s="28"/>
      <c r="B611" s="28"/>
      <c r="C611" s="107"/>
      <c r="D611" s="83" t="s">
        <v>101</v>
      </c>
      <c r="E611" s="105">
        <f t="shared" ref="E611:F611" si="238">SUM(E608:E610)</f>
        <v>2928400</v>
      </c>
      <c r="F611" s="105">
        <f t="shared" si="238"/>
        <v>3810000</v>
      </c>
      <c r="G611" s="18">
        <f t="shared" si="237"/>
        <v>0.3010517689</v>
      </c>
      <c r="H611" s="99"/>
      <c r="I611" s="99"/>
      <c r="J611" s="99"/>
      <c r="K611" s="99"/>
      <c r="L611" s="99"/>
      <c r="M611" s="99"/>
      <c r="N611" s="99"/>
      <c r="O611" s="99"/>
      <c r="P611" s="99"/>
      <c r="Q611" s="23"/>
      <c r="R611" s="23"/>
      <c r="S611" s="100"/>
      <c r="T611" s="24">
        <f t="shared" si="213"/>
        <v>-0.3010517689</v>
      </c>
      <c r="U611" s="179">
        <f t="shared" si="201"/>
        <v>-1</v>
      </c>
      <c r="V611" s="179" t="str">
        <f t="shared" si="202"/>
        <v/>
      </c>
      <c r="W611" s="179" t="str">
        <f t="shared" si="203"/>
        <v/>
      </c>
      <c r="X611" s="26"/>
    </row>
    <row r="612" hidden="1">
      <c r="A612" s="28"/>
      <c r="B612" s="28"/>
      <c r="C612" s="107"/>
      <c r="D612" s="83" t="s">
        <v>148</v>
      </c>
      <c r="E612" s="105">
        <f>F611-E611</f>
        <v>881600</v>
      </c>
      <c r="F612" s="105"/>
      <c r="G612" s="18"/>
      <c r="H612" s="99"/>
      <c r="I612" s="99"/>
      <c r="J612" s="99"/>
      <c r="K612" s="99"/>
      <c r="L612" s="99"/>
      <c r="M612" s="99"/>
      <c r="N612" s="99"/>
      <c r="O612" s="99"/>
      <c r="P612" s="99"/>
      <c r="Q612" s="23"/>
      <c r="R612" s="23"/>
      <c r="S612" s="100"/>
      <c r="T612" s="24">
        <f t="shared" si="213"/>
        <v>0</v>
      </c>
      <c r="U612" s="179" t="str">
        <f t="shared" si="201"/>
        <v/>
      </c>
      <c r="V612" s="179" t="str">
        <f t="shared" si="202"/>
        <v/>
      </c>
      <c r="W612" s="179" t="str">
        <f t="shared" si="203"/>
        <v/>
      </c>
      <c r="X612" s="26"/>
    </row>
    <row r="613" hidden="1">
      <c r="A613" s="28"/>
      <c r="B613" s="28"/>
      <c r="C613" s="107"/>
      <c r="D613" s="97"/>
      <c r="E613" s="105"/>
      <c r="F613" s="105"/>
      <c r="G613" s="18"/>
      <c r="H613" s="99"/>
      <c r="I613" s="99"/>
      <c r="J613" s="99"/>
      <c r="K613" s="99"/>
      <c r="L613" s="99"/>
      <c r="M613" s="99"/>
      <c r="N613" s="99"/>
      <c r="O613" s="99"/>
      <c r="P613" s="99"/>
      <c r="Q613" s="23"/>
      <c r="R613" s="23"/>
      <c r="S613" s="100"/>
      <c r="T613" s="24">
        <f t="shared" si="213"/>
        <v>0</v>
      </c>
      <c r="U613" s="179" t="str">
        <f t="shared" si="201"/>
        <v/>
      </c>
      <c r="V613" s="179" t="str">
        <f t="shared" si="202"/>
        <v/>
      </c>
      <c r="W613" s="179" t="str">
        <f t="shared" si="203"/>
        <v/>
      </c>
      <c r="X613" s="26"/>
    </row>
    <row r="614" hidden="1">
      <c r="A614" s="28"/>
      <c r="B614" s="28"/>
      <c r="C614" s="107"/>
      <c r="D614" s="97"/>
      <c r="E614" s="105"/>
      <c r="F614" s="105"/>
      <c r="G614" s="18"/>
      <c r="H614" s="99"/>
      <c r="I614" s="99"/>
      <c r="J614" s="99"/>
      <c r="K614" s="99"/>
      <c r="L614" s="99"/>
      <c r="M614" s="99"/>
      <c r="N614" s="99"/>
      <c r="O614" s="99"/>
      <c r="P614" s="99"/>
      <c r="Q614" s="23"/>
      <c r="R614" s="23"/>
      <c r="S614" s="100"/>
      <c r="T614" s="24">
        <f t="shared" si="213"/>
        <v>0</v>
      </c>
      <c r="U614" s="179" t="str">
        <f t="shared" si="201"/>
        <v/>
      </c>
      <c r="V614" s="179" t="str">
        <f t="shared" si="202"/>
        <v/>
      </c>
      <c r="W614" s="179" t="str">
        <f t="shared" si="203"/>
        <v/>
      </c>
      <c r="X614" s="26"/>
    </row>
    <row r="615" hidden="1">
      <c r="A615" s="28"/>
      <c r="B615" s="28"/>
      <c r="C615" s="82" t="s">
        <v>74</v>
      </c>
      <c r="D615" s="83" t="s">
        <v>277</v>
      </c>
      <c r="E615" s="105">
        <f>185000*2</f>
        <v>370000</v>
      </c>
      <c r="F615" s="105">
        <f>320000*2</f>
        <v>640000</v>
      </c>
      <c r="G615" s="18">
        <f t="shared" ref="G615:G618" si="239">(F615-E615)/E615</f>
        <v>0.7297297297</v>
      </c>
      <c r="H615" s="99"/>
      <c r="I615" s="99"/>
      <c r="J615" s="99"/>
      <c r="K615" s="99"/>
      <c r="L615" s="99"/>
      <c r="M615" s="99"/>
      <c r="N615" s="99"/>
      <c r="O615" s="99"/>
      <c r="P615" s="99"/>
      <c r="Q615" s="23"/>
      <c r="R615" s="23"/>
      <c r="S615" s="100"/>
      <c r="T615" s="24">
        <f t="shared" si="213"/>
        <v>-0.7297297297</v>
      </c>
      <c r="U615" s="179">
        <f t="shared" si="201"/>
        <v>-1</v>
      </c>
      <c r="V615" s="179" t="str">
        <f t="shared" si="202"/>
        <v/>
      </c>
      <c r="W615" s="179" t="str">
        <f t="shared" si="203"/>
        <v/>
      </c>
      <c r="X615" s="26"/>
    </row>
    <row r="616" hidden="1">
      <c r="A616" s="28"/>
      <c r="B616" s="28"/>
      <c r="C616" s="107"/>
      <c r="D616" s="83" t="s">
        <v>282</v>
      </c>
      <c r="E616" s="105">
        <f>309000*2</f>
        <v>618000</v>
      </c>
      <c r="F616" s="105">
        <f t="shared" ref="F616:F617" si="240">430000*2</f>
        <v>860000</v>
      </c>
      <c r="G616" s="18">
        <f t="shared" si="239"/>
        <v>0.3915857605</v>
      </c>
      <c r="H616" s="99"/>
      <c r="I616" s="99"/>
      <c r="J616" s="99"/>
      <c r="K616" s="99"/>
      <c r="L616" s="99"/>
      <c r="M616" s="99"/>
      <c r="N616" s="99"/>
      <c r="O616" s="99"/>
      <c r="P616" s="99"/>
      <c r="Q616" s="23"/>
      <c r="R616" s="23"/>
      <c r="S616" s="100"/>
      <c r="T616" s="24">
        <f t="shared" si="213"/>
        <v>-0.3915857605</v>
      </c>
      <c r="U616" s="179">
        <f t="shared" si="201"/>
        <v>-1</v>
      </c>
      <c r="V616" s="179" t="str">
        <f t="shared" si="202"/>
        <v/>
      </c>
      <c r="W616" s="179" t="str">
        <f t="shared" si="203"/>
        <v/>
      </c>
      <c r="X616" s="26"/>
    </row>
    <row r="617" hidden="1">
      <c r="A617" s="28"/>
      <c r="B617" s="28"/>
      <c r="C617" s="107"/>
      <c r="D617" s="83" t="s">
        <v>325</v>
      </c>
      <c r="E617" s="105">
        <f>(330000*2)</f>
        <v>660000</v>
      </c>
      <c r="F617" s="105">
        <f t="shared" si="240"/>
        <v>860000</v>
      </c>
      <c r="G617" s="18">
        <f t="shared" si="239"/>
        <v>0.303030303</v>
      </c>
      <c r="H617" s="99"/>
      <c r="I617" s="99"/>
      <c r="J617" s="99"/>
      <c r="K617" s="99"/>
      <c r="L617" s="99"/>
      <c r="M617" s="99"/>
      <c r="N617" s="99"/>
      <c r="O617" s="99"/>
      <c r="P617" s="99"/>
      <c r="Q617" s="23"/>
      <c r="R617" s="23"/>
      <c r="S617" s="100"/>
      <c r="T617" s="24">
        <f t="shared" si="213"/>
        <v>-0.303030303</v>
      </c>
      <c r="U617" s="179">
        <f t="shared" si="201"/>
        <v>-1</v>
      </c>
      <c r="V617" s="179" t="str">
        <f t="shared" si="202"/>
        <v/>
      </c>
      <c r="W617" s="179" t="str">
        <f t="shared" si="203"/>
        <v/>
      </c>
      <c r="X617" s="26"/>
    </row>
    <row r="618" hidden="1">
      <c r="A618" s="28"/>
      <c r="B618" s="28"/>
      <c r="C618" s="107"/>
      <c r="D618" s="83" t="s">
        <v>101</v>
      </c>
      <c r="E618" s="105">
        <f t="shared" ref="E618:F618" si="241">SUM(E615:E617)</f>
        <v>1648000</v>
      </c>
      <c r="F618" s="105">
        <f t="shared" si="241"/>
        <v>2360000</v>
      </c>
      <c r="G618" s="18">
        <f t="shared" si="239"/>
        <v>0.432038835</v>
      </c>
      <c r="H618" s="99"/>
      <c r="I618" s="99"/>
      <c r="J618" s="99"/>
      <c r="K618" s="99"/>
      <c r="L618" s="99"/>
      <c r="M618" s="99"/>
      <c r="N618" s="99"/>
      <c r="O618" s="99"/>
      <c r="P618" s="99"/>
      <c r="Q618" s="23"/>
      <c r="R618" s="23"/>
      <c r="S618" s="100"/>
      <c r="T618" s="24">
        <f t="shared" si="213"/>
        <v>-0.432038835</v>
      </c>
      <c r="U618" s="179">
        <f t="shared" si="201"/>
        <v>-1</v>
      </c>
      <c r="V618" s="179" t="str">
        <f t="shared" si="202"/>
        <v/>
      </c>
      <c r="W618" s="179" t="str">
        <f t="shared" si="203"/>
        <v/>
      </c>
      <c r="X618" s="26"/>
    </row>
    <row r="619" hidden="1">
      <c r="A619" s="28"/>
      <c r="B619" s="28"/>
      <c r="C619" s="107"/>
      <c r="D619" s="83" t="s">
        <v>148</v>
      </c>
      <c r="E619" s="105">
        <f>F618-E618</f>
        <v>712000</v>
      </c>
      <c r="F619" s="105"/>
      <c r="G619" s="18"/>
      <c r="H619" s="99"/>
      <c r="I619" s="99"/>
      <c r="J619" s="99"/>
      <c r="K619" s="99"/>
      <c r="L619" s="99"/>
      <c r="M619" s="99"/>
      <c r="N619" s="99"/>
      <c r="O619" s="99"/>
      <c r="P619" s="99"/>
      <c r="Q619" s="23"/>
      <c r="R619" s="23"/>
      <c r="S619" s="100"/>
      <c r="T619" s="24">
        <f t="shared" si="213"/>
        <v>0</v>
      </c>
      <c r="U619" s="179" t="str">
        <f t="shared" si="201"/>
        <v/>
      </c>
      <c r="V619" s="179" t="str">
        <f t="shared" si="202"/>
        <v/>
      </c>
      <c r="W619" s="179" t="str">
        <f t="shared" si="203"/>
        <v/>
      </c>
      <c r="X619" s="26"/>
    </row>
    <row r="620" hidden="1">
      <c r="A620" s="28"/>
      <c r="B620" s="28"/>
      <c r="C620" s="107"/>
      <c r="D620" s="97"/>
      <c r="E620" s="105"/>
      <c r="F620" s="105"/>
      <c r="G620" s="18"/>
      <c r="H620" s="99"/>
      <c r="I620" s="99"/>
      <c r="J620" s="99"/>
      <c r="K620" s="99"/>
      <c r="L620" s="99"/>
      <c r="M620" s="99"/>
      <c r="N620" s="99"/>
      <c r="O620" s="99"/>
      <c r="P620" s="99"/>
      <c r="Q620" s="23"/>
      <c r="R620" s="23"/>
      <c r="S620" s="100"/>
      <c r="T620" s="24">
        <f t="shared" si="213"/>
        <v>0</v>
      </c>
      <c r="U620" s="179" t="str">
        <f t="shared" si="201"/>
        <v/>
      </c>
      <c r="V620" s="179" t="str">
        <f t="shared" si="202"/>
        <v/>
      </c>
      <c r="W620" s="179" t="str">
        <f t="shared" si="203"/>
        <v/>
      </c>
      <c r="X620" s="26"/>
    </row>
    <row r="621" hidden="1">
      <c r="A621" s="28"/>
      <c r="B621" s="28"/>
      <c r="C621" s="107"/>
      <c r="D621" s="97"/>
      <c r="E621" s="105"/>
      <c r="F621" s="105"/>
      <c r="G621" s="18"/>
      <c r="H621" s="99"/>
      <c r="I621" s="99"/>
      <c r="J621" s="99"/>
      <c r="K621" s="99"/>
      <c r="L621" s="99"/>
      <c r="M621" s="99"/>
      <c r="N621" s="99"/>
      <c r="O621" s="99"/>
      <c r="P621" s="99"/>
      <c r="Q621" s="23"/>
      <c r="R621" s="23"/>
      <c r="S621" s="100"/>
      <c r="T621" s="24">
        <f t="shared" si="213"/>
        <v>0</v>
      </c>
      <c r="U621" s="179" t="str">
        <f t="shared" si="201"/>
        <v/>
      </c>
      <c r="V621" s="179" t="str">
        <f t="shared" si="202"/>
        <v/>
      </c>
      <c r="W621" s="179" t="str">
        <f t="shared" si="203"/>
        <v/>
      </c>
      <c r="X621" s="26"/>
    </row>
    <row r="622" hidden="1">
      <c r="A622" s="28"/>
      <c r="B622" s="28"/>
      <c r="C622" s="238" t="s">
        <v>360</v>
      </c>
      <c r="D622" s="83" t="s">
        <v>361</v>
      </c>
      <c r="E622" s="201">
        <v>55000.0</v>
      </c>
      <c r="F622" s="201">
        <v>200000.0</v>
      </c>
      <c r="G622" s="18">
        <f t="shared" ref="G622:G626" si="242">(F622-E622)/E622</f>
        <v>2.636363636</v>
      </c>
      <c r="H622" s="99"/>
      <c r="I622" s="99"/>
      <c r="J622" s="99"/>
      <c r="K622" s="99"/>
      <c r="L622" s="99"/>
      <c r="M622" s="99"/>
      <c r="N622" s="99"/>
      <c r="O622" s="99"/>
      <c r="P622" s="99"/>
      <c r="Q622" s="23"/>
      <c r="R622" s="23"/>
      <c r="S622" s="100"/>
      <c r="T622" s="24">
        <f t="shared" si="213"/>
        <v>-2.636363636</v>
      </c>
      <c r="U622" s="179">
        <f t="shared" si="201"/>
        <v>-1</v>
      </c>
      <c r="V622" s="179" t="str">
        <f t="shared" si="202"/>
        <v/>
      </c>
      <c r="W622" s="179" t="str">
        <f t="shared" si="203"/>
        <v/>
      </c>
      <c r="X622" s="26"/>
    </row>
    <row r="623" hidden="1">
      <c r="A623" s="28"/>
      <c r="B623" s="28"/>
      <c r="C623" s="107"/>
      <c r="D623" s="83" t="s">
        <v>156</v>
      </c>
      <c r="E623" s="105">
        <f>330000+250000</f>
        <v>580000</v>
      </c>
      <c r="F623" s="105">
        <f>490000+320000</f>
        <v>810000</v>
      </c>
      <c r="G623" s="18">
        <f t="shared" si="242"/>
        <v>0.3965517241</v>
      </c>
      <c r="H623" s="99"/>
      <c r="I623" s="99"/>
      <c r="J623" s="99"/>
      <c r="K623" s="99"/>
      <c r="L623" s="99"/>
      <c r="M623" s="99"/>
      <c r="N623" s="99"/>
      <c r="O623" s="99"/>
      <c r="P623" s="99"/>
      <c r="Q623" s="23"/>
      <c r="R623" s="23"/>
      <c r="S623" s="100"/>
      <c r="T623" s="24">
        <f t="shared" si="213"/>
        <v>-0.3965517241</v>
      </c>
      <c r="U623" s="179">
        <f t="shared" si="201"/>
        <v>-1</v>
      </c>
      <c r="V623" s="179" t="str">
        <f t="shared" si="202"/>
        <v/>
      </c>
      <c r="W623" s="179" t="str">
        <f t="shared" si="203"/>
        <v/>
      </c>
      <c r="X623" s="26"/>
    </row>
    <row r="624" hidden="1">
      <c r="A624" s="28"/>
      <c r="B624" s="28"/>
      <c r="C624" s="107"/>
      <c r="D624" s="83" t="s">
        <v>240</v>
      </c>
      <c r="E624" s="201">
        <f>80000*2+36000+15000+120000+20000</f>
        <v>351000</v>
      </c>
      <c r="F624" s="105">
        <f>325000*2</f>
        <v>650000</v>
      </c>
      <c r="G624" s="18">
        <f t="shared" si="242"/>
        <v>0.8518518519</v>
      </c>
      <c r="H624" s="99"/>
      <c r="I624" s="99"/>
      <c r="J624" s="99"/>
      <c r="K624" s="99"/>
      <c r="L624" s="99"/>
      <c r="M624" s="99"/>
      <c r="N624" s="99"/>
      <c r="O624" s="99"/>
      <c r="P624" s="99"/>
      <c r="Q624" s="23"/>
      <c r="R624" s="23"/>
      <c r="S624" s="100"/>
      <c r="T624" s="24">
        <f t="shared" si="213"/>
        <v>-0.8518518519</v>
      </c>
      <c r="U624" s="179">
        <f t="shared" si="201"/>
        <v>-1</v>
      </c>
      <c r="V624" s="179" t="str">
        <f t="shared" si="202"/>
        <v/>
      </c>
      <c r="W624" s="179" t="str">
        <f t="shared" si="203"/>
        <v/>
      </c>
      <c r="X624" s="26"/>
    </row>
    <row r="625" hidden="1">
      <c r="A625" s="28"/>
      <c r="B625" s="28"/>
      <c r="C625" s="107"/>
      <c r="D625" s="83" t="s">
        <v>267</v>
      </c>
      <c r="E625" s="105">
        <f>280000*2</f>
        <v>560000</v>
      </c>
      <c r="F625" s="105">
        <f>430000*2</f>
        <v>860000</v>
      </c>
      <c r="G625" s="18">
        <f t="shared" si="242"/>
        <v>0.5357142857</v>
      </c>
      <c r="H625" s="99"/>
      <c r="I625" s="99"/>
      <c r="J625" s="99"/>
      <c r="K625" s="99"/>
      <c r="L625" s="99"/>
      <c r="M625" s="99"/>
      <c r="N625" s="99"/>
      <c r="O625" s="99"/>
      <c r="P625" s="99"/>
      <c r="Q625" s="23"/>
      <c r="R625" s="23"/>
      <c r="S625" s="100"/>
      <c r="T625" s="24">
        <f t="shared" si="213"/>
        <v>-0.5357142857</v>
      </c>
      <c r="U625" s="179">
        <f t="shared" si="201"/>
        <v>-1</v>
      </c>
      <c r="V625" s="179" t="str">
        <f t="shared" si="202"/>
        <v/>
      </c>
      <c r="W625" s="179" t="str">
        <f t="shared" si="203"/>
        <v/>
      </c>
      <c r="X625" s="26"/>
    </row>
    <row r="626" hidden="1">
      <c r="A626" s="28"/>
      <c r="B626" s="28"/>
      <c r="C626" s="107"/>
      <c r="D626" s="83" t="s">
        <v>121</v>
      </c>
      <c r="E626" s="201">
        <v>55000.0</v>
      </c>
      <c r="F626" s="201">
        <v>200000.0</v>
      </c>
      <c r="G626" s="18">
        <f t="shared" si="242"/>
        <v>2.636363636</v>
      </c>
      <c r="H626" s="99"/>
      <c r="I626" s="99"/>
      <c r="J626" s="99"/>
      <c r="K626" s="99"/>
      <c r="L626" s="99"/>
      <c r="M626" s="99"/>
      <c r="N626" s="99"/>
      <c r="O626" s="99"/>
      <c r="P626" s="99"/>
      <c r="Q626" s="23"/>
      <c r="R626" s="23"/>
      <c r="S626" s="100"/>
      <c r="T626" s="24">
        <f t="shared" si="213"/>
        <v>-2.636363636</v>
      </c>
      <c r="U626" s="179">
        <f t="shared" si="201"/>
        <v>-1</v>
      </c>
      <c r="V626" s="179" t="str">
        <f t="shared" si="202"/>
        <v/>
      </c>
      <c r="W626" s="179" t="str">
        <f t="shared" si="203"/>
        <v/>
      </c>
      <c r="X626" s="26"/>
    </row>
    <row r="627" hidden="1">
      <c r="A627" s="28"/>
      <c r="B627" s="28"/>
      <c r="C627" s="107"/>
      <c r="D627" s="83" t="s">
        <v>101</v>
      </c>
      <c r="E627" s="105">
        <f>E622+E623+E624+E625+E626</f>
        <v>1601000</v>
      </c>
      <c r="F627" s="105">
        <f>SUM(F622:F626)</f>
        <v>2720000</v>
      </c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23"/>
      <c r="R627" s="23"/>
      <c r="S627" s="100"/>
      <c r="T627" s="24">
        <f t="shared" si="213"/>
        <v>0</v>
      </c>
      <c r="U627" s="179" t="str">
        <f t="shared" si="201"/>
        <v/>
      </c>
      <c r="V627" s="179" t="str">
        <f t="shared" si="202"/>
        <v/>
      </c>
      <c r="W627" s="179" t="str">
        <f t="shared" si="203"/>
        <v/>
      </c>
      <c r="X627" s="26"/>
    </row>
    <row r="628" hidden="1">
      <c r="A628" s="28"/>
      <c r="B628" s="28"/>
      <c r="C628" s="107"/>
      <c r="D628" s="83" t="s">
        <v>148</v>
      </c>
      <c r="E628" s="105">
        <f>F627-E627</f>
        <v>1119000</v>
      </c>
      <c r="F628" s="105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23"/>
      <c r="R628" s="23"/>
      <c r="S628" s="100"/>
      <c r="T628" s="24">
        <f t="shared" si="213"/>
        <v>0</v>
      </c>
      <c r="U628" s="179" t="str">
        <f t="shared" si="201"/>
        <v/>
      </c>
      <c r="V628" s="179" t="str">
        <f t="shared" si="202"/>
        <v/>
      </c>
      <c r="W628" s="179" t="str">
        <f t="shared" si="203"/>
        <v/>
      </c>
      <c r="X628" s="26"/>
    </row>
    <row r="629" hidden="1">
      <c r="A629" s="28"/>
      <c r="B629" s="28"/>
      <c r="C629" s="107"/>
      <c r="D629" s="97"/>
      <c r="E629" s="105"/>
      <c r="F629" s="105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23"/>
      <c r="R629" s="23"/>
      <c r="S629" s="100"/>
      <c r="T629" s="24">
        <f t="shared" si="213"/>
        <v>0</v>
      </c>
      <c r="U629" s="179" t="str">
        <f t="shared" si="201"/>
        <v/>
      </c>
      <c r="V629" s="179" t="str">
        <f t="shared" si="202"/>
        <v/>
      </c>
      <c r="W629" s="179" t="str">
        <f t="shared" si="203"/>
        <v/>
      </c>
      <c r="X629" s="26"/>
    </row>
    <row r="630" hidden="1">
      <c r="A630" s="28"/>
      <c r="B630" s="28"/>
      <c r="C630" s="238" t="s">
        <v>362</v>
      </c>
      <c r="D630" s="83" t="s">
        <v>361</v>
      </c>
      <c r="E630" s="201">
        <v>55000.0</v>
      </c>
      <c r="F630" s="201">
        <v>200000.0</v>
      </c>
      <c r="G630" s="18">
        <f t="shared" ref="G630:G635" si="243">(F630-E630)/E630</f>
        <v>2.636363636</v>
      </c>
      <c r="H630" s="99"/>
      <c r="I630" s="99"/>
      <c r="J630" s="99"/>
      <c r="K630" s="99"/>
      <c r="L630" s="99"/>
      <c r="M630" s="99"/>
      <c r="N630" s="99"/>
      <c r="O630" s="99"/>
      <c r="P630" s="99"/>
      <c r="Q630" s="23"/>
      <c r="R630" s="23"/>
      <c r="S630" s="100"/>
      <c r="T630" s="24">
        <f t="shared" si="213"/>
        <v>-2.636363636</v>
      </c>
      <c r="U630" s="179">
        <f t="shared" si="201"/>
        <v>-1</v>
      </c>
      <c r="V630" s="179" t="str">
        <f t="shared" si="202"/>
        <v/>
      </c>
      <c r="W630" s="179" t="str">
        <f t="shared" si="203"/>
        <v/>
      </c>
      <c r="X630" s="26"/>
    </row>
    <row r="631" hidden="1">
      <c r="A631" s="28"/>
      <c r="B631" s="28"/>
      <c r="C631" s="107"/>
      <c r="D631" s="83" t="s">
        <v>156</v>
      </c>
      <c r="E631" s="105">
        <f>330000+330000</f>
        <v>660000</v>
      </c>
      <c r="F631" s="105">
        <f>(490000*2)</f>
        <v>980000</v>
      </c>
      <c r="G631" s="18">
        <f t="shared" si="243"/>
        <v>0.4848484848</v>
      </c>
      <c r="H631" s="99"/>
      <c r="I631" s="99"/>
      <c r="J631" s="99"/>
      <c r="K631" s="99"/>
      <c r="L631" s="99"/>
      <c r="M631" s="99"/>
      <c r="N631" s="99"/>
      <c r="O631" s="99"/>
      <c r="P631" s="99"/>
      <c r="Q631" s="23"/>
      <c r="R631" s="23"/>
      <c r="S631" s="100"/>
      <c r="T631" s="24">
        <f t="shared" si="213"/>
        <v>-0.4848484848</v>
      </c>
      <c r="U631" s="179">
        <f t="shared" si="201"/>
        <v>-1</v>
      </c>
      <c r="V631" s="179" t="str">
        <f t="shared" si="202"/>
        <v/>
      </c>
      <c r="W631" s="179" t="str">
        <f t="shared" si="203"/>
        <v/>
      </c>
      <c r="X631" s="26"/>
    </row>
    <row r="632" hidden="1">
      <c r="A632" s="28"/>
      <c r="B632" s="28"/>
      <c r="C632" s="107"/>
      <c r="D632" s="83" t="s">
        <v>240</v>
      </c>
      <c r="E632" s="201">
        <f>E624+21000</f>
        <v>372000</v>
      </c>
      <c r="F632" s="105">
        <f>325000*2</f>
        <v>650000</v>
      </c>
      <c r="G632" s="18">
        <f t="shared" si="243"/>
        <v>0.747311828</v>
      </c>
      <c r="H632" s="99"/>
      <c r="I632" s="99"/>
      <c r="J632" s="99"/>
      <c r="K632" s="99"/>
      <c r="L632" s="99"/>
      <c r="M632" s="99"/>
      <c r="N632" s="99"/>
      <c r="O632" s="99"/>
      <c r="P632" s="99"/>
      <c r="Q632" s="23"/>
      <c r="R632" s="23"/>
      <c r="S632" s="100"/>
      <c r="T632" s="24">
        <f t="shared" si="213"/>
        <v>-0.747311828</v>
      </c>
      <c r="U632" s="179">
        <f t="shared" si="201"/>
        <v>-1</v>
      </c>
      <c r="V632" s="179" t="str">
        <f t="shared" si="202"/>
        <v/>
      </c>
      <c r="W632" s="179" t="str">
        <f t="shared" si="203"/>
        <v/>
      </c>
      <c r="X632" s="26"/>
    </row>
    <row r="633" hidden="1">
      <c r="A633" s="28"/>
      <c r="B633" s="28"/>
      <c r="C633" s="107"/>
      <c r="D633" s="83" t="s">
        <v>267</v>
      </c>
      <c r="E633" s="105">
        <f>280000*2</f>
        <v>560000</v>
      </c>
      <c r="F633" s="105">
        <f>430000*2</f>
        <v>860000</v>
      </c>
      <c r="G633" s="18">
        <f t="shared" si="243"/>
        <v>0.5357142857</v>
      </c>
      <c r="H633" s="99"/>
      <c r="I633" s="99"/>
      <c r="J633" s="99"/>
      <c r="K633" s="99"/>
      <c r="L633" s="99"/>
      <c r="M633" s="99"/>
      <c r="N633" s="99"/>
      <c r="O633" s="99"/>
      <c r="P633" s="99"/>
      <c r="Q633" s="23"/>
      <c r="R633" s="23"/>
      <c r="S633" s="100"/>
      <c r="T633" s="24">
        <f t="shared" si="213"/>
        <v>-0.5357142857</v>
      </c>
      <c r="U633" s="179">
        <f t="shared" si="201"/>
        <v>-1</v>
      </c>
      <c r="V633" s="179" t="str">
        <f t="shared" si="202"/>
        <v/>
      </c>
      <c r="W633" s="179" t="str">
        <f t="shared" si="203"/>
        <v/>
      </c>
      <c r="X633" s="26"/>
    </row>
    <row r="634" hidden="1">
      <c r="A634" s="28"/>
      <c r="B634" s="28"/>
      <c r="C634" s="107"/>
      <c r="D634" s="83" t="s">
        <v>121</v>
      </c>
      <c r="E634" s="201">
        <v>55000.0</v>
      </c>
      <c r="F634" s="201">
        <v>200000.0</v>
      </c>
      <c r="G634" s="18">
        <f t="shared" si="243"/>
        <v>2.636363636</v>
      </c>
      <c r="H634" s="99"/>
      <c r="I634" s="99"/>
      <c r="J634" s="99"/>
      <c r="K634" s="99"/>
      <c r="L634" s="99"/>
      <c r="M634" s="99"/>
      <c r="N634" s="99"/>
      <c r="O634" s="99"/>
      <c r="P634" s="99"/>
      <c r="Q634" s="23"/>
      <c r="R634" s="23"/>
      <c r="S634" s="100"/>
      <c r="T634" s="24">
        <f t="shared" si="213"/>
        <v>-2.636363636</v>
      </c>
      <c r="U634" s="179">
        <f t="shared" si="201"/>
        <v>-1</v>
      </c>
      <c r="V634" s="179" t="str">
        <f t="shared" si="202"/>
        <v/>
      </c>
      <c r="W634" s="179" t="str">
        <f t="shared" si="203"/>
        <v/>
      </c>
      <c r="X634" s="26"/>
    </row>
    <row r="635" hidden="1">
      <c r="A635" s="28"/>
      <c r="B635" s="28"/>
      <c r="C635" s="107"/>
      <c r="D635" s="83" t="s">
        <v>101</v>
      </c>
      <c r="E635" s="105">
        <f>E630+E631+E632+E633+E634</f>
        <v>1702000</v>
      </c>
      <c r="F635" s="105">
        <f>SUM(F630:F634)</f>
        <v>2890000</v>
      </c>
      <c r="G635" s="18">
        <f t="shared" si="243"/>
        <v>0.6980023502</v>
      </c>
      <c r="H635" s="99"/>
      <c r="I635" s="99"/>
      <c r="J635" s="99"/>
      <c r="K635" s="99"/>
      <c r="L635" s="99"/>
      <c r="M635" s="99"/>
      <c r="N635" s="99"/>
      <c r="O635" s="99"/>
      <c r="P635" s="99"/>
      <c r="Q635" s="23"/>
      <c r="R635" s="23"/>
      <c r="S635" s="100"/>
      <c r="T635" s="24">
        <f t="shared" si="213"/>
        <v>-0.6980023502</v>
      </c>
      <c r="U635" s="179">
        <f t="shared" si="201"/>
        <v>-1</v>
      </c>
      <c r="V635" s="179" t="str">
        <f t="shared" si="202"/>
        <v/>
      </c>
      <c r="W635" s="179" t="str">
        <f t="shared" si="203"/>
        <v/>
      </c>
      <c r="X635" s="26"/>
    </row>
    <row r="636" hidden="1">
      <c r="A636" s="28"/>
      <c r="B636" s="28"/>
      <c r="C636" s="107"/>
      <c r="D636" s="83" t="s">
        <v>148</v>
      </c>
      <c r="E636" s="105">
        <f>F635-E635</f>
        <v>1188000</v>
      </c>
      <c r="F636" s="105"/>
      <c r="G636" s="18"/>
      <c r="H636" s="99"/>
      <c r="I636" s="99"/>
      <c r="J636" s="99"/>
      <c r="K636" s="99"/>
      <c r="L636" s="99"/>
      <c r="M636" s="99"/>
      <c r="N636" s="99"/>
      <c r="O636" s="99"/>
      <c r="P636" s="99"/>
      <c r="Q636" s="23"/>
      <c r="R636" s="23"/>
      <c r="S636" s="100"/>
      <c r="T636" s="24">
        <f t="shared" si="213"/>
        <v>0</v>
      </c>
      <c r="U636" s="179" t="str">
        <f t="shared" si="201"/>
        <v/>
      </c>
      <c r="V636" s="179" t="str">
        <f t="shared" si="202"/>
        <v/>
      </c>
      <c r="W636" s="179" t="str">
        <f t="shared" si="203"/>
        <v/>
      </c>
      <c r="X636" s="26"/>
    </row>
    <row r="637" hidden="1">
      <c r="A637" s="28"/>
      <c r="B637" s="28"/>
      <c r="C637" s="107"/>
      <c r="D637" s="97"/>
      <c r="E637" s="105"/>
      <c r="F637" s="105"/>
      <c r="G637" s="18"/>
      <c r="H637" s="99"/>
      <c r="I637" s="99"/>
      <c r="J637" s="99"/>
      <c r="K637" s="99"/>
      <c r="L637" s="99"/>
      <c r="M637" s="99"/>
      <c r="N637" s="99"/>
      <c r="O637" s="99"/>
      <c r="P637" s="99"/>
      <c r="Q637" s="23"/>
      <c r="R637" s="23"/>
      <c r="S637" s="100"/>
      <c r="T637" s="24">
        <f t="shared" si="213"/>
        <v>0</v>
      </c>
      <c r="U637" s="179" t="str">
        <f t="shared" si="201"/>
        <v/>
      </c>
      <c r="V637" s="179" t="str">
        <f t="shared" si="202"/>
        <v/>
      </c>
      <c r="W637" s="179" t="str">
        <f t="shared" si="203"/>
        <v/>
      </c>
      <c r="X637" s="26"/>
    </row>
    <row r="638" hidden="1">
      <c r="A638" s="28"/>
      <c r="B638" s="28"/>
      <c r="C638" s="82" t="s">
        <v>363</v>
      </c>
      <c r="D638" s="83" t="s">
        <v>284</v>
      </c>
      <c r="E638" s="105">
        <f>666000*2</f>
        <v>1332000</v>
      </c>
      <c r="F638" s="105">
        <f>870000*2</f>
        <v>1740000</v>
      </c>
      <c r="G638" s="18">
        <f t="shared" ref="G638:G643" si="244">(F638-E638)/E638</f>
        <v>0.3063063063</v>
      </c>
      <c r="H638" s="99"/>
      <c r="I638" s="99"/>
      <c r="J638" s="99"/>
      <c r="K638" s="99"/>
      <c r="L638" s="99"/>
      <c r="M638" s="99"/>
      <c r="N638" s="99"/>
      <c r="O638" s="99"/>
      <c r="P638" s="99"/>
      <c r="Q638" s="23"/>
      <c r="R638" s="23"/>
      <c r="S638" s="100"/>
      <c r="T638" s="24">
        <f t="shared" si="213"/>
        <v>-0.3063063063</v>
      </c>
      <c r="U638" s="179">
        <f t="shared" si="201"/>
        <v>-1</v>
      </c>
      <c r="V638" s="179" t="str">
        <f t="shared" si="202"/>
        <v/>
      </c>
      <c r="W638" s="179" t="str">
        <f t="shared" si="203"/>
        <v/>
      </c>
      <c r="X638" s="26"/>
    </row>
    <row r="639" hidden="1">
      <c r="A639" s="28"/>
      <c r="B639" s="28"/>
      <c r="C639" s="107"/>
      <c r="D639" s="83" t="s">
        <v>364</v>
      </c>
      <c r="E639" s="201">
        <v>350000.0</v>
      </c>
      <c r="F639" s="201">
        <v>580000.0</v>
      </c>
      <c r="G639" s="18">
        <f t="shared" si="244"/>
        <v>0.6571428571</v>
      </c>
      <c r="H639" s="99"/>
      <c r="I639" s="99"/>
      <c r="J639" s="99"/>
      <c r="K639" s="99"/>
      <c r="L639" s="99"/>
      <c r="M639" s="99"/>
      <c r="N639" s="99"/>
      <c r="O639" s="99"/>
      <c r="P639" s="99"/>
      <c r="Q639" s="23"/>
      <c r="R639" s="23"/>
      <c r="S639" s="100"/>
      <c r="T639" s="24">
        <f t="shared" si="213"/>
        <v>-0.6571428571</v>
      </c>
      <c r="U639" s="179">
        <f t="shared" si="201"/>
        <v>-1</v>
      </c>
      <c r="V639" s="179" t="str">
        <f t="shared" si="202"/>
        <v/>
      </c>
      <c r="W639" s="179" t="str">
        <f t="shared" si="203"/>
        <v/>
      </c>
      <c r="X639" s="26"/>
    </row>
    <row r="640" hidden="1">
      <c r="A640" s="28"/>
      <c r="B640" s="28"/>
      <c r="C640" s="107"/>
      <c r="D640" s="83" t="s">
        <v>285</v>
      </c>
      <c r="E640" s="201">
        <f>(130000*2)</f>
        <v>260000</v>
      </c>
      <c r="F640" s="105">
        <f>250000*2</f>
        <v>500000</v>
      </c>
      <c r="G640" s="18">
        <f t="shared" si="244"/>
        <v>0.9230769231</v>
      </c>
      <c r="H640" s="99"/>
      <c r="I640" s="99"/>
      <c r="J640" s="99"/>
      <c r="K640" s="99"/>
      <c r="L640" s="99"/>
      <c r="M640" s="99"/>
      <c r="N640" s="99"/>
      <c r="O640" s="99"/>
      <c r="P640" s="99"/>
      <c r="Q640" s="23"/>
      <c r="R640" s="23"/>
      <c r="S640" s="100"/>
      <c r="T640" s="24">
        <f t="shared" si="213"/>
        <v>-0.9230769231</v>
      </c>
      <c r="U640" s="179">
        <f t="shared" si="201"/>
        <v>-1</v>
      </c>
      <c r="V640" s="179" t="str">
        <f t="shared" si="202"/>
        <v/>
      </c>
      <c r="W640" s="179" t="str">
        <f t="shared" si="203"/>
        <v/>
      </c>
      <c r="X640" s="26"/>
    </row>
    <row r="641" hidden="1">
      <c r="A641" s="28"/>
      <c r="B641" s="28"/>
      <c r="C641" s="107"/>
      <c r="D641" s="83" t="s">
        <v>158</v>
      </c>
      <c r="E641" s="105">
        <f>400000*2</f>
        <v>800000</v>
      </c>
      <c r="F641" s="105">
        <f>550000*2</f>
        <v>1100000</v>
      </c>
      <c r="G641" s="18">
        <f t="shared" si="244"/>
        <v>0.375</v>
      </c>
      <c r="H641" s="99"/>
      <c r="I641" s="99"/>
      <c r="J641" s="99"/>
      <c r="K641" s="99"/>
      <c r="L641" s="99"/>
      <c r="M641" s="99"/>
      <c r="N641" s="99"/>
      <c r="O641" s="99"/>
      <c r="P641" s="99"/>
      <c r="Q641" s="23"/>
      <c r="R641" s="23"/>
      <c r="S641" s="100"/>
      <c r="T641" s="24">
        <f t="shared" si="213"/>
        <v>-0.375</v>
      </c>
      <c r="U641" s="179">
        <f t="shared" si="201"/>
        <v>-1</v>
      </c>
      <c r="V641" s="179" t="str">
        <f t="shared" si="202"/>
        <v/>
      </c>
      <c r="W641" s="179" t="str">
        <f t="shared" si="203"/>
        <v/>
      </c>
      <c r="X641" s="26"/>
    </row>
    <row r="642" hidden="1">
      <c r="A642" s="28"/>
      <c r="B642" s="28"/>
      <c r="C642" s="107"/>
      <c r="D642" s="83" t="s">
        <v>138</v>
      </c>
      <c r="E642" s="105">
        <f>350000*2</f>
        <v>700000</v>
      </c>
      <c r="F642" s="105">
        <f>520000*2</f>
        <v>1040000</v>
      </c>
      <c r="G642" s="18">
        <f t="shared" si="244"/>
        <v>0.4857142857</v>
      </c>
      <c r="H642" s="99"/>
      <c r="I642" s="99"/>
      <c r="J642" s="99"/>
      <c r="K642" s="99"/>
      <c r="L642" s="99"/>
      <c r="M642" s="99"/>
      <c r="N642" s="99"/>
      <c r="O642" s="99"/>
      <c r="P642" s="99"/>
      <c r="Q642" s="23"/>
      <c r="R642" s="23"/>
      <c r="S642" s="100"/>
      <c r="T642" s="24">
        <f t="shared" si="213"/>
        <v>-0.4857142857</v>
      </c>
      <c r="U642" s="179">
        <f t="shared" si="201"/>
        <v>-1</v>
      </c>
      <c r="V642" s="179" t="str">
        <f t="shared" si="202"/>
        <v/>
      </c>
      <c r="W642" s="179" t="str">
        <f t="shared" si="203"/>
        <v/>
      </c>
      <c r="X642" s="26"/>
    </row>
    <row r="643" hidden="1">
      <c r="A643" s="28"/>
      <c r="B643" s="28"/>
      <c r="C643" s="107"/>
      <c r="D643" s="205" t="s">
        <v>101</v>
      </c>
      <c r="E643" s="105">
        <f t="shared" ref="E643:F643" si="245">SUM(E638:E642)</f>
        <v>3442000</v>
      </c>
      <c r="F643" s="105">
        <f t="shared" si="245"/>
        <v>4960000</v>
      </c>
      <c r="G643" s="18">
        <f t="shared" si="244"/>
        <v>0.4410226612</v>
      </c>
      <c r="H643" s="99"/>
      <c r="I643" s="99"/>
      <c r="J643" s="99"/>
      <c r="K643" s="99"/>
      <c r="L643" s="99"/>
      <c r="M643" s="99"/>
      <c r="N643" s="99"/>
      <c r="O643" s="99"/>
      <c r="P643" s="99"/>
      <c r="Q643" s="23"/>
      <c r="R643" s="23"/>
      <c r="S643" s="100"/>
      <c r="T643" s="24">
        <f t="shared" si="213"/>
        <v>-0.4410226612</v>
      </c>
      <c r="U643" s="179">
        <f t="shared" si="201"/>
        <v>-1</v>
      </c>
      <c r="V643" s="179" t="str">
        <f t="shared" si="202"/>
        <v/>
      </c>
      <c r="W643" s="179" t="str">
        <f t="shared" si="203"/>
        <v/>
      </c>
      <c r="X643" s="26"/>
    </row>
    <row r="644" hidden="1">
      <c r="A644" s="28"/>
      <c r="B644" s="28"/>
      <c r="C644" s="107"/>
      <c r="D644" s="83" t="s">
        <v>148</v>
      </c>
      <c r="E644" s="105">
        <f>F643-E643</f>
        <v>1518000</v>
      </c>
      <c r="F644" s="105"/>
      <c r="G644" s="18"/>
      <c r="H644" s="99"/>
      <c r="I644" s="99"/>
      <c r="J644" s="99"/>
      <c r="K644" s="99"/>
      <c r="L644" s="99"/>
      <c r="M644" s="99"/>
      <c r="N644" s="99"/>
      <c r="O644" s="99"/>
      <c r="P644" s="99"/>
      <c r="Q644" s="23"/>
      <c r="R644" s="23"/>
      <c r="S644" s="100"/>
      <c r="T644" s="24">
        <f t="shared" si="213"/>
        <v>0</v>
      </c>
      <c r="U644" s="179" t="str">
        <f t="shared" si="201"/>
        <v/>
      </c>
      <c r="V644" s="179" t="str">
        <f t="shared" si="202"/>
        <v/>
      </c>
      <c r="W644" s="179" t="str">
        <f t="shared" si="203"/>
        <v/>
      </c>
      <c r="X644" s="26"/>
    </row>
    <row r="645" hidden="1">
      <c r="A645" s="28"/>
      <c r="B645" s="28"/>
      <c r="C645" s="107"/>
      <c r="D645" s="97"/>
      <c r="E645" s="105"/>
      <c r="F645" s="105"/>
      <c r="G645" s="18"/>
      <c r="H645" s="99"/>
      <c r="I645" s="99"/>
      <c r="J645" s="99"/>
      <c r="K645" s="99"/>
      <c r="L645" s="99"/>
      <c r="M645" s="99"/>
      <c r="N645" s="99"/>
      <c r="O645" s="99"/>
      <c r="P645" s="99"/>
      <c r="Q645" s="23"/>
      <c r="R645" s="23"/>
      <c r="S645" s="100"/>
      <c r="T645" s="24">
        <f t="shared" si="213"/>
        <v>0</v>
      </c>
      <c r="U645" s="179" t="str">
        <f t="shared" si="201"/>
        <v/>
      </c>
      <c r="V645" s="179" t="str">
        <f t="shared" si="202"/>
        <v/>
      </c>
      <c r="W645" s="179" t="str">
        <f t="shared" si="203"/>
        <v/>
      </c>
      <c r="X645" s="26"/>
    </row>
    <row r="646" hidden="1">
      <c r="A646" s="28"/>
      <c r="B646" s="28"/>
      <c r="C646" s="107"/>
      <c r="D646" s="97"/>
      <c r="E646" s="105"/>
      <c r="F646" s="105"/>
      <c r="G646" s="18"/>
      <c r="H646" s="99"/>
      <c r="I646" s="99"/>
      <c r="J646" s="99"/>
      <c r="K646" s="99"/>
      <c r="L646" s="99"/>
      <c r="M646" s="99"/>
      <c r="N646" s="99"/>
      <c r="O646" s="99"/>
      <c r="P646" s="99"/>
      <c r="Q646" s="23"/>
      <c r="R646" s="23"/>
      <c r="S646" s="100"/>
      <c r="T646" s="24">
        <f t="shared" si="213"/>
        <v>0</v>
      </c>
      <c r="U646" s="179" t="str">
        <f t="shared" si="201"/>
        <v/>
      </c>
      <c r="V646" s="179" t="str">
        <f t="shared" si="202"/>
        <v/>
      </c>
      <c r="W646" s="179" t="str">
        <f t="shared" si="203"/>
        <v/>
      </c>
      <c r="X646" s="26"/>
    </row>
    <row r="647" hidden="1">
      <c r="A647" s="28"/>
      <c r="B647" s="28"/>
      <c r="C647" s="82" t="s">
        <v>365</v>
      </c>
      <c r="D647" s="83" t="s">
        <v>325</v>
      </c>
      <c r="E647" s="201">
        <f>(330000*2)</f>
        <v>660000</v>
      </c>
      <c r="F647" s="105">
        <f>430000*2</f>
        <v>860000</v>
      </c>
      <c r="G647" s="18">
        <f t="shared" ref="G647:G649" si="246">(F647-E647)/E647</f>
        <v>0.303030303</v>
      </c>
      <c r="H647" s="99"/>
      <c r="I647" s="99"/>
      <c r="J647" s="99"/>
      <c r="K647" s="99"/>
      <c r="L647" s="99"/>
      <c r="M647" s="99"/>
      <c r="N647" s="99"/>
      <c r="O647" s="99"/>
      <c r="P647" s="99"/>
      <c r="Q647" s="23"/>
      <c r="R647" s="23"/>
      <c r="S647" s="100"/>
      <c r="T647" s="24">
        <f t="shared" si="213"/>
        <v>-0.303030303</v>
      </c>
      <c r="U647" s="179">
        <f t="shared" si="201"/>
        <v>-1</v>
      </c>
      <c r="V647" s="179" t="str">
        <f t="shared" si="202"/>
        <v/>
      </c>
      <c r="W647" s="179" t="str">
        <f t="shared" si="203"/>
        <v/>
      </c>
      <c r="X647" s="26"/>
    </row>
    <row r="648" hidden="1">
      <c r="A648" s="28"/>
      <c r="B648" s="28"/>
      <c r="C648" s="107"/>
      <c r="D648" s="83" t="s">
        <v>265</v>
      </c>
      <c r="E648" s="105">
        <f>928000</f>
        <v>928000</v>
      </c>
      <c r="F648" s="105">
        <f>614000*2</f>
        <v>1228000</v>
      </c>
      <c r="G648" s="18">
        <f t="shared" si="246"/>
        <v>0.3232758621</v>
      </c>
      <c r="H648" s="99"/>
      <c r="I648" s="99"/>
      <c r="J648" s="99"/>
      <c r="K648" s="99"/>
      <c r="L648" s="99"/>
      <c r="M648" s="99"/>
      <c r="N648" s="99"/>
      <c r="O648" s="99"/>
      <c r="P648" s="99"/>
      <c r="Q648" s="23"/>
      <c r="R648" s="23"/>
      <c r="S648" s="100"/>
      <c r="T648" s="24">
        <f t="shared" si="213"/>
        <v>-0.3232758621</v>
      </c>
      <c r="U648" s="179">
        <f t="shared" si="201"/>
        <v>-1</v>
      </c>
      <c r="V648" s="179" t="str">
        <f t="shared" si="202"/>
        <v/>
      </c>
      <c r="W648" s="179" t="str">
        <f t="shared" si="203"/>
        <v/>
      </c>
      <c r="X648" s="26"/>
    </row>
    <row r="649" hidden="1">
      <c r="A649" s="28"/>
      <c r="B649" s="28"/>
      <c r="C649" s="107"/>
      <c r="D649" s="83" t="s">
        <v>101</v>
      </c>
      <c r="E649" s="105">
        <f t="shared" ref="E649:F649" si="247">SUM(E647:E648)</f>
        <v>1588000</v>
      </c>
      <c r="F649" s="105">
        <f t="shared" si="247"/>
        <v>2088000</v>
      </c>
      <c r="G649" s="18">
        <f t="shared" si="246"/>
        <v>0.314861461</v>
      </c>
      <c r="H649" s="99"/>
      <c r="I649" s="99"/>
      <c r="J649" s="99"/>
      <c r="K649" s="99"/>
      <c r="L649" s="99"/>
      <c r="M649" s="99"/>
      <c r="N649" s="99"/>
      <c r="O649" s="99"/>
      <c r="P649" s="99"/>
      <c r="Q649" s="23"/>
      <c r="R649" s="23"/>
      <c r="S649" s="100"/>
      <c r="T649" s="24">
        <f t="shared" si="213"/>
        <v>-0.314861461</v>
      </c>
      <c r="U649" s="179">
        <f t="shared" si="201"/>
        <v>-1</v>
      </c>
      <c r="V649" s="179" t="str">
        <f t="shared" si="202"/>
        <v/>
      </c>
      <c r="W649" s="179" t="str">
        <f t="shared" si="203"/>
        <v/>
      </c>
      <c r="X649" s="26"/>
    </row>
    <row r="650" hidden="1">
      <c r="A650" s="28"/>
      <c r="B650" s="28"/>
      <c r="C650" s="107"/>
      <c r="D650" s="83" t="s">
        <v>148</v>
      </c>
      <c r="E650" s="105">
        <f>F649-E649</f>
        <v>500000</v>
      </c>
      <c r="F650" s="105"/>
      <c r="G650" s="18"/>
      <c r="H650" s="99"/>
      <c r="I650" s="99"/>
      <c r="J650" s="99"/>
      <c r="K650" s="99"/>
      <c r="L650" s="99"/>
      <c r="M650" s="99"/>
      <c r="N650" s="99"/>
      <c r="O650" s="99"/>
      <c r="P650" s="99"/>
      <c r="Q650" s="23"/>
      <c r="R650" s="23"/>
      <c r="S650" s="100"/>
      <c r="T650" s="24">
        <f t="shared" si="213"/>
        <v>0</v>
      </c>
      <c r="U650" s="179" t="str">
        <f t="shared" si="201"/>
        <v/>
      </c>
      <c r="V650" s="179" t="str">
        <f t="shared" si="202"/>
        <v/>
      </c>
      <c r="W650" s="179" t="str">
        <f t="shared" si="203"/>
        <v/>
      </c>
      <c r="X650" s="26"/>
    </row>
    <row r="651" hidden="1">
      <c r="A651" s="28"/>
      <c r="B651" s="28"/>
      <c r="C651" s="107"/>
      <c r="D651" s="97"/>
      <c r="E651" s="105"/>
      <c r="F651" s="105"/>
      <c r="G651" s="18"/>
      <c r="H651" s="99"/>
      <c r="I651" s="99"/>
      <c r="J651" s="99"/>
      <c r="K651" s="99"/>
      <c r="L651" s="99"/>
      <c r="M651" s="99"/>
      <c r="N651" s="99"/>
      <c r="O651" s="99"/>
      <c r="P651" s="99"/>
      <c r="Q651" s="23"/>
      <c r="R651" s="23"/>
      <c r="S651" s="100"/>
      <c r="T651" s="24">
        <f t="shared" si="213"/>
        <v>0</v>
      </c>
      <c r="U651" s="179" t="str">
        <f t="shared" si="201"/>
        <v/>
      </c>
      <c r="V651" s="179" t="str">
        <f t="shared" si="202"/>
        <v/>
      </c>
      <c r="W651" s="179" t="str">
        <f t="shared" si="203"/>
        <v/>
      </c>
      <c r="X651" s="26"/>
    </row>
    <row r="652" hidden="1">
      <c r="A652" s="28"/>
      <c r="B652" s="28"/>
      <c r="C652" s="107"/>
      <c r="D652" s="97"/>
      <c r="E652" s="105"/>
      <c r="F652" s="105"/>
      <c r="G652" s="18"/>
      <c r="H652" s="99"/>
      <c r="I652" s="99"/>
      <c r="J652" s="99"/>
      <c r="K652" s="99"/>
      <c r="L652" s="99"/>
      <c r="M652" s="99"/>
      <c r="N652" s="99"/>
      <c r="O652" s="99"/>
      <c r="P652" s="99"/>
      <c r="Q652" s="23"/>
      <c r="R652" s="23"/>
      <c r="S652" s="100"/>
      <c r="T652" s="24">
        <f t="shared" si="213"/>
        <v>0</v>
      </c>
      <c r="U652" s="179" t="str">
        <f t="shared" si="201"/>
        <v/>
      </c>
      <c r="V652" s="179" t="str">
        <f t="shared" si="202"/>
        <v/>
      </c>
      <c r="W652" s="179" t="str">
        <f t="shared" si="203"/>
        <v/>
      </c>
      <c r="X652" s="26"/>
    </row>
    <row r="653" hidden="1">
      <c r="A653" s="28"/>
      <c r="B653" s="28"/>
      <c r="C653" s="242" t="s">
        <v>366</v>
      </c>
      <c r="D653" s="83" t="s">
        <v>197</v>
      </c>
      <c r="E653" s="105">
        <f>300000*3+220000</f>
        <v>1120000</v>
      </c>
      <c r="F653" s="105">
        <f>450000*3+370000</f>
        <v>1720000</v>
      </c>
      <c r="G653" s="18">
        <f t="shared" ref="G653:G655" si="248">(F653-E653)/E653</f>
        <v>0.5357142857</v>
      </c>
      <c r="H653" s="99"/>
      <c r="I653" s="99"/>
      <c r="J653" s="99"/>
      <c r="K653" s="99"/>
      <c r="L653" s="99"/>
      <c r="M653" s="99"/>
      <c r="N653" s="99"/>
      <c r="O653" s="99"/>
      <c r="P653" s="99"/>
      <c r="Q653" s="23"/>
      <c r="R653" s="23"/>
      <c r="S653" s="100"/>
      <c r="T653" s="24">
        <f t="shared" si="213"/>
        <v>-0.5357142857</v>
      </c>
      <c r="U653" s="179">
        <f t="shared" si="201"/>
        <v>-1</v>
      </c>
      <c r="V653" s="179" t="str">
        <f t="shared" si="202"/>
        <v/>
      </c>
      <c r="W653" s="179" t="str">
        <f t="shared" si="203"/>
        <v/>
      </c>
      <c r="X653" s="26"/>
    </row>
    <row r="654" hidden="1">
      <c r="A654" s="28"/>
      <c r="B654" s="28"/>
      <c r="C654" s="107"/>
      <c r="D654" s="83" t="s">
        <v>156</v>
      </c>
      <c r="E654" s="105">
        <f>250000*2+330000*2</f>
        <v>1160000</v>
      </c>
      <c r="F654" s="105">
        <f>320000*2+510000*2</f>
        <v>1660000</v>
      </c>
      <c r="G654" s="18">
        <f t="shared" si="248"/>
        <v>0.4310344828</v>
      </c>
      <c r="H654" s="99"/>
      <c r="I654" s="99"/>
      <c r="J654" s="99"/>
      <c r="K654" s="99"/>
      <c r="L654" s="99"/>
      <c r="M654" s="99"/>
      <c r="N654" s="99"/>
      <c r="O654" s="99"/>
      <c r="P654" s="99"/>
      <c r="Q654" s="23"/>
      <c r="R654" s="23"/>
      <c r="S654" s="100"/>
      <c r="T654" s="24">
        <f t="shared" si="213"/>
        <v>-0.4310344828</v>
      </c>
      <c r="U654" s="179">
        <f t="shared" si="201"/>
        <v>-1</v>
      </c>
      <c r="V654" s="179" t="str">
        <f t="shared" si="202"/>
        <v/>
      </c>
      <c r="W654" s="179" t="str">
        <f t="shared" si="203"/>
        <v/>
      </c>
      <c r="X654" s="26"/>
    </row>
    <row r="655" hidden="1">
      <c r="A655" s="28"/>
      <c r="B655" s="28"/>
      <c r="C655" s="107"/>
      <c r="D655" s="83" t="s">
        <v>101</v>
      </c>
      <c r="E655" s="105">
        <f t="shared" ref="E655:F655" si="249">SUM(E653:E654)</f>
        <v>2280000</v>
      </c>
      <c r="F655" s="105">
        <f t="shared" si="249"/>
        <v>3380000</v>
      </c>
      <c r="G655" s="18">
        <f t="shared" si="248"/>
        <v>0.4824561404</v>
      </c>
      <c r="H655" s="99"/>
      <c r="I655" s="99"/>
      <c r="J655" s="99"/>
      <c r="K655" s="99"/>
      <c r="L655" s="99"/>
      <c r="M655" s="99"/>
      <c r="N655" s="99"/>
      <c r="O655" s="99"/>
      <c r="P655" s="99"/>
      <c r="Q655" s="23"/>
      <c r="R655" s="23"/>
      <c r="S655" s="100"/>
      <c r="T655" s="24">
        <f t="shared" si="213"/>
        <v>-0.4824561404</v>
      </c>
      <c r="U655" s="179">
        <f t="shared" si="201"/>
        <v>-1</v>
      </c>
      <c r="V655" s="179" t="str">
        <f t="shared" si="202"/>
        <v/>
      </c>
      <c r="W655" s="179" t="str">
        <f t="shared" si="203"/>
        <v/>
      </c>
      <c r="X655" s="26"/>
    </row>
    <row r="656" hidden="1">
      <c r="A656" s="28"/>
      <c r="B656" s="28"/>
      <c r="C656" s="107"/>
      <c r="D656" s="83" t="s">
        <v>367</v>
      </c>
      <c r="E656" s="105">
        <f>F655-E655</f>
        <v>1100000</v>
      </c>
      <c r="F656" s="105"/>
      <c r="G656" s="18"/>
      <c r="H656" s="99"/>
      <c r="I656" s="99"/>
      <c r="J656" s="99"/>
      <c r="K656" s="99"/>
      <c r="L656" s="99"/>
      <c r="M656" s="99"/>
      <c r="N656" s="99"/>
      <c r="O656" s="99"/>
      <c r="P656" s="99"/>
      <c r="Q656" s="23"/>
      <c r="R656" s="23"/>
      <c r="S656" s="100"/>
      <c r="T656" s="24">
        <f t="shared" si="213"/>
        <v>0</v>
      </c>
      <c r="U656" s="179" t="str">
        <f t="shared" si="201"/>
        <v/>
      </c>
      <c r="V656" s="179" t="str">
        <f t="shared" si="202"/>
        <v/>
      </c>
      <c r="W656" s="179" t="str">
        <f t="shared" si="203"/>
        <v/>
      </c>
      <c r="X656" s="26"/>
    </row>
    <row r="657" hidden="1">
      <c r="A657" s="28"/>
      <c r="B657" s="28"/>
      <c r="C657" s="107"/>
      <c r="D657" s="97"/>
      <c r="E657" s="105"/>
      <c r="F657" s="105"/>
      <c r="G657" s="18"/>
      <c r="H657" s="99"/>
      <c r="I657" s="99"/>
      <c r="J657" s="99"/>
      <c r="K657" s="99"/>
      <c r="L657" s="99"/>
      <c r="M657" s="99"/>
      <c r="N657" s="99"/>
      <c r="O657" s="99"/>
      <c r="P657" s="99"/>
      <c r="Q657" s="23"/>
      <c r="R657" s="23"/>
      <c r="S657" s="100"/>
      <c r="T657" s="24">
        <f t="shared" si="213"/>
        <v>0</v>
      </c>
      <c r="U657" s="179" t="str">
        <f t="shared" si="201"/>
        <v/>
      </c>
      <c r="V657" s="179" t="str">
        <f t="shared" si="202"/>
        <v/>
      </c>
      <c r="W657" s="179" t="str">
        <f t="shared" si="203"/>
        <v/>
      </c>
      <c r="X657" s="26"/>
    </row>
    <row r="658" hidden="1">
      <c r="A658" s="28"/>
      <c r="B658" s="28"/>
      <c r="C658" s="107"/>
      <c r="D658" s="97"/>
      <c r="E658" s="105"/>
      <c r="F658" s="105"/>
      <c r="G658" s="18"/>
      <c r="H658" s="99"/>
      <c r="I658" s="99"/>
      <c r="J658" s="99"/>
      <c r="K658" s="99"/>
      <c r="L658" s="99"/>
      <c r="M658" s="99"/>
      <c r="N658" s="99"/>
      <c r="O658" s="99"/>
      <c r="P658" s="99"/>
      <c r="Q658" s="23"/>
      <c r="R658" s="23"/>
      <c r="S658" s="100"/>
      <c r="T658" s="24">
        <f t="shared" si="213"/>
        <v>0</v>
      </c>
      <c r="U658" s="179" t="str">
        <f t="shared" si="201"/>
        <v/>
      </c>
      <c r="V658" s="179" t="str">
        <f t="shared" si="202"/>
        <v/>
      </c>
      <c r="W658" s="179" t="str">
        <f t="shared" si="203"/>
        <v/>
      </c>
      <c r="X658" s="26"/>
    </row>
    <row r="659" hidden="1">
      <c r="A659" s="28"/>
      <c r="B659" s="28"/>
      <c r="C659" s="242" t="s">
        <v>368</v>
      </c>
      <c r="D659" s="83" t="s">
        <v>192</v>
      </c>
      <c r="E659" s="105">
        <f>309000*2</f>
        <v>618000</v>
      </c>
      <c r="F659" s="105">
        <f>450000*2</f>
        <v>900000</v>
      </c>
      <c r="G659" s="18">
        <f t="shared" ref="G659:G663" si="250">(F659-E659)/E659</f>
        <v>0.4563106796</v>
      </c>
      <c r="H659" s="99"/>
      <c r="I659" s="99"/>
      <c r="J659" s="99"/>
      <c r="K659" s="99"/>
      <c r="L659" s="99"/>
      <c r="M659" s="99"/>
      <c r="N659" s="99"/>
      <c r="O659" s="99"/>
      <c r="P659" s="99"/>
      <c r="Q659" s="23"/>
      <c r="R659" s="23"/>
      <c r="S659" s="100"/>
      <c r="T659" s="24">
        <f t="shared" si="213"/>
        <v>-0.4563106796</v>
      </c>
      <c r="U659" s="179">
        <f t="shared" si="201"/>
        <v>-1</v>
      </c>
      <c r="V659" s="179" t="str">
        <f t="shared" si="202"/>
        <v/>
      </c>
      <c r="W659" s="179" t="str">
        <f t="shared" si="203"/>
        <v/>
      </c>
      <c r="X659" s="26"/>
    </row>
    <row r="660" hidden="1">
      <c r="A660" s="28"/>
      <c r="B660" s="28"/>
      <c r="C660" s="107"/>
      <c r="D660" s="83" t="s">
        <v>169</v>
      </c>
      <c r="E660" s="105">
        <f>370000*2</f>
        <v>740000</v>
      </c>
      <c r="F660" s="105">
        <f>510000*2</f>
        <v>1020000</v>
      </c>
      <c r="G660" s="18">
        <f t="shared" si="250"/>
        <v>0.3783783784</v>
      </c>
      <c r="H660" s="99"/>
      <c r="I660" s="99"/>
      <c r="J660" s="99"/>
      <c r="K660" s="99"/>
      <c r="L660" s="99"/>
      <c r="M660" s="99"/>
      <c r="N660" s="99"/>
      <c r="O660" s="99"/>
      <c r="P660" s="99"/>
      <c r="Q660" s="23"/>
      <c r="R660" s="23"/>
      <c r="S660" s="100"/>
      <c r="T660" s="24">
        <f t="shared" si="213"/>
        <v>-0.3783783784</v>
      </c>
      <c r="U660" s="179">
        <f t="shared" si="201"/>
        <v>-1</v>
      </c>
      <c r="V660" s="179" t="str">
        <f t="shared" si="202"/>
        <v/>
      </c>
      <c r="W660" s="179" t="str">
        <f t="shared" si="203"/>
        <v/>
      </c>
      <c r="X660" s="26"/>
    </row>
    <row r="661" hidden="1">
      <c r="A661" s="28"/>
      <c r="B661" s="28"/>
      <c r="C661" s="107"/>
      <c r="D661" s="83" t="s">
        <v>170</v>
      </c>
      <c r="E661" s="105">
        <f>270000*2</f>
        <v>540000</v>
      </c>
      <c r="F661" s="105">
        <f>450000*2</f>
        <v>900000</v>
      </c>
      <c r="G661" s="18">
        <f t="shared" si="250"/>
        <v>0.6666666667</v>
      </c>
      <c r="H661" s="99"/>
      <c r="I661" s="99"/>
      <c r="J661" s="99"/>
      <c r="K661" s="99"/>
      <c r="L661" s="99"/>
      <c r="M661" s="99"/>
      <c r="N661" s="99"/>
      <c r="O661" s="99"/>
      <c r="P661" s="99"/>
      <c r="Q661" s="23"/>
      <c r="R661" s="23"/>
      <c r="S661" s="100"/>
      <c r="T661" s="24">
        <f t="shared" si="213"/>
        <v>-0.6666666667</v>
      </c>
      <c r="U661" s="179">
        <f t="shared" si="201"/>
        <v>-1</v>
      </c>
      <c r="V661" s="179" t="str">
        <f t="shared" si="202"/>
        <v/>
      </c>
      <c r="W661" s="179" t="str">
        <f t="shared" si="203"/>
        <v/>
      </c>
      <c r="X661" s="26"/>
    </row>
    <row r="662" hidden="1">
      <c r="A662" s="28"/>
      <c r="B662" s="28"/>
      <c r="C662" s="107"/>
      <c r="D662" s="83" t="s">
        <v>156</v>
      </c>
      <c r="E662" s="105">
        <f>(330000*2)</f>
        <v>660000</v>
      </c>
      <c r="F662" s="105">
        <f>510000*2</f>
        <v>1020000</v>
      </c>
      <c r="G662" s="18">
        <f t="shared" si="250"/>
        <v>0.5454545455</v>
      </c>
      <c r="H662" s="99"/>
      <c r="I662" s="99"/>
      <c r="J662" s="99"/>
      <c r="K662" s="99"/>
      <c r="L662" s="99"/>
      <c r="M662" s="99"/>
      <c r="N662" s="99"/>
      <c r="O662" s="99"/>
      <c r="P662" s="99"/>
      <c r="Q662" s="23"/>
      <c r="R662" s="23"/>
      <c r="S662" s="100"/>
      <c r="T662" s="24">
        <f t="shared" si="213"/>
        <v>-0.5454545455</v>
      </c>
      <c r="U662" s="179">
        <f t="shared" si="201"/>
        <v>-1</v>
      </c>
      <c r="V662" s="179" t="str">
        <f t="shared" si="202"/>
        <v/>
      </c>
      <c r="W662" s="179" t="str">
        <f t="shared" si="203"/>
        <v/>
      </c>
      <c r="X662" s="26"/>
    </row>
    <row r="663" hidden="1">
      <c r="A663" s="28"/>
      <c r="B663" s="28"/>
      <c r="C663" s="107"/>
      <c r="D663" s="83" t="s">
        <v>101</v>
      </c>
      <c r="E663" s="105">
        <f t="shared" ref="E663:F663" si="251">SUM(E659:E662)</f>
        <v>2558000</v>
      </c>
      <c r="F663" s="105">
        <f t="shared" si="251"/>
        <v>3840000</v>
      </c>
      <c r="G663" s="18">
        <f t="shared" si="250"/>
        <v>0.5011727912</v>
      </c>
      <c r="H663" s="99"/>
      <c r="I663" s="99"/>
      <c r="J663" s="99"/>
      <c r="K663" s="99"/>
      <c r="L663" s="99"/>
      <c r="M663" s="99"/>
      <c r="N663" s="99"/>
      <c r="O663" s="99"/>
      <c r="P663" s="99"/>
      <c r="Q663" s="23"/>
      <c r="R663" s="23"/>
      <c r="S663" s="100"/>
      <c r="T663" s="24">
        <f t="shared" si="213"/>
        <v>-0.5011727912</v>
      </c>
      <c r="U663" s="179">
        <f t="shared" si="201"/>
        <v>-1</v>
      </c>
      <c r="V663" s="179" t="str">
        <f t="shared" si="202"/>
        <v/>
      </c>
      <c r="W663" s="179" t="str">
        <f t="shared" si="203"/>
        <v/>
      </c>
      <c r="X663" s="26"/>
    </row>
    <row r="664" hidden="1">
      <c r="A664" s="28"/>
      <c r="B664" s="28"/>
      <c r="C664" s="107"/>
      <c r="D664" s="83" t="s">
        <v>148</v>
      </c>
      <c r="E664" s="105">
        <f>F663-E663</f>
        <v>1282000</v>
      </c>
      <c r="F664" s="105"/>
      <c r="G664" s="18"/>
      <c r="H664" s="99"/>
      <c r="I664" s="99"/>
      <c r="J664" s="99"/>
      <c r="K664" s="99"/>
      <c r="L664" s="99"/>
      <c r="M664" s="99"/>
      <c r="N664" s="99"/>
      <c r="O664" s="99"/>
      <c r="P664" s="99"/>
      <c r="Q664" s="23"/>
      <c r="R664" s="23"/>
      <c r="S664" s="100"/>
      <c r="T664" s="24">
        <f t="shared" si="213"/>
        <v>0</v>
      </c>
      <c r="U664" s="179" t="str">
        <f t="shared" si="201"/>
        <v/>
      </c>
      <c r="V664" s="179" t="str">
        <f t="shared" si="202"/>
        <v/>
      </c>
      <c r="W664" s="179" t="str">
        <f t="shared" si="203"/>
        <v/>
      </c>
      <c r="X664" s="26"/>
    </row>
    <row r="665" hidden="1">
      <c r="A665" s="28"/>
      <c r="B665" s="28"/>
      <c r="C665" s="107"/>
      <c r="D665" s="97"/>
      <c r="E665" s="105"/>
      <c r="F665" s="105"/>
      <c r="G665" s="18"/>
      <c r="H665" s="99"/>
      <c r="I665" s="99"/>
      <c r="J665" s="99"/>
      <c r="K665" s="99"/>
      <c r="L665" s="99"/>
      <c r="M665" s="99"/>
      <c r="N665" s="99"/>
      <c r="O665" s="99"/>
      <c r="P665" s="99"/>
      <c r="Q665" s="23"/>
      <c r="R665" s="23"/>
      <c r="S665" s="100"/>
      <c r="T665" s="24">
        <f t="shared" si="213"/>
        <v>0</v>
      </c>
      <c r="U665" s="179" t="str">
        <f t="shared" si="201"/>
        <v/>
      </c>
      <c r="V665" s="179" t="str">
        <f t="shared" si="202"/>
        <v/>
      </c>
      <c r="W665" s="179" t="str">
        <f t="shared" si="203"/>
        <v/>
      </c>
      <c r="X665" s="26"/>
    </row>
    <row r="666" hidden="1">
      <c r="A666" s="28"/>
      <c r="B666" s="28"/>
      <c r="C666" s="242" t="s">
        <v>369</v>
      </c>
      <c r="D666" s="83" t="s">
        <v>156</v>
      </c>
      <c r="E666" s="105">
        <f t="shared" ref="E666:F666" si="252">E662</f>
        <v>660000</v>
      </c>
      <c r="F666" s="105">
        <f t="shared" si="252"/>
        <v>1020000</v>
      </c>
      <c r="G666" s="18">
        <f t="shared" ref="G666:G669" si="254">(F666-E666)/E666</f>
        <v>0.5454545455</v>
      </c>
      <c r="H666" s="99"/>
      <c r="I666" s="99"/>
      <c r="J666" s="99"/>
      <c r="K666" s="99"/>
      <c r="L666" s="99"/>
      <c r="M666" s="99"/>
      <c r="N666" s="99"/>
      <c r="O666" s="99"/>
      <c r="P666" s="99"/>
      <c r="Q666" s="23"/>
      <c r="R666" s="23"/>
      <c r="S666" s="100"/>
      <c r="T666" s="24">
        <f t="shared" si="213"/>
        <v>-0.5454545455</v>
      </c>
      <c r="U666" s="179">
        <f t="shared" si="201"/>
        <v>-1</v>
      </c>
      <c r="V666" s="179" t="str">
        <f t="shared" si="202"/>
        <v/>
      </c>
      <c r="W666" s="179" t="str">
        <f t="shared" si="203"/>
        <v/>
      </c>
      <c r="X666" s="26"/>
    </row>
    <row r="667" hidden="1">
      <c r="A667" s="28"/>
      <c r="B667" s="28"/>
      <c r="C667" s="107"/>
      <c r="D667" s="83" t="s">
        <v>169</v>
      </c>
      <c r="E667" s="105">
        <f t="shared" ref="E667:F667" si="253">E660</f>
        <v>740000</v>
      </c>
      <c r="F667" s="105">
        <f t="shared" si="253"/>
        <v>1020000</v>
      </c>
      <c r="G667" s="18">
        <f t="shared" si="254"/>
        <v>0.3783783784</v>
      </c>
      <c r="H667" s="99"/>
      <c r="I667" s="99"/>
      <c r="J667" s="99"/>
      <c r="K667" s="99"/>
      <c r="L667" s="99"/>
      <c r="M667" s="99"/>
      <c r="N667" s="99"/>
      <c r="O667" s="99"/>
      <c r="P667" s="99"/>
      <c r="Q667" s="23"/>
      <c r="R667" s="23"/>
      <c r="S667" s="100"/>
      <c r="T667" s="24">
        <f t="shared" si="213"/>
        <v>-0.3783783784</v>
      </c>
      <c r="U667" s="179">
        <f t="shared" si="201"/>
        <v>-1</v>
      </c>
      <c r="V667" s="179" t="str">
        <f t="shared" si="202"/>
        <v/>
      </c>
      <c r="W667" s="179" t="str">
        <f t="shared" si="203"/>
        <v/>
      </c>
      <c r="X667" s="26"/>
    </row>
    <row r="668" hidden="1">
      <c r="A668" s="28"/>
      <c r="B668" s="28"/>
      <c r="C668" s="107"/>
      <c r="D668" s="83" t="s">
        <v>101</v>
      </c>
      <c r="E668" s="105">
        <f t="shared" ref="E668:F668" si="255">E666+E667</f>
        <v>1400000</v>
      </c>
      <c r="F668" s="105">
        <f t="shared" si="255"/>
        <v>2040000</v>
      </c>
      <c r="G668" s="18">
        <f t="shared" si="254"/>
        <v>0.4571428571</v>
      </c>
      <c r="H668" s="99"/>
      <c r="I668" s="99"/>
      <c r="J668" s="99"/>
      <c r="K668" s="99"/>
      <c r="L668" s="99"/>
      <c r="M668" s="99"/>
      <c r="N668" s="99"/>
      <c r="O668" s="99"/>
      <c r="P668" s="99"/>
      <c r="Q668" s="23"/>
      <c r="R668" s="23"/>
      <c r="S668" s="100"/>
      <c r="T668" s="24">
        <f t="shared" si="213"/>
        <v>-0.4571428571</v>
      </c>
      <c r="U668" s="179">
        <f t="shared" si="201"/>
        <v>-1</v>
      </c>
      <c r="V668" s="179" t="str">
        <f t="shared" si="202"/>
        <v/>
      </c>
      <c r="W668" s="179" t="str">
        <f t="shared" si="203"/>
        <v/>
      </c>
      <c r="X668" s="26"/>
    </row>
    <row r="669" hidden="1">
      <c r="A669" s="28"/>
      <c r="B669" s="28"/>
      <c r="C669" s="107"/>
      <c r="D669" s="83" t="s">
        <v>148</v>
      </c>
      <c r="E669" s="105">
        <f>F668-E668</f>
        <v>640000</v>
      </c>
      <c r="F669" s="105"/>
      <c r="G669" s="18">
        <f t="shared" si="254"/>
        <v>-1</v>
      </c>
      <c r="H669" s="99"/>
      <c r="I669" s="99"/>
      <c r="J669" s="99"/>
      <c r="K669" s="99"/>
      <c r="L669" s="99"/>
      <c r="M669" s="99"/>
      <c r="N669" s="99"/>
      <c r="O669" s="99"/>
      <c r="P669" s="99"/>
      <c r="Q669" s="23"/>
      <c r="R669" s="23"/>
      <c r="S669" s="100"/>
      <c r="T669" s="24">
        <f t="shared" si="213"/>
        <v>1</v>
      </c>
      <c r="U669" s="179">
        <f t="shared" si="201"/>
        <v>-1</v>
      </c>
      <c r="V669" s="179" t="str">
        <f t="shared" si="202"/>
        <v/>
      </c>
      <c r="W669" s="179" t="str">
        <f t="shared" si="203"/>
        <v/>
      </c>
      <c r="X669" s="26"/>
    </row>
    <row r="670" hidden="1">
      <c r="A670" s="28"/>
      <c r="B670" s="28"/>
      <c r="C670" s="107"/>
      <c r="D670" s="97"/>
      <c r="E670" s="105"/>
      <c r="F670" s="105"/>
      <c r="G670" s="18"/>
      <c r="H670" s="99"/>
      <c r="I670" s="99"/>
      <c r="J670" s="99"/>
      <c r="K670" s="99"/>
      <c r="L670" s="99"/>
      <c r="M670" s="99"/>
      <c r="N670" s="99"/>
      <c r="O670" s="99"/>
      <c r="P670" s="99"/>
      <c r="Q670" s="23"/>
      <c r="R670" s="23"/>
      <c r="S670" s="100"/>
      <c r="T670" s="24">
        <f t="shared" si="213"/>
        <v>0</v>
      </c>
      <c r="U670" s="179" t="str">
        <f t="shared" si="201"/>
        <v/>
      </c>
      <c r="V670" s="179" t="str">
        <f t="shared" si="202"/>
        <v/>
      </c>
      <c r="W670" s="179" t="str">
        <f t="shared" si="203"/>
        <v/>
      </c>
      <c r="X670" s="26"/>
    </row>
    <row r="671" hidden="1">
      <c r="A671" s="28"/>
      <c r="B671" s="28"/>
      <c r="C671" s="107"/>
      <c r="D671" s="97"/>
      <c r="E671" s="105"/>
      <c r="F671" s="105"/>
      <c r="G671" s="18"/>
      <c r="H671" s="99"/>
      <c r="I671" s="99"/>
      <c r="J671" s="99"/>
      <c r="K671" s="99"/>
      <c r="L671" s="99"/>
      <c r="M671" s="99"/>
      <c r="N671" s="99"/>
      <c r="O671" s="99"/>
      <c r="P671" s="99"/>
      <c r="Q671" s="23"/>
      <c r="R671" s="23"/>
      <c r="S671" s="100"/>
      <c r="T671" s="24">
        <f t="shared" si="213"/>
        <v>0</v>
      </c>
      <c r="U671" s="179" t="str">
        <f t="shared" si="201"/>
        <v/>
      </c>
      <c r="V671" s="179" t="str">
        <f t="shared" si="202"/>
        <v/>
      </c>
      <c r="W671" s="179" t="str">
        <f t="shared" si="203"/>
        <v/>
      </c>
      <c r="X671" s="26"/>
    </row>
    <row r="672" hidden="1">
      <c r="A672" s="28"/>
      <c r="B672" s="28"/>
      <c r="C672" s="107"/>
      <c r="D672" s="97"/>
      <c r="E672" s="105"/>
      <c r="F672" s="105"/>
      <c r="G672" s="18"/>
      <c r="H672" s="99"/>
      <c r="I672" s="99"/>
      <c r="J672" s="99"/>
      <c r="K672" s="99"/>
      <c r="L672" s="99"/>
      <c r="M672" s="99"/>
      <c r="N672" s="99"/>
      <c r="O672" s="99"/>
      <c r="P672" s="99"/>
      <c r="Q672" s="23"/>
      <c r="R672" s="23"/>
      <c r="S672" s="100"/>
      <c r="T672" s="24">
        <f t="shared" si="213"/>
        <v>0</v>
      </c>
      <c r="U672" s="179" t="str">
        <f t="shared" si="201"/>
        <v/>
      </c>
      <c r="V672" s="179" t="str">
        <f t="shared" si="202"/>
        <v/>
      </c>
      <c r="W672" s="179" t="str">
        <f t="shared" si="203"/>
        <v/>
      </c>
      <c r="X672" s="26"/>
    </row>
    <row r="673" hidden="1">
      <c r="A673" s="28"/>
      <c r="B673" s="28"/>
      <c r="C673" s="82" t="s">
        <v>370</v>
      </c>
      <c r="D673" s="238" t="s">
        <v>371</v>
      </c>
      <c r="E673" s="201">
        <f>375000*6</f>
        <v>2250000</v>
      </c>
      <c r="F673" s="105">
        <f>540000*6</f>
        <v>3240000</v>
      </c>
      <c r="G673" s="18">
        <f t="shared" ref="G673:G677" si="256">(F673-E673)/E673</f>
        <v>0.44</v>
      </c>
      <c r="H673" s="99"/>
      <c r="I673" s="99"/>
      <c r="J673" s="99"/>
      <c r="K673" s="99"/>
      <c r="L673" s="99"/>
      <c r="M673" s="99"/>
      <c r="N673" s="99"/>
      <c r="O673" s="99"/>
      <c r="P673" s="99"/>
      <c r="Q673" s="23"/>
      <c r="R673" s="23"/>
      <c r="S673" s="100"/>
      <c r="T673" s="24">
        <f t="shared" si="213"/>
        <v>-0.44</v>
      </c>
      <c r="U673" s="179">
        <f t="shared" si="201"/>
        <v>-1</v>
      </c>
      <c r="V673" s="179" t="str">
        <f t="shared" si="202"/>
        <v/>
      </c>
      <c r="W673" s="179" t="str">
        <f t="shared" si="203"/>
        <v/>
      </c>
      <c r="X673" s="26"/>
    </row>
    <row r="674" hidden="1">
      <c r="A674" s="28"/>
      <c r="B674" s="28"/>
      <c r="C674" s="107"/>
      <c r="D674" s="246" t="s">
        <v>372</v>
      </c>
      <c r="E674" s="201">
        <v>880000.0</v>
      </c>
      <c r="F674" s="201">
        <v>1280000.0</v>
      </c>
      <c r="G674" s="18">
        <f t="shared" si="256"/>
        <v>0.4545454545</v>
      </c>
      <c r="H674" s="99"/>
      <c r="I674" s="99"/>
      <c r="J674" s="99"/>
      <c r="K674" s="99"/>
      <c r="L674" s="99"/>
      <c r="M674" s="99"/>
      <c r="N674" s="99"/>
      <c r="O674" s="99"/>
      <c r="P674" s="99"/>
      <c r="Q674" s="23"/>
      <c r="R674" s="23"/>
      <c r="S674" s="100"/>
      <c r="T674" s="24"/>
      <c r="U674" s="179"/>
      <c r="V674" s="179"/>
      <c r="W674" s="179"/>
      <c r="X674" s="26"/>
    </row>
    <row r="675" hidden="1">
      <c r="A675" s="28"/>
      <c r="B675" s="28"/>
      <c r="C675" s="107"/>
      <c r="D675" s="83" t="s">
        <v>373</v>
      </c>
      <c r="E675" s="201">
        <f>280000*6</f>
        <v>1680000</v>
      </c>
      <c r="F675" s="105">
        <f>430000*6</f>
        <v>2580000</v>
      </c>
      <c r="G675" s="18">
        <f t="shared" si="256"/>
        <v>0.5357142857</v>
      </c>
      <c r="H675" s="99"/>
      <c r="I675" s="99"/>
      <c r="J675" s="99"/>
      <c r="K675" s="99"/>
      <c r="L675" s="99"/>
      <c r="M675" s="99"/>
      <c r="N675" s="99"/>
      <c r="O675" s="99"/>
      <c r="P675" s="99"/>
      <c r="Q675" s="23"/>
      <c r="R675" s="23"/>
      <c r="S675" s="100"/>
      <c r="T675" s="24">
        <f t="shared" ref="T675:T686" si="257">P675-(G675+S675)-(P675*R675)-(P675*Q675)</f>
        <v>-0.5357142857</v>
      </c>
      <c r="U675" s="179">
        <f t="shared" ref="U675:U686" si="258">IFERROR((P675-G675)/G675,"")</f>
        <v>-1</v>
      </c>
      <c r="V675" s="179" t="str">
        <f t="shared" ref="V675:V686" si="259">IFERROR((P675-G675)/P675,"")</f>
        <v/>
      </c>
      <c r="W675" s="179" t="str">
        <f t="shared" ref="W675:W686" si="260">IFERROR(T675/P675,"")</f>
        <v/>
      </c>
      <c r="X675" s="26"/>
    </row>
    <row r="676" hidden="1">
      <c r="A676" s="28"/>
      <c r="B676" s="28"/>
      <c r="C676" s="107"/>
      <c r="D676" s="83" t="s">
        <v>91</v>
      </c>
      <c r="E676" s="201">
        <f>330000*6</f>
        <v>1980000</v>
      </c>
      <c r="F676" s="105">
        <f>490000*6</f>
        <v>2940000</v>
      </c>
      <c r="G676" s="18">
        <f t="shared" si="256"/>
        <v>0.4848484848</v>
      </c>
      <c r="H676" s="99"/>
      <c r="I676" s="99"/>
      <c r="J676" s="99"/>
      <c r="K676" s="99"/>
      <c r="L676" s="99"/>
      <c r="M676" s="99"/>
      <c r="N676" s="99"/>
      <c r="O676" s="99"/>
      <c r="P676" s="99"/>
      <c r="Q676" s="23"/>
      <c r="R676" s="23"/>
      <c r="S676" s="100"/>
      <c r="T676" s="24">
        <f t="shared" si="257"/>
        <v>-0.4848484848</v>
      </c>
      <c r="U676" s="179">
        <f t="shared" si="258"/>
        <v>-1</v>
      </c>
      <c r="V676" s="179" t="str">
        <f t="shared" si="259"/>
        <v/>
      </c>
      <c r="W676" s="179" t="str">
        <f t="shared" si="260"/>
        <v/>
      </c>
      <c r="X676" s="26"/>
    </row>
    <row r="677" hidden="1">
      <c r="A677" s="28"/>
      <c r="B677" s="28"/>
      <c r="C677" s="107"/>
      <c r="D677" s="83" t="s">
        <v>214</v>
      </c>
      <c r="E677" s="105">
        <f>SUM(E673:E676)</f>
        <v>6790000</v>
      </c>
      <c r="F677" s="201">
        <f>E677*1.45</f>
        <v>9845500</v>
      </c>
      <c r="G677" s="18">
        <f t="shared" si="256"/>
        <v>0.45</v>
      </c>
      <c r="H677" s="99"/>
      <c r="I677" s="99"/>
      <c r="J677" s="99"/>
      <c r="K677" s="99"/>
      <c r="L677" s="99"/>
      <c r="M677" s="99"/>
      <c r="N677" s="99"/>
      <c r="O677" s="99"/>
      <c r="P677" s="99"/>
      <c r="Q677" s="23"/>
      <c r="R677" s="23"/>
      <c r="S677" s="100"/>
      <c r="T677" s="24">
        <f t="shared" si="257"/>
        <v>-0.45</v>
      </c>
      <c r="U677" s="179">
        <f t="shared" si="258"/>
        <v>-1</v>
      </c>
      <c r="V677" s="179" t="str">
        <f t="shared" si="259"/>
        <v/>
      </c>
      <c r="W677" s="179" t="str">
        <f t="shared" si="260"/>
        <v/>
      </c>
      <c r="X677" s="26"/>
    </row>
    <row r="678" hidden="1">
      <c r="A678" s="28"/>
      <c r="B678" s="28"/>
      <c r="C678" s="107"/>
      <c r="D678" s="83" t="s">
        <v>148</v>
      </c>
      <c r="E678" s="105">
        <f>F677-E677</f>
        <v>3055500</v>
      </c>
      <c r="F678" s="105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23"/>
      <c r="R678" s="23"/>
      <c r="S678" s="100"/>
      <c r="T678" s="24">
        <f t="shared" si="257"/>
        <v>0</v>
      </c>
      <c r="U678" s="179" t="str">
        <f t="shared" si="258"/>
        <v/>
      </c>
      <c r="V678" s="179" t="str">
        <f t="shared" si="259"/>
        <v/>
      </c>
      <c r="W678" s="179" t="str">
        <f t="shared" si="260"/>
        <v/>
      </c>
      <c r="X678" s="26"/>
    </row>
    <row r="679" hidden="1">
      <c r="A679" s="28"/>
      <c r="B679" s="28"/>
      <c r="C679" s="107"/>
      <c r="D679" s="97"/>
      <c r="E679" s="105"/>
      <c r="F679" s="201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23"/>
      <c r="R679" s="23"/>
      <c r="S679" s="100"/>
      <c r="T679" s="24">
        <f t="shared" si="257"/>
        <v>0</v>
      </c>
      <c r="U679" s="179" t="str">
        <f t="shared" si="258"/>
        <v/>
      </c>
      <c r="V679" s="179" t="str">
        <f t="shared" si="259"/>
        <v/>
      </c>
      <c r="W679" s="179" t="str">
        <f t="shared" si="260"/>
        <v/>
      </c>
      <c r="X679" s="26"/>
    </row>
    <row r="680" hidden="1">
      <c r="A680" s="28"/>
      <c r="B680" s="28"/>
      <c r="C680" s="82" t="s">
        <v>374</v>
      </c>
      <c r="D680" s="83" t="s">
        <v>156</v>
      </c>
      <c r="E680" s="105">
        <f>(330000*2)</f>
        <v>660000</v>
      </c>
      <c r="F680" s="105">
        <f t="shared" ref="F680:F681" si="261">(490000*2)</f>
        <v>980000</v>
      </c>
      <c r="G680" s="18">
        <f t="shared" ref="G680:G683" si="262">(F680-E680)/E680</f>
        <v>0.4848484848</v>
      </c>
      <c r="H680" s="99"/>
      <c r="I680" s="99"/>
      <c r="J680" s="99"/>
      <c r="K680" s="99"/>
      <c r="L680" s="99"/>
      <c r="M680" s="99"/>
      <c r="N680" s="99"/>
      <c r="O680" s="99"/>
      <c r="P680" s="99"/>
      <c r="Q680" s="23"/>
      <c r="R680" s="23"/>
      <c r="S680" s="100"/>
      <c r="T680" s="24">
        <f t="shared" si="257"/>
        <v>-0.4848484848</v>
      </c>
      <c r="U680" s="179">
        <f t="shared" si="258"/>
        <v>-1</v>
      </c>
      <c r="V680" s="179" t="str">
        <f t="shared" si="259"/>
        <v/>
      </c>
      <c r="W680" s="179" t="str">
        <f t="shared" si="260"/>
        <v/>
      </c>
      <c r="X680" s="26"/>
    </row>
    <row r="681" hidden="1">
      <c r="A681" s="28"/>
      <c r="B681" s="28"/>
      <c r="C681" s="107"/>
      <c r="D681" s="83" t="s">
        <v>169</v>
      </c>
      <c r="E681" s="105">
        <f>370000*2</f>
        <v>740000</v>
      </c>
      <c r="F681" s="105">
        <f t="shared" si="261"/>
        <v>980000</v>
      </c>
      <c r="G681" s="18">
        <f t="shared" si="262"/>
        <v>0.3243243243</v>
      </c>
      <c r="H681" s="99"/>
      <c r="I681" s="99"/>
      <c r="J681" s="99"/>
      <c r="K681" s="99"/>
      <c r="L681" s="99"/>
      <c r="M681" s="99"/>
      <c r="N681" s="99"/>
      <c r="O681" s="99"/>
      <c r="P681" s="99"/>
      <c r="Q681" s="23"/>
      <c r="R681" s="23"/>
      <c r="S681" s="100"/>
      <c r="T681" s="24">
        <f t="shared" si="257"/>
        <v>-0.3243243243</v>
      </c>
      <c r="U681" s="179">
        <f t="shared" si="258"/>
        <v>-1</v>
      </c>
      <c r="V681" s="179" t="str">
        <f t="shared" si="259"/>
        <v/>
      </c>
      <c r="W681" s="179" t="str">
        <f t="shared" si="260"/>
        <v/>
      </c>
      <c r="X681" s="26"/>
    </row>
    <row r="682" hidden="1">
      <c r="A682" s="28"/>
      <c r="B682" s="28"/>
      <c r="C682" s="107"/>
      <c r="D682" s="83" t="s">
        <v>101</v>
      </c>
      <c r="E682" s="105">
        <f t="shared" ref="E682:F682" si="263">E680+E681</f>
        <v>1400000</v>
      </c>
      <c r="F682" s="105">
        <f t="shared" si="263"/>
        <v>1960000</v>
      </c>
      <c r="G682" s="18">
        <f t="shared" si="262"/>
        <v>0.4</v>
      </c>
      <c r="H682" s="99"/>
      <c r="I682" s="99"/>
      <c r="J682" s="99"/>
      <c r="K682" s="99"/>
      <c r="L682" s="99"/>
      <c r="M682" s="99"/>
      <c r="N682" s="99"/>
      <c r="O682" s="99"/>
      <c r="P682" s="99"/>
      <c r="Q682" s="23"/>
      <c r="R682" s="23"/>
      <c r="S682" s="100"/>
      <c r="T682" s="24">
        <f t="shared" si="257"/>
        <v>-0.4</v>
      </c>
      <c r="U682" s="179">
        <f t="shared" si="258"/>
        <v>-1</v>
      </c>
      <c r="V682" s="179" t="str">
        <f t="shared" si="259"/>
        <v/>
      </c>
      <c r="W682" s="179" t="str">
        <f t="shared" si="260"/>
        <v/>
      </c>
      <c r="X682" s="26"/>
    </row>
    <row r="683" hidden="1">
      <c r="A683" s="28"/>
      <c r="B683" s="28"/>
      <c r="C683" s="107"/>
      <c r="D683" s="83" t="s">
        <v>148</v>
      </c>
      <c r="E683" s="105">
        <f>F682-E682</f>
        <v>560000</v>
      </c>
      <c r="F683" s="105"/>
      <c r="G683" s="18">
        <f t="shared" si="262"/>
        <v>-1</v>
      </c>
      <c r="H683" s="99"/>
      <c r="I683" s="99"/>
      <c r="J683" s="99"/>
      <c r="K683" s="99"/>
      <c r="L683" s="99"/>
      <c r="M683" s="99"/>
      <c r="N683" s="99"/>
      <c r="O683" s="99"/>
      <c r="P683" s="99"/>
      <c r="Q683" s="23"/>
      <c r="R683" s="23"/>
      <c r="S683" s="100"/>
      <c r="T683" s="24">
        <f t="shared" si="257"/>
        <v>1</v>
      </c>
      <c r="U683" s="179">
        <f t="shared" si="258"/>
        <v>-1</v>
      </c>
      <c r="V683" s="179" t="str">
        <f t="shared" si="259"/>
        <v/>
      </c>
      <c r="W683" s="179" t="str">
        <f t="shared" si="260"/>
        <v/>
      </c>
      <c r="X683" s="26"/>
    </row>
    <row r="684" hidden="1">
      <c r="A684" s="28"/>
      <c r="B684" s="28"/>
      <c r="C684" s="107"/>
      <c r="D684" s="97"/>
      <c r="E684" s="105"/>
      <c r="F684" s="105"/>
      <c r="G684" s="18"/>
      <c r="H684" s="99"/>
      <c r="I684" s="99"/>
      <c r="J684" s="99"/>
      <c r="K684" s="99"/>
      <c r="L684" s="99"/>
      <c r="M684" s="99"/>
      <c r="N684" s="99"/>
      <c r="O684" s="99"/>
      <c r="P684" s="99"/>
      <c r="Q684" s="23"/>
      <c r="R684" s="23"/>
      <c r="S684" s="100"/>
      <c r="T684" s="24">
        <f t="shared" si="257"/>
        <v>0</v>
      </c>
      <c r="U684" s="179" t="str">
        <f t="shared" si="258"/>
        <v/>
      </c>
      <c r="V684" s="179" t="str">
        <f t="shared" si="259"/>
        <v/>
      </c>
      <c r="W684" s="179" t="str">
        <f t="shared" si="260"/>
        <v/>
      </c>
      <c r="X684" s="26"/>
    </row>
    <row r="685" hidden="1">
      <c r="A685" s="28"/>
      <c r="B685" s="28"/>
      <c r="C685" s="82" t="s">
        <v>375</v>
      </c>
      <c r="D685" s="83" t="s">
        <v>376</v>
      </c>
      <c r="E685" s="201">
        <v>3800000.0</v>
      </c>
      <c r="F685" s="105">
        <f>E685*1.35</f>
        <v>5130000</v>
      </c>
      <c r="G685" s="18">
        <f t="shared" ref="G685:G686" si="264">(F685-E685)/E685</f>
        <v>0.35</v>
      </c>
      <c r="H685" s="99"/>
      <c r="I685" s="99"/>
      <c r="J685" s="99"/>
      <c r="K685" s="99"/>
      <c r="L685" s="99"/>
      <c r="M685" s="99"/>
      <c r="N685" s="99"/>
      <c r="O685" s="99"/>
      <c r="P685" s="99"/>
      <c r="Q685" s="23"/>
      <c r="R685" s="23"/>
      <c r="S685" s="100"/>
      <c r="T685" s="24">
        <f t="shared" si="257"/>
        <v>-0.35</v>
      </c>
      <c r="U685" s="179">
        <f t="shared" si="258"/>
        <v>-1</v>
      </c>
      <c r="V685" s="179" t="str">
        <f t="shared" si="259"/>
        <v/>
      </c>
      <c r="W685" s="179" t="str">
        <f t="shared" si="260"/>
        <v/>
      </c>
      <c r="X685" s="26"/>
    </row>
    <row r="686" hidden="1">
      <c r="A686" s="28"/>
      <c r="B686" s="28"/>
      <c r="C686" s="107"/>
      <c r="D686" s="83" t="s">
        <v>372</v>
      </c>
      <c r="E686" s="201">
        <v>400000.0</v>
      </c>
      <c r="F686" s="105">
        <f>E686*1.65</f>
        <v>660000</v>
      </c>
      <c r="G686" s="18">
        <f t="shared" si="264"/>
        <v>0.65</v>
      </c>
      <c r="H686" s="99"/>
      <c r="I686" s="99"/>
      <c r="J686" s="99"/>
      <c r="K686" s="99"/>
      <c r="L686" s="99"/>
      <c r="M686" s="99"/>
      <c r="N686" s="99"/>
      <c r="O686" s="99"/>
      <c r="P686" s="99"/>
      <c r="Q686" s="23"/>
      <c r="R686" s="23"/>
      <c r="S686" s="100"/>
      <c r="T686" s="24">
        <f t="shared" si="257"/>
        <v>-0.65</v>
      </c>
      <c r="U686" s="179">
        <f t="shared" si="258"/>
        <v>-1</v>
      </c>
      <c r="V686" s="179" t="str">
        <f t="shared" si="259"/>
        <v/>
      </c>
      <c r="W686" s="179" t="str">
        <f t="shared" si="260"/>
        <v/>
      </c>
      <c r="X686" s="26"/>
    </row>
    <row r="687" hidden="1">
      <c r="A687" s="28"/>
      <c r="B687" s="28"/>
      <c r="C687" s="107"/>
      <c r="D687" s="83" t="s">
        <v>377</v>
      </c>
      <c r="E687" s="201">
        <f>50000*6</f>
        <v>300000</v>
      </c>
      <c r="F687" s="201">
        <f>E687</f>
        <v>300000</v>
      </c>
      <c r="G687" s="18"/>
      <c r="H687" s="99"/>
      <c r="I687" s="99"/>
      <c r="J687" s="99"/>
      <c r="K687" s="99"/>
      <c r="L687" s="99"/>
      <c r="M687" s="99"/>
      <c r="N687" s="99"/>
      <c r="O687" s="99"/>
      <c r="P687" s="99"/>
      <c r="Q687" s="23"/>
      <c r="R687" s="23"/>
      <c r="S687" s="100"/>
      <c r="T687" s="24"/>
      <c r="U687" s="179"/>
      <c r="V687" s="179"/>
      <c r="W687" s="179"/>
      <c r="X687" s="26"/>
    </row>
    <row r="688" hidden="1">
      <c r="A688" s="28"/>
      <c r="B688" s="28"/>
      <c r="C688" s="107"/>
      <c r="D688" s="83" t="s">
        <v>378</v>
      </c>
      <c r="E688" s="201">
        <f>130000*13</f>
        <v>1690000</v>
      </c>
      <c r="F688" s="201">
        <f>200000*13</f>
        <v>2600000</v>
      </c>
      <c r="G688" s="18">
        <f t="shared" ref="G688:G689" si="265">(F688-E688)/E688</f>
        <v>0.5384615385</v>
      </c>
      <c r="H688" s="99"/>
      <c r="I688" s="99"/>
      <c r="J688" s="99"/>
      <c r="K688" s="99"/>
      <c r="L688" s="99"/>
      <c r="M688" s="99"/>
      <c r="N688" s="99"/>
      <c r="O688" s="99"/>
      <c r="P688" s="99"/>
      <c r="Q688" s="23"/>
      <c r="R688" s="23"/>
      <c r="S688" s="100"/>
      <c r="T688" s="24">
        <f t="shared" ref="T688:T753" si="266">P688-(G688+S688)-(P688*R688)-(P688*Q688)</f>
        <v>-0.5384615385</v>
      </c>
      <c r="U688" s="179">
        <f t="shared" ref="U688:U753" si="267">IFERROR((P688-G688)/G688,"")</f>
        <v>-1</v>
      </c>
      <c r="V688" s="179" t="str">
        <f t="shared" ref="V688:V753" si="268">IFERROR((P688-G688)/P688,"")</f>
        <v/>
      </c>
      <c r="W688" s="179" t="str">
        <f t="shared" ref="W688:W753" si="269">IFERROR(T688/P688,"")</f>
        <v/>
      </c>
      <c r="X688" s="26"/>
    </row>
    <row r="689" hidden="1">
      <c r="A689" s="28"/>
      <c r="B689" s="28"/>
      <c r="C689" s="107"/>
      <c r="D689" s="83" t="s">
        <v>101</v>
      </c>
      <c r="E689" s="105">
        <f>E685+E686+E688</f>
        <v>5890000</v>
      </c>
      <c r="F689" s="105">
        <f>F685+F686+F687+F688</f>
        <v>8690000</v>
      </c>
      <c r="G689" s="18">
        <f t="shared" si="265"/>
        <v>0.4753820034</v>
      </c>
      <c r="H689" s="99"/>
      <c r="I689" s="99"/>
      <c r="J689" s="99"/>
      <c r="K689" s="99"/>
      <c r="L689" s="99"/>
      <c r="M689" s="99"/>
      <c r="N689" s="99"/>
      <c r="O689" s="99"/>
      <c r="P689" s="99"/>
      <c r="Q689" s="23"/>
      <c r="R689" s="23"/>
      <c r="S689" s="100"/>
      <c r="T689" s="24">
        <f t="shared" si="266"/>
        <v>-0.4753820034</v>
      </c>
      <c r="U689" s="179">
        <f t="shared" si="267"/>
        <v>-1</v>
      </c>
      <c r="V689" s="179" t="str">
        <f t="shared" si="268"/>
        <v/>
      </c>
      <c r="W689" s="179" t="str">
        <f t="shared" si="269"/>
        <v/>
      </c>
      <c r="X689" s="26"/>
    </row>
    <row r="690" hidden="1">
      <c r="A690" s="28"/>
      <c r="B690" s="28"/>
      <c r="C690" s="107"/>
      <c r="D690" s="83" t="s">
        <v>148</v>
      </c>
      <c r="E690" s="105">
        <f>F689-E689</f>
        <v>2800000</v>
      </c>
      <c r="F690" s="105"/>
      <c r="G690" s="18"/>
      <c r="H690" s="99"/>
      <c r="I690" s="99"/>
      <c r="J690" s="99"/>
      <c r="K690" s="99"/>
      <c r="L690" s="99"/>
      <c r="M690" s="99"/>
      <c r="N690" s="99"/>
      <c r="O690" s="99"/>
      <c r="P690" s="99"/>
      <c r="Q690" s="23"/>
      <c r="R690" s="23"/>
      <c r="S690" s="100"/>
      <c r="T690" s="24">
        <f t="shared" si="266"/>
        <v>0</v>
      </c>
      <c r="U690" s="179" t="str">
        <f t="shared" si="267"/>
        <v/>
      </c>
      <c r="V690" s="179" t="str">
        <f t="shared" si="268"/>
        <v/>
      </c>
      <c r="W690" s="179" t="str">
        <f t="shared" si="269"/>
        <v/>
      </c>
      <c r="X690" s="26"/>
    </row>
    <row r="691" hidden="1">
      <c r="A691" s="28"/>
      <c r="B691" s="28"/>
      <c r="C691" s="107"/>
      <c r="D691" s="97"/>
      <c r="E691" s="201" t="s">
        <v>172</v>
      </c>
      <c r="F691" s="201" t="s">
        <v>198</v>
      </c>
      <c r="G691" s="18"/>
      <c r="H691" s="99"/>
      <c r="I691" s="99"/>
      <c r="J691" s="99"/>
      <c r="K691" s="99"/>
      <c r="L691" s="99"/>
      <c r="M691" s="99"/>
      <c r="N691" s="99"/>
      <c r="O691" s="99"/>
      <c r="P691" s="99"/>
      <c r="Q691" s="23"/>
      <c r="R691" s="23"/>
      <c r="S691" s="100"/>
      <c r="T691" s="24">
        <f t="shared" si="266"/>
        <v>0</v>
      </c>
      <c r="U691" s="179" t="str">
        <f t="shared" si="267"/>
        <v/>
      </c>
      <c r="V691" s="179" t="str">
        <f t="shared" si="268"/>
        <v/>
      </c>
      <c r="W691" s="179" t="str">
        <f t="shared" si="269"/>
        <v/>
      </c>
      <c r="X691" s="26"/>
    </row>
    <row r="692" hidden="1">
      <c r="A692" s="28"/>
      <c r="B692" s="28"/>
      <c r="C692" s="82" t="s">
        <v>379</v>
      </c>
      <c r="D692" s="238" t="s">
        <v>380</v>
      </c>
      <c r="E692" s="201">
        <f>(110000*2)</f>
        <v>220000</v>
      </c>
      <c r="F692" s="105">
        <f>250000*2</f>
        <v>500000</v>
      </c>
      <c r="G692" s="18">
        <f t="shared" ref="G692:G696" si="270">(F692-E692)/E692</f>
        <v>1.272727273</v>
      </c>
      <c r="H692" s="99"/>
      <c r="I692" s="99"/>
      <c r="J692" s="99"/>
      <c r="K692" s="99"/>
      <c r="L692" s="99"/>
      <c r="M692" s="99"/>
      <c r="N692" s="99"/>
      <c r="O692" s="99"/>
      <c r="P692" s="99"/>
      <c r="Q692" s="23"/>
      <c r="R692" s="23"/>
      <c r="S692" s="100"/>
      <c r="T692" s="24">
        <f t="shared" si="266"/>
        <v>-1.272727273</v>
      </c>
      <c r="U692" s="179">
        <f t="shared" si="267"/>
        <v>-1</v>
      </c>
      <c r="V692" s="179" t="str">
        <f t="shared" si="268"/>
        <v/>
      </c>
      <c r="W692" s="179" t="str">
        <f t="shared" si="269"/>
        <v/>
      </c>
      <c r="X692" s="26"/>
    </row>
    <row r="693" hidden="1">
      <c r="A693" s="28"/>
      <c r="B693" s="28"/>
      <c r="C693" s="107"/>
      <c r="D693" s="83" t="s">
        <v>381</v>
      </c>
      <c r="E693" s="105">
        <f>370000*2</f>
        <v>740000</v>
      </c>
      <c r="F693" s="105">
        <f>(490000*2)</f>
        <v>980000</v>
      </c>
      <c r="G693" s="18">
        <f t="shared" si="270"/>
        <v>0.3243243243</v>
      </c>
      <c r="H693" s="99"/>
      <c r="I693" s="99"/>
      <c r="J693" s="99"/>
      <c r="K693" s="99"/>
      <c r="L693" s="99"/>
      <c r="M693" s="99"/>
      <c r="N693" s="99"/>
      <c r="O693" s="99"/>
      <c r="P693" s="99"/>
      <c r="Q693" s="23"/>
      <c r="R693" s="23"/>
      <c r="S693" s="100"/>
      <c r="T693" s="24">
        <f t="shared" si="266"/>
        <v>-0.3243243243</v>
      </c>
      <c r="U693" s="179">
        <f t="shared" si="267"/>
        <v>-1</v>
      </c>
      <c r="V693" s="179" t="str">
        <f t="shared" si="268"/>
        <v/>
      </c>
      <c r="W693" s="179" t="str">
        <f t="shared" si="269"/>
        <v/>
      </c>
      <c r="X693" s="26"/>
    </row>
    <row r="694" hidden="1">
      <c r="A694" s="28"/>
      <c r="B694" s="28"/>
      <c r="C694" s="107"/>
      <c r="D694" s="83" t="s">
        <v>382</v>
      </c>
      <c r="E694" s="105">
        <f>666000*2</f>
        <v>1332000</v>
      </c>
      <c r="F694" s="105">
        <f>850000*2</f>
        <v>1700000</v>
      </c>
      <c r="G694" s="18">
        <f t="shared" si="270"/>
        <v>0.2762762763</v>
      </c>
      <c r="H694" s="99"/>
      <c r="I694" s="99"/>
      <c r="J694" s="99"/>
      <c r="K694" s="99"/>
      <c r="L694" s="99"/>
      <c r="M694" s="99"/>
      <c r="N694" s="99"/>
      <c r="O694" s="99"/>
      <c r="P694" s="99"/>
      <c r="Q694" s="23"/>
      <c r="R694" s="23"/>
      <c r="S694" s="100"/>
      <c r="T694" s="24">
        <f t="shared" si="266"/>
        <v>-0.2762762763</v>
      </c>
      <c r="U694" s="179">
        <f t="shared" si="267"/>
        <v>-1</v>
      </c>
      <c r="V694" s="179" t="str">
        <f t="shared" si="268"/>
        <v/>
      </c>
      <c r="W694" s="179" t="str">
        <f t="shared" si="269"/>
        <v/>
      </c>
      <c r="X694" s="26"/>
    </row>
    <row r="695" hidden="1">
      <c r="A695" s="28"/>
      <c r="B695" s="28"/>
      <c r="C695" s="107"/>
      <c r="D695" s="83" t="s">
        <v>383</v>
      </c>
      <c r="E695" s="105">
        <f>55000*2</f>
        <v>110000</v>
      </c>
      <c r="F695" s="105">
        <f>140000*2</f>
        <v>280000</v>
      </c>
      <c r="G695" s="18">
        <f t="shared" si="270"/>
        <v>1.545454545</v>
      </c>
      <c r="H695" s="99"/>
      <c r="I695" s="99"/>
      <c r="J695" s="99"/>
      <c r="K695" s="99"/>
      <c r="L695" s="99"/>
      <c r="M695" s="99"/>
      <c r="N695" s="99"/>
      <c r="O695" s="99"/>
      <c r="P695" s="99"/>
      <c r="Q695" s="23"/>
      <c r="R695" s="23"/>
      <c r="S695" s="100"/>
      <c r="T695" s="24">
        <f t="shared" si="266"/>
        <v>-1.545454545</v>
      </c>
      <c r="U695" s="179">
        <f t="shared" si="267"/>
        <v>-1</v>
      </c>
      <c r="V695" s="179" t="str">
        <f t="shared" si="268"/>
        <v/>
      </c>
      <c r="W695" s="179" t="str">
        <f t="shared" si="269"/>
        <v/>
      </c>
      <c r="X695" s="26"/>
    </row>
    <row r="696" hidden="1">
      <c r="A696" s="28"/>
      <c r="B696" s="28"/>
      <c r="C696" s="107"/>
      <c r="D696" s="83" t="s">
        <v>101</v>
      </c>
      <c r="E696" s="105">
        <f>E692+E693+E694+E695</f>
        <v>2402000</v>
      </c>
      <c r="F696" s="105">
        <f>1470000*2+280000</f>
        <v>3220000</v>
      </c>
      <c r="G696" s="18">
        <f t="shared" si="270"/>
        <v>0.340549542</v>
      </c>
      <c r="H696" s="99"/>
      <c r="I696" s="99"/>
      <c r="J696" s="99"/>
      <c r="K696" s="99"/>
      <c r="L696" s="99"/>
      <c r="M696" s="99"/>
      <c r="N696" s="99"/>
      <c r="O696" s="99"/>
      <c r="P696" s="99"/>
      <c r="Q696" s="23"/>
      <c r="R696" s="23"/>
      <c r="S696" s="100"/>
      <c r="T696" s="24">
        <f t="shared" si="266"/>
        <v>-0.340549542</v>
      </c>
      <c r="U696" s="179">
        <f t="shared" si="267"/>
        <v>-1</v>
      </c>
      <c r="V696" s="179" t="str">
        <f t="shared" si="268"/>
        <v/>
      </c>
      <c r="W696" s="179" t="str">
        <f t="shared" si="269"/>
        <v/>
      </c>
      <c r="X696" s="26"/>
    </row>
    <row r="697" hidden="1">
      <c r="A697" s="28"/>
      <c r="B697" s="28"/>
      <c r="C697" s="107"/>
      <c r="D697" s="83" t="s">
        <v>148</v>
      </c>
      <c r="E697" s="105">
        <f>F696-E696</f>
        <v>818000</v>
      </c>
      <c r="F697" s="105"/>
      <c r="G697" s="18"/>
      <c r="H697" s="99"/>
      <c r="I697" s="99"/>
      <c r="J697" s="99"/>
      <c r="K697" s="99"/>
      <c r="L697" s="99"/>
      <c r="M697" s="99"/>
      <c r="N697" s="99"/>
      <c r="O697" s="99"/>
      <c r="P697" s="99"/>
      <c r="Q697" s="23"/>
      <c r="R697" s="23"/>
      <c r="S697" s="100"/>
      <c r="T697" s="24">
        <f t="shared" si="266"/>
        <v>0</v>
      </c>
      <c r="U697" s="179" t="str">
        <f t="shared" si="267"/>
        <v/>
      </c>
      <c r="V697" s="179" t="str">
        <f t="shared" si="268"/>
        <v/>
      </c>
      <c r="W697" s="179" t="str">
        <f t="shared" si="269"/>
        <v/>
      </c>
      <c r="X697" s="26"/>
    </row>
    <row r="698" hidden="1">
      <c r="A698" s="28"/>
      <c r="B698" s="28"/>
      <c r="C698" s="107"/>
      <c r="D698" s="97"/>
      <c r="E698" s="105"/>
      <c r="F698" s="105"/>
      <c r="G698" s="18"/>
      <c r="H698" s="99"/>
      <c r="I698" s="99"/>
      <c r="J698" s="99"/>
      <c r="K698" s="99"/>
      <c r="L698" s="99"/>
      <c r="M698" s="99"/>
      <c r="N698" s="99"/>
      <c r="O698" s="99"/>
      <c r="P698" s="99"/>
      <c r="Q698" s="23"/>
      <c r="R698" s="23"/>
      <c r="S698" s="100"/>
      <c r="T698" s="24">
        <f t="shared" si="266"/>
        <v>0</v>
      </c>
      <c r="U698" s="179" t="str">
        <f t="shared" si="267"/>
        <v/>
      </c>
      <c r="V698" s="179" t="str">
        <f t="shared" si="268"/>
        <v/>
      </c>
      <c r="W698" s="179" t="str">
        <f t="shared" si="269"/>
        <v/>
      </c>
      <c r="X698" s="26"/>
    </row>
    <row r="699" hidden="1">
      <c r="A699" s="28"/>
      <c r="B699" s="28"/>
      <c r="C699" s="82" t="s">
        <v>384</v>
      </c>
      <c r="D699" s="238" t="s">
        <v>380</v>
      </c>
      <c r="E699" s="201">
        <f>(110000*2)</f>
        <v>220000</v>
      </c>
      <c r="F699" s="105">
        <f>250000*2</f>
        <v>500000</v>
      </c>
      <c r="G699" s="18">
        <f t="shared" ref="G699:G702" si="271">(F699-E699)/E699</f>
        <v>1.272727273</v>
      </c>
      <c r="H699" s="99"/>
      <c r="I699" s="99"/>
      <c r="J699" s="99"/>
      <c r="K699" s="99"/>
      <c r="L699" s="99"/>
      <c r="M699" s="99"/>
      <c r="N699" s="99"/>
      <c r="O699" s="99"/>
      <c r="P699" s="99"/>
      <c r="Q699" s="23"/>
      <c r="R699" s="23"/>
      <c r="S699" s="100"/>
      <c r="T699" s="24">
        <f t="shared" si="266"/>
        <v>-1.272727273</v>
      </c>
      <c r="U699" s="179">
        <f t="shared" si="267"/>
        <v>-1</v>
      </c>
      <c r="V699" s="179" t="str">
        <f t="shared" si="268"/>
        <v/>
      </c>
      <c r="W699" s="179" t="str">
        <f t="shared" si="269"/>
        <v/>
      </c>
      <c r="X699" s="26"/>
    </row>
    <row r="700" hidden="1">
      <c r="A700" s="28"/>
      <c r="B700" s="28"/>
      <c r="C700" s="107"/>
      <c r="D700" s="83" t="s">
        <v>381</v>
      </c>
      <c r="E700" s="105">
        <f>370000*2</f>
        <v>740000</v>
      </c>
      <c r="F700" s="105">
        <f>(490000*2)</f>
        <v>980000</v>
      </c>
      <c r="G700" s="18">
        <f t="shared" si="271"/>
        <v>0.3243243243</v>
      </c>
      <c r="H700" s="99"/>
      <c r="I700" s="99"/>
      <c r="J700" s="99"/>
      <c r="K700" s="99"/>
      <c r="L700" s="99"/>
      <c r="M700" s="99"/>
      <c r="N700" s="99"/>
      <c r="O700" s="99"/>
      <c r="P700" s="99"/>
      <c r="Q700" s="23"/>
      <c r="R700" s="23"/>
      <c r="S700" s="100"/>
      <c r="T700" s="24">
        <f t="shared" si="266"/>
        <v>-0.3243243243</v>
      </c>
      <c r="U700" s="179">
        <f t="shared" si="267"/>
        <v>-1</v>
      </c>
      <c r="V700" s="179" t="str">
        <f t="shared" si="268"/>
        <v/>
      </c>
      <c r="W700" s="179" t="str">
        <f t="shared" si="269"/>
        <v/>
      </c>
      <c r="X700" s="26"/>
    </row>
    <row r="701" hidden="1">
      <c r="A701" s="28"/>
      <c r="B701" s="28"/>
      <c r="C701" s="107"/>
      <c r="D701" s="83" t="s">
        <v>382</v>
      </c>
      <c r="E701" s="105">
        <f>666000*2</f>
        <v>1332000</v>
      </c>
      <c r="F701" s="105">
        <f>850000*2</f>
        <v>1700000</v>
      </c>
      <c r="G701" s="18">
        <f t="shared" si="271"/>
        <v>0.2762762763</v>
      </c>
      <c r="H701" s="99"/>
      <c r="I701" s="99"/>
      <c r="J701" s="99"/>
      <c r="K701" s="99"/>
      <c r="L701" s="99"/>
      <c r="M701" s="99"/>
      <c r="N701" s="99"/>
      <c r="O701" s="99"/>
      <c r="P701" s="99"/>
      <c r="Q701" s="23"/>
      <c r="R701" s="23"/>
      <c r="S701" s="100"/>
      <c r="T701" s="24">
        <f t="shared" si="266"/>
        <v>-0.2762762763</v>
      </c>
      <c r="U701" s="179">
        <f t="shared" si="267"/>
        <v>-1</v>
      </c>
      <c r="V701" s="179" t="str">
        <f t="shared" si="268"/>
        <v/>
      </c>
      <c r="W701" s="179" t="str">
        <f t="shared" si="269"/>
        <v/>
      </c>
      <c r="X701" s="26"/>
    </row>
    <row r="702" hidden="1">
      <c r="A702" s="28"/>
      <c r="B702" s="28"/>
      <c r="C702" s="107"/>
      <c r="D702" s="83" t="s">
        <v>101</v>
      </c>
      <c r="E702" s="105">
        <f>SUM(E699:E701)</f>
        <v>2292000</v>
      </c>
      <c r="F702" s="247">
        <f>1470000*2</f>
        <v>2940000</v>
      </c>
      <c r="G702" s="18">
        <f t="shared" si="271"/>
        <v>0.2827225131</v>
      </c>
      <c r="H702" s="99"/>
      <c r="I702" s="99"/>
      <c r="J702" s="99"/>
      <c r="K702" s="99"/>
      <c r="L702" s="99"/>
      <c r="M702" s="99"/>
      <c r="N702" s="99"/>
      <c r="O702" s="99"/>
      <c r="P702" s="99"/>
      <c r="Q702" s="23"/>
      <c r="R702" s="23"/>
      <c r="S702" s="100"/>
      <c r="T702" s="24">
        <f t="shared" si="266"/>
        <v>-0.2827225131</v>
      </c>
      <c r="U702" s="179">
        <f t="shared" si="267"/>
        <v>-1</v>
      </c>
      <c r="V702" s="179" t="str">
        <f t="shared" si="268"/>
        <v/>
      </c>
      <c r="W702" s="179" t="str">
        <f t="shared" si="269"/>
        <v/>
      </c>
      <c r="X702" s="26"/>
    </row>
    <row r="703" hidden="1">
      <c r="A703" s="28"/>
      <c r="B703" s="28"/>
      <c r="C703" s="107"/>
      <c r="D703" s="83" t="s">
        <v>385</v>
      </c>
      <c r="E703" s="105">
        <f>F702-E702</f>
        <v>648000</v>
      </c>
      <c r="F703" s="105"/>
      <c r="G703" s="18"/>
      <c r="H703" s="99"/>
      <c r="I703" s="99"/>
      <c r="J703" s="99"/>
      <c r="K703" s="99"/>
      <c r="L703" s="99"/>
      <c r="M703" s="99"/>
      <c r="N703" s="99"/>
      <c r="O703" s="99"/>
      <c r="P703" s="99"/>
      <c r="Q703" s="23"/>
      <c r="R703" s="23"/>
      <c r="S703" s="100"/>
      <c r="T703" s="24">
        <f t="shared" si="266"/>
        <v>0</v>
      </c>
      <c r="U703" s="179" t="str">
        <f t="shared" si="267"/>
        <v/>
      </c>
      <c r="V703" s="179" t="str">
        <f t="shared" si="268"/>
        <v/>
      </c>
      <c r="W703" s="179" t="str">
        <f t="shared" si="269"/>
        <v/>
      </c>
      <c r="X703" s="26"/>
    </row>
    <row r="704" hidden="1">
      <c r="A704" s="28"/>
      <c r="B704" s="28"/>
      <c r="C704" s="107"/>
      <c r="D704" s="97"/>
      <c r="E704" s="105"/>
      <c r="F704" s="105"/>
      <c r="G704" s="18"/>
      <c r="H704" s="99"/>
      <c r="I704" s="99"/>
      <c r="J704" s="99"/>
      <c r="K704" s="99"/>
      <c r="L704" s="99"/>
      <c r="M704" s="99"/>
      <c r="N704" s="99"/>
      <c r="O704" s="99"/>
      <c r="P704" s="99"/>
      <c r="Q704" s="23"/>
      <c r="R704" s="23"/>
      <c r="S704" s="100"/>
      <c r="T704" s="24">
        <f t="shared" si="266"/>
        <v>0</v>
      </c>
      <c r="U704" s="179" t="str">
        <f t="shared" si="267"/>
        <v/>
      </c>
      <c r="V704" s="179" t="str">
        <f t="shared" si="268"/>
        <v/>
      </c>
      <c r="W704" s="179" t="str">
        <f t="shared" si="269"/>
        <v/>
      </c>
      <c r="X704" s="26"/>
    </row>
    <row r="705" hidden="1">
      <c r="A705" s="28"/>
      <c r="B705" s="28"/>
      <c r="C705" s="107"/>
      <c r="D705" s="97"/>
      <c r="E705" s="105"/>
      <c r="F705" s="105"/>
      <c r="G705" s="18"/>
      <c r="H705" s="99"/>
      <c r="I705" s="99"/>
      <c r="J705" s="99"/>
      <c r="K705" s="99"/>
      <c r="L705" s="99"/>
      <c r="M705" s="99"/>
      <c r="N705" s="99"/>
      <c r="O705" s="99"/>
      <c r="P705" s="99"/>
      <c r="Q705" s="23"/>
      <c r="R705" s="23"/>
      <c r="S705" s="100"/>
      <c r="T705" s="24">
        <f t="shared" si="266"/>
        <v>0</v>
      </c>
      <c r="U705" s="179" t="str">
        <f t="shared" si="267"/>
        <v/>
      </c>
      <c r="V705" s="179" t="str">
        <f t="shared" si="268"/>
        <v/>
      </c>
      <c r="W705" s="179" t="str">
        <f t="shared" si="269"/>
        <v/>
      </c>
      <c r="X705" s="26"/>
    </row>
    <row r="706" hidden="1">
      <c r="A706" s="28"/>
      <c r="B706" s="28"/>
      <c r="C706" s="82" t="s">
        <v>386</v>
      </c>
      <c r="D706" s="83" t="s">
        <v>361</v>
      </c>
      <c r="E706" s="201">
        <v>55000.0</v>
      </c>
      <c r="F706" s="201">
        <v>200000.0</v>
      </c>
      <c r="G706" s="18">
        <f t="shared" ref="G706:G713" si="272">(F706-E706)/E706</f>
        <v>2.636363636</v>
      </c>
      <c r="H706" s="99"/>
      <c r="I706" s="99"/>
      <c r="J706" s="99"/>
      <c r="K706" s="99"/>
      <c r="L706" s="99"/>
      <c r="M706" s="99"/>
      <c r="N706" s="99"/>
      <c r="O706" s="99"/>
      <c r="P706" s="99"/>
      <c r="Q706" s="23"/>
      <c r="R706" s="23"/>
      <c r="S706" s="100"/>
      <c r="T706" s="24">
        <f t="shared" si="266"/>
        <v>-2.636363636</v>
      </c>
      <c r="U706" s="179">
        <f t="shared" si="267"/>
        <v>-1</v>
      </c>
      <c r="V706" s="179" t="str">
        <f t="shared" si="268"/>
        <v/>
      </c>
      <c r="W706" s="179" t="str">
        <f t="shared" si="269"/>
        <v/>
      </c>
      <c r="X706" s="26"/>
    </row>
    <row r="707" hidden="1">
      <c r="A707" s="28"/>
      <c r="B707" s="28"/>
      <c r="C707" s="107"/>
      <c r="D707" s="83" t="s">
        <v>387</v>
      </c>
      <c r="E707" s="201">
        <v>422000.0</v>
      </c>
      <c r="F707" s="105">
        <f>325000*2</f>
        <v>650000</v>
      </c>
      <c r="G707" s="18">
        <f t="shared" si="272"/>
        <v>0.5402843602</v>
      </c>
      <c r="H707" s="99"/>
      <c r="I707" s="99"/>
      <c r="J707" s="99"/>
      <c r="K707" s="99"/>
      <c r="L707" s="99"/>
      <c r="M707" s="99"/>
      <c r="N707" s="99"/>
      <c r="O707" s="99"/>
      <c r="P707" s="99"/>
      <c r="Q707" s="23"/>
      <c r="R707" s="23"/>
      <c r="S707" s="100"/>
      <c r="T707" s="24">
        <f t="shared" si="266"/>
        <v>-0.5402843602</v>
      </c>
      <c r="U707" s="179">
        <f t="shared" si="267"/>
        <v>-1</v>
      </c>
      <c r="V707" s="179" t="str">
        <f t="shared" si="268"/>
        <v/>
      </c>
      <c r="W707" s="179" t="str">
        <f t="shared" si="269"/>
        <v/>
      </c>
      <c r="X707" s="26"/>
    </row>
    <row r="708" hidden="1">
      <c r="A708" s="28"/>
      <c r="B708" s="28"/>
      <c r="C708" s="107"/>
      <c r="D708" s="83" t="s">
        <v>273</v>
      </c>
      <c r="E708" s="105">
        <f>(130000*2)</f>
        <v>260000</v>
      </c>
      <c r="F708" s="105">
        <f>250000*2</f>
        <v>500000</v>
      </c>
      <c r="G708" s="18">
        <f t="shared" si="272"/>
        <v>0.9230769231</v>
      </c>
      <c r="H708" s="99"/>
      <c r="I708" s="99"/>
      <c r="J708" s="99"/>
      <c r="K708" s="99"/>
      <c r="L708" s="99"/>
      <c r="M708" s="99"/>
      <c r="N708" s="99"/>
      <c r="O708" s="99"/>
      <c r="P708" s="99"/>
      <c r="Q708" s="23"/>
      <c r="R708" s="23"/>
      <c r="S708" s="100"/>
      <c r="T708" s="24">
        <f t="shared" si="266"/>
        <v>-0.9230769231</v>
      </c>
      <c r="U708" s="179">
        <f t="shared" si="267"/>
        <v>-1</v>
      </c>
      <c r="V708" s="179" t="str">
        <f t="shared" si="268"/>
        <v/>
      </c>
      <c r="W708" s="179" t="str">
        <f t="shared" si="269"/>
        <v/>
      </c>
      <c r="X708" s="26"/>
    </row>
    <row r="709" hidden="1">
      <c r="A709" s="28"/>
      <c r="B709" s="28"/>
      <c r="C709" s="107"/>
      <c r="D709" s="83" t="s">
        <v>267</v>
      </c>
      <c r="E709" s="105">
        <f>300000*2</f>
        <v>600000</v>
      </c>
      <c r="F709" s="105">
        <f>450000*2</f>
        <v>900000</v>
      </c>
      <c r="G709" s="18">
        <f t="shared" si="272"/>
        <v>0.5</v>
      </c>
      <c r="H709" s="99"/>
      <c r="I709" s="99"/>
      <c r="J709" s="99"/>
      <c r="K709" s="99"/>
      <c r="L709" s="99"/>
      <c r="M709" s="99"/>
      <c r="N709" s="99"/>
      <c r="O709" s="99"/>
      <c r="P709" s="99"/>
      <c r="Q709" s="23"/>
      <c r="R709" s="23"/>
      <c r="S709" s="100"/>
      <c r="T709" s="24">
        <f t="shared" si="266"/>
        <v>-0.5</v>
      </c>
      <c r="U709" s="179">
        <f t="shared" si="267"/>
        <v>-1</v>
      </c>
      <c r="V709" s="179" t="str">
        <f t="shared" si="268"/>
        <v/>
      </c>
      <c r="W709" s="179" t="str">
        <f t="shared" si="269"/>
        <v/>
      </c>
      <c r="X709" s="26"/>
    </row>
    <row r="710" hidden="1">
      <c r="A710" s="28"/>
      <c r="B710" s="28"/>
      <c r="C710" s="107"/>
      <c r="D710" s="83" t="s">
        <v>364</v>
      </c>
      <c r="E710" s="201">
        <v>350000.0</v>
      </c>
      <c r="F710" s="201">
        <v>580000.0</v>
      </c>
      <c r="G710" s="18">
        <f t="shared" si="272"/>
        <v>0.6571428571</v>
      </c>
      <c r="H710" s="99"/>
      <c r="I710" s="99"/>
      <c r="J710" s="99"/>
      <c r="K710" s="99"/>
      <c r="L710" s="99"/>
      <c r="M710" s="99"/>
      <c r="N710" s="99"/>
      <c r="O710" s="99"/>
      <c r="P710" s="99"/>
      <c r="Q710" s="23"/>
      <c r="R710" s="23"/>
      <c r="S710" s="100"/>
      <c r="T710" s="24">
        <f t="shared" si="266"/>
        <v>-0.6571428571</v>
      </c>
      <c r="U710" s="179">
        <f t="shared" si="267"/>
        <v>-1</v>
      </c>
      <c r="V710" s="179" t="str">
        <f t="shared" si="268"/>
        <v/>
      </c>
      <c r="W710" s="179" t="str">
        <f t="shared" si="269"/>
        <v/>
      </c>
      <c r="X710" s="26"/>
    </row>
    <row r="711" hidden="1">
      <c r="A711" s="28"/>
      <c r="B711" s="28"/>
      <c r="C711" s="107"/>
      <c r="D711" s="83" t="s">
        <v>388</v>
      </c>
      <c r="E711" s="105">
        <f>185000*2+150000</f>
        <v>520000</v>
      </c>
      <c r="F711" s="105">
        <f>(320000*2)+320000</f>
        <v>960000</v>
      </c>
      <c r="G711" s="18">
        <f t="shared" si="272"/>
        <v>0.8461538462</v>
      </c>
      <c r="H711" s="99"/>
      <c r="I711" s="99"/>
      <c r="J711" s="99"/>
      <c r="K711" s="99"/>
      <c r="L711" s="99"/>
      <c r="M711" s="99"/>
      <c r="N711" s="99"/>
      <c r="O711" s="99"/>
      <c r="P711" s="99"/>
      <c r="Q711" s="23"/>
      <c r="R711" s="23"/>
      <c r="S711" s="100"/>
      <c r="T711" s="24">
        <f t="shared" si="266"/>
        <v>-0.8461538462</v>
      </c>
      <c r="U711" s="179">
        <f t="shared" si="267"/>
        <v>-1</v>
      </c>
      <c r="V711" s="179" t="str">
        <f t="shared" si="268"/>
        <v/>
      </c>
      <c r="W711" s="179" t="str">
        <f t="shared" si="269"/>
        <v/>
      </c>
      <c r="X711" s="26"/>
    </row>
    <row r="712" hidden="1">
      <c r="A712" s="28"/>
      <c r="B712" s="28"/>
      <c r="C712" s="107"/>
      <c r="D712" s="83" t="s">
        <v>138</v>
      </c>
      <c r="E712" s="105">
        <f>350000*2</f>
        <v>700000</v>
      </c>
      <c r="F712" s="105">
        <f>520000*2</f>
        <v>1040000</v>
      </c>
      <c r="G712" s="18">
        <f t="shared" si="272"/>
        <v>0.4857142857</v>
      </c>
      <c r="H712" s="99"/>
      <c r="I712" s="99"/>
      <c r="J712" s="99"/>
      <c r="K712" s="99"/>
      <c r="L712" s="99"/>
      <c r="M712" s="99"/>
      <c r="N712" s="99"/>
      <c r="O712" s="99"/>
      <c r="P712" s="99"/>
      <c r="Q712" s="23"/>
      <c r="R712" s="23"/>
      <c r="S712" s="100"/>
      <c r="T712" s="24">
        <f t="shared" si="266"/>
        <v>-0.4857142857</v>
      </c>
      <c r="U712" s="179">
        <f t="shared" si="267"/>
        <v>-1</v>
      </c>
      <c r="V712" s="179" t="str">
        <f t="shared" si="268"/>
        <v/>
      </c>
      <c r="W712" s="179" t="str">
        <f t="shared" si="269"/>
        <v/>
      </c>
      <c r="X712" s="26"/>
    </row>
    <row r="713" hidden="1">
      <c r="A713" s="28"/>
      <c r="B713" s="28"/>
      <c r="C713" s="107"/>
      <c r="D713" s="83" t="s">
        <v>101</v>
      </c>
      <c r="E713" s="105">
        <f t="shared" ref="E713:F713" si="273">SUM(E706:E712)</f>
        <v>2907000</v>
      </c>
      <c r="F713" s="105">
        <f t="shared" si="273"/>
        <v>4830000</v>
      </c>
      <c r="G713" s="18">
        <f t="shared" si="272"/>
        <v>0.6615067079</v>
      </c>
      <c r="H713" s="99"/>
      <c r="I713" s="99"/>
      <c r="J713" s="99"/>
      <c r="K713" s="99"/>
      <c r="L713" s="99"/>
      <c r="M713" s="99"/>
      <c r="N713" s="99"/>
      <c r="O713" s="99"/>
      <c r="P713" s="99"/>
      <c r="Q713" s="23"/>
      <c r="R713" s="23"/>
      <c r="S713" s="100"/>
      <c r="T713" s="24">
        <f t="shared" si="266"/>
        <v>-0.6615067079</v>
      </c>
      <c r="U713" s="179">
        <f t="shared" si="267"/>
        <v>-1</v>
      </c>
      <c r="V713" s="179" t="str">
        <f t="shared" si="268"/>
        <v/>
      </c>
      <c r="W713" s="179" t="str">
        <f t="shared" si="269"/>
        <v/>
      </c>
      <c r="X713" s="26"/>
    </row>
    <row r="714" hidden="1">
      <c r="A714" s="28"/>
      <c r="B714" s="28"/>
      <c r="C714" s="107"/>
      <c r="D714" s="83" t="s">
        <v>148</v>
      </c>
      <c r="E714" s="105">
        <f>F713-E713</f>
        <v>1923000</v>
      </c>
      <c r="F714" s="105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23"/>
      <c r="R714" s="23"/>
      <c r="S714" s="100"/>
      <c r="T714" s="24">
        <f t="shared" si="266"/>
        <v>0</v>
      </c>
      <c r="U714" s="179" t="str">
        <f t="shared" si="267"/>
        <v/>
      </c>
      <c r="V714" s="179" t="str">
        <f t="shared" si="268"/>
        <v/>
      </c>
      <c r="W714" s="179" t="str">
        <f t="shared" si="269"/>
        <v/>
      </c>
      <c r="X714" s="26"/>
    </row>
    <row r="715" hidden="1">
      <c r="A715" s="28"/>
      <c r="B715" s="28"/>
      <c r="C715" s="107"/>
      <c r="D715" s="97"/>
      <c r="E715" s="105"/>
      <c r="F715" s="105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23"/>
      <c r="R715" s="23"/>
      <c r="S715" s="100"/>
      <c r="T715" s="24">
        <f t="shared" si="266"/>
        <v>0</v>
      </c>
      <c r="U715" s="179" t="str">
        <f t="shared" si="267"/>
        <v/>
      </c>
      <c r="V715" s="179" t="str">
        <f t="shared" si="268"/>
        <v/>
      </c>
      <c r="W715" s="179" t="str">
        <f t="shared" si="269"/>
        <v/>
      </c>
      <c r="X715" s="26"/>
    </row>
    <row r="716" hidden="1">
      <c r="A716" s="28"/>
      <c r="B716" s="28"/>
      <c r="C716" s="82" t="s">
        <v>389</v>
      </c>
      <c r="D716" s="83" t="s">
        <v>169</v>
      </c>
      <c r="E716" s="105">
        <f>370000*2</f>
        <v>740000</v>
      </c>
      <c r="F716" s="105">
        <f t="shared" ref="F716:F717" si="274">510000*2</f>
        <v>1020000</v>
      </c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23"/>
      <c r="R716" s="23"/>
      <c r="S716" s="100"/>
      <c r="T716" s="24">
        <f t="shared" si="266"/>
        <v>0</v>
      </c>
      <c r="U716" s="179" t="str">
        <f t="shared" si="267"/>
        <v/>
      </c>
      <c r="V716" s="179" t="str">
        <f t="shared" si="268"/>
        <v/>
      </c>
      <c r="W716" s="179" t="str">
        <f t="shared" si="269"/>
        <v/>
      </c>
      <c r="X716" s="26"/>
    </row>
    <row r="717" hidden="1">
      <c r="A717" s="28"/>
      <c r="B717" s="28"/>
      <c r="C717" s="107"/>
      <c r="D717" s="83" t="s">
        <v>156</v>
      </c>
      <c r="E717" s="105">
        <f>(330000*2)</f>
        <v>660000</v>
      </c>
      <c r="F717" s="105">
        <f t="shared" si="274"/>
        <v>1020000</v>
      </c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23"/>
      <c r="R717" s="23"/>
      <c r="S717" s="100"/>
      <c r="T717" s="24">
        <f t="shared" si="266"/>
        <v>0</v>
      </c>
      <c r="U717" s="179" t="str">
        <f t="shared" si="267"/>
        <v/>
      </c>
      <c r="V717" s="179" t="str">
        <f t="shared" si="268"/>
        <v/>
      </c>
      <c r="W717" s="179" t="str">
        <f t="shared" si="269"/>
        <v/>
      </c>
      <c r="X717" s="26"/>
    </row>
    <row r="718" hidden="1">
      <c r="A718" s="28"/>
      <c r="B718" s="28"/>
      <c r="C718" s="107"/>
      <c r="D718" s="83" t="s">
        <v>265</v>
      </c>
      <c r="E718" s="105">
        <f>928000</f>
        <v>928000</v>
      </c>
      <c r="F718" s="105">
        <f>600000*2+(29000*2)+5000*2</f>
        <v>1268000</v>
      </c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23"/>
      <c r="R718" s="23"/>
      <c r="S718" s="100"/>
      <c r="T718" s="24">
        <f t="shared" si="266"/>
        <v>0</v>
      </c>
      <c r="U718" s="179" t="str">
        <f t="shared" si="267"/>
        <v/>
      </c>
      <c r="V718" s="179" t="str">
        <f t="shared" si="268"/>
        <v/>
      </c>
      <c r="W718" s="179" t="str">
        <f t="shared" si="269"/>
        <v/>
      </c>
      <c r="X718" s="26"/>
    </row>
    <row r="719" hidden="1">
      <c r="A719" s="28"/>
      <c r="B719" s="28"/>
      <c r="C719" s="107"/>
      <c r="D719" s="83" t="s">
        <v>101</v>
      </c>
      <c r="E719" s="105">
        <f t="shared" ref="E719:F719" si="275">E716+E717+E718</f>
        <v>2328000</v>
      </c>
      <c r="F719" s="105">
        <f t="shared" si="275"/>
        <v>3308000</v>
      </c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23"/>
      <c r="R719" s="23"/>
      <c r="S719" s="100"/>
      <c r="T719" s="24">
        <f t="shared" si="266"/>
        <v>0</v>
      </c>
      <c r="U719" s="179" t="str">
        <f t="shared" si="267"/>
        <v/>
      </c>
      <c r="V719" s="179" t="str">
        <f t="shared" si="268"/>
        <v/>
      </c>
      <c r="W719" s="179" t="str">
        <f t="shared" si="269"/>
        <v/>
      </c>
      <c r="X719" s="26"/>
    </row>
    <row r="720" hidden="1">
      <c r="A720" s="28"/>
      <c r="B720" s="28"/>
      <c r="C720" s="107"/>
      <c r="D720" s="83" t="s">
        <v>148</v>
      </c>
      <c r="E720" s="105">
        <f>F719-E719</f>
        <v>980000</v>
      </c>
      <c r="F720" s="105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23"/>
      <c r="R720" s="23"/>
      <c r="S720" s="100"/>
      <c r="T720" s="24">
        <f t="shared" si="266"/>
        <v>0</v>
      </c>
      <c r="U720" s="179" t="str">
        <f t="shared" si="267"/>
        <v/>
      </c>
      <c r="V720" s="179" t="str">
        <f t="shared" si="268"/>
        <v/>
      </c>
      <c r="W720" s="179" t="str">
        <f t="shared" si="269"/>
        <v/>
      </c>
      <c r="X720" s="26"/>
    </row>
    <row r="721" hidden="1">
      <c r="A721" s="28"/>
      <c r="B721" s="28"/>
      <c r="C721" s="107"/>
      <c r="D721" s="97"/>
      <c r="E721" s="105"/>
      <c r="F721" s="105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23"/>
      <c r="R721" s="23"/>
      <c r="S721" s="100"/>
      <c r="T721" s="24">
        <f t="shared" si="266"/>
        <v>0</v>
      </c>
      <c r="U721" s="179" t="str">
        <f t="shared" si="267"/>
        <v/>
      </c>
      <c r="V721" s="179" t="str">
        <f t="shared" si="268"/>
        <v/>
      </c>
      <c r="W721" s="179" t="str">
        <f t="shared" si="269"/>
        <v/>
      </c>
      <c r="X721" s="26"/>
    </row>
    <row r="722" hidden="1">
      <c r="A722" s="28"/>
      <c r="B722" s="28"/>
      <c r="C722" s="107"/>
      <c r="D722" s="97"/>
      <c r="E722" s="105"/>
      <c r="F722" s="105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23"/>
      <c r="R722" s="23"/>
      <c r="S722" s="100"/>
      <c r="T722" s="24">
        <f t="shared" si="266"/>
        <v>0</v>
      </c>
      <c r="U722" s="179" t="str">
        <f t="shared" si="267"/>
        <v/>
      </c>
      <c r="V722" s="179" t="str">
        <f t="shared" si="268"/>
        <v/>
      </c>
      <c r="W722" s="179" t="str">
        <f t="shared" si="269"/>
        <v/>
      </c>
      <c r="X722" s="26"/>
    </row>
    <row r="723" hidden="1">
      <c r="A723" s="28"/>
      <c r="B723" s="28"/>
      <c r="C723" s="82" t="s">
        <v>390</v>
      </c>
      <c r="D723" s="83" t="s">
        <v>361</v>
      </c>
      <c r="E723" s="193">
        <v>55000.0</v>
      </c>
      <c r="F723" s="193">
        <v>200000.0</v>
      </c>
      <c r="G723" s="34">
        <f t="shared" ref="G723:G732" si="276">(F723-E723)/E723</f>
        <v>2.636363636</v>
      </c>
      <c r="H723" s="99"/>
      <c r="I723" s="99"/>
      <c r="J723" s="99"/>
      <c r="K723" s="99"/>
      <c r="L723" s="99"/>
      <c r="M723" s="99"/>
      <c r="N723" s="99"/>
      <c r="O723" s="99"/>
      <c r="P723" s="99"/>
      <c r="Q723" s="23"/>
      <c r="R723" s="23"/>
      <c r="S723" s="100"/>
      <c r="T723" s="24">
        <f t="shared" si="266"/>
        <v>-2.636363636</v>
      </c>
      <c r="U723" s="179">
        <f t="shared" si="267"/>
        <v>-1</v>
      </c>
      <c r="V723" s="179" t="str">
        <f t="shared" si="268"/>
        <v/>
      </c>
      <c r="W723" s="179" t="str">
        <f t="shared" si="269"/>
        <v/>
      </c>
      <c r="X723" s="26"/>
    </row>
    <row r="724" hidden="1">
      <c r="A724" s="28"/>
      <c r="B724" s="28"/>
      <c r="C724" s="107"/>
      <c r="D724" s="83" t="s">
        <v>387</v>
      </c>
      <c r="E724" s="193">
        <v>422000.0</v>
      </c>
      <c r="F724" s="193">
        <f>325000*2</f>
        <v>650000</v>
      </c>
      <c r="G724" s="34">
        <f t="shared" si="276"/>
        <v>0.5402843602</v>
      </c>
      <c r="H724" s="99"/>
      <c r="I724" s="99"/>
      <c r="J724" s="99"/>
      <c r="K724" s="99"/>
      <c r="L724" s="99"/>
      <c r="M724" s="99"/>
      <c r="N724" s="99"/>
      <c r="O724" s="99"/>
      <c r="P724" s="99"/>
      <c r="Q724" s="23"/>
      <c r="R724" s="23"/>
      <c r="S724" s="100"/>
      <c r="T724" s="24">
        <f t="shared" si="266"/>
        <v>-0.5402843602</v>
      </c>
      <c r="U724" s="179">
        <f t="shared" si="267"/>
        <v>-1</v>
      </c>
      <c r="V724" s="179" t="str">
        <f t="shared" si="268"/>
        <v/>
      </c>
      <c r="W724" s="179" t="str">
        <f t="shared" si="269"/>
        <v/>
      </c>
      <c r="X724" s="26"/>
    </row>
    <row r="725" hidden="1">
      <c r="A725" s="28"/>
      <c r="B725" s="28"/>
      <c r="C725" s="107"/>
      <c r="D725" s="83" t="s">
        <v>273</v>
      </c>
      <c r="E725" s="193">
        <f>(130000*2)</f>
        <v>260000</v>
      </c>
      <c r="F725" s="193">
        <f>250000*2</f>
        <v>500000</v>
      </c>
      <c r="G725" s="34">
        <f t="shared" si="276"/>
        <v>0.9230769231</v>
      </c>
      <c r="H725" s="99"/>
      <c r="I725" s="99"/>
      <c r="J725" s="99"/>
      <c r="K725" s="99"/>
      <c r="L725" s="99"/>
      <c r="M725" s="99"/>
      <c r="N725" s="99"/>
      <c r="O725" s="99"/>
      <c r="P725" s="99"/>
      <c r="Q725" s="23"/>
      <c r="R725" s="23"/>
      <c r="S725" s="100"/>
      <c r="T725" s="24">
        <f t="shared" si="266"/>
        <v>-0.9230769231</v>
      </c>
      <c r="U725" s="179">
        <f t="shared" si="267"/>
        <v>-1</v>
      </c>
      <c r="V725" s="179" t="str">
        <f t="shared" si="268"/>
        <v/>
      </c>
      <c r="W725" s="179" t="str">
        <f t="shared" si="269"/>
        <v/>
      </c>
      <c r="X725" s="26"/>
    </row>
    <row r="726" hidden="1">
      <c r="A726" s="28"/>
      <c r="B726" s="28"/>
      <c r="C726" s="107"/>
      <c r="D726" s="83" t="s">
        <v>391</v>
      </c>
      <c r="E726" s="193">
        <f>370000*2</f>
        <v>740000</v>
      </c>
      <c r="F726" s="193">
        <f>520000*2</f>
        <v>1040000</v>
      </c>
      <c r="G726" s="34">
        <f t="shared" si="276"/>
        <v>0.4054054054</v>
      </c>
      <c r="H726" s="99"/>
      <c r="I726" s="99"/>
      <c r="J726" s="99"/>
      <c r="K726" s="99"/>
      <c r="L726" s="99"/>
      <c r="M726" s="99"/>
      <c r="N726" s="99"/>
      <c r="O726" s="99"/>
      <c r="P726" s="99"/>
      <c r="Q726" s="23"/>
      <c r="R726" s="23"/>
      <c r="S726" s="100"/>
      <c r="T726" s="24">
        <f t="shared" si="266"/>
        <v>-0.4054054054</v>
      </c>
      <c r="U726" s="179">
        <f t="shared" si="267"/>
        <v>-1</v>
      </c>
      <c r="V726" s="179" t="str">
        <f t="shared" si="268"/>
        <v/>
      </c>
      <c r="W726" s="179" t="str">
        <f t="shared" si="269"/>
        <v/>
      </c>
      <c r="X726" s="26"/>
    </row>
    <row r="727" hidden="1">
      <c r="A727" s="28"/>
      <c r="B727" s="28"/>
      <c r="C727" s="107"/>
      <c r="D727" s="83" t="s">
        <v>364</v>
      </c>
      <c r="E727" s="193">
        <v>350000.0</v>
      </c>
      <c r="F727" s="193">
        <v>580000.0</v>
      </c>
      <c r="G727" s="34">
        <f t="shared" si="276"/>
        <v>0.6571428571</v>
      </c>
      <c r="H727" s="99"/>
      <c r="I727" s="99"/>
      <c r="J727" s="99"/>
      <c r="K727" s="99"/>
      <c r="L727" s="99"/>
      <c r="M727" s="99"/>
      <c r="N727" s="99"/>
      <c r="O727" s="99"/>
      <c r="P727" s="99"/>
      <c r="Q727" s="23"/>
      <c r="R727" s="23"/>
      <c r="S727" s="100"/>
      <c r="T727" s="24">
        <f t="shared" si="266"/>
        <v>-0.6571428571</v>
      </c>
      <c r="U727" s="179">
        <f t="shared" si="267"/>
        <v>-1</v>
      </c>
      <c r="V727" s="179" t="str">
        <f t="shared" si="268"/>
        <v/>
      </c>
      <c r="W727" s="179" t="str">
        <f t="shared" si="269"/>
        <v/>
      </c>
      <c r="X727" s="26"/>
    </row>
    <row r="728" hidden="1">
      <c r="A728" s="28"/>
      <c r="B728" s="28"/>
      <c r="C728" s="107"/>
      <c r="D728" s="83" t="s">
        <v>388</v>
      </c>
      <c r="E728" s="193">
        <f>185000*2+150000</f>
        <v>520000</v>
      </c>
      <c r="F728" s="193">
        <f>(320000*2)+320000</f>
        <v>960000</v>
      </c>
      <c r="G728" s="34">
        <f t="shared" si="276"/>
        <v>0.8461538462</v>
      </c>
      <c r="H728" s="99"/>
      <c r="I728" s="99"/>
      <c r="J728" s="99"/>
      <c r="K728" s="99"/>
      <c r="L728" s="99"/>
      <c r="M728" s="99"/>
      <c r="N728" s="99"/>
      <c r="O728" s="99"/>
      <c r="P728" s="99"/>
      <c r="Q728" s="23"/>
      <c r="R728" s="23"/>
      <c r="S728" s="100"/>
      <c r="T728" s="24">
        <f t="shared" si="266"/>
        <v>-0.8461538462</v>
      </c>
      <c r="U728" s="179">
        <f t="shared" si="267"/>
        <v>-1</v>
      </c>
      <c r="V728" s="179" t="str">
        <f t="shared" si="268"/>
        <v/>
      </c>
      <c r="W728" s="179" t="str">
        <f t="shared" si="269"/>
        <v/>
      </c>
      <c r="X728" s="26"/>
    </row>
    <row r="729" hidden="1">
      <c r="A729" s="28"/>
      <c r="B729" s="28"/>
      <c r="C729" s="107"/>
      <c r="D729" s="83" t="s">
        <v>138</v>
      </c>
      <c r="E729" s="193">
        <f>350000*2</f>
        <v>700000</v>
      </c>
      <c r="F729" s="193">
        <f>520000*2</f>
        <v>1040000</v>
      </c>
      <c r="G729" s="34">
        <f t="shared" si="276"/>
        <v>0.4857142857</v>
      </c>
      <c r="H729" s="99"/>
      <c r="I729" s="99"/>
      <c r="J729" s="99"/>
      <c r="K729" s="99"/>
      <c r="L729" s="99"/>
      <c r="M729" s="99"/>
      <c r="N729" s="99"/>
      <c r="O729" s="99"/>
      <c r="P729" s="99"/>
      <c r="Q729" s="23"/>
      <c r="R729" s="23"/>
      <c r="S729" s="100"/>
      <c r="T729" s="24">
        <f t="shared" si="266"/>
        <v>-0.4857142857</v>
      </c>
      <c r="U729" s="179">
        <f t="shared" si="267"/>
        <v>-1</v>
      </c>
      <c r="V729" s="179" t="str">
        <f t="shared" si="268"/>
        <v/>
      </c>
      <c r="W729" s="179" t="str">
        <f t="shared" si="269"/>
        <v/>
      </c>
      <c r="X729" s="26"/>
    </row>
    <row r="730" hidden="1">
      <c r="A730" s="28"/>
      <c r="B730" s="28"/>
      <c r="C730" s="107"/>
      <c r="D730" s="83" t="s">
        <v>392</v>
      </c>
      <c r="E730" s="193">
        <f>390000*2</f>
        <v>780000</v>
      </c>
      <c r="F730" s="248">
        <f>610000*2</f>
        <v>1220000</v>
      </c>
      <c r="G730" s="34">
        <f t="shared" si="276"/>
        <v>0.5641025641</v>
      </c>
      <c r="H730" s="99"/>
      <c r="I730" s="99"/>
      <c r="J730" s="99"/>
      <c r="K730" s="99"/>
      <c r="L730" s="99"/>
      <c r="M730" s="99"/>
      <c r="N730" s="99"/>
      <c r="O730" s="99"/>
      <c r="P730" s="99"/>
      <c r="Q730" s="23"/>
      <c r="R730" s="23"/>
      <c r="S730" s="100"/>
      <c r="T730" s="24">
        <f t="shared" si="266"/>
        <v>-0.5641025641</v>
      </c>
      <c r="U730" s="179">
        <f t="shared" si="267"/>
        <v>-1</v>
      </c>
      <c r="V730" s="179" t="str">
        <f t="shared" si="268"/>
        <v/>
      </c>
      <c r="W730" s="179" t="str">
        <f t="shared" si="269"/>
        <v/>
      </c>
      <c r="X730" s="26"/>
    </row>
    <row r="731" hidden="1">
      <c r="A731" s="28"/>
      <c r="B731" s="28"/>
      <c r="C731" s="107"/>
      <c r="D731" s="83" t="s">
        <v>101</v>
      </c>
      <c r="E731" s="193">
        <f t="shared" ref="E731:F731" si="277">SUM(E723:E730)</f>
        <v>3827000</v>
      </c>
      <c r="F731" s="193">
        <f t="shared" si="277"/>
        <v>6190000</v>
      </c>
      <c r="G731" s="34">
        <f t="shared" si="276"/>
        <v>0.6174549255</v>
      </c>
      <c r="H731" s="99"/>
      <c r="I731" s="99"/>
      <c r="J731" s="99"/>
      <c r="K731" s="99"/>
      <c r="L731" s="99"/>
      <c r="M731" s="99"/>
      <c r="N731" s="99"/>
      <c r="O731" s="99"/>
      <c r="P731" s="99"/>
      <c r="Q731" s="23"/>
      <c r="R731" s="23"/>
      <c r="S731" s="100"/>
      <c r="T731" s="24">
        <f t="shared" si="266"/>
        <v>-0.6174549255</v>
      </c>
      <c r="U731" s="179">
        <f t="shared" si="267"/>
        <v>-1</v>
      </c>
      <c r="V731" s="179" t="str">
        <f t="shared" si="268"/>
        <v/>
      </c>
      <c r="W731" s="179" t="str">
        <f t="shared" si="269"/>
        <v/>
      </c>
      <c r="X731" s="26"/>
    </row>
    <row r="732" hidden="1">
      <c r="A732" s="28"/>
      <c r="B732" s="28"/>
      <c r="C732" s="107"/>
      <c r="D732" s="83" t="s">
        <v>148</v>
      </c>
      <c r="E732" s="193">
        <f>F731-E731</f>
        <v>2363000</v>
      </c>
      <c r="F732" s="191"/>
      <c r="G732" s="34">
        <f t="shared" si="276"/>
        <v>-1</v>
      </c>
      <c r="H732" s="99"/>
      <c r="I732" s="99"/>
      <c r="J732" s="99"/>
      <c r="K732" s="99"/>
      <c r="L732" s="99"/>
      <c r="M732" s="99"/>
      <c r="N732" s="99"/>
      <c r="O732" s="99"/>
      <c r="P732" s="99"/>
      <c r="Q732" s="23"/>
      <c r="R732" s="23"/>
      <c r="S732" s="100"/>
      <c r="T732" s="24">
        <f t="shared" si="266"/>
        <v>1</v>
      </c>
      <c r="U732" s="179">
        <f t="shared" si="267"/>
        <v>-1</v>
      </c>
      <c r="V732" s="179" t="str">
        <f t="shared" si="268"/>
        <v/>
      </c>
      <c r="W732" s="179" t="str">
        <f t="shared" si="269"/>
        <v/>
      </c>
      <c r="X732" s="26"/>
    </row>
    <row r="733" hidden="1">
      <c r="A733" s="28"/>
      <c r="B733" s="28"/>
      <c r="C733" s="107"/>
      <c r="D733" s="97"/>
      <c r="E733" s="105"/>
      <c r="F733" s="105"/>
      <c r="G733" s="34"/>
      <c r="H733" s="99"/>
      <c r="I733" s="99"/>
      <c r="J733" s="99"/>
      <c r="K733" s="99"/>
      <c r="L733" s="99"/>
      <c r="M733" s="99"/>
      <c r="N733" s="99"/>
      <c r="O733" s="99"/>
      <c r="P733" s="99"/>
      <c r="Q733" s="23"/>
      <c r="R733" s="23"/>
      <c r="S733" s="100"/>
      <c r="T733" s="24">
        <f t="shared" si="266"/>
        <v>0</v>
      </c>
      <c r="U733" s="179" t="str">
        <f t="shared" si="267"/>
        <v/>
      </c>
      <c r="V733" s="179" t="str">
        <f t="shared" si="268"/>
        <v/>
      </c>
      <c r="W733" s="179" t="str">
        <f t="shared" si="269"/>
        <v/>
      </c>
      <c r="X733" s="26"/>
    </row>
    <row r="734" hidden="1">
      <c r="A734" s="28"/>
      <c r="B734" s="28"/>
      <c r="C734" s="82" t="s">
        <v>393</v>
      </c>
      <c r="D734" s="83" t="s">
        <v>155</v>
      </c>
      <c r="E734" s="105">
        <f>480000+36000*12+10000*12</f>
        <v>1032000</v>
      </c>
      <c r="F734" s="105"/>
      <c r="G734" s="34">
        <f t="shared" ref="G734:G736" si="278">(F734-E734)/E734</f>
        <v>-1</v>
      </c>
      <c r="H734" s="99"/>
      <c r="I734" s="99"/>
      <c r="J734" s="99"/>
      <c r="K734" s="99"/>
      <c r="L734" s="99"/>
      <c r="M734" s="99"/>
      <c r="N734" s="99"/>
      <c r="O734" s="99"/>
      <c r="P734" s="99"/>
      <c r="Q734" s="23"/>
      <c r="R734" s="23"/>
      <c r="S734" s="100"/>
      <c r="T734" s="24">
        <f t="shared" si="266"/>
        <v>1</v>
      </c>
      <c r="U734" s="179">
        <f t="shared" si="267"/>
        <v>-1</v>
      </c>
      <c r="V734" s="179" t="str">
        <f t="shared" si="268"/>
        <v/>
      </c>
      <c r="W734" s="179" t="str">
        <f t="shared" si="269"/>
        <v/>
      </c>
      <c r="X734" s="26"/>
    </row>
    <row r="735" hidden="1">
      <c r="A735" s="28"/>
      <c r="B735" s="28"/>
      <c r="C735" s="107"/>
      <c r="D735" s="83" t="s">
        <v>394</v>
      </c>
      <c r="E735" s="201">
        <v>400000.0</v>
      </c>
      <c r="F735" s="105"/>
      <c r="G735" s="34">
        <f t="shared" si="278"/>
        <v>-1</v>
      </c>
      <c r="H735" s="99"/>
      <c r="I735" s="99"/>
      <c r="J735" s="99"/>
      <c r="K735" s="99"/>
      <c r="L735" s="99"/>
      <c r="M735" s="99"/>
      <c r="N735" s="99"/>
      <c r="O735" s="99"/>
      <c r="P735" s="99"/>
      <c r="Q735" s="23"/>
      <c r="R735" s="23"/>
      <c r="S735" s="100"/>
      <c r="T735" s="24">
        <f t="shared" si="266"/>
        <v>1</v>
      </c>
      <c r="U735" s="179">
        <f t="shared" si="267"/>
        <v>-1</v>
      </c>
      <c r="V735" s="179" t="str">
        <f t="shared" si="268"/>
        <v/>
      </c>
      <c r="W735" s="179" t="str">
        <f t="shared" si="269"/>
        <v/>
      </c>
      <c r="X735" s="26"/>
    </row>
    <row r="736" hidden="1">
      <c r="A736" s="28"/>
      <c r="B736" s="28"/>
      <c r="C736" s="107"/>
      <c r="D736" s="83" t="s">
        <v>395</v>
      </c>
      <c r="E736" s="105">
        <f>480000+10000*12</f>
        <v>600000</v>
      </c>
      <c r="F736" s="105"/>
      <c r="G736" s="34">
        <f t="shared" si="278"/>
        <v>-1</v>
      </c>
      <c r="H736" s="99"/>
      <c r="I736" s="99"/>
      <c r="J736" s="99"/>
      <c r="K736" s="99"/>
      <c r="L736" s="99"/>
      <c r="M736" s="99"/>
      <c r="N736" s="99"/>
      <c r="O736" s="99"/>
      <c r="P736" s="99"/>
      <c r="Q736" s="23"/>
      <c r="R736" s="23"/>
      <c r="S736" s="100"/>
      <c r="T736" s="24">
        <f t="shared" si="266"/>
        <v>1</v>
      </c>
      <c r="U736" s="179">
        <f t="shared" si="267"/>
        <v>-1</v>
      </c>
      <c r="V736" s="179" t="str">
        <f t="shared" si="268"/>
        <v/>
      </c>
      <c r="W736" s="179" t="str">
        <f t="shared" si="269"/>
        <v/>
      </c>
      <c r="X736" s="26"/>
    </row>
    <row r="737" hidden="1">
      <c r="A737" s="28"/>
      <c r="B737" s="28"/>
      <c r="C737" s="107"/>
      <c r="D737" s="83" t="s">
        <v>101</v>
      </c>
      <c r="E737" s="105">
        <f>E734+E735+E736</f>
        <v>2032000</v>
      </c>
      <c r="F737" s="105"/>
      <c r="G737" s="34"/>
      <c r="H737" s="99"/>
      <c r="I737" s="99"/>
      <c r="J737" s="99"/>
      <c r="K737" s="99"/>
      <c r="L737" s="99"/>
      <c r="M737" s="99"/>
      <c r="N737" s="99"/>
      <c r="O737" s="99"/>
      <c r="P737" s="99"/>
      <c r="Q737" s="23"/>
      <c r="R737" s="23"/>
      <c r="S737" s="100"/>
      <c r="T737" s="24">
        <f t="shared" si="266"/>
        <v>0</v>
      </c>
      <c r="U737" s="179" t="str">
        <f t="shared" si="267"/>
        <v/>
      </c>
      <c r="V737" s="179" t="str">
        <f t="shared" si="268"/>
        <v/>
      </c>
      <c r="W737" s="179" t="str">
        <f t="shared" si="269"/>
        <v/>
      </c>
      <c r="X737" s="26"/>
    </row>
    <row r="738" hidden="1">
      <c r="A738" s="28"/>
      <c r="B738" s="28"/>
      <c r="C738" s="107"/>
      <c r="D738" s="83"/>
      <c r="E738" s="105"/>
      <c r="F738" s="105"/>
      <c r="G738" s="34"/>
      <c r="H738" s="99"/>
      <c r="I738" s="99"/>
      <c r="J738" s="99"/>
      <c r="K738" s="99"/>
      <c r="L738" s="99"/>
      <c r="M738" s="99"/>
      <c r="N738" s="99"/>
      <c r="O738" s="99"/>
      <c r="P738" s="99"/>
      <c r="Q738" s="23"/>
      <c r="R738" s="23"/>
      <c r="S738" s="100"/>
      <c r="T738" s="24">
        <f t="shared" si="266"/>
        <v>0</v>
      </c>
      <c r="U738" s="179" t="str">
        <f t="shared" si="267"/>
        <v/>
      </c>
      <c r="V738" s="179" t="str">
        <f t="shared" si="268"/>
        <v/>
      </c>
      <c r="W738" s="179" t="str">
        <f t="shared" si="269"/>
        <v/>
      </c>
      <c r="X738" s="26"/>
    </row>
    <row r="739" hidden="1">
      <c r="A739" s="28"/>
      <c r="B739" s="28"/>
      <c r="C739" s="82" t="s">
        <v>396</v>
      </c>
      <c r="D739" s="83" t="s">
        <v>397</v>
      </c>
      <c r="E739" s="105">
        <f>400000+150000+36000*3+12000*3+30000</f>
        <v>724000</v>
      </c>
      <c r="F739" s="201">
        <v>1100000.0</v>
      </c>
      <c r="G739" s="34">
        <f t="shared" ref="G739:G741" si="279">(F739-E739)/E739</f>
        <v>0.5193370166</v>
      </c>
      <c r="H739" s="99"/>
      <c r="I739" s="99"/>
      <c r="J739" s="99"/>
      <c r="K739" s="99"/>
      <c r="L739" s="99"/>
      <c r="M739" s="99"/>
      <c r="N739" s="99"/>
      <c r="O739" s="99"/>
      <c r="P739" s="99"/>
      <c r="Q739" s="23"/>
      <c r="R739" s="23"/>
      <c r="S739" s="100"/>
      <c r="T739" s="24">
        <f t="shared" si="266"/>
        <v>-0.5193370166</v>
      </c>
      <c r="U739" s="179">
        <f t="shared" si="267"/>
        <v>-1</v>
      </c>
      <c r="V739" s="179" t="str">
        <f t="shared" si="268"/>
        <v/>
      </c>
      <c r="W739" s="179" t="str">
        <f t="shared" si="269"/>
        <v/>
      </c>
      <c r="X739" s="26"/>
    </row>
    <row r="740" hidden="1">
      <c r="A740" s="28"/>
      <c r="B740" s="28"/>
      <c r="C740" s="107"/>
      <c r="D740" s="83" t="s">
        <v>398</v>
      </c>
      <c r="E740" s="201">
        <f>55000*2</f>
        <v>110000</v>
      </c>
      <c r="F740" s="201">
        <v>300000.0</v>
      </c>
      <c r="G740" s="34">
        <f t="shared" si="279"/>
        <v>1.727272727</v>
      </c>
      <c r="H740" s="99"/>
      <c r="I740" s="99"/>
      <c r="J740" s="99"/>
      <c r="K740" s="99"/>
      <c r="L740" s="99"/>
      <c r="M740" s="99"/>
      <c r="N740" s="99"/>
      <c r="O740" s="99"/>
      <c r="P740" s="99"/>
      <c r="Q740" s="23"/>
      <c r="R740" s="23"/>
      <c r="S740" s="100"/>
      <c r="T740" s="24">
        <f t="shared" si="266"/>
        <v>-1.727272727</v>
      </c>
      <c r="U740" s="179">
        <f t="shared" si="267"/>
        <v>-1</v>
      </c>
      <c r="V740" s="179" t="str">
        <f t="shared" si="268"/>
        <v/>
      </c>
      <c r="W740" s="179" t="str">
        <f t="shared" si="269"/>
        <v/>
      </c>
      <c r="X740" s="26"/>
    </row>
    <row r="741" hidden="1">
      <c r="A741" s="28"/>
      <c r="B741" s="28"/>
      <c r="C741" s="107"/>
      <c r="D741" s="83" t="s">
        <v>101</v>
      </c>
      <c r="E741" s="105">
        <f t="shared" ref="E741:F741" si="280">E739+E740</f>
        <v>834000</v>
      </c>
      <c r="F741" s="105">
        <f t="shared" si="280"/>
        <v>1400000</v>
      </c>
      <c r="G741" s="34">
        <f t="shared" si="279"/>
        <v>0.6786570743</v>
      </c>
      <c r="H741" s="99"/>
      <c r="I741" s="99"/>
      <c r="J741" s="99"/>
      <c r="K741" s="99"/>
      <c r="L741" s="99"/>
      <c r="M741" s="99"/>
      <c r="N741" s="99"/>
      <c r="O741" s="99"/>
      <c r="P741" s="99"/>
      <c r="Q741" s="23"/>
      <c r="R741" s="23"/>
      <c r="S741" s="100"/>
      <c r="T741" s="24">
        <f t="shared" si="266"/>
        <v>-0.6786570743</v>
      </c>
      <c r="U741" s="179">
        <f t="shared" si="267"/>
        <v>-1</v>
      </c>
      <c r="V741" s="179" t="str">
        <f t="shared" si="268"/>
        <v/>
      </c>
      <c r="W741" s="179" t="str">
        <f t="shared" si="269"/>
        <v/>
      </c>
      <c r="X741" s="26"/>
    </row>
    <row r="742" hidden="1">
      <c r="A742" s="28"/>
      <c r="B742" s="28"/>
      <c r="C742" s="107"/>
      <c r="D742" s="83" t="s">
        <v>148</v>
      </c>
      <c r="E742" s="201">
        <f>F741-E741</f>
        <v>566000</v>
      </c>
      <c r="F742" s="105"/>
      <c r="G742" s="34"/>
      <c r="H742" s="99"/>
      <c r="I742" s="99"/>
      <c r="J742" s="99"/>
      <c r="K742" s="99"/>
      <c r="L742" s="99"/>
      <c r="M742" s="99"/>
      <c r="N742" s="99"/>
      <c r="O742" s="99"/>
      <c r="P742" s="99"/>
      <c r="Q742" s="23"/>
      <c r="R742" s="23"/>
      <c r="S742" s="100"/>
      <c r="T742" s="24">
        <f t="shared" si="266"/>
        <v>0</v>
      </c>
      <c r="U742" s="179" t="str">
        <f t="shared" si="267"/>
        <v/>
      </c>
      <c r="V742" s="179" t="str">
        <f t="shared" si="268"/>
        <v/>
      </c>
      <c r="W742" s="179" t="str">
        <f t="shared" si="269"/>
        <v/>
      </c>
      <c r="X742" s="26"/>
    </row>
    <row r="743" hidden="1">
      <c r="A743" s="28"/>
      <c r="B743" s="28"/>
      <c r="C743" s="107"/>
      <c r="D743" s="97"/>
      <c r="E743" s="105"/>
      <c r="F743" s="105"/>
      <c r="G743" s="34"/>
      <c r="H743" s="99"/>
      <c r="I743" s="99"/>
      <c r="J743" s="99"/>
      <c r="K743" s="99"/>
      <c r="L743" s="99"/>
      <c r="M743" s="99"/>
      <c r="N743" s="99"/>
      <c r="O743" s="99"/>
      <c r="P743" s="99"/>
      <c r="Q743" s="23"/>
      <c r="R743" s="23"/>
      <c r="S743" s="100"/>
      <c r="T743" s="24">
        <f t="shared" si="266"/>
        <v>0</v>
      </c>
      <c r="U743" s="179" t="str">
        <f t="shared" si="267"/>
        <v/>
      </c>
      <c r="V743" s="179" t="str">
        <f t="shared" si="268"/>
        <v/>
      </c>
      <c r="W743" s="179" t="str">
        <f t="shared" si="269"/>
        <v/>
      </c>
      <c r="X743" s="26"/>
    </row>
    <row r="744" hidden="1">
      <c r="A744" s="28"/>
      <c r="B744" s="28"/>
      <c r="C744" s="107"/>
      <c r="D744" s="97"/>
      <c r="E744" s="105"/>
      <c r="F744" s="105"/>
      <c r="G744" s="34"/>
      <c r="H744" s="99"/>
      <c r="I744" s="99"/>
      <c r="J744" s="99"/>
      <c r="K744" s="99"/>
      <c r="L744" s="99"/>
      <c r="M744" s="99"/>
      <c r="N744" s="99"/>
      <c r="O744" s="99"/>
      <c r="P744" s="99"/>
      <c r="Q744" s="23"/>
      <c r="R744" s="23"/>
      <c r="S744" s="100"/>
      <c r="T744" s="24">
        <f t="shared" si="266"/>
        <v>0</v>
      </c>
      <c r="U744" s="179" t="str">
        <f t="shared" si="267"/>
        <v/>
      </c>
      <c r="V744" s="179" t="str">
        <f t="shared" si="268"/>
        <v/>
      </c>
      <c r="W744" s="179" t="str">
        <f t="shared" si="269"/>
        <v/>
      </c>
      <c r="X744" s="26"/>
    </row>
    <row r="745" hidden="1">
      <c r="A745" s="28"/>
      <c r="B745" s="28"/>
      <c r="C745" s="82" t="s">
        <v>399</v>
      </c>
      <c r="D745" s="83" t="s">
        <v>400</v>
      </c>
      <c r="E745" s="201">
        <v>666000.0</v>
      </c>
      <c r="F745" s="201">
        <v>850000.0</v>
      </c>
      <c r="G745" s="34">
        <f t="shared" ref="G745:G748" si="281">(F745-E745)/E745</f>
        <v>0.2762762763</v>
      </c>
      <c r="H745" s="99"/>
      <c r="I745" s="99"/>
      <c r="J745" s="99"/>
      <c r="K745" s="99"/>
      <c r="L745" s="99"/>
      <c r="M745" s="99"/>
      <c r="N745" s="99"/>
      <c r="O745" s="99"/>
      <c r="P745" s="99"/>
      <c r="Q745" s="23"/>
      <c r="R745" s="23"/>
      <c r="S745" s="100"/>
      <c r="T745" s="24">
        <f t="shared" si="266"/>
        <v>-0.2762762763</v>
      </c>
      <c r="U745" s="179">
        <f t="shared" si="267"/>
        <v>-1</v>
      </c>
      <c r="V745" s="179" t="str">
        <f t="shared" si="268"/>
        <v/>
      </c>
      <c r="W745" s="179" t="str">
        <f t="shared" si="269"/>
        <v/>
      </c>
      <c r="X745" s="26"/>
    </row>
    <row r="746" hidden="1">
      <c r="A746" s="28"/>
      <c r="B746" s="28"/>
      <c r="C746" s="107"/>
      <c r="D746" s="83" t="s">
        <v>401</v>
      </c>
      <c r="E746" s="201">
        <v>370000.0</v>
      </c>
      <c r="F746" s="201">
        <v>530000.0</v>
      </c>
      <c r="G746" s="34">
        <f t="shared" si="281"/>
        <v>0.4324324324</v>
      </c>
      <c r="H746" s="99"/>
      <c r="I746" s="99"/>
      <c r="J746" s="99"/>
      <c r="K746" s="99"/>
      <c r="L746" s="99"/>
      <c r="M746" s="99"/>
      <c r="N746" s="99"/>
      <c r="O746" s="99"/>
      <c r="P746" s="99"/>
      <c r="Q746" s="23"/>
      <c r="R746" s="23"/>
      <c r="S746" s="100"/>
      <c r="T746" s="24">
        <f t="shared" si="266"/>
        <v>-0.4324324324</v>
      </c>
      <c r="U746" s="179">
        <f t="shared" si="267"/>
        <v>-1</v>
      </c>
      <c r="V746" s="179" t="str">
        <f t="shared" si="268"/>
        <v/>
      </c>
      <c r="W746" s="179" t="str">
        <f t="shared" si="269"/>
        <v/>
      </c>
      <c r="X746" s="26"/>
    </row>
    <row r="747" hidden="1">
      <c r="A747" s="28"/>
      <c r="B747" s="28"/>
      <c r="C747" s="107"/>
      <c r="D747" s="83" t="s">
        <v>402</v>
      </c>
      <c r="E747" s="201">
        <v>350000.0</v>
      </c>
      <c r="F747" s="201">
        <v>490000.0</v>
      </c>
      <c r="G747" s="34">
        <f t="shared" si="281"/>
        <v>0.4</v>
      </c>
      <c r="H747" s="99"/>
      <c r="I747" s="99"/>
      <c r="J747" s="99"/>
      <c r="K747" s="99"/>
      <c r="L747" s="99"/>
      <c r="M747" s="99"/>
      <c r="N747" s="99"/>
      <c r="O747" s="99"/>
      <c r="P747" s="99"/>
      <c r="Q747" s="23"/>
      <c r="R747" s="23"/>
      <c r="S747" s="100"/>
      <c r="T747" s="24">
        <f t="shared" si="266"/>
        <v>-0.4</v>
      </c>
      <c r="U747" s="179">
        <f t="shared" si="267"/>
        <v>-1</v>
      </c>
      <c r="V747" s="179" t="str">
        <f t="shared" si="268"/>
        <v/>
      </c>
      <c r="W747" s="179" t="str">
        <f t="shared" si="269"/>
        <v/>
      </c>
      <c r="X747" s="26"/>
    </row>
    <row r="748" hidden="1">
      <c r="A748" s="28"/>
      <c r="B748" s="28"/>
      <c r="C748" s="107"/>
      <c r="D748" s="83" t="s">
        <v>101</v>
      </c>
      <c r="E748" s="105">
        <f t="shared" ref="E748:F748" si="282">SUM(E745:E747)</f>
        <v>1386000</v>
      </c>
      <c r="F748" s="105">
        <f t="shared" si="282"/>
        <v>1870000</v>
      </c>
      <c r="G748" s="34">
        <f t="shared" si="281"/>
        <v>0.3492063492</v>
      </c>
      <c r="H748" s="99"/>
      <c r="I748" s="99"/>
      <c r="J748" s="99"/>
      <c r="K748" s="99"/>
      <c r="L748" s="99"/>
      <c r="M748" s="99"/>
      <c r="N748" s="99"/>
      <c r="O748" s="99"/>
      <c r="P748" s="99"/>
      <c r="Q748" s="23"/>
      <c r="R748" s="23"/>
      <c r="S748" s="100"/>
      <c r="T748" s="24">
        <f t="shared" si="266"/>
        <v>-0.3492063492</v>
      </c>
      <c r="U748" s="179">
        <f t="shared" si="267"/>
        <v>-1</v>
      </c>
      <c r="V748" s="179" t="str">
        <f t="shared" si="268"/>
        <v/>
      </c>
      <c r="W748" s="179" t="str">
        <f t="shared" si="269"/>
        <v/>
      </c>
      <c r="X748" s="26"/>
    </row>
    <row r="749" hidden="1">
      <c r="A749" s="28"/>
      <c r="B749" s="28"/>
      <c r="C749" s="107"/>
      <c r="D749" s="83" t="s">
        <v>148</v>
      </c>
      <c r="E749" s="105">
        <f>F748-E748</f>
        <v>484000</v>
      </c>
      <c r="F749" s="105"/>
      <c r="G749" s="34"/>
      <c r="H749" s="99"/>
      <c r="I749" s="99"/>
      <c r="J749" s="99"/>
      <c r="K749" s="99"/>
      <c r="L749" s="99"/>
      <c r="M749" s="99"/>
      <c r="N749" s="99"/>
      <c r="O749" s="99"/>
      <c r="P749" s="99"/>
      <c r="Q749" s="23"/>
      <c r="R749" s="23"/>
      <c r="S749" s="100"/>
      <c r="T749" s="24">
        <f t="shared" si="266"/>
        <v>0</v>
      </c>
      <c r="U749" s="179" t="str">
        <f t="shared" si="267"/>
        <v/>
      </c>
      <c r="V749" s="179" t="str">
        <f t="shared" si="268"/>
        <v/>
      </c>
      <c r="W749" s="179" t="str">
        <f t="shared" si="269"/>
        <v/>
      </c>
      <c r="X749" s="26"/>
    </row>
    <row r="750" hidden="1">
      <c r="A750" s="28"/>
      <c r="B750" s="28"/>
      <c r="C750" s="107"/>
      <c r="D750" s="97"/>
      <c r="E750" s="105"/>
      <c r="F750" s="105"/>
      <c r="G750" s="34"/>
      <c r="H750" s="99"/>
      <c r="I750" s="99"/>
      <c r="J750" s="99"/>
      <c r="K750" s="99"/>
      <c r="L750" s="99"/>
      <c r="M750" s="99"/>
      <c r="N750" s="99"/>
      <c r="O750" s="99"/>
      <c r="P750" s="99"/>
      <c r="Q750" s="23"/>
      <c r="R750" s="23"/>
      <c r="S750" s="100"/>
      <c r="T750" s="24">
        <f t="shared" si="266"/>
        <v>0</v>
      </c>
      <c r="U750" s="179" t="str">
        <f t="shared" si="267"/>
        <v/>
      </c>
      <c r="V750" s="179" t="str">
        <f t="shared" si="268"/>
        <v/>
      </c>
      <c r="W750" s="179" t="str">
        <f t="shared" si="269"/>
        <v/>
      </c>
      <c r="X750" s="26"/>
    </row>
    <row r="751" hidden="1">
      <c r="A751" s="28"/>
      <c r="B751" s="28"/>
      <c r="C751" s="107"/>
      <c r="D751" s="97"/>
      <c r="E751" s="105"/>
      <c r="F751" s="105"/>
      <c r="G751" s="34"/>
      <c r="H751" s="99"/>
      <c r="I751" s="99"/>
      <c r="J751" s="99"/>
      <c r="K751" s="99"/>
      <c r="L751" s="99"/>
      <c r="M751" s="99"/>
      <c r="N751" s="99"/>
      <c r="O751" s="99"/>
      <c r="P751" s="99"/>
      <c r="Q751" s="23"/>
      <c r="R751" s="23"/>
      <c r="S751" s="100"/>
      <c r="T751" s="24">
        <f t="shared" si="266"/>
        <v>0</v>
      </c>
      <c r="U751" s="179" t="str">
        <f t="shared" si="267"/>
        <v/>
      </c>
      <c r="V751" s="179" t="str">
        <f t="shared" si="268"/>
        <v/>
      </c>
      <c r="W751" s="179" t="str">
        <f t="shared" si="269"/>
        <v/>
      </c>
      <c r="X751" s="26"/>
    </row>
    <row r="752" hidden="1">
      <c r="A752" s="28"/>
      <c r="B752" s="28"/>
      <c r="C752" s="82" t="s">
        <v>403</v>
      </c>
      <c r="D752" s="83" t="s">
        <v>404</v>
      </c>
      <c r="E752" s="201">
        <v>4100000.0</v>
      </c>
      <c r="F752" s="105">
        <f>E752*1.35</f>
        <v>5535000</v>
      </c>
      <c r="G752" s="34">
        <f t="shared" ref="G752:G753" si="283">(F752-E752)/E752</f>
        <v>0.35</v>
      </c>
      <c r="H752" s="99"/>
      <c r="I752" s="99"/>
      <c r="J752" s="99"/>
      <c r="K752" s="99"/>
      <c r="L752" s="99"/>
      <c r="M752" s="99"/>
      <c r="N752" s="99"/>
      <c r="O752" s="99"/>
      <c r="P752" s="99"/>
      <c r="Q752" s="23"/>
      <c r="R752" s="23"/>
      <c r="S752" s="100"/>
      <c r="T752" s="24">
        <f t="shared" si="266"/>
        <v>-0.35</v>
      </c>
      <c r="U752" s="179">
        <f t="shared" si="267"/>
        <v>-1</v>
      </c>
      <c r="V752" s="179" t="str">
        <f t="shared" si="268"/>
        <v/>
      </c>
      <c r="W752" s="179" t="str">
        <f t="shared" si="269"/>
        <v/>
      </c>
      <c r="X752" s="26"/>
    </row>
    <row r="753" hidden="1">
      <c r="A753" s="28"/>
      <c r="B753" s="28"/>
      <c r="C753" s="107"/>
      <c r="D753" s="83" t="s">
        <v>405</v>
      </c>
      <c r="E753" s="201"/>
      <c r="F753" s="201"/>
      <c r="G753" s="34" t="str">
        <f t="shared" si="283"/>
        <v>#DIV/0!</v>
      </c>
      <c r="H753" s="99"/>
      <c r="I753" s="99"/>
      <c r="J753" s="99"/>
      <c r="K753" s="99"/>
      <c r="L753" s="99"/>
      <c r="M753" s="99"/>
      <c r="N753" s="99"/>
      <c r="O753" s="99"/>
      <c r="P753" s="99"/>
      <c r="Q753" s="23"/>
      <c r="R753" s="23"/>
      <c r="S753" s="100"/>
      <c r="T753" s="24" t="str">
        <f t="shared" si="266"/>
        <v>#DIV/0!</v>
      </c>
      <c r="U753" s="179" t="str">
        <f t="shared" si="267"/>
        <v/>
      </c>
      <c r="V753" s="179" t="str">
        <f t="shared" si="268"/>
        <v/>
      </c>
      <c r="W753" s="179" t="str">
        <f t="shared" si="269"/>
        <v/>
      </c>
      <c r="X753" s="26"/>
    </row>
    <row r="754" hidden="1">
      <c r="A754" s="28"/>
      <c r="B754" s="28"/>
      <c r="C754" s="107"/>
      <c r="D754" s="83" t="s">
        <v>406</v>
      </c>
      <c r="E754" s="105">
        <f>120000*12</f>
        <v>1440000</v>
      </c>
      <c r="F754" s="105">
        <f>200000*12</f>
        <v>2400000</v>
      </c>
      <c r="G754" s="34"/>
      <c r="H754" s="99"/>
      <c r="I754" s="99"/>
      <c r="J754" s="99"/>
      <c r="K754" s="99"/>
      <c r="L754" s="99"/>
      <c r="M754" s="99"/>
      <c r="N754" s="99"/>
      <c r="O754" s="99"/>
      <c r="P754" s="99"/>
      <c r="Q754" s="23"/>
      <c r="R754" s="23"/>
      <c r="S754" s="100"/>
      <c r="T754" s="24"/>
      <c r="U754" s="179"/>
      <c r="V754" s="179"/>
      <c r="W754" s="179"/>
      <c r="X754" s="26"/>
    </row>
    <row r="755" hidden="1">
      <c r="A755" s="28"/>
      <c r="B755" s="28"/>
      <c r="C755" s="107"/>
      <c r="D755" s="83" t="s">
        <v>287</v>
      </c>
      <c r="E755" s="105">
        <f t="shared" ref="E755:F755" si="284">SUM(E752:E754)</f>
        <v>5540000</v>
      </c>
      <c r="F755" s="105">
        <f t="shared" si="284"/>
        <v>7935000</v>
      </c>
      <c r="G755" s="34">
        <f t="shared" ref="G755:G757" si="285">(F755-E755)/E755</f>
        <v>0.4323104693</v>
      </c>
      <c r="H755" s="99"/>
      <c r="I755" s="99"/>
      <c r="J755" s="99"/>
      <c r="K755" s="99"/>
      <c r="L755" s="99"/>
      <c r="M755" s="99"/>
      <c r="N755" s="99"/>
      <c r="O755" s="99"/>
      <c r="P755" s="99"/>
      <c r="Q755" s="23"/>
      <c r="R755" s="23"/>
      <c r="S755" s="100"/>
      <c r="T755" s="24">
        <f t="shared" ref="T755:T843" si="286">P755-(G755+S755)-(P755*R755)-(P755*Q755)</f>
        <v>-0.4323104693</v>
      </c>
      <c r="U755" s="179">
        <f t="shared" ref="U755:U843" si="287">IFERROR((P755-G755)/G755,"")</f>
        <v>-1</v>
      </c>
      <c r="V755" s="179" t="str">
        <f t="shared" ref="V755:V843" si="288">IFERROR((P755-G755)/P755,"")</f>
        <v/>
      </c>
      <c r="W755" s="179" t="str">
        <f t="shared" ref="W755:W843" si="289">IFERROR(T755/P755,"")</f>
        <v/>
      </c>
      <c r="X755" s="26"/>
    </row>
    <row r="756" hidden="1">
      <c r="A756" s="28"/>
      <c r="B756" s="28"/>
      <c r="C756" s="107"/>
      <c r="D756" s="83" t="s">
        <v>148</v>
      </c>
      <c r="E756" s="105"/>
      <c r="F756" s="105"/>
      <c r="G756" s="34" t="str">
        <f t="shared" si="285"/>
        <v>#DIV/0!</v>
      </c>
      <c r="H756" s="99"/>
      <c r="I756" s="99"/>
      <c r="J756" s="99"/>
      <c r="K756" s="99"/>
      <c r="L756" s="99"/>
      <c r="M756" s="99"/>
      <c r="N756" s="99"/>
      <c r="O756" s="99"/>
      <c r="P756" s="99"/>
      <c r="Q756" s="23"/>
      <c r="R756" s="23"/>
      <c r="S756" s="100"/>
      <c r="T756" s="24" t="str">
        <f t="shared" si="286"/>
        <v>#DIV/0!</v>
      </c>
      <c r="U756" s="179" t="str">
        <f t="shared" si="287"/>
        <v/>
      </c>
      <c r="V756" s="179" t="str">
        <f t="shared" si="288"/>
        <v/>
      </c>
      <c r="W756" s="179" t="str">
        <f t="shared" si="289"/>
        <v/>
      </c>
      <c r="X756" s="26"/>
    </row>
    <row r="757" hidden="1">
      <c r="A757" s="28"/>
      <c r="B757" s="28"/>
      <c r="C757" s="107"/>
      <c r="D757" s="97"/>
      <c r="E757" s="105"/>
      <c r="F757" s="105"/>
      <c r="G757" s="34" t="str">
        <f t="shared" si="285"/>
        <v>#DIV/0!</v>
      </c>
      <c r="H757" s="99"/>
      <c r="I757" s="99"/>
      <c r="J757" s="99"/>
      <c r="K757" s="99"/>
      <c r="L757" s="99"/>
      <c r="M757" s="99"/>
      <c r="N757" s="99"/>
      <c r="O757" s="99"/>
      <c r="P757" s="99"/>
      <c r="Q757" s="23"/>
      <c r="R757" s="23"/>
      <c r="S757" s="100"/>
      <c r="T757" s="24" t="str">
        <f t="shared" si="286"/>
        <v>#DIV/0!</v>
      </c>
      <c r="U757" s="179" t="str">
        <f t="shared" si="287"/>
        <v/>
      </c>
      <c r="V757" s="179" t="str">
        <f t="shared" si="288"/>
        <v/>
      </c>
      <c r="W757" s="179" t="str">
        <f t="shared" si="289"/>
        <v/>
      </c>
      <c r="X757" s="26"/>
    </row>
    <row r="758" hidden="1">
      <c r="A758" s="28"/>
      <c r="B758" s="28"/>
      <c r="C758" s="82" t="s">
        <v>407</v>
      </c>
      <c r="D758" s="83" t="s">
        <v>408</v>
      </c>
      <c r="E758" s="105">
        <f>280000*3</f>
        <v>840000</v>
      </c>
      <c r="F758" s="105">
        <f>430000*3</f>
        <v>1290000</v>
      </c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23"/>
      <c r="R758" s="23"/>
      <c r="S758" s="100"/>
      <c r="T758" s="24">
        <f t="shared" si="286"/>
        <v>0</v>
      </c>
      <c r="U758" s="179" t="str">
        <f t="shared" si="287"/>
        <v/>
      </c>
      <c r="V758" s="179" t="str">
        <f t="shared" si="288"/>
        <v/>
      </c>
      <c r="W758" s="179" t="str">
        <f t="shared" si="289"/>
        <v/>
      </c>
      <c r="X758" s="26"/>
    </row>
    <row r="759" hidden="1">
      <c r="A759" s="28"/>
      <c r="B759" s="28"/>
      <c r="C759" s="107"/>
      <c r="D759" s="83" t="s">
        <v>155</v>
      </c>
      <c r="E759" s="105">
        <f>320000+36000*3+30000+30000</f>
        <v>488000</v>
      </c>
      <c r="F759" s="105">
        <f>300000*3</f>
        <v>900000</v>
      </c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23"/>
      <c r="R759" s="23"/>
      <c r="S759" s="100"/>
      <c r="T759" s="24">
        <f t="shared" si="286"/>
        <v>0</v>
      </c>
      <c r="U759" s="179" t="str">
        <f t="shared" si="287"/>
        <v/>
      </c>
      <c r="V759" s="179" t="str">
        <f t="shared" si="288"/>
        <v/>
      </c>
      <c r="W759" s="179" t="str">
        <f t="shared" si="289"/>
        <v/>
      </c>
      <c r="X759" s="26"/>
    </row>
    <row r="760" hidden="1">
      <c r="A760" s="28"/>
      <c r="B760" s="28"/>
      <c r="C760" s="107"/>
      <c r="D760" s="83" t="s">
        <v>287</v>
      </c>
      <c r="E760" s="105">
        <f t="shared" ref="E760:F760" si="290">SUM(E758:E759)</f>
        <v>1328000</v>
      </c>
      <c r="F760" s="105">
        <f t="shared" si="290"/>
        <v>2190000</v>
      </c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23"/>
      <c r="R760" s="23"/>
      <c r="S760" s="100"/>
      <c r="T760" s="24">
        <f t="shared" si="286"/>
        <v>0</v>
      </c>
      <c r="U760" s="179" t="str">
        <f t="shared" si="287"/>
        <v/>
      </c>
      <c r="V760" s="179" t="str">
        <f t="shared" si="288"/>
        <v/>
      </c>
      <c r="W760" s="179" t="str">
        <f t="shared" si="289"/>
        <v/>
      </c>
      <c r="X760" s="26"/>
    </row>
    <row r="761" hidden="1">
      <c r="A761" s="28"/>
      <c r="B761" s="28"/>
      <c r="C761" s="107"/>
      <c r="D761" s="83" t="s">
        <v>148</v>
      </c>
      <c r="E761" s="105">
        <f>F760-E760</f>
        <v>862000</v>
      </c>
      <c r="F761" s="105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23"/>
      <c r="R761" s="23"/>
      <c r="S761" s="100"/>
      <c r="T761" s="24">
        <f t="shared" si="286"/>
        <v>0</v>
      </c>
      <c r="U761" s="179" t="str">
        <f t="shared" si="287"/>
        <v/>
      </c>
      <c r="V761" s="179" t="str">
        <f t="shared" si="288"/>
        <v/>
      </c>
      <c r="W761" s="179" t="str">
        <f t="shared" si="289"/>
        <v/>
      </c>
      <c r="X761" s="26"/>
    </row>
    <row r="762" hidden="1">
      <c r="A762" s="28"/>
      <c r="B762" s="28"/>
      <c r="C762" s="107"/>
      <c r="D762" s="97"/>
      <c r="E762" s="105"/>
      <c r="F762" s="105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23"/>
      <c r="R762" s="23"/>
      <c r="S762" s="100"/>
      <c r="T762" s="24">
        <f t="shared" si="286"/>
        <v>0</v>
      </c>
      <c r="U762" s="179" t="str">
        <f t="shared" si="287"/>
        <v/>
      </c>
      <c r="V762" s="179" t="str">
        <f t="shared" si="288"/>
        <v/>
      </c>
      <c r="W762" s="179" t="str">
        <f t="shared" si="289"/>
        <v/>
      </c>
      <c r="X762" s="26"/>
    </row>
    <row r="763" hidden="1">
      <c r="A763" s="28"/>
      <c r="B763" s="28"/>
      <c r="C763" s="82" t="s">
        <v>409</v>
      </c>
      <c r="D763" s="83" t="s">
        <v>361</v>
      </c>
      <c r="E763" s="193">
        <f>55000*2</f>
        <v>110000</v>
      </c>
      <c r="F763" s="193">
        <v>200000.0</v>
      </c>
      <c r="G763" s="34">
        <f t="shared" ref="G763:G771" si="291">(F763-E763)/E763</f>
        <v>0.8181818182</v>
      </c>
      <c r="H763" s="99"/>
      <c r="I763" s="99"/>
      <c r="J763" s="99"/>
      <c r="K763" s="99"/>
      <c r="L763" s="99"/>
      <c r="M763" s="99"/>
      <c r="N763" s="99"/>
      <c r="O763" s="99"/>
      <c r="P763" s="99"/>
      <c r="Q763" s="23"/>
      <c r="R763" s="23"/>
      <c r="S763" s="100"/>
      <c r="T763" s="24">
        <f t="shared" si="286"/>
        <v>-0.8181818182</v>
      </c>
      <c r="U763" s="179">
        <f t="shared" si="287"/>
        <v>-1</v>
      </c>
      <c r="V763" s="179" t="str">
        <f t="shared" si="288"/>
        <v/>
      </c>
      <c r="W763" s="179" t="str">
        <f t="shared" si="289"/>
        <v/>
      </c>
      <c r="X763" s="26"/>
    </row>
    <row r="764" hidden="1">
      <c r="A764" s="28"/>
      <c r="B764" s="28"/>
      <c r="C764" s="107"/>
      <c r="D764" s="83" t="s">
        <v>387</v>
      </c>
      <c r="E764" s="193">
        <v>422000.0</v>
      </c>
      <c r="F764" s="193">
        <f>325000*2</f>
        <v>650000</v>
      </c>
      <c r="G764" s="34">
        <f t="shared" si="291"/>
        <v>0.5402843602</v>
      </c>
      <c r="H764" s="99"/>
      <c r="I764" s="99"/>
      <c r="J764" s="99"/>
      <c r="K764" s="99"/>
      <c r="L764" s="99"/>
      <c r="M764" s="99"/>
      <c r="N764" s="99"/>
      <c r="O764" s="99"/>
      <c r="P764" s="99"/>
      <c r="Q764" s="23"/>
      <c r="R764" s="23"/>
      <c r="S764" s="100"/>
      <c r="T764" s="24">
        <f t="shared" si="286"/>
        <v>-0.5402843602</v>
      </c>
      <c r="U764" s="179">
        <f t="shared" si="287"/>
        <v>-1</v>
      </c>
      <c r="V764" s="179" t="str">
        <f t="shared" si="288"/>
        <v/>
      </c>
      <c r="W764" s="179" t="str">
        <f t="shared" si="289"/>
        <v/>
      </c>
      <c r="X764" s="26"/>
    </row>
    <row r="765" hidden="1">
      <c r="A765" s="28"/>
      <c r="B765" s="28"/>
      <c r="C765" s="107"/>
      <c r="D765" s="83" t="s">
        <v>273</v>
      </c>
      <c r="E765" s="193">
        <f>(130000*2)</f>
        <v>260000</v>
      </c>
      <c r="F765" s="193">
        <f>250000*2</f>
        <v>500000</v>
      </c>
      <c r="G765" s="34">
        <f t="shared" si="291"/>
        <v>0.9230769231</v>
      </c>
      <c r="H765" s="99"/>
      <c r="I765" s="99"/>
      <c r="J765" s="99"/>
      <c r="K765" s="99"/>
      <c r="L765" s="99"/>
      <c r="M765" s="99"/>
      <c r="N765" s="99"/>
      <c r="O765" s="99"/>
      <c r="P765" s="99"/>
      <c r="Q765" s="23"/>
      <c r="R765" s="23"/>
      <c r="S765" s="100"/>
      <c r="T765" s="24">
        <f t="shared" si="286"/>
        <v>-0.9230769231</v>
      </c>
      <c r="U765" s="179">
        <f t="shared" si="287"/>
        <v>-1</v>
      </c>
      <c r="V765" s="179" t="str">
        <f t="shared" si="288"/>
        <v/>
      </c>
      <c r="W765" s="179" t="str">
        <f t="shared" si="289"/>
        <v/>
      </c>
      <c r="X765" s="26"/>
    </row>
    <row r="766" hidden="1">
      <c r="A766" s="28"/>
      <c r="B766" s="28"/>
      <c r="C766" s="107"/>
      <c r="D766" s="83" t="s">
        <v>391</v>
      </c>
      <c r="E766" s="193">
        <f>370000*2</f>
        <v>740000</v>
      </c>
      <c r="F766" s="193">
        <f>520000*2</f>
        <v>1040000</v>
      </c>
      <c r="G766" s="34">
        <f t="shared" si="291"/>
        <v>0.4054054054</v>
      </c>
      <c r="H766" s="99"/>
      <c r="I766" s="99"/>
      <c r="J766" s="99"/>
      <c r="K766" s="99"/>
      <c r="L766" s="99"/>
      <c r="M766" s="99"/>
      <c r="N766" s="99"/>
      <c r="O766" s="99"/>
      <c r="P766" s="99"/>
      <c r="Q766" s="23"/>
      <c r="R766" s="23"/>
      <c r="S766" s="100"/>
      <c r="T766" s="24">
        <f t="shared" si="286"/>
        <v>-0.4054054054</v>
      </c>
      <c r="U766" s="179">
        <f t="shared" si="287"/>
        <v>-1</v>
      </c>
      <c r="V766" s="179" t="str">
        <f t="shared" si="288"/>
        <v/>
      </c>
      <c r="W766" s="179" t="str">
        <f t="shared" si="289"/>
        <v/>
      </c>
      <c r="X766" s="26"/>
    </row>
    <row r="767" hidden="1">
      <c r="A767" s="28"/>
      <c r="B767" s="28"/>
      <c r="C767" s="107"/>
      <c r="D767" s="83" t="s">
        <v>364</v>
      </c>
      <c r="E767" s="193">
        <v>350000.0</v>
      </c>
      <c r="F767" s="193">
        <v>580000.0</v>
      </c>
      <c r="G767" s="34">
        <f t="shared" si="291"/>
        <v>0.6571428571</v>
      </c>
      <c r="H767" s="99"/>
      <c r="I767" s="99"/>
      <c r="J767" s="99"/>
      <c r="K767" s="99"/>
      <c r="L767" s="99"/>
      <c r="M767" s="99"/>
      <c r="N767" s="99"/>
      <c r="O767" s="99"/>
      <c r="P767" s="99"/>
      <c r="Q767" s="23"/>
      <c r="R767" s="23"/>
      <c r="S767" s="100"/>
      <c r="T767" s="24">
        <f t="shared" si="286"/>
        <v>-0.6571428571</v>
      </c>
      <c r="U767" s="179">
        <f t="shared" si="287"/>
        <v>-1</v>
      </c>
      <c r="V767" s="179" t="str">
        <f t="shared" si="288"/>
        <v/>
      </c>
      <c r="W767" s="179" t="str">
        <f t="shared" si="289"/>
        <v/>
      </c>
      <c r="X767" s="26"/>
    </row>
    <row r="768" hidden="1">
      <c r="A768" s="28"/>
      <c r="B768" s="28"/>
      <c r="C768" s="107"/>
      <c r="D768" s="83" t="s">
        <v>388</v>
      </c>
      <c r="E768" s="193">
        <f>185000*2+150000</f>
        <v>520000</v>
      </c>
      <c r="F768" s="193">
        <f>(320000*2)+320000</f>
        <v>960000</v>
      </c>
      <c r="G768" s="34">
        <f t="shared" si="291"/>
        <v>0.8461538462</v>
      </c>
      <c r="H768" s="99"/>
      <c r="I768" s="99"/>
      <c r="J768" s="99"/>
      <c r="K768" s="99"/>
      <c r="L768" s="99"/>
      <c r="M768" s="99"/>
      <c r="N768" s="99"/>
      <c r="O768" s="99"/>
      <c r="P768" s="99"/>
      <c r="Q768" s="23"/>
      <c r="R768" s="23"/>
      <c r="S768" s="100"/>
      <c r="T768" s="24">
        <f t="shared" si="286"/>
        <v>-0.8461538462</v>
      </c>
      <c r="U768" s="179">
        <f t="shared" si="287"/>
        <v>-1</v>
      </c>
      <c r="V768" s="179" t="str">
        <f t="shared" si="288"/>
        <v/>
      </c>
      <c r="W768" s="179" t="str">
        <f t="shared" si="289"/>
        <v/>
      </c>
      <c r="X768" s="26"/>
    </row>
    <row r="769" hidden="1">
      <c r="A769" s="28"/>
      <c r="B769" s="28"/>
      <c r="C769" s="107"/>
      <c r="D769" s="83" t="s">
        <v>222</v>
      </c>
      <c r="E769" s="193">
        <f>350000*2</f>
        <v>700000</v>
      </c>
      <c r="F769" s="193">
        <f>(490000*2)</f>
        <v>980000</v>
      </c>
      <c r="G769" s="34">
        <f t="shared" si="291"/>
        <v>0.4</v>
      </c>
      <c r="H769" s="99"/>
      <c r="I769" s="99"/>
      <c r="J769" s="99"/>
      <c r="K769" s="99"/>
      <c r="L769" s="99"/>
      <c r="M769" s="99"/>
      <c r="N769" s="99"/>
      <c r="O769" s="99"/>
      <c r="P769" s="99"/>
      <c r="Q769" s="23"/>
      <c r="R769" s="23"/>
      <c r="S769" s="100"/>
      <c r="T769" s="24">
        <f t="shared" si="286"/>
        <v>-0.4</v>
      </c>
      <c r="U769" s="179">
        <f t="shared" si="287"/>
        <v>-1</v>
      </c>
      <c r="V769" s="179" t="str">
        <f t="shared" si="288"/>
        <v/>
      </c>
      <c r="W769" s="179" t="str">
        <f t="shared" si="289"/>
        <v/>
      </c>
      <c r="X769" s="26"/>
    </row>
    <row r="770" hidden="1">
      <c r="A770" s="28"/>
      <c r="B770" s="28"/>
      <c r="C770" s="107"/>
      <c r="D770" s="83" t="s">
        <v>392</v>
      </c>
      <c r="E770" s="193">
        <f>390000*2</f>
        <v>780000</v>
      </c>
      <c r="F770" s="248">
        <f>610000*2</f>
        <v>1220000</v>
      </c>
      <c r="G770" s="34">
        <f t="shared" si="291"/>
        <v>0.5641025641</v>
      </c>
      <c r="H770" s="99"/>
      <c r="I770" s="99"/>
      <c r="J770" s="99"/>
      <c r="K770" s="99"/>
      <c r="L770" s="99"/>
      <c r="M770" s="99"/>
      <c r="N770" s="99"/>
      <c r="O770" s="99"/>
      <c r="P770" s="99"/>
      <c r="Q770" s="23"/>
      <c r="R770" s="23"/>
      <c r="S770" s="100"/>
      <c r="T770" s="24">
        <f t="shared" si="286"/>
        <v>-0.5641025641</v>
      </c>
      <c r="U770" s="179">
        <f t="shared" si="287"/>
        <v>-1</v>
      </c>
      <c r="V770" s="179" t="str">
        <f t="shared" si="288"/>
        <v/>
      </c>
      <c r="W770" s="179" t="str">
        <f t="shared" si="289"/>
        <v/>
      </c>
      <c r="X770" s="26"/>
    </row>
    <row r="771" hidden="1">
      <c r="A771" s="28"/>
      <c r="B771" s="28"/>
      <c r="C771" s="107"/>
      <c r="D771" s="83" t="s">
        <v>101</v>
      </c>
      <c r="E771" s="193">
        <f t="shared" ref="E771:F771" si="292">SUM(E763:E770)</f>
        <v>3882000</v>
      </c>
      <c r="F771" s="193">
        <f t="shared" si="292"/>
        <v>6130000</v>
      </c>
      <c r="G771" s="34">
        <f t="shared" si="291"/>
        <v>0.5790829469</v>
      </c>
      <c r="H771" s="99"/>
      <c r="I771" s="99"/>
      <c r="J771" s="99"/>
      <c r="K771" s="99"/>
      <c r="L771" s="99"/>
      <c r="M771" s="99"/>
      <c r="N771" s="99"/>
      <c r="O771" s="99"/>
      <c r="P771" s="99"/>
      <c r="Q771" s="23"/>
      <c r="R771" s="23"/>
      <c r="S771" s="100"/>
      <c r="T771" s="24">
        <f t="shared" si="286"/>
        <v>-0.5790829469</v>
      </c>
      <c r="U771" s="179">
        <f t="shared" si="287"/>
        <v>-1</v>
      </c>
      <c r="V771" s="179" t="str">
        <f t="shared" si="288"/>
        <v/>
      </c>
      <c r="W771" s="179" t="str">
        <f t="shared" si="289"/>
        <v/>
      </c>
      <c r="X771" s="26"/>
    </row>
    <row r="772" hidden="1">
      <c r="A772" s="28"/>
      <c r="B772" s="28"/>
      <c r="C772" s="107"/>
      <c r="D772" s="83" t="s">
        <v>148</v>
      </c>
      <c r="E772" s="193">
        <f>F771-E771</f>
        <v>2248000</v>
      </c>
      <c r="F772" s="191"/>
      <c r="G772" s="34"/>
      <c r="H772" s="99"/>
      <c r="I772" s="99"/>
      <c r="J772" s="99"/>
      <c r="K772" s="99"/>
      <c r="L772" s="99"/>
      <c r="M772" s="99"/>
      <c r="N772" s="99"/>
      <c r="O772" s="99"/>
      <c r="P772" s="99"/>
      <c r="Q772" s="23"/>
      <c r="R772" s="23"/>
      <c r="S772" s="100"/>
      <c r="T772" s="24">
        <f t="shared" si="286"/>
        <v>0</v>
      </c>
      <c r="U772" s="179" t="str">
        <f t="shared" si="287"/>
        <v/>
      </c>
      <c r="V772" s="179" t="str">
        <f t="shared" si="288"/>
        <v/>
      </c>
      <c r="W772" s="179" t="str">
        <f t="shared" si="289"/>
        <v/>
      </c>
      <c r="X772" s="26"/>
    </row>
    <row r="773" hidden="1">
      <c r="A773" s="28"/>
      <c r="B773" s="28"/>
      <c r="C773" s="107"/>
      <c r="D773" s="97"/>
      <c r="E773" s="105"/>
      <c r="F773" s="105"/>
      <c r="G773" s="34"/>
      <c r="H773" s="99"/>
      <c r="I773" s="99"/>
      <c r="J773" s="99"/>
      <c r="K773" s="99"/>
      <c r="L773" s="99"/>
      <c r="M773" s="99"/>
      <c r="N773" s="99"/>
      <c r="O773" s="99"/>
      <c r="P773" s="99"/>
      <c r="Q773" s="23"/>
      <c r="R773" s="23"/>
      <c r="S773" s="100"/>
      <c r="T773" s="24">
        <f t="shared" si="286"/>
        <v>0</v>
      </c>
      <c r="U773" s="179" t="str">
        <f t="shared" si="287"/>
        <v/>
      </c>
      <c r="V773" s="179" t="str">
        <f t="shared" si="288"/>
        <v/>
      </c>
      <c r="W773" s="179" t="str">
        <f t="shared" si="289"/>
        <v/>
      </c>
      <c r="X773" s="26"/>
    </row>
    <row r="774" hidden="1">
      <c r="A774" s="28"/>
      <c r="B774" s="28"/>
      <c r="C774" s="107"/>
      <c r="D774" s="97"/>
      <c r="E774" s="105"/>
      <c r="F774" s="105"/>
      <c r="G774" s="34"/>
      <c r="H774" s="99"/>
      <c r="I774" s="99"/>
      <c r="J774" s="99"/>
      <c r="K774" s="99"/>
      <c r="L774" s="99"/>
      <c r="M774" s="99"/>
      <c r="N774" s="99"/>
      <c r="O774" s="99"/>
      <c r="P774" s="99"/>
      <c r="Q774" s="23"/>
      <c r="R774" s="23"/>
      <c r="S774" s="100"/>
      <c r="T774" s="24">
        <f t="shared" si="286"/>
        <v>0</v>
      </c>
      <c r="U774" s="179" t="str">
        <f t="shared" si="287"/>
        <v/>
      </c>
      <c r="V774" s="179" t="str">
        <f t="shared" si="288"/>
        <v/>
      </c>
      <c r="W774" s="179" t="str">
        <f t="shared" si="289"/>
        <v/>
      </c>
      <c r="X774" s="26"/>
    </row>
    <row r="775" hidden="1">
      <c r="A775" s="28"/>
      <c r="B775" s="28"/>
      <c r="C775" s="107"/>
      <c r="D775" s="97"/>
      <c r="E775" s="105"/>
      <c r="F775" s="105"/>
      <c r="G775" s="34"/>
      <c r="H775" s="99"/>
      <c r="I775" s="99"/>
      <c r="J775" s="99"/>
      <c r="K775" s="99"/>
      <c r="L775" s="99"/>
      <c r="M775" s="99"/>
      <c r="N775" s="99"/>
      <c r="O775" s="99"/>
      <c r="P775" s="99"/>
      <c r="Q775" s="23"/>
      <c r="R775" s="23"/>
      <c r="S775" s="100"/>
      <c r="T775" s="24">
        <f t="shared" si="286"/>
        <v>0</v>
      </c>
      <c r="U775" s="179" t="str">
        <f t="shared" si="287"/>
        <v/>
      </c>
      <c r="V775" s="179" t="str">
        <f t="shared" si="288"/>
        <v/>
      </c>
      <c r="W775" s="179" t="str">
        <f t="shared" si="289"/>
        <v/>
      </c>
      <c r="X775" s="26"/>
    </row>
    <row r="776" hidden="1">
      <c r="A776" s="28"/>
      <c r="B776" s="28"/>
      <c r="C776" s="1" t="s">
        <v>410</v>
      </c>
      <c r="D776" s="83" t="s">
        <v>345</v>
      </c>
      <c r="E776" s="105">
        <f>280000*2</f>
        <v>560000</v>
      </c>
      <c r="F776" s="105">
        <f>450000*2</f>
        <v>900000</v>
      </c>
      <c r="G776" s="34">
        <f t="shared" ref="G776:G780" si="293">(F776-E776)/E776</f>
        <v>0.6071428571</v>
      </c>
      <c r="H776" s="99"/>
      <c r="I776" s="99"/>
      <c r="J776" s="99"/>
      <c r="K776" s="99"/>
      <c r="L776" s="99"/>
      <c r="M776" s="99"/>
      <c r="N776" s="99"/>
      <c r="O776" s="99"/>
      <c r="P776" s="99"/>
      <c r="Q776" s="23"/>
      <c r="R776" s="23"/>
      <c r="S776" s="100"/>
      <c r="T776" s="24">
        <f t="shared" si="286"/>
        <v>-0.6071428571</v>
      </c>
      <c r="U776" s="179">
        <f t="shared" si="287"/>
        <v>-1</v>
      </c>
      <c r="V776" s="179" t="str">
        <f t="shared" si="288"/>
        <v/>
      </c>
      <c r="W776" s="179" t="str">
        <f t="shared" si="289"/>
        <v/>
      </c>
      <c r="X776" s="26"/>
    </row>
    <row r="777" hidden="1">
      <c r="A777" s="28"/>
      <c r="B777" s="28"/>
      <c r="C777" s="107"/>
      <c r="D777" s="83" t="s">
        <v>120</v>
      </c>
      <c r="E777" s="105">
        <f>450000*2</f>
        <v>900000</v>
      </c>
      <c r="F777" s="105">
        <f>600000*2</f>
        <v>1200000</v>
      </c>
      <c r="G777" s="34">
        <f t="shared" si="293"/>
        <v>0.3333333333</v>
      </c>
      <c r="H777" s="99"/>
      <c r="I777" s="99"/>
      <c r="J777" s="99"/>
      <c r="K777" s="99"/>
      <c r="L777" s="99"/>
      <c r="M777" s="99"/>
      <c r="N777" s="99"/>
      <c r="O777" s="99"/>
      <c r="P777" s="99"/>
      <c r="Q777" s="23"/>
      <c r="R777" s="23"/>
      <c r="S777" s="100"/>
      <c r="T777" s="24">
        <f t="shared" si="286"/>
        <v>-0.3333333333</v>
      </c>
      <c r="U777" s="179">
        <f t="shared" si="287"/>
        <v>-1</v>
      </c>
      <c r="V777" s="179" t="str">
        <f t="shared" si="288"/>
        <v/>
      </c>
      <c r="W777" s="179" t="str">
        <f t="shared" si="289"/>
        <v/>
      </c>
      <c r="X777" s="26"/>
    </row>
    <row r="778" hidden="1">
      <c r="A778" s="28"/>
      <c r="B778" s="28"/>
      <c r="C778" s="107"/>
      <c r="D778" s="83" t="s">
        <v>284</v>
      </c>
      <c r="E778" s="105">
        <f>666000*2</f>
        <v>1332000</v>
      </c>
      <c r="F778" s="105">
        <f>870000*2</f>
        <v>1740000</v>
      </c>
      <c r="G778" s="34">
        <f t="shared" si="293"/>
        <v>0.3063063063</v>
      </c>
      <c r="H778" s="99"/>
      <c r="I778" s="99"/>
      <c r="J778" s="99"/>
      <c r="K778" s="99"/>
      <c r="L778" s="99"/>
      <c r="M778" s="99"/>
      <c r="N778" s="99"/>
      <c r="O778" s="99"/>
      <c r="P778" s="99"/>
      <c r="Q778" s="23"/>
      <c r="R778" s="23"/>
      <c r="S778" s="100"/>
      <c r="T778" s="24">
        <f t="shared" si="286"/>
        <v>-0.3063063063</v>
      </c>
      <c r="U778" s="179">
        <f t="shared" si="287"/>
        <v>-1</v>
      </c>
      <c r="V778" s="179" t="str">
        <f t="shared" si="288"/>
        <v/>
      </c>
      <c r="W778" s="179" t="str">
        <f t="shared" si="289"/>
        <v/>
      </c>
      <c r="X778" s="26"/>
    </row>
    <row r="779" hidden="1">
      <c r="A779" s="28"/>
      <c r="B779" s="28"/>
      <c r="C779" s="107"/>
      <c r="D779" s="83" t="s">
        <v>158</v>
      </c>
      <c r="E779" s="105">
        <f>400000*2</f>
        <v>800000</v>
      </c>
      <c r="F779" s="105">
        <f>550000*2</f>
        <v>1100000</v>
      </c>
      <c r="G779" s="34">
        <f t="shared" si="293"/>
        <v>0.375</v>
      </c>
      <c r="H779" s="99"/>
      <c r="I779" s="99"/>
      <c r="J779" s="99"/>
      <c r="K779" s="99"/>
      <c r="L779" s="99"/>
      <c r="M779" s="99"/>
      <c r="N779" s="99"/>
      <c r="O779" s="99"/>
      <c r="P779" s="99"/>
      <c r="Q779" s="23"/>
      <c r="R779" s="23"/>
      <c r="S779" s="100"/>
      <c r="T779" s="24">
        <f t="shared" si="286"/>
        <v>-0.375</v>
      </c>
      <c r="U779" s="179">
        <f t="shared" si="287"/>
        <v>-1</v>
      </c>
      <c r="V779" s="179" t="str">
        <f t="shared" si="288"/>
        <v/>
      </c>
      <c r="W779" s="179" t="str">
        <f t="shared" si="289"/>
        <v/>
      </c>
      <c r="X779" s="26"/>
    </row>
    <row r="780" hidden="1">
      <c r="A780" s="28"/>
      <c r="B780" s="28"/>
      <c r="C780" s="107"/>
      <c r="D780" s="83" t="s">
        <v>101</v>
      </c>
      <c r="E780" s="105">
        <f t="shared" ref="E780:F780" si="294">SUM(E776:E779)</f>
        <v>3592000</v>
      </c>
      <c r="F780" s="105">
        <f t="shared" si="294"/>
        <v>4940000</v>
      </c>
      <c r="G780" s="34">
        <f t="shared" si="293"/>
        <v>0.3752783964</v>
      </c>
      <c r="H780" s="99"/>
      <c r="I780" s="99"/>
      <c r="J780" s="99"/>
      <c r="K780" s="99"/>
      <c r="L780" s="99"/>
      <c r="M780" s="99"/>
      <c r="N780" s="99"/>
      <c r="O780" s="99"/>
      <c r="P780" s="99"/>
      <c r="Q780" s="23"/>
      <c r="R780" s="23"/>
      <c r="S780" s="100"/>
      <c r="T780" s="24">
        <f t="shared" si="286"/>
        <v>-0.3752783964</v>
      </c>
      <c r="U780" s="179">
        <f t="shared" si="287"/>
        <v>-1</v>
      </c>
      <c r="V780" s="179" t="str">
        <f t="shared" si="288"/>
        <v/>
      </c>
      <c r="W780" s="179" t="str">
        <f t="shared" si="289"/>
        <v/>
      </c>
      <c r="X780" s="26"/>
    </row>
    <row r="781" hidden="1">
      <c r="A781" s="28"/>
      <c r="B781" s="28"/>
      <c r="C781" s="107"/>
      <c r="D781" s="83" t="s">
        <v>148</v>
      </c>
      <c r="E781" s="105">
        <f>F780-E780</f>
        <v>1348000</v>
      </c>
      <c r="F781" s="105"/>
      <c r="G781" s="34"/>
      <c r="H781" s="99"/>
      <c r="I781" s="99"/>
      <c r="J781" s="99"/>
      <c r="K781" s="99"/>
      <c r="L781" s="99"/>
      <c r="M781" s="99"/>
      <c r="N781" s="99"/>
      <c r="O781" s="99"/>
      <c r="P781" s="99"/>
      <c r="Q781" s="23"/>
      <c r="R781" s="23"/>
      <c r="S781" s="100"/>
      <c r="T781" s="24">
        <f t="shared" si="286"/>
        <v>0</v>
      </c>
      <c r="U781" s="179" t="str">
        <f t="shared" si="287"/>
        <v/>
      </c>
      <c r="V781" s="179" t="str">
        <f t="shared" si="288"/>
        <v/>
      </c>
      <c r="W781" s="179" t="str">
        <f t="shared" si="289"/>
        <v/>
      </c>
      <c r="X781" s="26"/>
    </row>
    <row r="782" hidden="1">
      <c r="A782" s="28"/>
      <c r="B782" s="28"/>
      <c r="C782" s="107"/>
      <c r="D782" s="97"/>
      <c r="E782" s="105"/>
      <c r="F782" s="105"/>
      <c r="G782" s="34"/>
      <c r="H782" s="99"/>
      <c r="I782" s="99"/>
      <c r="J782" s="99"/>
      <c r="K782" s="99"/>
      <c r="L782" s="99"/>
      <c r="M782" s="99"/>
      <c r="N782" s="99"/>
      <c r="O782" s="99"/>
      <c r="P782" s="99"/>
      <c r="Q782" s="23"/>
      <c r="R782" s="23"/>
      <c r="S782" s="100"/>
      <c r="T782" s="24">
        <f t="shared" si="286"/>
        <v>0</v>
      </c>
      <c r="U782" s="179" t="str">
        <f t="shared" si="287"/>
        <v/>
      </c>
      <c r="V782" s="179" t="str">
        <f t="shared" si="288"/>
        <v/>
      </c>
      <c r="W782" s="179" t="str">
        <f t="shared" si="289"/>
        <v/>
      </c>
      <c r="X782" s="26"/>
    </row>
    <row r="783" hidden="1">
      <c r="A783" s="28"/>
      <c r="B783" s="28"/>
      <c r="C783" s="107"/>
      <c r="D783" s="97"/>
      <c r="E783" s="105"/>
      <c r="F783" s="105"/>
      <c r="G783" s="34"/>
      <c r="H783" s="99"/>
      <c r="I783" s="99"/>
      <c r="J783" s="99"/>
      <c r="K783" s="99"/>
      <c r="L783" s="99"/>
      <c r="M783" s="99"/>
      <c r="N783" s="99"/>
      <c r="O783" s="99"/>
      <c r="P783" s="99"/>
      <c r="Q783" s="23"/>
      <c r="R783" s="23"/>
      <c r="S783" s="100"/>
      <c r="T783" s="24">
        <f t="shared" si="286"/>
        <v>0</v>
      </c>
      <c r="U783" s="179" t="str">
        <f t="shared" si="287"/>
        <v/>
      </c>
      <c r="V783" s="179" t="str">
        <f t="shared" si="288"/>
        <v/>
      </c>
      <c r="W783" s="179" t="str">
        <f t="shared" si="289"/>
        <v/>
      </c>
      <c r="X783" s="26"/>
    </row>
    <row r="784" hidden="1">
      <c r="A784" s="28"/>
      <c r="B784" s="28"/>
      <c r="C784" s="82" t="s">
        <v>411</v>
      </c>
      <c r="D784" s="238" t="s">
        <v>412</v>
      </c>
      <c r="E784" s="105">
        <f>(330000*2)</f>
        <v>660000</v>
      </c>
      <c r="F784" s="105">
        <f>510000*2</f>
        <v>1020000</v>
      </c>
      <c r="G784" s="34">
        <f t="shared" ref="G784:G787" si="295">(F784-E784)/E784</f>
        <v>0.5454545455</v>
      </c>
      <c r="H784" s="99"/>
      <c r="I784" s="99"/>
      <c r="J784" s="99"/>
      <c r="K784" s="99"/>
      <c r="L784" s="99"/>
      <c r="M784" s="99"/>
      <c r="N784" s="99"/>
      <c r="O784" s="99"/>
      <c r="P784" s="99"/>
      <c r="Q784" s="23"/>
      <c r="R784" s="23"/>
      <c r="S784" s="100"/>
      <c r="T784" s="24">
        <f t="shared" si="286"/>
        <v>-0.5454545455</v>
      </c>
      <c r="U784" s="179">
        <f t="shared" si="287"/>
        <v>-1</v>
      </c>
      <c r="V784" s="179" t="str">
        <f t="shared" si="288"/>
        <v/>
      </c>
      <c r="W784" s="179" t="str">
        <f t="shared" si="289"/>
        <v/>
      </c>
      <c r="X784" s="26"/>
    </row>
    <row r="785" hidden="1">
      <c r="A785" s="28"/>
      <c r="B785" s="28"/>
      <c r="C785" s="107"/>
      <c r="D785" s="83" t="s">
        <v>413</v>
      </c>
      <c r="E785" s="105">
        <f>400000*2</f>
        <v>800000</v>
      </c>
      <c r="F785" s="105">
        <f>550000*2</f>
        <v>1100000</v>
      </c>
      <c r="G785" s="34">
        <f t="shared" si="295"/>
        <v>0.375</v>
      </c>
      <c r="H785" s="99"/>
      <c r="I785" s="99"/>
      <c r="J785" s="99"/>
      <c r="K785" s="99"/>
      <c r="L785" s="99"/>
      <c r="M785" s="99"/>
      <c r="N785" s="99"/>
      <c r="O785" s="99"/>
      <c r="P785" s="99"/>
      <c r="Q785" s="23"/>
      <c r="R785" s="23"/>
      <c r="S785" s="100"/>
      <c r="T785" s="24">
        <f t="shared" si="286"/>
        <v>-0.375</v>
      </c>
      <c r="U785" s="179">
        <f t="shared" si="287"/>
        <v>-1</v>
      </c>
      <c r="V785" s="179" t="str">
        <f t="shared" si="288"/>
        <v/>
      </c>
      <c r="W785" s="179" t="str">
        <f t="shared" si="289"/>
        <v/>
      </c>
      <c r="X785" s="26"/>
    </row>
    <row r="786" hidden="1">
      <c r="A786" s="28"/>
      <c r="B786" s="28"/>
      <c r="C786" s="107"/>
      <c r="D786" s="83" t="s">
        <v>414</v>
      </c>
      <c r="E786" s="105">
        <f>300000*2</f>
        <v>600000</v>
      </c>
      <c r="F786" s="105">
        <f>450000*2</f>
        <v>900000</v>
      </c>
      <c r="G786" s="34">
        <f t="shared" si="295"/>
        <v>0.5</v>
      </c>
      <c r="H786" s="99"/>
      <c r="I786" s="99"/>
      <c r="J786" s="99"/>
      <c r="K786" s="99"/>
      <c r="L786" s="99"/>
      <c r="M786" s="99"/>
      <c r="N786" s="99"/>
      <c r="O786" s="99"/>
      <c r="P786" s="99"/>
      <c r="Q786" s="23"/>
      <c r="R786" s="23"/>
      <c r="S786" s="100"/>
      <c r="T786" s="24">
        <f t="shared" si="286"/>
        <v>-0.5</v>
      </c>
      <c r="U786" s="179">
        <f t="shared" si="287"/>
        <v>-1</v>
      </c>
      <c r="V786" s="179" t="str">
        <f t="shared" si="288"/>
        <v/>
      </c>
      <c r="W786" s="179" t="str">
        <f t="shared" si="289"/>
        <v/>
      </c>
      <c r="X786" s="26"/>
    </row>
    <row r="787" hidden="1">
      <c r="A787" s="28"/>
      <c r="B787" s="28"/>
      <c r="C787" s="107"/>
      <c r="D787" s="83" t="s">
        <v>101</v>
      </c>
      <c r="E787" s="105">
        <f t="shared" ref="E787:F787" si="296">SUM(E784:E786)</f>
        <v>2060000</v>
      </c>
      <c r="F787" s="105">
        <f t="shared" si="296"/>
        <v>3020000</v>
      </c>
      <c r="G787" s="34">
        <f t="shared" si="295"/>
        <v>0.4660194175</v>
      </c>
      <c r="H787" s="99"/>
      <c r="I787" s="99"/>
      <c r="J787" s="99"/>
      <c r="K787" s="99"/>
      <c r="L787" s="99"/>
      <c r="M787" s="99"/>
      <c r="N787" s="99"/>
      <c r="O787" s="99"/>
      <c r="P787" s="99"/>
      <c r="Q787" s="23"/>
      <c r="R787" s="23"/>
      <c r="S787" s="100"/>
      <c r="T787" s="24">
        <f t="shared" si="286"/>
        <v>-0.4660194175</v>
      </c>
      <c r="U787" s="179">
        <f t="shared" si="287"/>
        <v>-1</v>
      </c>
      <c r="V787" s="179" t="str">
        <f t="shared" si="288"/>
        <v/>
      </c>
      <c r="W787" s="179" t="str">
        <f t="shared" si="289"/>
        <v/>
      </c>
      <c r="X787" s="26"/>
    </row>
    <row r="788" hidden="1">
      <c r="A788" s="28"/>
      <c r="B788" s="28"/>
      <c r="C788" s="107"/>
      <c r="D788" s="83" t="s">
        <v>148</v>
      </c>
      <c r="E788" s="105">
        <f>F787-E787</f>
        <v>960000</v>
      </c>
      <c r="F788" s="105"/>
      <c r="G788" s="34"/>
      <c r="H788" s="99"/>
      <c r="I788" s="99"/>
      <c r="J788" s="99"/>
      <c r="K788" s="99"/>
      <c r="L788" s="99"/>
      <c r="M788" s="99"/>
      <c r="N788" s="99"/>
      <c r="O788" s="99"/>
      <c r="P788" s="99"/>
      <c r="Q788" s="23"/>
      <c r="R788" s="23"/>
      <c r="S788" s="100"/>
      <c r="T788" s="24">
        <f t="shared" si="286"/>
        <v>0</v>
      </c>
      <c r="U788" s="179" t="str">
        <f t="shared" si="287"/>
        <v/>
      </c>
      <c r="V788" s="179" t="str">
        <f t="shared" si="288"/>
        <v/>
      </c>
      <c r="W788" s="179" t="str">
        <f t="shared" si="289"/>
        <v/>
      </c>
      <c r="X788" s="26"/>
    </row>
    <row r="789" hidden="1">
      <c r="A789" s="28"/>
      <c r="B789" s="28"/>
      <c r="C789" s="107"/>
      <c r="D789" s="97"/>
      <c r="E789" s="105"/>
      <c r="F789" s="105"/>
      <c r="G789" s="34"/>
      <c r="H789" s="99"/>
      <c r="I789" s="99"/>
      <c r="J789" s="99"/>
      <c r="K789" s="99"/>
      <c r="L789" s="99"/>
      <c r="M789" s="99"/>
      <c r="N789" s="99"/>
      <c r="O789" s="99"/>
      <c r="P789" s="99"/>
      <c r="Q789" s="23"/>
      <c r="R789" s="23"/>
      <c r="S789" s="100"/>
      <c r="T789" s="24">
        <f t="shared" si="286"/>
        <v>0</v>
      </c>
      <c r="U789" s="179" t="str">
        <f t="shared" si="287"/>
        <v/>
      </c>
      <c r="V789" s="179" t="str">
        <f t="shared" si="288"/>
        <v/>
      </c>
      <c r="W789" s="179" t="str">
        <f t="shared" si="289"/>
        <v/>
      </c>
      <c r="X789" s="26"/>
    </row>
    <row r="790" hidden="1">
      <c r="A790" s="28"/>
      <c r="B790" s="28"/>
      <c r="C790" s="82" t="s">
        <v>415</v>
      </c>
      <c r="D790" s="83" t="s">
        <v>156</v>
      </c>
      <c r="E790" s="105">
        <f t="shared" ref="E790:E791" si="297">330000*10</f>
        <v>3300000</v>
      </c>
      <c r="F790" s="105">
        <f>475000*10</f>
        <v>4750000</v>
      </c>
      <c r="G790" s="34">
        <f t="shared" ref="G790:G792" si="298">(F790-E790)/E790</f>
        <v>0.4393939394</v>
      </c>
      <c r="H790" s="99"/>
      <c r="I790" s="99"/>
      <c r="J790" s="99"/>
      <c r="K790" s="99"/>
      <c r="L790" s="99"/>
      <c r="M790" s="99"/>
      <c r="N790" s="99"/>
      <c r="O790" s="99"/>
      <c r="P790" s="99"/>
      <c r="Q790" s="23"/>
      <c r="R790" s="23"/>
      <c r="S790" s="100"/>
      <c r="T790" s="24">
        <f t="shared" si="286"/>
        <v>-0.4393939394</v>
      </c>
      <c r="U790" s="179">
        <f t="shared" si="287"/>
        <v>-1</v>
      </c>
      <c r="V790" s="179" t="str">
        <f t="shared" si="288"/>
        <v/>
      </c>
      <c r="W790" s="179" t="str">
        <f t="shared" si="289"/>
        <v/>
      </c>
      <c r="X790" s="26"/>
    </row>
    <row r="791" hidden="1">
      <c r="A791" s="28"/>
      <c r="B791" s="28"/>
      <c r="C791" s="107"/>
      <c r="D791" s="83" t="s">
        <v>325</v>
      </c>
      <c r="E791" s="201">
        <f t="shared" si="297"/>
        <v>3300000</v>
      </c>
      <c r="F791" s="105">
        <f>430000*10</f>
        <v>4300000</v>
      </c>
      <c r="G791" s="34">
        <f t="shared" si="298"/>
        <v>0.303030303</v>
      </c>
      <c r="H791" s="99"/>
      <c r="I791" s="99"/>
      <c r="J791" s="99"/>
      <c r="K791" s="99"/>
      <c r="L791" s="99"/>
      <c r="M791" s="99"/>
      <c r="N791" s="99"/>
      <c r="O791" s="99"/>
      <c r="P791" s="99"/>
      <c r="Q791" s="23"/>
      <c r="R791" s="23"/>
      <c r="S791" s="100"/>
      <c r="T791" s="24">
        <f t="shared" si="286"/>
        <v>-0.303030303</v>
      </c>
      <c r="U791" s="179">
        <f t="shared" si="287"/>
        <v>-1</v>
      </c>
      <c r="V791" s="179" t="str">
        <f t="shared" si="288"/>
        <v/>
      </c>
      <c r="W791" s="179" t="str">
        <f t="shared" si="289"/>
        <v/>
      </c>
      <c r="X791" s="26"/>
    </row>
    <row r="792" hidden="1">
      <c r="A792" s="28"/>
      <c r="B792" s="28"/>
      <c r="C792" s="107"/>
      <c r="D792" s="83" t="s">
        <v>101</v>
      </c>
      <c r="E792" s="105">
        <f t="shared" ref="E792:F792" si="299">E790+E791</f>
        <v>6600000</v>
      </c>
      <c r="F792" s="105">
        <f t="shared" si="299"/>
        <v>9050000</v>
      </c>
      <c r="G792" s="34">
        <f t="shared" si="298"/>
        <v>0.3712121212</v>
      </c>
      <c r="H792" s="99"/>
      <c r="I792" s="99"/>
      <c r="J792" s="99"/>
      <c r="K792" s="99"/>
      <c r="L792" s="99"/>
      <c r="M792" s="99"/>
      <c r="N792" s="99"/>
      <c r="O792" s="99"/>
      <c r="P792" s="99"/>
      <c r="Q792" s="23"/>
      <c r="R792" s="23"/>
      <c r="S792" s="100"/>
      <c r="T792" s="24">
        <f t="shared" si="286"/>
        <v>-0.3712121212</v>
      </c>
      <c r="U792" s="179">
        <f t="shared" si="287"/>
        <v>-1</v>
      </c>
      <c r="V792" s="179" t="str">
        <f t="shared" si="288"/>
        <v/>
      </c>
      <c r="W792" s="179" t="str">
        <f t="shared" si="289"/>
        <v/>
      </c>
      <c r="X792" s="26"/>
    </row>
    <row r="793" hidden="1">
      <c r="A793" s="28"/>
      <c r="B793" s="28"/>
      <c r="C793" s="107"/>
      <c r="D793" s="83" t="s">
        <v>148</v>
      </c>
      <c r="E793" s="105">
        <f>F792-E792</f>
        <v>2450000</v>
      </c>
      <c r="F793" s="105"/>
      <c r="G793" s="34"/>
      <c r="H793" s="99"/>
      <c r="I793" s="99"/>
      <c r="J793" s="99"/>
      <c r="K793" s="99"/>
      <c r="L793" s="99"/>
      <c r="M793" s="99"/>
      <c r="N793" s="99"/>
      <c r="O793" s="99"/>
      <c r="P793" s="99"/>
      <c r="Q793" s="23"/>
      <c r="R793" s="23"/>
      <c r="S793" s="100"/>
      <c r="T793" s="24">
        <f t="shared" si="286"/>
        <v>0</v>
      </c>
      <c r="U793" s="179" t="str">
        <f t="shared" si="287"/>
        <v/>
      </c>
      <c r="V793" s="179" t="str">
        <f t="shared" si="288"/>
        <v/>
      </c>
      <c r="W793" s="179" t="str">
        <f t="shared" si="289"/>
        <v/>
      </c>
      <c r="X793" s="26"/>
    </row>
    <row r="794" hidden="1">
      <c r="A794" s="28"/>
      <c r="B794" s="28"/>
      <c r="C794" s="107"/>
      <c r="D794" s="97"/>
      <c r="E794" s="105"/>
      <c r="F794" s="105"/>
      <c r="G794" s="34"/>
      <c r="H794" s="99"/>
      <c r="I794" s="99"/>
      <c r="J794" s="99"/>
      <c r="K794" s="99"/>
      <c r="L794" s="99"/>
      <c r="M794" s="99"/>
      <c r="N794" s="99"/>
      <c r="O794" s="99"/>
      <c r="P794" s="99"/>
      <c r="Q794" s="23"/>
      <c r="R794" s="23"/>
      <c r="S794" s="100"/>
      <c r="T794" s="24">
        <f t="shared" si="286"/>
        <v>0</v>
      </c>
      <c r="U794" s="179" t="str">
        <f t="shared" si="287"/>
        <v/>
      </c>
      <c r="V794" s="179" t="str">
        <f t="shared" si="288"/>
        <v/>
      </c>
      <c r="W794" s="179" t="str">
        <f t="shared" si="289"/>
        <v/>
      </c>
      <c r="X794" s="26"/>
    </row>
    <row r="795" hidden="1">
      <c r="A795" s="28"/>
      <c r="B795" s="28"/>
      <c r="C795" s="82" t="s">
        <v>416</v>
      </c>
      <c r="D795" s="238" t="s">
        <v>417</v>
      </c>
      <c r="E795" s="105">
        <f>330000*4</f>
        <v>1320000</v>
      </c>
      <c r="F795" s="105">
        <f>510000*4</f>
        <v>2040000</v>
      </c>
      <c r="G795" s="34">
        <f t="shared" ref="G795:G812" si="300">(F795-E795)/E795</f>
        <v>0.5454545455</v>
      </c>
      <c r="H795" s="99"/>
      <c r="I795" s="99"/>
      <c r="J795" s="99"/>
      <c r="K795" s="99"/>
      <c r="L795" s="99"/>
      <c r="M795" s="99"/>
      <c r="N795" s="99"/>
      <c r="O795" s="99"/>
      <c r="P795" s="99"/>
      <c r="Q795" s="23"/>
      <c r="R795" s="23"/>
      <c r="S795" s="100"/>
      <c r="T795" s="24">
        <f t="shared" si="286"/>
        <v>-0.5454545455</v>
      </c>
      <c r="U795" s="179">
        <f t="shared" si="287"/>
        <v>-1</v>
      </c>
      <c r="V795" s="179" t="str">
        <f t="shared" si="288"/>
        <v/>
      </c>
      <c r="W795" s="179" t="str">
        <f t="shared" si="289"/>
        <v/>
      </c>
      <c r="X795" s="26"/>
    </row>
    <row r="796" hidden="1">
      <c r="A796" s="28"/>
      <c r="B796" s="28"/>
      <c r="C796" s="107"/>
      <c r="D796" s="83" t="s">
        <v>418</v>
      </c>
      <c r="E796" s="105">
        <f>270000*4</f>
        <v>1080000</v>
      </c>
      <c r="F796" s="105">
        <f>450000*4</f>
        <v>1800000</v>
      </c>
      <c r="G796" s="34">
        <f t="shared" si="300"/>
        <v>0.6666666667</v>
      </c>
      <c r="H796" s="99"/>
      <c r="I796" s="99"/>
      <c r="J796" s="99"/>
      <c r="K796" s="99"/>
      <c r="L796" s="99"/>
      <c r="M796" s="99"/>
      <c r="N796" s="99"/>
      <c r="O796" s="99"/>
      <c r="P796" s="99"/>
      <c r="Q796" s="23"/>
      <c r="R796" s="23"/>
      <c r="S796" s="100"/>
      <c r="T796" s="24">
        <f t="shared" si="286"/>
        <v>-0.6666666667</v>
      </c>
      <c r="U796" s="179">
        <f t="shared" si="287"/>
        <v>-1</v>
      </c>
      <c r="V796" s="179" t="str">
        <f t="shared" si="288"/>
        <v/>
      </c>
      <c r="W796" s="179" t="str">
        <f t="shared" si="289"/>
        <v/>
      </c>
      <c r="X796" s="26"/>
    </row>
    <row r="797" hidden="1">
      <c r="A797" s="28"/>
      <c r="B797" s="28"/>
      <c r="C797" s="107"/>
      <c r="D797" s="83" t="s">
        <v>419</v>
      </c>
      <c r="E797" s="105">
        <f>400000*4</f>
        <v>1600000</v>
      </c>
      <c r="F797" s="105">
        <f>550000*4</f>
        <v>2200000</v>
      </c>
      <c r="G797" s="34">
        <f t="shared" si="300"/>
        <v>0.375</v>
      </c>
      <c r="H797" s="99"/>
      <c r="I797" s="99"/>
      <c r="J797" s="99"/>
      <c r="K797" s="99"/>
      <c r="L797" s="99"/>
      <c r="M797" s="99"/>
      <c r="N797" s="99"/>
      <c r="O797" s="99"/>
      <c r="P797" s="99"/>
      <c r="Q797" s="23"/>
      <c r="R797" s="23"/>
      <c r="S797" s="100"/>
      <c r="T797" s="24">
        <f t="shared" si="286"/>
        <v>-0.375</v>
      </c>
      <c r="U797" s="179">
        <f t="shared" si="287"/>
        <v>-1</v>
      </c>
      <c r="V797" s="179" t="str">
        <f t="shared" si="288"/>
        <v/>
      </c>
      <c r="W797" s="179" t="str">
        <f t="shared" si="289"/>
        <v/>
      </c>
      <c r="X797" s="26"/>
    </row>
    <row r="798" hidden="1">
      <c r="A798" s="28"/>
      <c r="B798" s="28"/>
      <c r="C798" s="107"/>
      <c r="D798" s="83" t="s">
        <v>420</v>
      </c>
      <c r="E798" s="105">
        <f>130000*4</f>
        <v>520000</v>
      </c>
      <c r="F798" s="105">
        <f>250000*4</f>
        <v>1000000</v>
      </c>
      <c r="G798" s="34">
        <f t="shared" si="300"/>
        <v>0.9230769231</v>
      </c>
      <c r="H798" s="99"/>
      <c r="I798" s="99"/>
      <c r="J798" s="99"/>
      <c r="K798" s="99"/>
      <c r="L798" s="99"/>
      <c r="M798" s="99"/>
      <c r="N798" s="99"/>
      <c r="O798" s="99"/>
      <c r="P798" s="99"/>
      <c r="Q798" s="23"/>
      <c r="R798" s="23"/>
      <c r="S798" s="100"/>
      <c r="T798" s="24">
        <f t="shared" si="286"/>
        <v>-0.9230769231</v>
      </c>
      <c r="U798" s="179">
        <f t="shared" si="287"/>
        <v>-1</v>
      </c>
      <c r="V798" s="179" t="str">
        <f t="shared" si="288"/>
        <v/>
      </c>
      <c r="W798" s="179" t="str">
        <f t="shared" si="289"/>
        <v/>
      </c>
      <c r="X798" s="26"/>
    </row>
    <row r="799" hidden="1">
      <c r="A799" s="28"/>
      <c r="B799" s="28"/>
      <c r="C799" s="107"/>
      <c r="D799" s="83" t="s">
        <v>421</v>
      </c>
      <c r="E799" s="105">
        <f>350000*4</f>
        <v>1400000</v>
      </c>
      <c r="F799" s="105">
        <f>490000*4</f>
        <v>1960000</v>
      </c>
      <c r="G799" s="34">
        <f t="shared" si="300"/>
        <v>0.4</v>
      </c>
      <c r="H799" s="99"/>
      <c r="I799" s="99"/>
      <c r="J799" s="99"/>
      <c r="K799" s="99"/>
      <c r="L799" s="99"/>
      <c r="M799" s="99"/>
      <c r="N799" s="99"/>
      <c r="O799" s="99"/>
      <c r="P799" s="99"/>
      <c r="Q799" s="23"/>
      <c r="R799" s="23"/>
      <c r="S799" s="100"/>
      <c r="T799" s="24">
        <f t="shared" si="286"/>
        <v>-0.4</v>
      </c>
      <c r="U799" s="179">
        <f t="shared" si="287"/>
        <v>-1</v>
      </c>
      <c r="V799" s="179" t="str">
        <f t="shared" si="288"/>
        <v/>
      </c>
      <c r="W799" s="179" t="str">
        <f t="shared" si="289"/>
        <v/>
      </c>
      <c r="X799" s="26"/>
    </row>
    <row r="800" hidden="1">
      <c r="A800" s="28"/>
      <c r="B800" s="28"/>
      <c r="C800" s="107"/>
      <c r="D800" s="83" t="s">
        <v>214</v>
      </c>
      <c r="E800" s="105">
        <f>SUM(E795:E799)</f>
        <v>5920000</v>
      </c>
      <c r="F800" s="105">
        <f>SUM(F795:F799)-40000*4</f>
        <v>8840000</v>
      </c>
      <c r="G800" s="34">
        <f t="shared" si="300"/>
        <v>0.4932432432</v>
      </c>
      <c r="H800" s="99"/>
      <c r="I800" s="99"/>
      <c r="J800" s="99"/>
      <c r="K800" s="99"/>
      <c r="L800" s="99"/>
      <c r="M800" s="99"/>
      <c r="N800" s="99"/>
      <c r="O800" s="99"/>
      <c r="P800" s="99"/>
      <c r="Q800" s="23"/>
      <c r="R800" s="23"/>
      <c r="S800" s="100"/>
      <c r="T800" s="24">
        <f t="shared" si="286"/>
        <v>-0.4932432432</v>
      </c>
      <c r="U800" s="179">
        <f t="shared" si="287"/>
        <v>-1</v>
      </c>
      <c r="V800" s="179" t="str">
        <f t="shared" si="288"/>
        <v/>
      </c>
      <c r="W800" s="179" t="str">
        <f t="shared" si="289"/>
        <v/>
      </c>
      <c r="X800" s="26"/>
    </row>
    <row r="801" hidden="1">
      <c r="A801" s="28"/>
      <c r="B801" s="28"/>
      <c r="C801" s="107"/>
      <c r="D801" s="83" t="s">
        <v>148</v>
      </c>
      <c r="E801" s="105">
        <f>F800-E800</f>
        <v>2920000</v>
      </c>
      <c r="F801" s="105"/>
      <c r="G801" s="34">
        <f t="shared" si="300"/>
        <v>-1</v>
      </c>
      <c r="H801" s="99"/>
      <c r="I801" s="99"/>
      <c r="J801" s="99"/>
      <c r="K801" s="99"/>
      <c r="L801" s="99"/>
      <c r="M801" s="99"/>
      <c r="N801" s="99"/>
      <c r="O801" s="99"/>
      <c r="P801" s="99"/>
      <c r="Q801" s="23"/>
      <c r="R801" s="23"/>
      <c r="S801" s="100"/>
      <c r="T801" s="24">
        <f t="shared" si="286"/>
        <v>1</v>
      </c>
      <c r="U801" s="179">
        <f t="shared" si="287"/>
        <v>-1</v>
      </c>
      <c r="V801" s="179" t="str">
        <f t="shared" si="288"/>
        <v/>
      </c>
      <c r="W801" s="179" t="str">
        <f t="shared" si="289"/>
        <v/>
      </c>
      <c r="X801" s="26"/>
    </row>
    <row r="802" hidden="1">
      <c r="A802" s="28"/>
      <c r="B802" s="28"/>
      <c r="C802" s="107"/>
      <c r="D802" s="97"/>
      <c r="E802" s="105"/>
      <c r="F802" s="105"/>
      <c r="G802" s="34" t="str">
        <f t="shared" si="300"/>
        <v>#DIV/0!</v>
      </c>
      <c r="H802" s="99"/>
      <c r="I802" s="99"/>
      <c r="J802" s="99"/>
      <c r="K802" s="99"/>
      <c r="L802" s="99"/>
      <c r="M802" s="99"/>
      <c r="N802" s="99"/>
      <c r="O802" s="99"/>
      <c r="P802" s="99"/>
      <c r="Q802" s="23"/>
      <c r="R802" s="23"/>
      <c r="S802" s="100"/>
      <c r="T802" s="24" t="str">
        <f t="shared" si="286"/>
        <v>#DIV/0!</v>
      </c>
      <c r="U802" s="179" t="str">
        <f t="shared" si="287"/>
        <v/>
      </c>
      <c r="V802" s="179" t="str">
        <f t="shared" si="288"/>
        <v/>
      </c>
      <c r="W802" s="179" t="str">
        <f t="shared" si="289"/>
        <v/>
      </c>
      <c r="X802" s="26"/>
    </row>
    <row r="803" hidden="1">
      <c r="A803" s="28"/>
      <c r="B803" s="28"/>
      <c r="C803" s="107"/>
      <c r="D803" s="97"/>
      <c r="E803" s="105"/>
      <c r="F803" s="105"/>
      <c r="G803" s="34" t="str">
        <f t="shared" si="300"/>
        <v>#DIV/0!</v>
      </c>
      <c r="H803" s="99"/>
      <c r="I803" s="99"/>
      <c r="J803" s="99"/>
      <c r="K803" s="99"/>
      <c r="L803" s="99"/>
      <c r="M803" s="99"/>
      <c r="N803" s="99"/>
      <c r="O803" s="99"/>
      <c r="P803" s="99"/>
      <c r="Q803" s="23"/>
      <c r="R803" s="23"/>
      <c r="S803" s="100"/>
      <c r="T803" s="24" t="str">
        <f t="shared" si="286"/>
        <v>#DIV/0!</v>
      </c>
      <c r="U803" s="179" t="str">
        <f t="shared" si="287"/>
        <v/>
      </c>
      <c r="V803" s="179" t="str">
        <f t="shared" si="288"/>
        <v/>
      </c>
      <c r="W803" s="179" t="str">
        <f t="shared" si="289"/>
        <v/>
      </c>
      <c r="X803" s="26"/>
    </row>
    <row r="804" hidden="1">
      <c r="A804" s="28"/>
      <c r="B804" s="28"/>
      <c r="C804" s="82"/>
      <c r="E804" s="105"/>
      <c r="F804" s="105"/>
      <c r="G804" s="34" t="str">
        <f t="shared" si="300"/>
        <v>#DIV/0!</v>
      </c>
      <c r="H804" s="99"/>
      <c r="I804" s="99"/>
      <c r="J804" s="99"/>
      <c r="K804" s="99"/>
      <c r="L804" s="99"/>
      <c r="M804" s="99"/>
      <c r="N804" s="99"/>
      <c r="O804" s="99"/>
      <c r="P804" s="99"/>
      <c r="Q804" s="23"/>
      <c r="R804" s="23"/>
      <c r="S804" s="100"/>
      <c r="T804" s="24" t="str">
        <f t="shared" si="286"/>
        <v>#DIV/0!</v>
      </c>
      <c r="U804" s="179" t="str">
        <f t="shared" si="287"/>
        <v/>
      </c>
      <c r="V804" s="179" t="str">
        <f t="shared" si="288"/>
        <v/>
      </c>
      <c r="W804" s="179" t="str">
        <f t="shared" si="289"/>
        <v/>
      </c>
      <c r="X804" s="26"/>
    </row>
    <row r="805" hidden="1">
      <c r="A805" s="28"/>
      <c r="B805" s="28"/>
      <c r="C805" s="82" t="s">
        <v>422</v>
      </c>
      <c r="D805" s="238" t="s">
        <v>423</v>
      </c>
      <c r="E805" s="105"/>
      <c r="F805" s="201">
        <v>140000.0</v>
      </c>
      <c r="G805" s="34" t="str">
        <f t="shared" si="300"/>
        <v>#DIV/0!</v>
      </c>
      <c r="H805" s="99"/>
      <c r="I805" s="99"/>
      <c r="J805" s="99"/>
      <c r="K805" s="99"/>
      <c r="L805" s="99"/>
      <c r="M805" s="99"/>
      <c r="N805" s="99"/>
      <c r="O805" s="99"/>
      <c r="P805" s="99"/>
      <c r="Q805" s="23"/>
      <c r="R805" s="23"/>
      <c r="S805" s="100"/>
      <c r="T805" s="24" t="str">
        <f t="shared" si="286"/>
        <v>#DIV/0!</v>
      </c>
      <c r="U805" s="179" t="str">
        <f t="shared" si="287"/>
        <v/>
      </c>
      <c r="V805" s="179" t="str">
        <f t="shared" si="288"/>
        <v/>
      </c>
      <c r="W805" s="179" t="str">
        <f t="shared" si="289"/>
        <v/>
      </c>
      <c r="X805" s="26"/>
    </row>
    <row r="806" hidden="1">
      <c r="A806" s="28"/>
      <c r="B806" s="28"/>
      <c r="C806" s="107"/>
      <c r="D806" s="83" t="s">
        <v>424</v>
      </c>
      <c r="E806" s="105">
        <f>(130000*2)</f>
        <v>260000</v>
      </c>
      <c r="F806" s="201">
        <f>200000*2</f>
        <v>400000</v>
      </c>
      <c r="G806" s="34">
        <f t="shared" si="300"/>
        <v>0.5384615385</v>
      </c>
      <c r="H806" s="99"/>
      <c r="I806" s="99"/>
      <c r="J806" s="99"/>
      <c r="K806" s="99"/>
      <c r="L806" s="99"/>
      <c r="M806" s="99"/>
      <c r="N806" s="99"/>
      <c r="O806" s="99"/>
      <c r="P806" s="99"/>
      <c r="Q806" s="23"/>
      <c r="R806" s="23"/>
      <c r="S806" s="100"/>
      <c r="T806" s="24">
        <f t="shared" si="286"/>
        <v>-0.5384615385</v>
      </c>
      <c r="U806" s="179">
        <f t="shared" si="287"/>
        <v>-1</v>
      </c>
      <c r="V806" s="179" t="str">
        <f t="shared" si="288"/>
        <v/>
      </c>
      <c r="W806" s="179" t="str">
        <f t="shared" si="289"/>
        <v/>
      </c>
      <c r="X806" s="26"/>
    </row>
    <row r="807" hidden="1">
      <c r="A807" s="28"/>
      <c r="B807" s="28"/>
      <c r="C807" s="107"/>
      <c r="D807" s="83" t="s">
        <v>425</v>
      </c>
      <c r="E807" s="105">
        <f>370000*2</f>
        <v>740000</v>
      </c>
      <c r="F807" s="105">
        <f>510000*2</f>
        <v>1020000</v>
      </c>
      <c r="G807" s="34">
        <f t="shared" si="300"/>
        <v>0.3783783784</v>
      </c>
      <c r="H807" s="99"/>
      <c r="I807" s="99"/>
      <c r="J807" s="99"/>
      <c r="K807" s="99"/>
      <c r="L807" s="99"/>
      <c r="M807" s="99"/>
      <c r="N807" s="99"/>
      <c r="O807" s="99"/>
      <c r="P807" s="99"/>
      <c r="Q807" s="23"/>
      <c r="R807" s="23"/>
      <c r="S807" s="100"/>
      <c r="T807" s="24">
        <f t="shared" si="286"/>
        <v>-0.3783783784</v>
      </c>
      <c r="U807" s="179">
        <f t="shared" si="287"/>
        <v>-1</v>
      </c>
      <c r="V807" s="179" t="str">
        <f t="shared" si="288"/>
        <v/>
      </c>
      <c r="W807" s="179" t="str">
        <f t="shared" si="289"/>
        <v/>
      </c>
      <c r="X807" s="26"/>
    </row>
    <row r="808" hidden="1">
      <c r="A808" s="28"/>
      <c r="B808" s="28"/>
      <c r="C808" s="107"/>
      <c r="D808" s="83" t="s">
        <v>426</v>
      </c>
      <c r="E808" s="105">
        <f>442000</f>
        <v>442000</v>
      </c>
      <c r="F808" s="105">
        <f>300000*2</f>
        <v>600000</v>
      </c>
      <c r="G808" s="34">
        <f t="shared" si="300"/>
        <v>0.3574660633</v>
      </c>
      <c r="H808" s="99"/>
      <c r="I808" s="99"/>
      <c r="J808" s="99"/>
      <c r="K808" s="99"/>
      <c r="L808" s="99"/>
      <c r="M808" s="99"/>
      <c r="N808" s="99"/>
      <c r="O808" s="99"/>
      <c r="P808" s="99"/>
      <c r="Q808" s="23"/>
      <c r="R808" s="23"/>
      <c r="S808" s="100"/>
      <c r="T808" s="24">
        <f t="shared" si="286"/>
        <v>-0.3574660633</v>
      </c>
      <c r="U808" s="179">
        <f t="shared" si="287"/>
        <v>-1</v>
      </c>
      <c r="V808" s="179" t="str">
        <f t="shared" si="288"/>
        <v/>
      </c>
      <c r="W808" s="179" t="str">
        <f t="shared" si="289"/>
        <v/>
      </c>
      <c r="X808" s="26"/>
    </row>
    <row r="809" hidden="1">
      <c r="A809" s="28"/>
      <c r="B809" s="28"/>
      <c r="C809" s="107"/>
      <c r="D809" s="83" t="s">
        <v>427</v>
      </c>
      <c r="E809" s="105">
        <f>(330000*2)</f>
        <v>660000</v>
      </c>
      <c r="F809" s="201">
        <f>450000*2</f>
        <v>900000</v>
      </c>
      <c r="G809" s="34">
        <f t="shared" si="300"/>
        <v>0.3636363636</v>
      </c>
      <c r="H809" s="99"/>
      <c r="I809" s="99"/>
      <c r="J809" s="99"/>
      <c r="K809" s="99"/>
      <c r="L809" s="99"/>
      <c r="M809" s="99"/>
      <c r="N809" s="99"/>
      <c r="O809" s="99"/>
      <c r="P809" s="99"/>
      <c r="Q809" s="23"/>
      <c r="R809" s="23"/>
      <c r="S809" s="100"/>
      <c r="T809" s="24">
        <f t="shared" si="286"/>
        <v>-0.3636363636</v>
      </c>
      <c r="U809" s="179">
        <f t="shared" si="287"/>
        <v>-1</v>
      </c>
      <c r="V809" s="179" t="str">
        <f t="shared" si="288"/>
        <v/>
      </c>
      <c r="W809" s="179" t="str">
        <f t="shared" si="289"/>
        <v/>
      </c>
      <c r="X809" s="26"/>
    </row>
    <row r="810" hidden="1">
      <c r="A810" s="28"/>
      <c r="B810" s="28"/>
      <c r="C810" s="107"/>
      <c r="D810" s="83" t="s">
        <v>428</v>
      </c>
      <c r="E810" s="105">
        <f>928000</f>
        <v>928000</v>
      </c>
      <c r="F810" s="105">
        <f>600000*2+(29000*2)+5000*2</f>
        <v>1268000</v>
      </c>
      <c r="G810" s="34">
        <f t="shared" si="300"/>
        <v>0.3663793103</v>
      </c>
      <c r="H810" s="99"/>
      <c r="I810" s="99"/>
      <c r="J810" s="99"/>
      <c r="K810" s="99"/>
      <c r="L810" s="99"/>
      <c r="M810" s="99"/>
      <c r="N810" s="99"/>
      <c r="O810" s="99"/>
      <c r="P810" s="99"/>
      <c r="Q810" s="23"/>
      <c r="R810" s="23"/>
      <c r="S810" s="100"/>
      <c r="T810" s="24">
        <f t="shared" si="286"/>
        <v>-0.3663793103</v>
      </c>
      <c r="U810" s="179">
        <f t="shared" si="287"/>
        <v>-1</v>
      </c>
      <c r="V810" s="179" t="str">
        <f t="shared" si="288"/>
        <v/>
      </c>
      <c r="W810" s="179" t="str">
        <f t="shared" si="289"/>
        <v/>
      </c>
      <c r="X810" s="26"/>
    </row>
    <row r="811" hidden="1">
      <c r="A811" s="28"/>
      <c r="B811" s="28"/>
      <c r="C811" s="107"/>
      <c r="D811" s="83" t="s">
        <v>429</v>
      </c>
      <c r="E811" s="201"/>
      <c r="F811" s="201">
        <v>140000.0</v>
      </c>
      <c r="G811" s="34" t="str">
        <f t="shared" si="300"/>
        <v>#DIV/0!</v>
      </c>
      <c r="H811" s="99"/>
      <c r="I811" s="99"/>
      <c r="J811" s="99"/>
      <c r="K811" s="99"/>
      <c r="L811" s="99"/>
      <c r="M811" s="99"/>
      <c r="N811" s="99"/>
      <c r="O811" s="99"/>
      <c r="P811" s="99"/>
      <c r="Q811" s="23"/>
      <c r="R811" s="23"/>
      <c r="S811" s="100"/>
      <c r="T811" s="24" t="str">
        <f t="shared" si="286"/>
        <v>#DIV/0!</v>
      </c>
      <c r="U811" s="179" t="str">
        <f t="shared" si="287"/>
        <v/>
      </c>
      <c r="V811" s="179" t="str">
        <f t="shared" si="288"/>
        <v/>
      </c>
      <c r="W811" s="179" t="str">
        <f t="shared" si="289"/>
        <v/>
      </c>
      <c r="X811" s="26"/>
    </row>
    <row r="812" hidden="1">
      <c r="A812" s="28"/>
      <c r="B812" s="28"/>
      <c r="C812" s="107"/>
      <c r="D812" s="83" t="s">
        <v>101</v>
      </c>
      <c r="E812" s="105">
        <f t="shared" ref="E812:F812" si="301">SUM(E805:E811)</f>
        <v>3030000</v>
      </c>
      <c r="F812" s="105">
        <f t="shared" si="301"/>
        <v>4468000</v>
      </c>
      <c r="G812" s="34">
        <f t="shared" si="300"/>
        <v>0.4745874587</v>
      </c>
      <c r="H812" s="99"/>
      <c r="I812" s="99"/>
      <c r="J812" s="99"/>
      <c r="K812" s="99"/>
      <c r="L812" s="99"/>
      <c r="M812" s="99"/>
      <c r="N812" s="99"/>
      <c r="O812" s="99"/>
      <c r="P812" s="99"/>
      <c r="Q812" s="23"/>
      <c r="R812" s="23"/>
      <c r="S812" s="100"/>
      <c r="T812" s="24">
        <f t="shared" si="286"/>
        <v>-0.4745874587</v>
      </c>
      <c r="U812" s="179">
        <f t="shared" si="287"/>
        <v>-1</v>
      </c>
      <c r="V812" s="179" t="str">
        <f t="shared" si="288"/>
        <v/>
      </c>
      <c r="W812" s="179" t="str">
        <f t="shared" si="289"/>
        <v/>
      </c>
      <c r="X812" s="26"/>
    </row>
    <row r="813" hidden="1">
      <c r="A813" s="28"/>
      <c r="B813" s="28"/>
      <c r="C813" s="107"/>
      <c r="D813" s="83" t="s">
        <v>148</v>
      </c>
      <c r="E813" s="105">
        <f>F812-E812</f>
        <v>1438000</v>
      </c>
      <c r="F813" s="105"/>
      <c r="G813" s="34"/>
      <c r="H813" s="99"/>
      <c r="I813" s="99"/>
      <c r="J813" s="99"/>
      <c r="K813" s="99"/>
      <c r="L813" s="99"/>
      <c r="M813" s="99"/>
      <c r="N813" s="99"/>
      <c r="O813" s="99"/>
      <c r="P813" s="99"/>
      <c r="Q813" s="23"/>
      <c r="R813" s="23"/>
      <c r="S813" s="100"/>
      <c r="T813" s="24">
        <f t="shared" si="286"/>
        <v>0</v>
      </c>
      <c r="U813" s="179" t="str">
        <f t="shared" si="287"/>
        <v/>
      </c>
      <c r="V813" s="179" t="str">
        <f t="shared" si="288"/>
        <v/>
      </c>
      <c r="W813" s="179" t="str">
        <f t="shared" si="289"/>
        <v/>
      </c>
      <c r="X813" s="26"/>
    </row>
    <row r="814" hidden="1">
      <c r="A814" s="28"/>
      <c r="B814" s="28"/>
      <c r="C814" s="107"/>
      <c r="D814" s="97"/>
      <c r="E814" s="105"/>
      <c r="F814" s="105"/>
      <c r="G814" s="34"/>
      <c r="H814" s="99"/>
      <c r="I814" s="99"/>
      <c r="J814" s="99"/>
      <c r="K814" s="99"/>
      <c r="L814" s="99"/>
      <c r="M814" s="99"/>
      <c r="N814" s="99"/>
      <c r="O814" s="99"/>
      <c r="P814" s="99"/>
      <c r="Q814" s="23"/>
      <c r="R814" s="23"/>
      <c r="S814" s="100"/>
      <c r="T814" s="24">
        <f t="shared" si="286"/>
        <v>0</v>
      </c>
      <c r="U814" s="179" t="str">
        <f t="shared" si="287"/>
        <v/>
      </c>
      <c r="V814" s="179" t="str">
        <f t="shared" si="288"/>
        <v/>
      </c>
      <c r="W814" s="179" t="str">
        <f t="shared" si="289"/>
        <v/>
      </c>
      <c r="X814" s="26"/>
    </row>
    <row r="815" hidden="1">
      <c r="A815" s="28"/>
      <c r="B815" s="28"/>
      <c r="C815" s="107"/>
      <c r="D815" s="97"/>
      <c r="E815" s="105"/>
      <c r="F815" s="201"/>
      <c r="G815" s="34"/>
      <c r="H815" s="99"/>
      <c r="I815" s="99"/>
      <c r="J815" s="99"/>
      <c r="K815" s="99"/>
      <c r="L815" s="99"/>
      <c r="M815" s="99"/>
      <c r="N815" s="99"/>
      <c r="O815" s="99"/>
      <c r="P815" s="99"/>
      <c r="Q815" s="23"/>
      <c r="R815" s="23"/>
      <c r="S815" s="100"/>
      <c r="T815" s="24">
        <f t="shared" si="286"/>
        <v>0</v>
      </c>
      <c r="U815" s="179" t="str">
        <f t="shared" si="287"/>
        <v/>
      </c>
      <c r="V815" s="179" t="str">
        <f t="shared" si="288"/>
        <v/>
      </c>
      <c r="W815" s="179" t="str">
        <f t="shared" si="289"/>
        <v/>
      </c>
      <c r="X815" s="26"/>
    </row>
    <row r="816" hidden="1">
      <c r="A816" s="28"/>
      <c r="B816" s="28"/>
      <c r="C816" s="82" t="s">
        <v>430</v>
      </c>
      <c r="D816" s="83" t="s">
        <v>431</v>
      </c>
      <c r="E816" s="105">
        <f>275000*12</f>
        <v>3300000</v>
      </c>
      <c r="F816" s="201">
        <f t="shared" ref="F816:F817" si="302">E816*1.35</f>
        <v>4455000</v>
      </c>
      <c r="G816" s="34">
        <f t="shared" ref="G816:G818" si="303">(F816-E816)/E816</f>
        <v>0.35</v>
      </c>
      <c r="H816" s="99"/>
      <c r="I816" s="99"/>
      <c r="J816" s="99"/>
      <c r="K816" s="99"/>
      <c r="L816" s="99"/>
      <c r="M816" s="99"/>
      <c r="N816" s="99"/>
      <c r="O816" s="99"/>
      <c r="P816" s="99"/>
      <c r="Q816" s="23"/>
      <c r="R816" s="23"/>
      <c r="S816" s="100"/>
      <c r="T816" s="24">
        <f t="shared" si="286"/>
        <v>-0.35</v>
      </c>
      <c r="U816" s="179">
        <f t="shared" si="287"/>
        <v>-1</v>
      </c>
      <c r="V816" s="179" t="str">
        <f t="shared" si="288"/>
        <v/>
      </c>
      <c r="W816" s="179" t="str">
        <f t="shared" si="289"/>
        <v/>
      </c>
      <c r="X816" s="26"/>
    </row>
    <row r="817" hidden="1">
      <c r="A817" s="28"/>
      <c r="B817" s="28"/>
      <c r="C817" s="107"/>
      <c r="D817" s="83" t="s">
        <v>432</v>
      </c>
      <c r="E817" s="201">
        <v>1500000.0</v>
      </c>
      <c r="F817" s="201">
        <f t="shared" si="302"/>
        <v>2025000</v>
      </c>
      <c r="G817" s="34">
        <f t="shared" si="303"/>
        <v>0.35</v>
      </c>
      <c r="H817" s="99"/>
      <c r="I817" s="99"/>
      <c r="J817" s="99"/>
      <c r="K817" s="99"/>
      <c r="L817" s="99"/>
      <c r="M817" s="99"/>
      <c r="N817" s="99"/>
      <c r="O817" s="99"/>
      <c r="P817" s="99"/>
      <c r="Q817" s="23"/>
      <c r="R817" s="23"/>
      <c r="S817" s="100"/>
      <c r="T817" s="24">
        <f t="shared" si="286"/>
        <v>-0.35</v>
      </c>
      <c r="U817" s="179">
        <f t="shared" si="287"/>
        <v>-1</v>
      </c>
      <c r="V817" s="179" t="str">
        <f t="shared" si="288"/>
        <v/>
      </c>
      <c r="W817" s="179" t="str">
        <f t="shared" si="289"/>
        <v/>
      </c>
      <c r="X817" s="26"/>
    </row>
    <row r="818" hidden="1">
      <c r="A818" s="28"/>
      <c r="B818" s="28"/>
      <c r="C818" s="107"/>
      <c r="D818" s="83" t="s">
        <v>433</v>
      </c>
      <c r="E818" s="201">
        <v>3234000.0</v>
      </c>
      <c r="F818" s="105">
        <f>E818*1.2</f>
        <v>3880800</v>
      </c>
      <c r="G818" s="34">
        <f t="shared" si="303"/>
        <v>0.2</v>
      </c>
      <c r="H818" s="99"/>
      <c r="I818" s="99"/>
      <c r="J818" s="99"/>
      <c r="K818" s="99"/>
      <c r="L818" s="99"/>
      <c r="M818" s="99"/>
      <c r="N818" s="99"/>
      <c r="O818" s="99"/>
      <c r="P818" s="99"/>
      <c r="Q818" s="23"/>
      <c r="R818" s="23"/>
      <c r="S818" s="100"/>
      <c r="T818" s="24">
        <f t="shared" si="286"/>
        <v>-0.2</v>
      </c>
      <c r="U818" s="179">
        <f t="shared" si="287"/>
        <v>-1</v>
      </c>
      <c r="V818" s="179" t="str">
        <f t="shared" si="288"/>
        <v/>
      </c>
      <c r="W818" s="179" t="str">
        <f t="shared" si="289"/>
        <v/>
      </c>
      <c r="X818" s="26"/>
    </row>
    <row r="819" hidden="1">
      <c r="A819" s="28"/>
      <c r="B819" s="28"/>
      <c r="C819" s="107"/>
      <c r="D819" s="97"/>
      <c r="E819" s="105"/>
      <c r="F819" s="105"/>
      <c r="G819" s="34"/>
      <c r="H819" s="99"/>
      <c r="I819" s="99"/>
      <c r="J819" s="99"/>
      <c r="K819" s="99"/>
      <c r="L819" s="99"/>
      <c r="M819" s="99"/>
      <c r="N819" s="99"/>
      <c r="O819" s="99"/>
      <c r="P819" s="99"/>
      <c r="Q819" s="23"/>
      <c r="R819" s="23"/>
      <c r="S819" s="100"/>
      <c r="T819" s="24">
        <f t="shared" si="286"/>
        <v>0</v>
      </c>
      <c r="U819" s="179" t="str">
        <f t="shared" si="287"/>
        <v/>
      </c>
      <c r="V819" s="179" t="str">
        <f t="shared" si="288"/>
        <v/>
      </c>
      <c r="W819" s="179" t="str">
        <f t="shared" si="289"/>
        <v/>
      </c>
      <c r="X819" s="26"/>
    </row>
    <row r="820" hidden="1">
      <c r="A820" s="28"/>
      <c r="B820" s="28"/>
      <c r="C820" s="107"/>
      <c r="D820" s="97"/>
      <c r="E820" s="105"/>
      <c r="F820" s="105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23"/>
      <c r="R820" s="23"/>
      <c r="S820" s="100"/>
      <c r="T820" s="24">
        <f t="shared" si="286"/>
        <v>0</v>
      </c>
      <c r="U820" s="179" t="str">
        <f t="shared" si="287"/>
        <v/>
      </c>
      <c r="V820" s="179" t="str">
        <f t="shared" si="288"/>
        <v/>
      </c>
      <c r="W820" s="179" t="str">
        <f t="shared" si="289"/>
        <v/>
      </c>
      <c r="X820" s="26"/>
    </row>
    <row r="821" hidden="1">
      <c r="A821" s="28"/>
      <c r="B821" s="28"/>
      <c r="C821" s="82" t="s">
        <v>434</v>
      </c>
      <c r="D821" s="83" t="s">
        <v>197</v>
      </c>
      <c r="E821" s="105">
        <f>280000*2</f>
        <v>560000</v>
      </c>
      <c r="F821" s="105">
        <f>450000*2</f>
        <v>900000</v>
      </c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23"/>
      <c r="R821" s="23"/>
      <c r="S821" s="100"/>
      <c r="T821" s="24">
        <f t="shared" si="286"/>
        <v>0</v>
      </c>
      <c r="U821" s="179" t="str">
        <f t="shared" si="287"/>
        <v/>
      </c>
      <c r="V821" s="179" t="str">
        <f t="shared" si="288"/>
        <v/>
      </c>
      <c r="W821" s="179" t="str">
        <f t="shared" si="289"/>
        <v/>
      </c>
      <c r="X821" s="26"/>
    </row>
    <row r="822" hidden="1">
      <c r="A822" s="28"/>
      <c r="B822" s="28"/>
      <c r="C822" s="107"/>
      <c r="D822" s="83" t="s">
        <v>158</v>
      </c>
      <c r="E822" s="105">
        <f>370000*2</f>
        <v>740000</v>
      </c>
      <c r="F822" s="201">
        <f>550000*2</f>
        <v>1100000</v>
      </c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23"/>
      <c r="R822" s="23"/>
      <c r="S822" s="100"/>
      <c r="T822" s="24">
        <f t="shared" si="286"/>
        <v>0</v>
      </c>
      <c r="U822" s="179" t="str">
        <f t="shared" si="287"/>
        <v/>
      </c>
      <c r="V822" s="179" t="str">
        <f t="shared" si="288"/>
        <v/>
      </c>
      <c r="W822" s="179" t="str">
        <f t="shared" si="289"/>
        <v/>
      </c>
      <c r="X822" s="26"/>
    </row>
    <row r="823" hidden="1">
      <c r="A823" s="28"/>
      <c r="B823" s="28"/>
      <c r="C823" s="107"/>
      <c r="D823" s="83" t="s">
        <v>101</v>
      </c>
      <c r="E823" s="105">
        <f t="shared" ref="E823:F823" si="304">E821+E822</f>
        <v>1300000</v>
      </c>
      <c r="F823" s="105">
        <f t="shared" si="304"/>
        <v>2000000</v>
      </c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23"/>
      <c r="R823" s="23"/>
      <c r="S823" s="100"/>
      <c r="T823" s="24">
        <f t="shared" si="286"/>
        <v>0</v>
      </c>
      <c r="U823" s="179" t="str">
        <f t="shared" si="287"/>
        <v/>
      </c>
      <c r="V823" s="179" t="str">
        <f t="shared" si="288"/>
        <v/>
      </c>
      <c r="W823" s="179" t="str">
        <f t="shared" si="289"/>
        <v/>
      </c>
      <c r="X823" s="26"/>
    </row>
    <row r="824" hidden="1">
      <c r="A824" s="28"/>
      <c r="B824" s="28"/>
      <c r="C824" s="107"/>
      <c r="D824" s="83" t="s">
        <v>148</v>
      </c>
      <c r="E824" s="105">
        <f>F823-E823</f>
        <v>700000</v>
      </c>
      <c r="F824" s="105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23"/>
      <c r="R824" s="23"/>
      <c r="S824" s="100"/>
      <c r="T824" s="24">
        <f t="shared" si="286"/>
        <v>0</v>
      </c>
      <c r="U824" s="179" t="str">
        <f t="shared" si="287"/>
        <v/>
      </c>
      <c r="V824" s="179" t="str">
        <f t="shared" si="288"/>
        <v/>
      </c>
      <c r="W824" s="179" t="str">
        <f t="shared" si="289"/>
        <v/>
      </c>
      <c r="X824" s="26"/>
    </row>
    <row r="825" hidden="1">
      <c r="A825" s="28"/>
      <c r="B825" s="28"/>
      <c r="C825" s="107"/>
      <c r="D825" s="97"/>
      <c r="E825" s="105"/>
      <c r="F825" s="105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23"/>
      <c r="R825" s="23"/>
      <c r="S825" s="100"/>
      <c r="T825" s="24">
        <f t="shared" si="286"/>
        <v>0</v>
      </c>
      <c r="U825" s="179" t="str">
        <f t="shared" si="287"/>
        <v/>
      </c>
      <c r="V825" s="179" t="str">
        <f t="shared" si="288"/>
        <v/>
      </c>
      <c r="W825" s="179" t="str">
        <f t="shared" si="289"/>
        <v/>
      </c>
      <c r="X825" s="26"/>
    </row>
    <row r="826" hidden="1">
      <c r="A826" s="28"/>
      <c r="B826" s="28"/>
      <c r="C826" s="82" t="s">
        <v>435</v>
      </c>
      <c r="D826" s="83" t="s">
        <v>436</v>
      </c>
      <c r="E826" s="201">
        <f>375000*6</f>
        <v>2250000</v>
      </c>
      <c r="F826" s="105">
        <f>540000*6</f>
        <v>3240000</v>
      </c>
      <c r="G826" s="99">
        <f t="shared" ref="G826:G827" si="305">F826-E826</f>
        <v>990000</v>
      </c>
      <c r="H826" s="99"/>
      <c r="I826" s="99"/>
      <c r="J826" s="99"/>
      <c r="K826" s="99"/>
      <c r="L826" s="99"/>
      <c r="M826" s="99"/>
      <c r="N826" s="99"/>
      <c r="O826" s="99"/>
      <c r="P826" s="99"/>
      <c r="Q826" s="23"/>
      <c r="R826" s="23"/>
      <c r="S826" s="100"/>
      <c r="T826" s="24">
        <f t="shared" si="286"/>
        <v>-990000</v>
      </c>
      <c r="U826" s="179">
        <f t="shared" si="287"/>
        <v>-1</v>
      </c>
      <c r="V826" s="179" t="str">
        <f t="shared" si="288"/>
        <v/>
      </c>
      <c r="W826" s="179" t="str">
        <f t="shared" si="289"/>
        <v/>
      </c>
      <c r="X826" s="26"/>
    </row>
    <row r="827" hidden="1">
      <c r="A827" s="28"/>
      <c r="B827" s="28"/>
      <c r="C827" s="107"/>
      <c r="D827" s="83" t="s">
        <v>138</v>
      </c>
      <c r="E827" s="201">
        <f>350000*6</f>
        <v>2100000</v>
      </c>
      <c r="F827" s="105">
        <f>520000*6</f>
        <v>3120000</v>
      </c>
      <c r="G827" s="99">
        <f t="shared" si="305"/>
        <v>1020000</v>
      </c>
      <c r="H827" s="99"/>
      <c r="I827" s="99"/>
      <c r="J827" s="99"/>
      <c r="K827" s="99"/>
      <c r="L827" s="99"/>
      <c r="M827" s="99"/>
      <c r="N827" s="99"/>
      <c r="O827" s="99"/>
      <c r="P827" s="99"/>
      <c r="Q827" s="23"/>
      <c r="R827" s="23"/>
      <c r="S827" s="100"/>
      <c r="T827" s="24">
        <f t="shared" si="286"/>
        <v>-1020000</v>
      </c>
      <c r="U827" s="179">
        <f t="shared" si="287"/>
        <v>-1</v>
      </c>
      <c r="V827" s="179" t="str">
        <f t="shared" si="288"/>
        <v/>
      </c>
      <c r="W827" s="179" t="str">
        <f t="shared" si="289"/>
        <v/>
      </c>
      <c r="X827" s="26"/>
    </row>
    <row r="828" hidden="1">
      <c r="A828" s="28"/>
      <c r="B828" s="28"/>
      <c r="C828" s="107"/>
      <c r="D828" s="97"/>
      <c r="E828" s="105">
        <f t="shared" ref="E828:F828" si="306">E826-E827</f>
        <v>150000</v>
      </c>
      <c r="F828" s="105">
        <f t="shared" si="306"/>
        <v>120000</v>
      </c>
      <c r="G828" s="99">
        <f>G827-G826</f>
        <v>30000</v>
      </c>
      <c r="H828" s="99"/>
      <c r="I828" s="99"/>
      <c r="J828" s="99"/>
      <c r="K828" s="99"/>
      <c r="L828" s="99"/>
      <c r="M828" s="99"/>
      <c r="N828" s="99"/>
      <c r="O828" s="99"/>
      <c r="P828" s="99"/>
      <c r="Q828" s="23"/>
      <c r="R828" s="23"/>
      <c r="S828" s="100"/>
      <c r="T828" s="24">
        <f t="shared" si="286"/>
        <v>-30000</v>
      </c>
      <c r="U828" s="179">
        <f t="shared" si="287"/>
        <v>-1</v>
      </c>
      <c r="V828" s="179" t="str">
        <f t="shared" si="288"/>
        <v/>
      </c>
      <c r="W828" s="179" t="str">
        <f t="shared" si="289"/>
        <v/>
      </c>
      <c r="X828" s="26"/>
    </row>
    <row r="829" hidden="1">
      <c r="A829" s="28"/>
      <c r="B829" s="28"/>
      <c r="C829" s="107"/>
      <c r="D829" s="97"/>
      <c r="E829" s="105"/>
      <c r="F829" s="105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23"/>
      <c r="R829" s="23"/>
      <c r="S829" s="100"/>
      <c r="T829" s="24">
        <f t="shared" si="286"/>
        <v>0</v>
      </c>
      <c r="U829" s="179" t="str">
        <f t="shared" si="287"/>
        <v/>
      </c>
      <c r="V829" s="179" t="str">
        <f t="shared" si="288"/>
        <v/>
      </c>
      <c r="W829" s="179" t="str">
        <f t="shared" si="289"/>
        <v/>
      </c>
      <c r="X829" s="26"/>
    </row>
    <row r="830" hidden="1">
      <c r="A830" s="28"/>
      <c r="B830" s="28"/>
      <c r="C830" s="107"/>
      <c r="D830" s="238" t="s">
        <v>371</v>
      </c>
      <c r="E830" s="201">
        <f>375000*6</f>
        <v>2250000</v>
      </c>
      <c r="F830" s="105">
        <f>540000*6</f>
        <v>3240000</v>
      </c>
      <c r="G830" s="18">
        <f t="shared" ref="G830:G834" si="307">(F830-E830)/E830</f>
        <v>0.44</v>
      </c>
      <c r="H830" s="99"/>
      <c r="I830" s="99"/>
      <c r="J830" s="99"/>
      <c r="K830" s="99"/>
      <c r="L830" s="99"/>
      <c r="M830" s="99"/>
      <c r="N830" s="99"/>
      <c r="O830" s="99"/>
      <c r="P830" s="99"/>
      <c r="Q830" s="23"/>
      <c r="R830" s="23"/>
      <c r="S830" s="100"/>
      <c r="T830" s="24">
        <f t="shared" si="286"/>
        <v>-0.44</v>
      </c>
      <c r="U830" s="179">
        <f t="shared" si="287"/>
        <v>-1</v>
      </c>
      <c r="V830" s="179" t="str">
        <f t="shared" si="288"/>
        <v/>
      </c>
      <c r="W830" s="179" t="str">
        <f t="shared" si="289"/>
        <v/>
      </c>
      <c r="X830" s="26"/>
    </row>
    <row r="831" hidden="1">
      <c r="A831" s="83"/>
      <c r="B831" s="28"/>
      <c r="C831" s="107"/>
      <c r="D831" s="246" t="s">
        <v>372</v>
      </c>
      <c r="E831" s="201">
        <v>880000.0</v>
      </c>
      <c r="F831" s="201">
        <v>1280000.0</v>
      </c>
      <c r="G831" s="18">
        <f t="shared" si="307"/>
        <v>0.4545454545</v>
      </c>
      <c r="H831" s="99"/>
      <c r="I831" s="99"/>
      <c r="J831" s="99"/>
      <c r="K831" s="99"/>
      <c r="L831" s="99"/>
      <c r="M831" s="99"/>
      <c r="N831" s="99"/>
      <c r="O831" s="99"/>
      <c r="P831" s="99"/>
      <c r="Q831" s="23"/>
      <c r="R831" s="23"/>
      <c r="S831" s="100"/>
      <c r="T831" s="24">
        <f t="shared" si="286"/>
        <v>-0.4545454545</v>
      </c>
      <c r="U831" s="179">
        <f t="shared" si="287"/>
        <v>-1</v>
      </c>
      <c r="V831" s="179" t="str">
        <f t="shared" si="288"/>
        <v/>
      </c>
      <c r="W831" s="179" t="str">
        <f t="shared" si="289"/>
        <v/>
      </c>
      <c r="X831" s="26"/>
    </row>
    <row r="832" hidden="1">
      <c r="A832" s="28"/>
      <c r="B832" s="28"/>
      <c r="C832" s="107"/>
      <c r="D832" s="83" t="s">
        <v>373</v>
      </c>
      <c r="E832" s="201">
        <f>280000*6</f>
        <v>1680000</v>
      </c>
      <c r="F832" s="105">
        <f>430000*6</f>
        <v>2580000</v>
      </c>
      <c r="G832" s="18">
        <f t="shared" si="307"/>
        <v>0.5357142857</v>
      </c>
      <c r="H832" s="99"/>
      <c r="I832" s="99"/>
      <c r="J832" s="99"/>
      <c r="K832" s="99"/>
      <c r="L832" s="99"/>
      <c r="M832" s="99"/>
      <c r="N832" s="99"/>
      <c r="O832" s="99"/>
      <c r="P832" s="99"/>
      <c r="Q832" s="23"/>
      <c r="R832" s="23"/>
      <c r="S832" s="100"/>
      <c r="T832" s="24">
        <f t="shared" si="286"/>
        <v>-0.5357142857</v>
      </c>
      <c r="U832" s="179">
        <f t="shared" si="287"/>
        <v>-1</v>
      </c>
      <c r="V832" s="179" t="str">
        <f t="shared" si="288"/>
        <v/>
      </c>
      <c r="W832" s="179" t="str">
        <f t="shared" si="289"/>
        <v/>
      </c>
      <c r="X832" s="26"/>
    </row>
    <row r="833" hidden="1">
      <c r="A833" s="28"/>
      <c r="B833" s="28"/>
      <c r="C833" s="107"/>
      <c r="D833" s="83" t="s">
        <v>91</v>
      </c>
      <c r="E833" s="201">
        <f>330000*6</f>
        <v>1980000</v>
      </c>
      <c r="F833" s="105">
        <f>490000*6</f>
        <v>2940000</v>
      </c>
      <c r="G833" s="18">
        <f t="shared" si="307"/>
        <v>0.4848484848</v>
      </c>
      <c r="H833" s="99"/>
      <c r="I833" s="99"/>
      <c r="J833" s="99"/>
      <c r="K833" s="99"/>
      <c r="L833" s="99"/>
      <c r="M833" s="99"/>
      <c r="N833" s="99"/>
      <c r="O833" s="99"/>
      <c r="P833" s="99"/>
      <c r="Q833" s="23"/>
      <c r="R833" s="23"/>
      <c r="S833" s="100"/>
      <c r="T833" s="24">
        <f t="shared" si="286"/>
        <v>-0.4848484848</v>
      </c>
      <c r="U833" s="179">
        <f t="shared" si="287"/>
        <v>-1</v>
      </c>
      <c r="V833" s="179" t="str">
        <f t="shared" si="288"/>
        <v/>
      </c>
      <c r="W833" s="179" t="str">
        <f t="shared" si="289"/>
        <v/>
      </c>
      <c r="X833" s="26"/>
    </row>
    <row r="834" hidden="1">
      <c r="A834" s="28"/>
      <c r="B834" s="28"/>
      <c r="C834" s="107"/>
      <c r="D834" s="83" t="s">
        <v>214</v>
      </c>
      <c r="E834" s="105">
        <f>SUM(E830:E833)</f>
        <v>6790000</v>
      </c>
      <c r="F834" s="201">
        <f>E834*1.45</f>
        <v>9845500</v>
      </c>
      <c r="G834" s="18">
        <f t="shared" si="307"/>
        <v>0.45</v>
      </c>
      <c r="H834" s="99"/>
      <c r="I834" s="99"/>
      <c r="J834" s="99"/>
      <c r="K834" s="99"/>
      <c r="L834" s="99"/>
      <c r="M834" s="99"/>
      <c r="N834" s="99"/>
      <c r="O834" s="99"/>
      <c r="P834" s="99"/>
      <c r="Q834" s="23"/>
      <c r="R834" s="23"/>
      <c r="S834" s="100"/>
      <c r="T834" s="24">
        <f t="shared" si="286"/>
        <v>-0.45</v>
      </c>
      <c r="U834" s="179">
        <f t="shared" si="287"/>
        <v>-1</v>
      </c>
      <c r="V834" s="179" t="str">
        <f t="shared" si="288"/>
        <v/>
      </c>
      <c r="W834" s="179" t="str">
        <f t="shared" si="289"/>
        <v/>
      </c>
      <c r="X834" s="26"/>
    </row>
    <row r="835" hidden="1">
      <c r="A835" s="28"/>
      <c r="B835" s="28"/>
      <c r="C835" s="107"/>
      <c r="D835" s="83" t="s">
        <v>148</v>
      </c>
      <c r="E835" s="105">
        <f>F834-E834</f>
        <v>3055500</v>
      </c>
      <c r="F835" s="105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23"/>
      <c r="R835" s="23"/>
      <c r="S835" s="100"/>
      <c r="T835" s="24">
        <f t="shared" si="286"/>
        <v>0</v>
      </c>
      <c r="U835" s="179" t="str">
        <f t="shared" si="287"/>
        <v/>
      </c>
      <c r="V835" s="179" t="str">
        <f t="shared" si="288"/>
        <v/>
      </c>
      <c r="W835" s="179" t="str">
        <f t="shared" si="289"/>
        <v/>
      </c>
      <c r="X835" s="26"/>
    </row>
    <row r="836" hidden="1">
      <c r="A836" s="28"/>
      <c r="B836" s="28"/>
      <c r="C836" s="107"/>
      <c r="D836" s="97"/>
      <c r="E836" s="105"/>
      <c r="F836" s="105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23"/>
      <c r="R836" s="23"/>
      <c r="S836" s="100"/>
      <c r="T836" s="24">
        <f t="shared" si="286"/>
        <v>0</v>
      </c>
      <c r="U836" s="179" t="str">
        <f t="shared" si="287"/>
        <v/>
      </c>
      <c r="V836" s="179" t="str">
        <f t="shared" si="288"/>
        <v/>
      </c>
      <c r="W836" s="179" t="str">
        <f t="shared" si="289"/>
        <v/>
      </c>
      <c r="X836" s="26"/>
    </row>
    <row r="837" hidden="1">
      <c r="A837" s="28"/>
      <c r="B837" s="28"/>
      <c r="C837" s="107"/>
      <c r="D837" s="83" t="s">
        <v>138</v>
      </c>
      <c r="E837" s="201">
        <f>350000*6</f>
        <v>2100000</v>
      </c>
      <c r="F837" s="105">
        <f>520000*6</f>
        <v>3120000</v>
      </c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23"/>
      <c r="R837" s="23"/>
      <c r="S837" s="100"/>
      <c r="T837" s="24">
        <f t="shared" si="286"/>
        <v>0</v>
      </c>
      <c r="U837" s="179" t="str">
        <f t="shared" si="287"/>
        <v/>
      </c>
      <c r="V837" s="179" t="str">
        <f t="shared" si="288"/>
        <v/>
      </c>
      <c r="W837" s="179" t="str">
        <f t="shared" si="289"/>
        <v/>
      </c>
      <c r="X837" s="26"/>
    </row>
    <row r="838" hidden="1">
      <c r="A838" s="28"/>
      <c r="B838" s="28"/>
      <c r="C838" s="107"/>
      <c r="D838" s="246" t="s">
        <v>372</v>
      </c>
      <c r="E838" s="105"/>
      <c r="F838" s="105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23"/>
      <c r="R838" s="23"/>
      <c r="S838" s="100"/>
      <c r="T838" s="24">
        <f t="shared" si="286"/>
        <v>0</v>
      </c>
      <c r="U838" s="179" t="str">
        <f t="shared" si="287"/>
        <v/>
      </c>
      <c r="V838" s="179" t="str">
        <f t="shared" si="288"/>
        <v/>
      </c>
      <c r="W838" s="179" t="str">
        <f t="shared" si="289"/>
        <v/>
      </c>
      <c r="X838" s="26"/>
    </row>
    <row r="839" hidden="1">
      <c r="A839" s="28"/>
      <c r="B839" s="28"/>
      <c r="C839" s="107"/>
      <c r="D839" s="83" t="s">
        <v>373</v>
      </c>
      <c r="E839" s="201">
        <f>280000*6</f>
        <v>1680000</v>
      </c>
      <c r="F839" s="105">
        <f>430000*6</f>
        <v>2580000</v>
      </c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23"/>
      <c r="R839" s="23"/>
      <c r="S839" s="100"/>
      <c r="T839" s="24">
        <f t="shared" si="286"/>
        <v>0</v>
      </c>
      <c r="U839" s="179" t="str">
        <f t="shared" si="287"/>
        <v/>
      </c>
      <c r="V839" s="179" t="str">
        <f t="shared" si="288"/>
        <v/>
      </c>
      <c r="W839" s="179" t="str">
        <f t="shared" si="289"/>
        <v/>
      </c>
      <c r="X839" s="26"/>
    </row>
    <row r="840" hidden="1">
      <c r="A840" s="28"/>
      <c r="B840" s="28"/>
      <c r="C840" s="107"/>
      <c r="D840" s="83" t="s">
        <v>91</v>
      </c>
      <c r="E840" s="201">
        <f>330000*6</f>
        <v>1980000</v>
      </c>
      <c r="F840" s="105">
        <f>490000*6</f>
        <v>2940000</v>
      </c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23"/>
      <c r="R840" s="23"/>
      <c r="S840" s="100"/>
      <c r="T840" s="24">
        <f t="shared" si="286"/>
        <v>0</v>
      </c>
      <c r="U840" s="179" t="str">
        <f t="shared" si="287"/>
        <v/>
      </c>
      <c r="V840" s="179" t="str">
        <f t="shared" si="288"/>
        <v/>
      </c>
      <c r="W840" s="179" t="str">
        <f t="shared" si="289"/>
        <v/>
      </c>
      <c r="X840" s="26"/>
    </row>
    <row r="841" hidden="1">
      <c r="A841" s="28"/>
      <c r="B841" s="28"/>
      <c r="C841" s="107"/>
      <c r="D841" s="83" t="s">
        <v>214</v>
      </c>
      <c r="E841" s="105">
        <f t="shared" ref="E841:F841" si="308">SUM(E837:E840)</f>
        <v>5760000</v>
      </c>
      <c r="F841" s="105">
        <f t="shared" si="308"/>
        <v>8640000</v>
      </c>
      <c r="G841" s="98">
        <v>3935500.0</v>
      </c>
      <c r="H841" s="99"/>
      <c r="I841" s="99"/>
      <c r="J841" s="99"/>
      <c r="K841" s="99"/>
      <c r="L841" s="99"/>
      <c r="M841" s="99"/>
      <c r="N841" s="99"/>
      <c r="O841" s="99"/>
      <c r="P841" s="99"/>
      <c r="Q841" s="23"/>
      <c r="R841" s="23"/>
      <c r="S841" s="100"/>
      <c r="T841" s="24">
        <f t="shared" si="286"/>
        <v>-3935500</v>
      </c>
      <c r="U841" s="179">
        <f t="shared" si="287"/>
        <v>-1</v>
      </c>
      <c r="V841" s="179" t="str">
        <f t="shared" si="288"/>
        <v/>
      </c>
      <c r="W841" s="179" t="str">
        <f t="shared" si="289"/>
        <v/>
      </c>
      <c r="X841" s="26"/>
    </row>
    <row r="842" hidden="1">
      <c r="A842" s="28"/>
      <c r="B842" s="28"/>
      <c r="C842" s="107"/>
      <c r="D842" s="83" t="s">
        <v>148</v>
      </c>
      <c r="E842" s="105">
        <f>F841-E841</f>
        <v>2880000</v>
      </c>
      <c r="F842" s="105"/>
      <c r="G842" s="99">
        <f>G841-E842</f>
        <v>1055500</v>
      </c>
      <c r="H842" s="99"/>
      <c r="I842" s="99"/>
      <c r="J842" s="99"/>
      <c r="K842" s="99"/>
      <c r="L842" s="99"/>
      <c r="M842" s="99"/>
      <c r="N842" s="99"/>
      <c r="O842" s="99"/>
      <c r="P842" s="99"/>
      <c r="Q842" s="23"/>
      <c r="R842" s="23"/>
      <c r="S842" s="100"/>
      <c r="T842" s="24">
        <f t="shared" si="286"/>
        <v>-1055500</v>
      </c>
      <c r="U842" s="179">
        <f t="shared" si="287"/>
        <v>-1</v>
      </c>
      <c r="V842" s="179" t="str">
        <f t="shared" si="288"/>
        <v/>
      </c>
      <c r="W842" s="179" t="str">
        <f t="shared" si="289"/>
        <v/>
      </c>
      <c r="X842" s="26"/>
    </row>
    <row r="843" hidden="1">
      <c r="A843" s="28"/>
      <c r="B843" s="28"/>
      <c r="C843" s="107"/>
      <c r="D843" s="97"/>
      <c r="E843" s="105"/>
      <c r="F843" s="105">
        <f>F834-F841</f>
        <v>1205500</v>
      </c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23"/>
      <c r="R843" s="23"/>
      <c r="S843" s="100"/>
      <c r="T843" s="24">
        <f t="shared" si="286"/>
        <v>0</v>
      </c>
      <c r="U843" s="179" t="str">
        <f t="shared" si="287"/>
        <v/>
      </c>
      <c r="V843" s="179" t="str">
        <f t="shared" si="288"/>
        <v/>
      </c>
      <c r="W843" s="179" t="str">
        <f t="shared" si="289"/>
        <v/>
      </c>
      <c r="X843" s="26"/>
    </row>
    <row r="844" hidden="1">
      <c r="A844" s="28"/>
      <c r="B844" s="28"/>
      <c r="C844" s="107"/>
      <c r="D844" s="97"/>
      <c r="E844" s="105"/>
      <c r="F844" s="105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23"/>
      <c r="R844" s="23"/>
      <c r="S844" s="100"/>
      <c r="T844" s="24"/>
      <c r="U844" s="179"/>
      <c r="V844" s="179"/>
      <c r="W844" s="179"/>
      <c r="X844" s="26"/>
    </row>
    <row r="845" hidden="1">
      <c r="A845" s="28"/>
      <c r="B845" s="28"/>
      <c r="C845" s="82" t="s">
        <v>437</v>
      </c>
      <c r="D845" s="83" t="s">
        <v>155</v>
      </c>
      <c r="E845" s="105">
        <f>600000+200000+100000+15000*10</f>
        <v>1050000</v>
      </c>
      <c r="F845" s="201">
        <f>200000*10</f>
        <v>2000000</v>
      </c>
      <c r="G845" s="116">
        <f>(F845-E845)/E845</f>
        <v>0.9047619048</v>
      </c>
      <c r="H845" s="99"/>
      <c r="I845" s="99"/>
      <c r="J845" s="99"/>
      <c r="K845" s="99"/>
      <c r="L845" s="99"/>
      <c r="M845" s="99"/>
      <c r="N845" s="99"/>
      <c r="O845" s="99"/>
      <c r="P845" s="99"/>
      <c r="Q845" s="23"/>
      <c r="R845" s="23"/>
      <c r="S845" s="100"/>
      <c r="T845" s="24">
        <f t="shared" ref="T845:T872" si="309">P845-(G845+S845)-(P845*R845)-(P845*Q845)</f>
        <v>-0.9047619048</v>
      </c>
      <c r="U845" s="179">
        <f t="shared" ref="U845:U872" si="310">IFERROR((P845-G845)/G845,"")</f>
        <v>-1</v>
      </c>
      <c r="V845" s="179" t="str">
        <f t="shared" ref="V845:V872" si="311">IFERROR((P845-G845)/P845,"")</f>
        <v/>
      </c>
      <c r="W845" s="179" t="str">
        <f t="shared" ref="W845:W872" si="312">IFERROR(T845/P845,"")</f>
        <v/>
      </c>
      <c r="X845" s="26"/>
    </row>
    <row r="846" hidden="1">
      <c r="A846" s="28"/>
      <c r="B846" s="28"/>
      <c r="C846" s="107"/>
      <c r="D846" s="83" t="s">
        <v>148</v>
      </c>
      <c r="E846" s="105">
        <f>F845-E845</f>
        <v>950000</v>
      </c>
      <c r="F846" s="105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23"/>
      <c r="R846" s="23"/>
      <c r="S846" s="100"/>
      <c r="T846" s="24">
        <f t="shared" si="309"/>
        <v>0</v>
      </c>
      <c r="U846" s="179" t="str">
        <f t="shared" si="310"/>
        <v/>
      </c>
      <c r="V846" s="179" t="str">
        <f t="shared" si="311"/>
        <v/>
      </c>
      <c r="W846" s="179" t="str">
        <f t="shared" si="312"/>
        <v/>
      </c>
      <c r="X846" s="26"/>
    </row>
    <row r="847" hidden="1">
      <c r="A847" s="28"/>
      <c r="B847" s="28"/>
      <c r="C847" s="107"/>
      <c r="D847" s="97"/>
      <c r="E847" s="105"/>
      <c r="F847" s="105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23"/>
      <c r="R847" s="23"/>
      <c r="S847" s="100"/>
      <c r="T847" s="24">
        <f t="shared" si="309"/>
        <v>0</v>
      </c>
      <c r="U847" s="179" t="str">
        <f t="shared" si="310"/>
        <v/>
      </c>
      <c r="V847" s="179" t="str">
        <f t="shared" si="311"/>
        <v/>
      </c>
      <c r="W847" s="179" t="str">
        <f t="shared" si="312"/>
        <v/>
      </c>
      <c r="X847" s="26"/>
    </row>
    <row r="848" hidden="1">
      <c r="A848" s="28"/>
      <c r="B848" s="28"/>
      <c r="C848" s="107"/>
      <c r="D848" s="97"/>
      <c r="E848" s="105"/>
      <c r="F848" s="105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23"/>
      <c r="R848" s="23"/>
      <c r="S848" s="100"/>
      <c r="T848" s="24">
        <f t="shared" si="309"/>
        <v>0</v>
      </c>
      <c r="U848" s="179" t="str">
        <f t="shared" si="310"/>
        <v/>
      </c>
      <c r="V848" s="179" t="str">
        <f t="shared" si="311"/>
        <v/>
      </c>
      <c r="W848" s="179" t="str">
        <f t="shared" si="312"/>
        <v/>
      </c>
      <c r="X848" s="26"/>
    </row>
    <row r="849" hidden="1">
      <c r="A849" s="28"/>
      <c r="B849" s="28"/>
      <c r="C849" s="82" t="s">
        <v>438</v>
      </c>
      <c r="D849" s="238" t="s">
        <v>412</v>
      </c>
      <c r="E849" s="105">
        <f>(330000*2)</f>
        <v>660000</v>
      </c>
      <c r="F849" s="105">
        <f>510000*2</f>
        <v>1020000</v>
      </c>
      <c r="G849" s="34">
        <f t="shared" ref="G849:G852" si="313">(F849-E849)/E849</f>
        <v>0.5454545455</v>
      </c>
      <c r="H849" s="99"/>
      <c r="I849" s="99"/>
      <c r="J849" s="99"/>
      <c r="K849" s="99"/>
      <c r="L849" s="99"/>
      <c r="M849" s="99"/>
      <c r="N849" s="99"/>
      <c r="O849" s="99"/>
      <c r="P849" s="99"/>
      <c r="Q849" s="23"/>
      <c r="R849" s="23"/>
      <c r="S849" s="100"/>
      <c r="T849" s="24">
        <f t="shared" si="309"/>
        <v>-0.5454545455</v>
      </c>
      <c r="U849" s="179">
        <f t="shared" si="310"/>
        <v>-1</v>
      </c>
      <c r="V849" s="179" t="str">
        <f t="shared" si="311"/>
        <v/>
      </c>
      <c r="W849" s="179" t="str">
        <f t="shared" si="312"/>
        <v/>
      </c>
      <c r="X849" s="26"/>
    </row>
    <row r="850" hidden="1">
      <c r="A850" s="28"/>
      <c r="B850" s="28"/>
      <c r="C850" s="107"/>
      <c r="D850" s="83" t="s">
        <v>413</v>
      </c>
      <c r="E850" s="105">
        <f>400000*2</f>
        <v>800000</v>
      </c>
      <c r="F850" s="105">
        <f>550000*2</f>
        <v>1100000</v>
      </c>
      <c r="G850" s="34">
        <f t="shared" si="313"/>
        <v>0.375</v>
      </c>
      <c r="H850" s="99"/>
      <c r="I850" s="99"/>
      <c r="J850" s="99"/>
      <c r="K850" s="99"/>
      <c r="L850" s="99"/>
      <c r="M850" s="99"/>
      <c r="N850" s="99"/>
      <c r="O850" s="99"/>
      <c r="P850" s="99"/>
      <c r="Q850" s="23"/>
      <c r="R850" s="23"/>
      <c r="S850" s="100"/>
      <c r="T850" s="24">
        <f t="shared" si="309"/>
        <v>-0.375</v>
      </c>
      <c r="U850" s="179">
        <f t="shared" si="310"/>
        <v>-1</v>
      </c>
      <c r="V850" s="179" t="str">
        <f t="shared" si="311"/>
        <v/>
      </c>
      <c r="W850" s="179" t="str">
        <f t="shared" si="312"/>
        <v/>
      </c>
      <c r="X850" s="26"/>
    </row>
    <row r="851" hidden="1">
      <c r="A851" s="28"/>
      <c r="B851" s="28"/>
      <c r="C851" s="107"/>
      <c r="D851" s="83" t="s">
        <v>414</v>
      </c>
      <c r="E851" s="105">
        <f>300000*2</f>
        <v>600000</v>
      </c>
      <c r="F851" s="105">
        <f>450000*2</f>
        <v>900000</v>
      </c>
      <c r="G851" s="34">
        <f t="shared" si="313"/>
        <v>0.5</v>
      </c>
      <c r="H851" s="99"/>
      <c r="I851" s="99"/>
      <c r="J851" s="99"/>
      <c r="K851" s="99"/>
      <c r="L851" s="99"/>
      <c r="M851" s="99"/>
      <c r="N851" s="99"/>
      <c r="O851" s="99"/>
      <c r="P851" s="99"/>
      <c r="Q851" s="23"/>
      <c r="R851" s="23"/>
      <c r="S851" s="100"/>
      <c r="T851" s="24">
        <f t="shared" si="309"/>
        <v>-0.5</v>
      </c>
      <c r="U851" s="179">
        <f t="shared" si="310"/>
        <v>-1</v>
      </c>
      <c r="V851" s="179" t="str">
        <f t="shared" si="311"/>
        <v/>
      </c>
      <c r="W851" s="179" t="str">
        <f t="shared" si="312"/>
        <v/>
      </c>
      <c r="X851" s="26"/>
    </row>
    <row r="852" hidden="1">
      <c r="A852" s="28"/>
      <c r="B852" s="28"/>
      <c r="C852" s="107"/>
      <c r="D852" s="83" t="s">
        <v>101</v>
      </c>
      <c r="E852" s="105">
        <f t="shared" ref="E852:F852" si="314">SUM(E849:E851)</f>
        <v>2060000</v>
      </c>
      <c r="F852" s="105">
        <f t="shared" si="314"/>
        <v>3020000</v>
      </c>
      <c r="G852" s="34">
        <f t="shared" si="313"/>
        <v>0.4660194175</v>
      </c>
      <c r="H852" s="99"/>
      <c r="I852" s="99"/>
      <c r="J852" s="99"/>
      <c r="K852" s="99"/>
      <c r="L852" s="99"/>
      <c r="M852" s="99"/>
      <c r="N852" s="99"/>
      <c r="O852" s="99"/>
      <c r="P852" s="99"/>
      <c r="Q852" s="23"/>
      <c r="R852" s="23"/>
      <c r="S852" s="100"/>
      <c r="T852" s="24">
        <f t="shared" si="309"/>
        <v>-0.4660194175</v>
      </c>
      <c r="U852" s="179">
        <f t="shared" si="310"/>
        <v>-1</v>
      </c>
      <c r="V852" s="179" t="str">
        <f t="shared" si="311"/>
        <v/>
      </c>
      <c r="W852" s="179" t="str">
        <f t="shared" si="312"/>
        <v/>
      </c>
      <c r="X852" s="26"/>
    </row>
    <row r="853" hidden="1">
      <c r="A853" s="28"/>
      <c r="B853" s="28"/>
      <c r="C853" s="107"/>
      <c r="D853" s="83" t="s">
        <v>148</v>
      </c>
      <c r="E853" s="105">
        <f>F852-E852</f>
        <v>960000</v>
      </c>
      <c r="F853" s="105"/>
      <c r="G853" s="34"/>
      <c r="H853" s="99"/>
      <c r="I853" s="99"/>
      <c r="J853" s="99"/>
      <c r="K853" s="99"/>
      <c r="L853" s="99"/>
      <c r="M853" s="99"/>
      <c r="N853" s="99"/>
      <c r="O853" s="99"/>
      <c r="P853" s="99"/>
      <c r="Q853" s="23"/>
      <c r="R853" s="23"/>
      <c r="S853" s="100"/>
      <c r="T853" s="24">
        <f t="shared" si="309"/>
        <v>0</v>
      </c>
      <c r="U853" s="179" t="str">
        <f t="shared" si="310"/>
        <v/>
      </c>
      <c r="V853" s="179" t="str">
        <f t="shared" si="311"/>
        <v/>
      </c>
      <c r="W853" s="179" t="str">
        <f t="shared" si="312"/>
        <v/>
      </c>
      <c r="X853" s="26"/>
    </row>
    <row r="854" hidden="1">
      <c r="A854" s="28"/>
      <c r="B854" s="28"/>
      <c r="C854" s="107"/>
      <c r="D854" s="97"/>
      <c r="E854" s="105"/>
      <c r="F854" s="105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23"/>
      <c r="R854" s="23"/>
      <c r="S854" s="100"/>
      <c r="T854" s="24">
        <f t="shared" si="309"/>
        <v>0</v>
      </c>
      <c r="U854" s="179" t="str">
        <f t="shared" si="310"/>
        <v/>
      </c>
      <c r="V854" s="179" t="str">
        <f t="shared" si="311"/>
        <v/>
      </c>
      <c r="W854" s="179" t="str">
        <f t="shared" si="312"/>
        <v/>
      </c>
      <c r="X854" s="26"/>
    </row>
    <row r="855" hidden="1">
      <c r="A855" s="28"/>
      <c r="B855" s="28"/>
      <c r="C855" s="107"/>
      <c r="D855" s="238" t="s">
        <v>412</v>
      </c>
      <c r="E855" s="105">
        <f>(330000*2)</f>
        <v>660000</v>
      </c>
      <c r="F855" s="105">
        <f>510000*2</f>
        <v>1020000</v>
      </c>
      <c r="G855" s="34">
        <f t="shared" ref="G855:G858" si="315">(F855-E855)/E855</f>
        <v>0.5454545455</v>
      </c>
      <c r="H855" s="99"/>
      <c r="I855" s="99"/>
      <c r="J855" s="99"/>
      <c r="K855" s="99"/>
      <c r="L855" s="99"/>
      <c r="M855" s="99"/>
      <c r="N855" s="99"/>
      <c r="O855" s="99"/>
      <c r="P855" s="99"/>
      <c r="Q855" s="23"/>
      <c r="R855" s="23"/>
      <c r="S855" s="100"/>
      <c r="T855" s="24">
        <f t="shared" si="309"/>
        <v>-0.5454545455</v>
      </c>
      <c r="U855" s="179">
        <f t="shared" si="310"/>
        <v>-1</v>
      </c>
      <c r="V855" s="179" t="str">
        <f t="shared" si="311"/>
        <v/>
      </c>
      <c r="W855" s="179" t="str">
        <f t="shared" si="312"/>
        <v/>
      </c>
      <c r="X855" s="26"/>
    </row>
    <row r="856" hidden="1">
      <c r="A856" s="28"/>
      <c r="B856" s="28"/>
      <c r="C856" s="107"/>
      <c r="D856" s="83" t="s">
        <v>222</v>
      </c>
      <c r="E856" s="105">
        <f>350000*2</f>
        <v>700000</v>
      </c>
      <c r="F856" s="105">
        <f>(490000*2)</f>
        <v>980000</v>
      </c>
      <c r="G856" s="34">
        <f t="shared" si="315"/>
        <v>0.4</v>
      </c>
      <c r="H856" s="99"/>
      <c r="I856" s="99"/>
      <c r="J856" s="99"/>
      <c r="K856" s="99"/>
      <c r="L856" s="99"/>
      <c r="M856" s="99"/>
      <c r="N856" s="99"/>
      <c r="O856" s="99"/>
      <c r="P856" s="99"/>
      <c r="Q856" s="23"/>
      <c r="R856" s="23"/>
      <c r="S856" s="100"/>
      <c r="T856" s="24">
        <f t="shared" si="309"/>
        <v>-0.4</v>
      </c>
      <c r="U856" s="179">
        <f t="shared" si="310"/>
        <v>-1</v>
      </c>
      <c r="V856" s="179" t="str">
        <f t="shared" si="311"/>
        <v/>
      </c>
      <c r="W856" s="179" t="str">
        <f t="shared" si="312"/>
        <v/>
      </c>
      <c r="X856" s="26"/>
    </row>
    <row r="857" hidden="1">
      <c r="A857" s="28"/>
      <c r="B857" s="28"/>
      <c r="C857" s="107"/>
      <c r="D857" s="83" t="s">
        <v>414</v>
      </c>
      <c r="E857" s="105">
        <f>300000*2</f>
        <v>600000</v>
      </c>
      <c r="F857" s="105">
        <f>450000*2</f>
        <v>900000</v>
      </c>
      <c r="G857" s="34">
        <f t="shared" si="315"/>
        <v>0.5</v>
      </c>
      <c r="H857" s="99"/>
      <c r="I857" s="99"/>
      <c r="J857" s="99"/>
      <c r="K857" s="99"/>
      <c r="L857" s="99"/>
      <c r="M857" s="99"/>
      <c r="N857" s="99"/>
      <c r="O857" s="99"/>
      <c r="P857" s="99"/>
      <c r="Q857" s="23"/>
      <c r="R857" s="23"/>
      <c r="S857" s="100"/>
      <c r="T857" s="24">
        <f t="shared" si="309"/>
        <v>-0.5</v>
      </c>
      <c r="U857" s="179">
        <f t="shared" si="310"/>
        <v>-1</v>
      </c>
      <c r="V857" s="179" t="str">
        <f t="shared" si="311"/>
        <v/>
      </c>
      <c r="W857" s="179" t="str">
        <f t="shared" si="312"/>
        <v/>
      </c>
      <c r="X857" s="26"/>
    </row>
    <row r="858" hidden="1">
      <c r="A858" s="28"/>
      <c r="B858" s="28"/>
      <c r="C858" s="107"/>
      <c r="D858" s="83" t="s">
        <v>101</v>
      </c>
      <c r="E858" s="105">
        <f t="shared" ref="E858:F858" si="316">SUM(E855:E857)</f>
        <v>1960000</v>
      </c>
      <c r="F858" s="105">
        <f t="shared" si="316"/>
        <v>2900000</v>
      </c>
      <c r="G858" s="34">
        <f t="shared" si="315"/>
        <v>0.4795918367</v>
      </c>
      <c r="H858" s="99"/>
      <c r="I858" s="99"/>
      <c r="J858" s="99"/>
      <c r="K858" s="99"/>
      <c r="L858" s="99"/>
      <c r="M858" s="99"/>
      <c r="N858" s="99"/>
      <c r="O858" s="99"/>
      <c r="P858" s="99"/>
      <c r="Q858" s="23"/>
      <c r="R858" s="23"/>
      <c r="S858" s="100"/>
      <c r="T858" s="24">
        <f t="shared" si="309"/>
        <v>-0.4795918367</v>
      </c>
      <c r="U858" s="179">
        <f t="shared" si="310"/>
        <v>-1</v>
      </c>
      <c r="V858" s="179" t="str">
        <f t="shared" si="311"/>
        <v/>
      </c>
      <c r="W858" s="179" t="str">
        <f t="shared" si="312"/>
        <v/>
      </c>
      <c r="X858" s="26"/>
    </row>
    <row r="859" hidden="1">
      <c r="A859" s="28"/>
      <c r="B859" s="28"/>
      <c r="C859" s="107"/>
      <c r="D859" s="83" t="s">
        <v>148</v>
      </c>
      <c r="E859" s="105">
        <f>F858-E858</f>
        <v>940000</v>
      </c>
      <c r="F859" s="105"/>
      <c r="G859" s="34"/>
      <c r="H859" s="99"/>
      <c r="I859" s="99"/>
      <c r="J859" s="99"/>
      <c r="K859" s="99"/>
      <c r="L859" s="99"/>
      <c r="M859" s="99"/>
      <c r="N859" s="99"/>
      <c r="O859" s="99"/>
      <c r="P859" s="99"/>
      <c r="Q859" s="23"/>
      <c r="R859" s="23"/>
      <c r="S859" s="100"/>
      <c r="T859" s="24">
        <f t="shared" si="309"/>
        <v>0</v>
      </c>
      <c r="U859" s="179" t="str">
        <f t="shared" si="310"/>
        <v/>
      </c>
      <c r="V859" s="179" t="str">
        <f t="shared" si="311"/>
        <v/>
      </c>
      <c r="W859" s="179" t="str">
        <f t="shared" si="312"/>
        <v/>
      </c>
      <c r="X859" s="26"/>
    </row>
    <row r="860" hidden="1">
      <c r="A860" s="28"/>
      <c r="B860" s="28"/>
      <c r="C860" s="107"/>
      <c r="D860" s="97"/>
      <c r="E860" s="105"/>
      <c r="F860" s="105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23"/>
      <c r="R860" s="23"/>
      <c r="S860" s="100"/>
      <c r="T860" s="24">
        <f t="shared" si="309"/>
        <v>0</v>
      </c>
      <c r="U860" s="179" t="str">
        <f t="shared" si="310"/>
        <v/>
      </c>
      <c r="V860" s="179" t="str">
        <f t="shared" si="311"/>
        <v/>
      </c>
      <c r="W860" s="179" t="str">
        <f t="shared" si="312"/>
        <v/>
      </c>
      <c r="X860" s="26"/>
    </row>
    <row r="861" hidden="1">
      <c r="A861" s="28"/>
      <c r="B861" s="28"/>
      <c r="C861" s="107"/>
      <c r="D861" s="97"/>
      <c r="E861" s="105"/>
      <c r="F861" s="105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23"/>
      <c r="R861" s="23"/>
      <c r="S861" s="100"/>
      <c r="T861" s="24">
        <f t="shared" si="309"/>
        <v>0</v>
      </c>
      <c r="U861" s="179" t="str">
        <f t="shared" si="310"/>
        <v/>
      </c>
      <c r="V861" s="179" t="str">
        <f t="shared" si="311"/>
        <v/>
      </c>
      <c r="W861" s="179" t="str">
        <f t="shared" si="312"/>
        <v/>
      </c>
      <c r="X861" s="26"/>
    </row>
    <row r="862" hidden="1">
      <c r="A862" s="28"/>
      <c r="B862" s="28"/>
      <c r="C862" s="107"/>
      <c r="D862" s="97"/>
      <c r="E862" s="105"/>
      <c r="F862" s="105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23"/>
      <c r="R862" s="23"/>
      <c r="S862" s="100"/>
      <c r="T862" s="24">
        <f t="shared" si="309"/>
        <v>0</v>
      </c>
      <c r="U862" s="179" t="str">
        <f t="shared" si="310"/>
        <v/>
      </c>
      <c r="V862" s="179" t="str">
        <f t="shared" si="311"/>
        <v/>
      </c>
      <c r="W862" s="179" t="str">
        <f t="shared" si="312"/>
        <v/>
      </c>
      <c r="X862" s="26"/>
    </row>
    <row r="863" hidden="1">
      <c r="A863" s="28"/>
      <c r="B863" s="28"/>
      <c r="C863" s="82" t="s">
        <v>439</v>
      </c>
      <c r="D863" s="83" t="s">
        <v>440</v>
      </c>
      <c r="E863" s="201">
        <v>350000.0</v>
      </c>
      <c r="F863" s="105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23"/>
      <c r="R863" s="23"/>
      <c r="S863" s="100"/>
      <c r="T863" s="24">
        <f t="shared" si="309"/>
        <v>0</v>
      </c>
      <c r="U863" s="179" t="str">
        <f t="shared" si="310"/>
        <v/>
      </c>
      <c r="V863" s="179" t="str">
        <f t="shared" si="311"/>
        <v/>
      </c>
      <c r="W863" s="179" t="str">
        <f t="shared" si="312"/>
        <v/>
      </c>
      <c r="X863" s="26"/>
    </row>
    <row r="864" hidden="1">
      <c r="A864" s="28"/>
      <c r="B864" s="28"/>
      <c r="C864" s="107"/>
      <c r="D864" s="83" t="s">
        <v>441</v>
      </c>
      <c r="E864" s="201">
        <v>500000.0</v>
      </c>
      <c r="F864" s="105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23"/>
      <c r="R864" s="23"/>
      <c r="S864" s="100"/>
      <c r="T864" s="24">
        <f t="shared" si="309"/>
        <v>0</v>
      </c>
      <c r="U864" s="179" t="str">
        <f t="shared" si="310"/>
        <v/>
      </c>
      <c r="V864" s="179" t="str">
        <f t="shared" si="311"/>
        <v/>
      </c>
      <c r="W864" s="179" t="str">
        <f t="shared" si="312"/>
        <v/>
      </c>
      <c r="X864" s="26"/>
    </row>
    <row r="865" hidden="1">
      <c r="A865" s="28"/>
      <c r="B865" s="28"/>
      <c r="C865" s="107"/>
      <c r="D865" s="83" t="s">
        <v>442</v>
      </c>
      <c r="E865" s="201">
        <f>226000*11</f>
        <v>2486000</v>
      </c>
      <c r="F865" s="105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23"/>
      <c r="R865" s="23"/>
      <c r="S865" s="100"/>
      <c r="T865" s="24">
        <f t="shared" si="309"/>
        <v>0</v>
      </c>
      <c r="U865" s="179" t="str">
        <f t="shared" si="310"/>
        <v/>
      </c>
      <c r="V865" s="179" t="str">
        <f t="shared" si="311"/>
        <v/>
      </c>
      <c r="W865" s="179" t="str">
        <f t="shared" si="312"/>
        <v/>
      </c>
      <c r="X865" s="26"/>
    </row>
    <row r="866" hidden="1">
      <c r="A866" s="28"/>
      <c r="B866" s="28"/>
      <c r="C866" s="107"/>
      <c r="D866" s="83" t="s">
        <v>443</v>
      </c>
      <c r="E866" s="201">
        <v>110000.0</v>
      </c>
      <c r="F866" s="105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23"/>
      <c r="R866" s="23"/>
      <c r="S866" s="100"/>
      <c r="T866" s="24">
        <f t="shared" si="309"/>
        <v>0</v>
      </c>
      <c r="U866" s="179" t="str">
        <f t="shared" si="310"/>
        <v/>
      </c>
      <c r="V866" s="179" t="str">
        <f t="shared" si="311"/>
        <v/>
      </c>
      <c r="W866" s="179" t="str">
        <f t="shared" si="312"/>
        <v/>
      </c>
      <c r="X866" s="26"/>
    </row>
    <row r="867" hidden="1">
      <c r="A867" s="28"/>
      <c r="B867" s="28"/>
      <c r="C867" s="107"/>
      <c r="D867" s="83" t="s">
        <v>444</v>
      </c>
      <c r="E867" s="201">
        <v>500000.0</v>
      </c>
      <c r="F867" s="105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23"/>
      <c r="R867" s="23"/>
      <c r="S867" s="100"/>
      <c r="T867" s="24">
        <f t="shared" si="309"/>
        <v>0</v>
      </c>
      <c r="U867" s="179" t="str">
        <f t="shared" si="310"/>
        <v/>
      </c>
      <c r="V867" s="179" t="str">
        <f t="shared" si="311"/>
        <v/>
      </c>
      <c r="W867" s="179" t="str">
        <f t="shared" si="312"/>
        <v/>
      </c>
      <c r="X867" s="26"/>
    </row>
    <row r="868" hidden="1">
      <c r="A868" s="28"/>
      <c r="B868" s="28"/>
      <c r="C868" s="107"/>
      <c r="D868" s="83" t="s">
        <v>445</v>
      </c>
      <c r="E868" s="201">
        <f>325000*11</f>
        <v>3575000</v>
      </c>
      <c r="F868" s="105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23"/>
      <c r="R868" s="23"/>
      <c r="S868" s="100"/>
      <c r="T868" s="24">
        <f t="shared" si="309"/>
        <v>0</v>
      </c>
      <c r="U868" s="179" t="str">
        <f t="shared" si="310"/>
        <v/>
      </c>
      <c r="V868" s="179" t="str">
        <f t="shared" si="311"/>
        <v/>
      </c>
      <c r="W868" s="179" t="str">
        <f t="shared" si="312"/>
        <v/>
      </c>
      <c r="X868" s="26"/>
    </row>
    <row r="869" hidden="1">
      <c r="A869" s="28"/>
      <c r="B869" s="28"/>
      <c r="C869" s="107"/>
      <c r="D869" s="83" t="s">
        <v>446</v>
      </c>
      <c r="E869" s="201">
        <v>500000.0</v>
      </c>
      <c r="F869" s="105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23"/>
      <c r="R869" s="23"/>
      <c r="S869" s="100"/>
      <c r="T869" s="24">
        <f t="shared" si="309"/>
        <v>0</v>
      </c>
      <c r="U869" s="179" t="str">
        <f t="shared" si="310"/>
        <v/>
      </c>
      <c r="V869" s="179" t="str">
        <f t="shared" si="311"/>
        <v/>
      </c>
      <c r="W869" s="179" t="str">
        <f t="shared" si="312"/>
        <v/>
      </c>
      <c r="X869" s="26"/>
    </row>
    <row r="870" hidden="1">
      <c r="A870" s="28"/>
      <c r="B870" s="28"/>
      <c r="C870" s="107"/>
      <c r="D870" s="83" t="s">
        <v>447</v>
      </c>
      <c r="E870" s="201">
        <v>350000.0</v>
      </c>
      <c r="F870" s="105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23"/>
      <c r="R870" s="23"/>
      <c r="S870" s="100"/>
      <c r="T870" s="24">
        <f t="shared" si="309"/>
        <v>0</v>
      </c>
      <c r="U870" s="179" t="str">
        <f t="shared" si="310"/>
        <v/>
      </c>
      <c r="V870" s="179" t="str">
        <f t="shared" si="311"/>
        <v/>
      </c>
      <c r="W870" s="179" t="str">
        <f t="shared" si="312"/>
        <v/>
      </c>
      <c r="X870" s="26"/>
    </row>
    <row r="871" hidden="1">
      <c r="A871" s="28"/>
      <c r="B871" s="28"/>
      <c r="C871" s="107"/>
      <c r="D871" s="83" t="s">
        <v>448</v>
      </c>
      <c r="E871" s="201">
        <v>200000.0</v>
      </c>
      <c r="F871" s="105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23"/>
      <c r="R871" s="23"/>
      <c r="S871" s="100"/>
      <c r="T871" s="24">
        <f t="shared" si="309"/>
        <v>0</v>
      </c>
      <c r="U871" s="179" t="str">
        <f t="shared" si="310"/>
        <v/>
      </c>
      <c r="V871" s="179" t="str">
        <f t="shared" si="311"/>
        <v/>
      </c>
      <c r="W871" s="179" t="str">
        <f t="shared" si="312"/>
        <v/>
      </c>
      <c r="X871" s="26"/>
    </row>
    <row r="872" hidden="1">
      <c r="A872" s="28"/>
      <c r="B872" s="28"/>
      <c r="C872" s="107"/>
      <c r="D872" s="83" t="s">
        <v>449</v>
      </c>
      <c r="E872" s="201">
        <f>90000+(36000*11)+10000*11</f>
        <v>596000</v>
      </c>
      <c r="F872" s="105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23"/>
      <c r="R872" s="23"/>
      <c r="S872" s="100"/>
      <c r="T872" s="24">
        <f t="shared" si="309"/>
        <v>0</v>
      </c>
      <c r="U872" s="179" t="str">
        <f t="shared" si="310"/>
        <v/>
      </c>
      <c r="V872" s="179" t="str">
        <f t="shared" si="311"/>
        <v/>
      </c>
      <c r="W872" s="179" t="str">
        <f t="shared" si="312"/>
        <v/>
      </c>
      <c r="X872" s="26"/>
    </row>
    <row r="873" hidden="1">
      <c r="A873" s="28"/>
      <c r="B873" s="28"/>
      <c r="C873" s="107"/>
      <c r="D873" s="83" t="s">
        <v>450</v>
      </c>
      <c r="E873" s="201">
        <v>400000.0</v>
      </c>
      <c r="F873" s="105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23"/>
      <c r="R873" s="23"/>
      <c r="S873" s="100"/>
      <c r="T873" s="24"/>
      <c r="U873" s="179"/>
      <c r="V873" s="179"/>
      <c r="W873" s="179"/>
      <c r="X873" s="26"/>
    </row>
    <row r="874" hidden="1">
      <c r="A874" s="28"/>
      <c r="B874" s="28"/>
      <c r="C874" s="107"/>
      <c r="D874" s="83" t="s">
        <v>86</v>
      </c>
      <c r="E874" s="201">
        <f>130000*11</f>
        <v>1430000</v>
      </c>
      <c r="F874" s="201" t="s">
        <v>451</v>
      </c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23"/>
      <c r="R874" s="23"/>
      <c r="S874" s="100"/>
      <c r="T874" s="24">
        <f t="shared" ref="T874:T896" si="317">P874-(G874+S874)-(P874*R874)-(P874*Q874)</f>
        <v>0</v>
      </c>
      <c r="U874" s="179" t="str">
        <f t="shared" ref="U874:U896" si="318">IFERROR((P874-G874)/G874,"")</f>
        <v/>
      </c>
      <c r="V874" s="179" t="str">
        <f t="shared" ref="V874:V896" si="319">IFERROR((P874-G874)/P874,"")</f>
        <v/>
      </c>
      <c r="W874" s="179" t="str">
        <f t="shared" ref="W874:W896" si="320">IFERROR(T874/P874,"")</f>
        <v/>
      </c>
      <c r="X874" s="26"/>
    </row>
    <row r="875" hidden="1">
      <c r="A875" s="28"/>
      <c r="B875" s="28"/>
      <c r="C875" s="107"/>
      <c r="D875" s="83" t="s">
        <v>452</v>
      </c>
      <c r="E875" s="201">
        <v>4500000.0</v>
      </c>
      <c r="F875" s="105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23"/>
      <c r="R875" s="23"/>
      <c r="S875" s="100"/>
      <c r="T875" s="24">
        <f t="shared" si="317"/>
        <v>0</v>
      </c>
      <c r="U875" s="179" t="str">
        <f t="shared" si="318"/>
        <v/>
      </c>
      <c r="V875" s="179" t="str">
        <f t="shared" si="319"/>
        <v/>
      </c>
      <c r="W875" s="179" t="str">
        <f t="shared" si="320"/>
        <v/>
      </c>
      <c r="X875" s="26"/>
    </row>
    <row r="876" hidden="1">
      <c r="A876" s="28"/>
      <c r="B876" s="28"/>
      <c r="C876" s="107"/>
      <c r="D876" s="83" t="s">
        <v>453</v>
      </c>
      <c r="E876" s="201">
        <f>100000*11</f>
        <v>1100000</v>
      </c>
      <c r="F876" s="105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23"/>
      <c r="R876" s="23"/>
      <c r="S876" s="100"/>
      <c r="T876" s="24">
        <f t="shared" si="317"/>
        <v>0</v>
      </c>
      <c r="U876" s="179" t="str">
        <f t="shared" si="318"/>
        <v/>
      </c>
      <c r="V876" s="179" t="str">
        <f t="shared" si="319"/>
        <v/>
      </c>
      <c r="W876" s="179" t="str">
        <f t="shared" si="320"/>
        <v/>
      </c>
      <c r="X876" s="26"/>
    </row>
    <row r="877" hidden="1">
      <c r="A877" s="28"/>
      <c r="B877" s="28"/>
      <c r="C877" s="107"/>
      <c r="D877" s="83" t="s">
        <v>431</v>
      </c>
      <c r="E877" s="201">
        <f>325000*11</f>
        <v>3575000</v>
      </c>
      <c r="F877" s="105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23"/>
      <c r="R877" s="23"/>
      <c r="S877" s="100"/>
      <c r="T877" s="24">
        <f t="shared" si="317"/>
        <v>0</v>
      </c>
      <c r="U877" s="179" t="str">
        <f t="shared" si="318"/>
        <v/>
      </c>
      <c r="V877" s="179" t="str">
        <f t="shared" si="319"/>
        <v/>
      </c>
      <c r="W877" s="179" t="str">
        <f t="shared" si="320"/>
        <v/>
      </c>
      <c r="X877" s="26"/>
    </row>
    <row r="878" hidden="1">
      <c r="A878" s="28"/>
      <c r="B878" s="28"/>
      <c r="C878" s="107"/>
      <c r="D878" s="83" t="s">
        <v>182</v>
      </c>
      <c r="E878" s="201">
        <f>200000*11</f>
        <v>2200000</v>
      </c>
      <c r="F878" s="105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23"/>
      <c r="R878" s="23"/>
      <c r="S878" s="100"/>
      <c r="T878" s="24">
        <f t="shared" si="317"/>
        <v>0</v>
      </c>
      <c r="U878" s="179" t="str">
        <f t="shared" si="318"/>
        <v/>
      </c>
      <c r="V878" s="179" t="str">
        <f t="shared" si="319"/>
        <v/>
      </c>
      <c r="W878" s="179" t="str">
        <f t="shared" si="320"/>
        <v/>
      </c>
      <c r="X878" s="26"/>
    </row>
    <row r="879" hidden="1">
      <c r="A879" s="28"/>
      <c r="B879" s="28"/>
      <c r="C879" s="107"/>
      <c r="D879" s="83" t="s">
        <v>454</v>
      </c>
      <c r="E879" s="201">
        <f>180000</f>
        <v>180000</v>
      </c>
      <c r="F879" s="201" t="s">
        <v>455</v>
      </c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23"/>
      <c r="R879" s="23"/>
      <c r="S879" s="100"/>
      <c r="T879" s="24">
        <f t="shared" si="317"/>
        <v>0</v>
      </c>
      <c r="U879" s="179" t="str">
        <f t="shared" si="318"/>
        <v/>
      </c>
      <c r="V879" s="179" t="str">
        <f t="shared" si="319"/>
        <v/>
      </c>
      <c r="W879" s="179" t="str">
        <f t="shared" si="320"/>
        <v/>
      </c>
      <c r="X879" s="26"/>
    </row>
    <row r="880" hidden="1">
      <c r="A880" s="28"/>
      <c r="B880" s="28"/>
      <c r="C880" s="107"/>
      <c r="D880" s="83" t="s">
        <v>456</v>
      </c>
      <c r="E880" s="201">
        <v>200000.0</v>
      </c>
      <c r="F880" s="105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23"/>
      <c r="R880" s="23"/>
      <c r="S880" s="100"/>
      <c r="T880" s="24">
        <f t="shared" si="317"/>
        <v>0</v>
      </c>
      <c r="U880" s="179" t="str">
        <f t="shared" si="318"/>
        <v/>
      </c>
      <c r="V880" s="179" t="str">
        <f t="shared" si="319"/>
        <v/>
      </c>
      <c r="W880" s="179" t="str">
        <f t="shared" si="320"/>
        <v/>
      </c>
      <c r="X880" s="26"/>
    </row>
    <row r="881" hidden="1">
      <c r="A881" s="28"/>
      <c r="B881" s="28"/>
      <c r="C881" s="107"/>
      <c r="D881" s="97"/>
      <c r="E881" s="105">
        <f>SUM(E863:E880)</f>
        <v>22752000</v>
      </c>
      <c r="F881" s="105">
        <f>E881*1.4</f>
        <v>31852800</v>
      </c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23"/>
      <c r="R881" s="23"/>
      <c r="S881" s="100"/>
      <c r="T881" s="24">
        <f t="shared" si="317"/>
        <v>0</v>
      </c>
      <c r="U881" s="179" t="str">
        <f t="shared" si="318"/>
        <v/>
      </c>
      <c r="V881" s="179" t="str">
        <f t="shared" si="319"/>
        <v/>
      </c>
      <c r="W881" s="179" t="str">
        <f t="shared" si="320"/>
        <v/>
      </c>
      <c r="X881" s="26"/>
    </row>
    <row r="882" hidden="1">
      <c r="A882" s="28"/>
      <c r="B882" s="28"/>
      <c r="C882" s="107"/>
      <c r="D882" s="97"/>
      <c r="E882" s="105"/>
      <c r="F882" s="105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23"/>
      <c r="R882" s="23"/>
      <c r="S882" s="100"/>
      <c r="T882" s="24">
        <f t="shared" si="317"/>
        <v>0</v>
      </c>
      <c r="U882" s="179" t="str">
        <f t="shared" si="318"/>
        <v/>
      </c>
      <c r="V882" s="179" t="str">
        <f t="shared" si="319"/>
        <v/>
      </c>
      <c r="W882" s="179" t="str">
        <f t="shared" si="320"/>
        <v/>
      </c>
      <c r="X882" s="26"/>
    </row>
    <row r="883" hidden="1">
      <c r="A883" s="28"/>
      <c r="B883" s="28"/>
      <c r="C883" s="107"/>
      <c r="D883" s="97"/>
      <c r="E883" s="105"/>
      <c r="F883" s="105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23"/>
      <c r="R883" s="23"/>
      <c r="S883" s="100"/>
      <c r="T883" s="24">
        <f t="shared" si="317"/>
        <v>0</v>
      </c>
      <c r="U883" s="179" t="str">
        <f t="shared" si="318"/>
        <v/>
      </c>
      <c r="V883" s="179" t="str">
        <f t="shared" si="319"/>
        <v/>
      </c>
      <c r="W883" s="179" t="str">
        <f t="shared" si="320"/>
        <v/>
      </c>
      <c r="X883" s="26"/>
    </row>
    <row r="884" hidden="1">
      <c r="A884" s="28"/>
      <c r="B884" s="28"/>
      <c r="C884" s="1" t="s">
        <v>457</v>
      </c>
      <c r="D884" s="83" t="s">
        <v>272</v>
      </c>
      <c r="E884" s="201">
        <v>60000.0</v>
      </c>
      <c r="F884" s="201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23"/>
      <c r="R884" s="23"/>
      <c r="S884" s="100"/>
      <c r="T884" s="24">
        <f t="shared" si="317"/>
        <v>0</v>
      </c>
      <c r="U884" s="179" t="str">
        <f t="shared" si="318"/>
        <v/>
      </c>
      <c r="V884" s="179" t="str">
        <f t="shared" si="319"/>
        <v/>
      </c>
      <c r="W884" s="179" t="str">
        <f t="shared" si="320"/>
        <v/>
      </c>
      <c r="X884" s="26"/>
    </row>
    <row r="885" hidden="1">
      <c r="A885" s="28"/>
      <c r="B885" s="28"/>
      <c r="C885" s="82" t="s">
        <v>458</v>
      </c>
      <c r="D885" s="83" t="s">
        <v>176</v>
      </c>
      <c r="E885" s="201">
        <f>160000+36000+15000+10000</f>
        <v>221000</v>
      </c>
      <c r="F885" s="201">
        <v>300000.0</v>
      </c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23"/>
      <c r="R885" s="23"/>
      <c r="S885" s="100"/>
      <c r="T885" s="24">
        <f t="shared" si="317"/>
        <v>0</v>
      </c>
      <c r="U885" s="179" t="str">
        <f t="shared" si="318"/>
        <v/>
      </c>
      <c r="V885" s="179" t="str">
        <f t="shared" si="319"/>
        <v/>
      </c>
      <c r="W885" s="179" t="str">
        <f t="shared" si="320"/>
        <v/>
      </c>
      <c r="X885" s="26"/>
    </row>
    <row r="886" hidden="1">
      <c r="A886" s="28"/>
      <c r="B886" s="28"/>
      <c r="C886" s="107"/>
      <c r="D886" s="83" t="s">
        <v>273</v>
      </c>
      <c r="E886" s="201">
        <v>130000.0</v>
      </c>
      <c r="F886" s="201">
        <v>200000.0</v>
      </c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23"/>
      <c r="R886" s="23"/>
      <c r="S886" s="100"/>
      <c r="T886" s="24">
        <f t="shared" si="317"/>
        <v>0</v>
      </c>
      <c r="U886" s="179" t="str">
        <f t="shared" si="318"/>
        <v/>
      </c>
      <c r="V886" s="179" t="str">
        <f t="shared" si="319"/>
        <v/>
      </c>
      <c r="W886" s="179" t="str">
        <f t="shared" si="320"/>
        <v/>
      </c>
      <c r="X886" s="26"/>
    </row>
    <row r="887" hidden="1">
      <c r="A887" s="28"/>
      <c r="B887" s="28"/>
      <c r="C887" s="107"/>
      <c r="D887" s="83" t="s">
        <v>156</v>
      </c>
      <c r="E887" s="201">
        <v>390000.0</v>
      </c>
      <c r="F887" s="201">
        <v>450000.0</v>
      </c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23"/>
      <c r="R887" s="23"/>
      <c r="S887" s="100"/>
      <c r="T887" s="24">
        <f t="shared" si="317"/>
        <v>0</v>
      </c>
      <c r="U887" s="179" t="str">
        <f t="shared" si="318"/>
        <v/>
      </c>
      <c r="V887" s="179" t="str">
        <f t="shared" si="319"/>
        <v/>
      </c>
      <c r="W887" s="179" t="str">
        <f t="shared" si="320"/>
        <v/>
      </c>
      <c r="X887" s="26"/>
    </row>
    <row r="888" hidden="1">
      <c r="A888" s="28"/>
      <c r="B888" s="28"/>
      <c r="C888" s="107"/>
      <c r="D888" s="83" t="s">
        <v>101</v>
      </c>
      <c r="E888" s="210">
        <f>SUM(E884:E887)</f>
        <v>801000</v>
      </c>
      <c r="F888" s="210">
        <f>SUM(F883:F887)+100000</f>
        <v>1050000</v>
      </c>
      <c r="G888" s="99">
        <f>F888*2</f>
        <v>2100000</v>
      </c>
      <c r="H888" s="99"/>
      <c r="I888" s="99"/>
      <c r="J888" s="99"/>
      <c r="K888" s="99"/>
      <c r="L888" s="99"/>
      <c r="M888" s="99"/>
      <c r="N888" s="99"/>
      <c r="O888" s="99"/>
      <c r="P888" s="99"/>
      <c r="Q888" s="23"/>
      <c r="R888" s="23"/>
      <c r="S888" s="100"/>
      <c r="T888" s="24">
        <f t="shared" si="317"/>
        <v>-2100000</v>
      </c>
      <c r="U888" s="179">
        <f t="shared" si="318"/>
        <v>-1</v>
      </c>
      <c r="V888" s="179" t="str">
        <f t="shared" si="319"/>
        <v/>
      </c>
      <c r="W888" s="179" t="str">
        <f t="shared" si="320"/>
        <v/>
      </c>
      <c r="X888" s="26"/>
    </row>
    <row r="889" hidden="1">
      <c r="A889" s="28"/>
      <c r="B889" s="28"/>
      <c r="C889" s="107"/>
      <c r="D889" s="83" t="s">
        <v>148</v>
      </c>
      <c r="E889" s="211">
        <f>F888-E888</f>
        <v>249000</v>
      </c>
      <c r="F889" s="201"/>
      <c r="G889" s="99">
        <f>E889*2</f>
        <v>498000</v>
      </c>
      <c r="H889" s="99"/>
      <c r="I889" s="99"/>
      <c r="J889" s="99"/>
      <c r="K889" s="99"/>
      <c r="L889" s="99"/>
      <c r="M889" s="99"/>
      <c r="N889" s="99"/>
      <c r="O889" s="99"/>
      <c r="P889" s="99"/>
      <c r="Q889" s="23"/>
      <c r="R889" s="23"/>
      <c r="S889" s="100"/>
      <c r="T889" s="24">
        <f t="shared" si="317"/>
        <v>-498000</v>
      </c>
      <c r="U889" s="179">
        <f t="shared" si="318"/>
        <v>-1</v>
      </c>
      <c r="V889" s="179" t="str">
        <f t="shared" si="319"/>
        <v/>
      </c>
      <c r="W889" s="179" t="str">
        <f t="shared" si="320"/>
        <v/>
      </c>
      <c r="X889" s="26"/>
    </row>
    <row r="890" hidden="1">
      <c r="A890" s="28"/>
      <c r="B890" s="28"/>
      <c r="C890" s="107"/>
      <c r="D890" s="97"/>
      <c r="E890" s="105"/>
      <c r="F890" s="105"/>
      <c r="G890" s="99">
        <f>E888*2</f>
        <v>1602000</v>
      </c>
      <c r="H890" s="99"/>
      <c r="I890" s="99"/>
      <c r="J890" s="99"/>
      <c r="K890" s="99"/>
      <c r="L890" s="99"/>
      <c r="M890" s="99"/>
      <c r="N890" s="99"/>
      <c r="O890" s="99"/>
      <c r="P890" s="99"/>
      <c r="Q890" s="23"/>
      <c r="R890" s="23"/>
      <c r="S890" s="100"/>
      <c r="T890" s="24">
        <f t="shared" si="317"/>
        <v>-1602000</v>
      </c>
      <c r="U890" s="179">
        <f t="shared" si="318"/>
        <v>-1</v>
      </c>
      <c r="V890" s="179" t="str">
        <f t="shared" si="319"/>
        <v/>
      </c>
      <c r="W890" s="179" t="str">
        <f t="shared" si="320"/>
        <v/>
      </c>
      <c r="X890" s="26"/>
    </row>
    <row r="891" hidden="1">
      <c r="A891" s="28"/>
      <c r="B891" s="28"/>
      <c r="C891" s="107"/>
      <c r="D891" s="97"/>
      <c r="E891" s="105"/>
      <c r="F891" s="105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23"/>
      <c r="R891" s="23"/>
      <c r="S891" s="100"/>
      <c r="T891" s="24">
        <f t="shared" si="317"/>
        <v>0</v>
      </c>
      <c r="U891" s="179" t="str">
        <f t="shared" si="318"/>
        <v/>
      </c>
      <c r="V891" s="179" t="str">
        <f t="shared" si="319"/>
        <v/>
      </c>
      <c r="W891" s="179" t="str">
        <f t="shared" si="320"/>
        <v/>
      </c>
      <c r="X891" s="26"/>
    </row>
    <row r="892" hidden="1">
      <c r="A892" s="28"/>
      <c r="B892" s="28"/>
      <c r="C892" s="107"/>
      <c r="D892" s="97"/>
      <c r="E892" s="105"/>
      <c r="F892" s="105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23"/>
      <c r="R892" s="23"/>
      <c r="S892" s="100"/>
      <c r="T892" s="24">
        <f t="shared" si="317"/>
        <v>0</v>
      </c>
      <c r="U892" s="179" t="str">
        <f t="shared" si="318"/>
        <v/>
      </c>
      <c r="V892" s="179" t="str">
        <f t="shared" si="319"/>
        <v/>
      </c>
      <c r="W892" s="179" t="str">
        <f t="shared" si="320"/>
        <v/>
      </c>
      <c r="X892" s="26"/>
    </row>
    <row r="893" hidden="1">
      <c r="A893" s="28"/>
      <c r="B893" s="28"/>
      <c r="C893" s="82" t="s">
        <v>459</v>
      </c>
      <c r="D893" s="83"/>
      <c r="E893" s="201" t="s">
        <v>198</v>
      </c>
      <c r="F893" s="201" t="s">
        <v>172</v>
      </c>
      <c r="G893" s="34" t="str">
        <f t="shared" ref="G893:G906" si="321">(F893-E893)/E893</f>
        <v>#VALUE!</v>
      </c>
      <c r="H893" s="99"/>
      <c r="I893" s="99"/>
      <c r="J893" s="99"/>
      <c r="K893" s="99"/>
      <c r="L893" s="99"/>
      <c r="M893" s="99"/>
      <c r="N893" s="99"/>
      <c r="O893" s="99"/>
      <c r="P893" s="99"/>
      <c r="Q893" s="23"/>
      <c r="R893" s="23"/>
      <c r="S893" s="100"/>
      <c r="T893" s="24" t="str">
        <f t="shared" si="317"/>
        <v>#VALUE!</v>
      </c>
      <c r="U893" s="179" t="str">
        <f t="shared" si="318"/>
        <v/>
      </c>
      <c r="V893" s="179" t="str">
        <f t="shared" si="319"/>
        <v/>
      </c>
      <c r="W893" s="179" t="str">
        <f t="shared" si="320"/>
        <v/>
      </c>
      <c r="X893" s="26"/>
    </row>
    <row r="894" hidden="1">
      <c r="A894" s="28"/>
      <c r="B894" s="28"/>
      <c r="C894" s="107"/>
      <c r="D894" s="83" t="s">
        <v>460</v>
      </c>
      <c r="E894" s="201">
        <f>450000*2</f>
        <v>900000</v>
      </c>
      <c r="F894" s="105">
        <f>310000*2</f>
        <v>620000</v>
      </c>
      <c r="G894" s="34">
        <f t="shared" si="321"/>
        <v>-0.3111111111</v>
      </c>
      <c r="H894" s="99"/>
      <c r="I894" s="99"/>
      <c r="J894" s="99"/>
      <c r="K894" s="99"/>
      <c r="L894" s="99"/>
      <c r="M894" s="99"/>
      <c r="N894" s="99"/>
      <c r="O894" s="99"/>
      <c r="P894" s="99"/>
      <c r="Q894" s="23"/>
      <c r="R894" s="23"/>
      <c r="S894" s="100"/>
      <c r="T894" s="24">
        <f t="shared" si="317"/>
        <v>0.3111111111</v>
      </c>
      <c r="U894" s="179">
        <f t="shared" si="318"/>
        <v>-1</v>
      </c>
      <c r="V894" s="179" t="str">
        <f t="shared" si="319"/>
        <v/>
      </c>
      <c r="W894" s="179" t="str">
        <f t="shared" si="320"/>
        <v/>
      </c>
      <c r="X894" s="26"/>
    </row>
    <row r="895" hidden="1">
      <c r="A895" s="28"/>
      <c r="B895" s="28"/>
      <c r="C895" s="107"/>
      <c r="D895" s="83" t="s">
        <v>158</v>
      </c>
      <c r="E895" s="105">
        <f>550000*2</f>
        <v>1100000</v>
      </c>
      <c r="F895" s="105">
        <f>400000*2</f>
        <v>800000</v>
      </c>
      <c r="G895" s="34">
        <f t="shared" si="321"/>
        <v>-0.2727272727</v>
      </c>
      <c r="H895" s="99"/>
      <c r="I895" s="99"/>
      <c r="J895" s="99"/>
      <c r="K895" s="99"/>
      <c r="L895" s="99"/>
      <c r="M895" s="99"/>
      <c r="N895" s="99"/>
      <c r="O895" s="99"/>
      <c r="P895" s="99"/>
      <c r="Q895" s="23"/>
      <c r="R895" s="23"/>
      <c r="S895" s="100"/>
      <c r="T895" s="24">
        <f t="shared" si="317"/>
        <v>0.2727272727</v>
      </c>
      <c r="U895" s="179">
        <f t="shared" si="318"/>
        <v>-1</v>
      </c>
      <c r="V895" s="179" t="str">
        <f t="shared" si="319"/>
        <v/>
      </c>
      <c r="W895" s="179" t="str">
        <f t="shared" si="320"/>
        <v/>
      </c>
      <c r="X895" s="26"/>
    </row>
    <row r="896" hidden="1">
      <c r="A896" s="28"/>
      <c r="B896" s="28"/>
      <c r="C896" s="107"/>
      <c r="D896" s="83" t="s">
        <v>461</v>
      </c>
      <c r="E896" s="201">
        <f t="shared" ref="E896:E897" si="322">430000*2</f>
        <v>860000</v>
      </c>
      <c r="F896" s="105">
        <f>280000*2</f>
        <v>560000</v>
      </c>
      <c r="G896" s="34">
        <f t="shared" si="321"/>
        <v>-0.3488372093</v>
      </c>
      <c r="H896" s="99"/>
      <c r="I896" s="99"/>
      <c r="J896" s="99"/>
      <c r="K896" s="99"/>
      <c r="L896" s="99"/>
      <c r="M896" s="99"/>
      <c r="N896" s="99"/>
      <c r="O896" s="99"/>
      <c r="P896" s="99"/>
      <c r="Q896" s="23"/>
      <c r="R896" s="23"/>
      <c r="S896" s="100"/>
      <c r="T896" s="24">
        <f t="shared" si="317"/>
        <v>0.3488372093</v>
      </c>
      <c r="U896" s="179">
        <f t="shared" si="318"/>
        <v>-1</v>
      </c>
      <c r="V896" s="179" t="str">
        <f t="shared" si="319"/>
        <v/>
      </c>
      <c r="W896" s="179" t="str">
        <f t="shared" si="320"/>
        <v/>
      </c>
      <c r="X896" s="26"/>
    </row>
    <row r="897" hidden="1">
      <c r="A897" s="28"/>
      <c r="B897" s="28"/>
      <c r="C897" s="107"/>
      <c r="D897" s="83" t="s">
        <v>462</v>
      </c>
      <c r="E897" s="201">
        <f t="shared" si="322"/>
        <v>860000</v>
      </c>
      <c r="F897" s="105">
        <f>290000*2</f>
        <v>580000</v>
      </c>
      <c r="G897" s="34">
        <f t="shared" si="321"/>
        <v>-0.3255813953</v>
      </c>
      <c r="H897" s="99"/>
      <c r="I897" s="99"/>
      <c r="J897" s="99"/>
      <c r="K897" s="99"/>
      <c r="L897" s="99"/>
      <c r="M897" s="99"/>
      <c r="N897" s="99"/>
      <c r="O897" s="99"/>
      <c r="P897" s="99"/>
      <c r="Q897" s="23"/>
      <c r="R897" s="23"/>
      <c r="S897" s="100"/>
      <c r="T897" s="24"/>
      <c r="U897" s="179"/>
      <c r="V897" s="179"/>
      <c r="W897" s="179"/>
      <c r="X897" s="26"/>
    </row>
    <row r="898" hidden="1">
      <c r="A898" s="28"/>
      <c r="B898" s="28"/>
      <c r="C898" s="107"/>
      <c r="D898" s="83" t="s">
        <v>101</v>
      </c>
      <c r="E898" s="105">
        <f t="shared" ref="E898:F898" si="323">E894+E895+E896+E897</f>
        <v>3720000</v>
      </c>
      <c r="F898" s="105">
        <f t="shared" si="323"/>
        <v>2560000</v>
      </c>
      <c r="G898" s="34">
        <f t="shared" si="321"/>
        <v>-0.311827957</v>
      </c>
      <c r="H898" s="99"/>
      <c r="I898" s="99"/>
      <c r="J898" s="99"/>
      <c r="K898" s="99"/>
      <c r="L898" s="99"/>
      <c r="M898" s="99"/>
      <c r="N898" s="99"/>
      <c r="O898" s="99"/>
      <c r="P898" s="99"/>
      <c r="Q898" s="23"/>
      <c r="R898" s="23"/>
      <c r="S898" s="100"/>
      <c r="T898" s="24">
        <f t="shared" ref="T898:T920" si="324">P898-(G898+S898)-(P898*R898)-(P898*Q898)</f>
        <v>0.311827957</v>
      </c>
      <c r="U898" s="179">
        <f t="shared" ref="U898:U920" si="325">IFERROR((P898-G898)/G898,"")</f>
        <v>-1</v>
      </c>
      <c r="V898" s="179" t="str">
        <f t="shared" ref="V898:V920" si="326">IFERROR((P898-G898)/P898,"")</f>
        <v/>
      </c>
      <c r="W898" s="179" t="str">
        <f t="shared" ref="W898:W920" si="327">IFERROR(T898/P898,"")</f>
        <v/>
      </c>
      <c r="X898" s="26"/>
    </row>
    <row r="899" hidden="1">
      <c r="A899" s="28"/>
      <c r="B899" s="28"/>
      <c r="C899" s="107"/>
      <c r="D899" s="83" t="s">
        <v>148</v>
      </c>
      <c r="E899" s="105">
        <f>E898-F898</f>
        <v>1160000</v>
      </c>
      <c r="F899" s="105"/>
      <c r="G899" s="34">
        <f t="shared" si="321"/>
        <v>-1</v>
      </c>
      <c r="H899" s="99"/>
      <c r="I899" s="99"/>
      <c r="J899" s="99"/>
      <c r="K899" s="99"/>
      <c r="L899" s="99"/>
      <c r="M899" s="99"/>
      <c r="N899" s="99"/>
      <c r="O899" s="99"/>
      <c r="P899" s="99"/>
      <c r="Q899" s="23"/>
      <c r="R899" s="23"/>
      <c r="S899" s="100"/>
      <c r="T899" s="24">
        <f t="shared" si="324"/>
        <v>1</v>
      </c>
      <c r="U899" s="179">
        <f t="shared" si="325"/>
        <v>-1</v>
      </c>
      <c r="V899" s="179" t="str">
        <f t="shared" si="326"/>
        <v/>
      </c>
      <c r="W899" s="179" t="str">
        <f t="shared" si="327"/>
        <v/>
      </c>
      <c r="X899" s="26"/>
    </row>
    <row r="900" hidden="1">
      <c r="A900" s="28"/>
      <c r="B900" s="28"/>
      <c r="C900" s="107"/>
      <c r="D900" s="97"/>
      <c r="E900" s="105"/>
      <c r="F900" s="105"/>
      <c r="G900" s="34" t="str">
        <f t="shared" si="321"/>
        <v>#DIV/0!</v>
      </c>
      <c r="H900" s="99"/>
      <c r="I900" s="99"/>
      <c r="J900" s="99"/>
      <c r="K900" s="99"/>
      <c r="L900" s="99"/>
      <c r="M900" s="99"/>
      <c r="N900" s="99"/>
      <c r="O900" s="99"/>
      <c r="P900" s="99"/>
      <c r="Q900" s="23"/>
      <c r="R900" s="23"/>
      <c r="S900" s="100"/>
      <c r="T900" s="24" t="str">
        <f t="shared" si="324"/>
        <v>#DIV/0!</v>
      </c>
      <c r="U900" s="179" t="str">
        <f t="shared" si="325"/>
        <v/>
      </c>
      <c r="V900" s="179" t="str">
        <f t="shared" si="326"/>
        <v/>
      </c>
      <c r="W900" s="179" t="str">
        <f t="shared" si="327"/>
        <v/>
      </c>
      <c r="X900" s="26"/>
    </row>
    <row r="901" hidden="1">
      <c r="A901" s="28"/>
      <c r="B901" s="28"/>
      <c r="C901" s="107"/>
      <c r="D901" s="97"/>
      <c r="E901" s="105"/>
      <c r="F901" s="105"/>
      <c r="G901" s="34" t="str">
        <f t="shared" si="321"/>
        <v>#DIV/0!</v>
      </c>
      <c r="H901" s="99"/>
      <c r="I901" s="99"/>
      <c r="J901" s="99"/>
      <c r="K901" s="99"/>
      <c r="L901" s="99"/>
      <c r="M901" s="99"/>
      <c r="N901" s="99"/>
      <c r="O901" s="99"/>
      <c r="P901" s="99"/>
      <c r="Q901" s="23"/>
      <c r="R901" s="23"/>
      <c r="S901" s="100"/>
      <c r="T901" s="24" t="str">
        <f t="shared" si="324"/>
        <v>#DIV/0!</v>
      </c>
      <c r="U901" s="179" t="str">
        <f t="shared" si="325"/>
        <v/>
      </c>
      <c r="V901" s="179" t="str">
        <f t="shared" si="326"/>
        <v/>
      </c>
      <c r="W901" s="179" t="str">
        <f t="shared" si="327"/>
        <v/>
      </c>
      <c r="X901" s="26"/>
    </row>
    <row r="902" hidden="1">
      <c r="A902" s="28"/>
      <c r="B902" s="28"/>
      <c r="C902" s="82" t="s">
        <v>463</v>
      </c>
      <c r="D902" s="83" t="s">
        <v>464</v>
      </c>
      <c r="E902" s="201">
        <v>55000.0</v>
      </c>
      <c r="F902" s="201">
        <v>140000.0</v>
      </c>
      <c r="G902" s="34">
        <f t="shared" si="321"/>
        <v>1.545454545</v>
      </c>
      <c r="H902" s="99"/>
      <c r="I902" s="99"/>
      <c r="J902" s="99"/>
      <c r="K902" s="99"/>
      <c r="L902" s="99"/>
      <c r="M902" s="99"/>
      <c r="N902" s="99"/>
      <c r="O902" s="99"/>
      <c r="P902" s="99"/>
      <c r="Q902" s="23"/>
      <c r="R902" s="23"/>
      <c r="S902" s="100"/>
      <c r="T902" s="24">
        <f t="shared" si="324"/>
        <v>-1.545454545</v>
      </c>
      <c r="U902" s="179">
        <f t="shared" si="325"/>
        <v>-1</v>
      </c>
      <c r="V902" s="179" t="str">
        <f t="shared" si="326"/>
        <v/>
      </c>
      <c r="W902" s="179" t="str">
        <f t="shared" si="327"/>
        <v/>
      </c>
      <c r="X902" s="26"/>
    </row>
    <row r="903" hidden="1">
      <c r="A903" s="28"/>
      <c r="B903" s="28"/>
      <c r="C903" s="107"/>
      <c r="D903" s="83" t="s">
        <v>465</v>
      </c>
      <c r="E903" s="105">
        <f>370000*2</f>
        <v>740000</v>
      </c>
      <c r="F903" s="105">
        <f>510000*2</f>
        <v>1020000</v>
      </c>
      <c r="G903" s="34">
        <f t="shared" si="321"/>
        <v>0.3783783784</v>
      </c>
      <c r="H903" s="99"/>
      <c r="I903" s="99"/>
      <c r="J903" s="99"/>
      <c r="K903" s="99"/>
      <c r="L903" s="99"/>
      <c r="M903" s="99"/>
      <c r="N903" s="99"/>
      <c r="O903" s="99"/>
      <c r="P903" s="99"/>
      <c r="Q903" s="23"/>
      <c r="R903" s="23"/>
      <c r="S903" s="100"/>
      <c r="T903" s="24">
        <f t="shared" si="324"/>
        <v>-0.3783783784</v>
      </c>
      <c r="U903" s="179">
        <f t="shared" si="325"/>
        <v>-1</v>
      </c>
      <c r="V903" s="179" t="str">
        <f t="shared" si="326"/>
        <v/>
      </c>
      <c r="W903" s="179" t="str">
        <f t="shared" si="327"/>
        <v/>
      </c>
      <c r="X903" s="26"/>
    </row>
    <row r="904" hidden="1">
      <c r="A904" s="28"/>
      <c r="B904" s="28"/>
      <c r="C904" s="107"/>
      <c r="D904" s="83" t="s">
        <v>222</v>
      </c>
      <c r="E904" s="105">
        <f>350000*2</f>
        <v>700000</v>
      </c>
      <c r="F904" s="105">
        <f>(490000*2)</f>
        <v>980000</v>
      </c>
      <c r="G904" s="34">
        <f t="shared" si="321"/>
        <v>0.4</v>
      </c>
      <c r="H904" s="99"/>
      <c r="I904" s="99"/>
      <c r="J904" s="99"/>
      <c r="K904" s="99"/>
      <c r="L904" s="99"/>
      <c r="M904" s="99"/>
      <c r="N904" s="99"/>
      <c r="O904" s="99"/>
      <c r="P904" s="99"/>
      <c r="Q904" s="23"/>
      <c r="R904" s="23"/>
      <c r="S904" s="100"/>
      <c r="T904" s="24">
        <f t="shared" si="324"/>
        <v>-0.4</v>
      </c>
      <c r="U904" s="179">
        <f t="shared" si="325"/>
        <v>-1</v>
      </c>
      <c r="V904" s="179" t="str">
        <f t="shared" si="326"/>
        <v/>
      </c>
      <c r="W904" s="179" t="str">
        <f t="shared" si="327"/>
        <v/>
      </c>
      <c r="X904" s="26"/>
    </row>
    <row r="905" hidden="1">
      <c r="A905" s="28"/>
      <c r="B905" s="28"/>
      <c r="C905" s="107"/>
      <c r="D905" s="83" t="s">
        <v>466</v>
      </c>
      <c r="E905" s="201">
        <v>55000.0</v>
      </c>
      <c r="F905" s="201">
        <v>140000.0</v>
      </c>
      <c r="G905" s="34">
        <f t="shared" si="321"/>
        <v>1.545454545</v>
      </c>
      <c r="H905" s="99"/>
      <c r="I905" s="99"/>
      <c r="J905" s="99"/>
      <c r="K905" s="99"/>
      <c r="L905" s="99"/>
      <c r="M905" s="99"/>
      <c r="N905" s="99"/>
      <c r="O905" s="99"/>
      <c r="P905" s="99"/>
      <c r="Q905" s="23"/>
      <c r="R905" s="23"/>
      <c r="S905" s="100"/>
      <c r="T905" s="24">
        <f t="shared" si="324"/>
        <v>-1.545454545</v>
      </c>
      <c r="U905" s="179">
        <f t="shared" si="325"/>
        <v>-1</v>
      </c>
      <c r="V905" s="179" t="str">
        <f t="shared" si="326"/>
        <v/>
      </c>
      <c r="W905" s="179" t="str">
        <f t="shared" si="327"/>
        <v/>
      </c>
      <c r="X905" s="26"/>
    </row>
    <row r="906" hidden="1">
      <c r="A906" s="28"/>
      <c r="B906" s="28"/>
      <c r="C906" s="107"/>
      <c r="D906" s="83" t="s">
        <v>101</v>
      </c>
      <c r="E906" s="105">
        <f>SUM(E902:E905)</f>
        <v>1550000</v>
      </c>
      <c r="F906" s="105">
        <f>SUM(F902:F905)-40000</f>
        <v>2240000</v>
      </c>
      <c r="G906" s="34">
        <f t="shared" si="321"/>
        <v>0.4451612903</v>
      </c>
      <c r="H906" s="99"/>
      <c r="I906" s="99"/>
      <c r="J906" s="99"/>
      <c r="K906" s="99"/>
      <c r="L906" s="99"/>
      <c r="M906" s="99"/>
      <c r="N906" s="99"/>
      <c r="O906" s="99"/>
      <c r="P906" s="99"/>
      <c r="Q906" s="23"/>
      <c r="R906" s="23"/>
      <c r="S906" s="100"/>
      <c r="T906" s="24">
        <f t="shared" si="324"/>
        <v>-0.4451612903</v>
      </c>
      <c r="U906" s="179">
        <f t="shared" si="325"/>
        <v>-1</v>
      </c>
      <c r="V906" s="179" t="str">
        <f t="shared" si="326"/>
        <v/>
      </c>
      <c r="W906" s="179" t="str">
        <f t="shared" si="327"/>
        <v/>
      </c>
      <c r="X906" s="26"/>
    </row>
    <row r="907" hidden="1">
      <c r="A907" s="28"/>
      <c r="B907" s="28"/>
      <c r="C907" s="107"/>
      <c r="D907" s="83" t="s">
        <v>148</v>
      </c>
      <c r="E907" s="105">
        <f>F906-E906</f>
        <v>690000</v>
      </c>
      <c r="F907" s="105"/>
      <c r="G907" s="34"/>
      <c r="H907" s="99"/>
      <c r="I907" s="99"/>
      <c r="J907" s="99"/>
      <c r="K907" s="99"/>
      <c r="L907" s="99"/>
      <c r="M907" s="99"/>
      <c r="N907" s="99"/>
      <c r="O907" s="99"/>
      <c r="P907" s="99"/>
      <c r="Q907" s="23"/>
      <c r="R907" s="23"/>
      <c r="S907" s="100"/>
      <c r="T907" s="24">
        <f t="shared" si="324"/>
        <v>0</v>
      </c>
      <c r="U907" s="179" t="str">
        <f t="shared" si="325"/>
        <v/>
      </c>
      <c r="V907" s="179" t="str">
        <f t="shared" si="326"/>
        <v/>
      </c>
      <c r="W907" s="179" t="str">
        <f t="shared" si="327"/>
        <v/>
      </c>
      <c r="X907" s="26"/>
    </row>
    <row r="908" hidden="1">
      <c r="A908" s="28"/>
      <c r="B908" s="28"/>
      <c r="C908" s="107"/>
      <c r="D908" s="97"/>
      <c r="E908" s="105"/>
      <c r="F908" s="105"/>
      <c r="G908" s="34"/>
      <c r="H908" s="99"/>
      <c r="I908" s="99"/>
      <c r="J908" s="99"/>
      <c r="K908" s="99"/>
      <c r="L908" s="99"/>
      <c r="M908" s="99"/>
      <c r="N908" s="99"/>
      <c r="O908" s="99"/>
      <c r="P908" s="99"/>
      <c r="Q908" s="23"/>
      <c r="R908" s="23"/>
      <c r="S908" s="100"/>
      <c r="T908" s="24">
        <f t="shared" si="324"/>
        <v>0</v>
      </c>
      <c r="U908" s="179" t="str">
        <f t="shared" si="325"/>
        <v/>
      </c>
      <c r="V908" s="179" t="str">
        <f t="shared" si="326"/>
        <v/>
      </c>
      <c r="W908" s="179" t="str">
        <f t="shared" si="327"/>
        <v/>
      </c>
      <c r="X908" s="26"/>
    </row>
    <row r="909" hidden="1">
      <c r="A909" s="28"/>
      <c r="B909" s="28"/>
      <c r="C909" s="107"/>
      <c r="D909" s="97"/>
      <c r="E909" s="105"/>
      <c r="F909" s="105"/>
      <c r="G909" s="34"/>
      <c r="H909" s="99"/>
      <c r="I909" s="99"/>
      <c r="J909" s="99"/>
      <c r="K909" s="99"/>
      <c r="L909" s="99"/>
      <c r="M909" s="99"/>
      <c r="N909" s="99"/>
      <c r="O909" s="99"/>
      <c r="P909" s="99"/>
      <c r="Q909" s="23"/>
      <c r="R909" s="23"/>
      <c r="S909" s="100"/>
      <c r="T909" s="24">
        <f t="shared" si="324"/>
        <v>0</v>
      </c>
      <c r="U909" s="179" t="str">
        <f t="shared" si="325"/>
        <v/>
      </c>
      <c r="V909" s="179" t="str">
        <f t="shared" si="326"/>
        <v/>
      </c>
      <c r="W909" s="179" t="str">
        <f t="shared" si="327"/>
        <v/>
      </c>
      <c r="X909" s="26"/>
    </row>
    <row r="910" hidden="1">
      <c r="A910" s="28"/>
      <c r="B910" s="28"/>
      <c r="C910" s="107"/>
      <c r="D910" s="97"/>
      <c r="E910" s="105"/>
      <c r="F910" s="105"/>
      <c r="G910" s="34"/>
      <c r="H910" s="99"/>
      <c r="I910" s="99"/>
      <c r="J910" s="99"/>
      <c r="K910" s="99"/>
      <c r="L910" s="99"/>
      <c r="M910" s="99"/>
      <c r="N910" s="99"/>
      <c r="O910" s="99"/>
      <c r="P910" s="99"/>
      <c r="Q910" s="23"/>
      <c r="R910" s="23"/>
      <c r="S910" s="100"/>
      <c r="T910" s="24">
        <f t="shared" si="324"/>
        <v>0</v>
      </c>
      <c r="U910" s="179" t="str">
        <f t="shared" si="325"/>
        <v/>
      </c>
      <c r="V910" s="179" t="str">
        <f t="shared" si="326"/>
        <v/>
      </c>
      <c r="W910" s="179" t="str">
        <f t="shared" si="327"/>
        <v/>
      </c>
      <c r="X910" s="26"/>
    </row>
    <row r="911" hidden="1">
      <c r="A911" s="28"/>
      <c r="B911" s="28"/>
      <c r="C911" s="107"/>
      <c r="D911" s="83" t="s">
        <v>155</v>
      </c>
      <c r="E911" s="105">
        <f>320000+(36000*2)+30000+20000</f>
        <v>442000</v>
      </c>
      <c r="F911" s="105">
        <f>300000*2</f>
        <v>600000</v>
      </c>
      <c r="G911" s="34">
        <f t="shared" ref="G911:G924" si="328">(F911-E911)/E911</f>
        <v>0.3574660633</v>
      </c>
      <c r="H911" s="99"/>
      <c r="I911" s="99"/>
      <c r="J911" s="99"/>
      <c r="K911" s="99"/>
      <c r="L911" s="99"/>
      <c r="M911" s="99"/>
      <c r="N911" s="99"/>
      <c r="O911" s="99"/>
      <c r="P911" s="99"/>
      <c r="Q911" s="23"/>
      <c r="R911" s="23"/>
      <c r="S911" s="100"/>
      <c r="T911" s="24">
        <f t="shared" si="324"/>
        <v>-0.3574660633</v>
      </c>
      <c r="U911" s="179">
        <f t="shared" si="325"/>
        <v>-1</v>
      </c>
      <c r="V911" s="179" t="str">
        <f t="shared" si="326"/>
        <v/>
      </c>
      <c r="W911" s="179" t="str">
        <f t="shared" si="327"/>
        <v/>
      </c>
      <c r="X911" s="26"/>
    </row>
    <row r="912" hidden="1">
      <c r="A912" s="28"/>
      <c r="B912" s="28"/>
      <c r="C912" s="82" t="s">
        <v>467</v>
      </c>
      <c r="D912" s="83" t="s">
        <v>265</v>
      </c>
      <c r="E912" s="105">
        <f>430000*2</f>
        <v>860000</v>
      </c>
      <c r="F912" s="105">
        <f>580000*2</f>
        <v>1160000</v>
      </c>
      <c r="G912" s="34">
        <f t="shared" si="328"/>
        <v>0.3488372093</v>
      </c>
      <c r="H912" s="99"/>
      <c r="I912" s="99"/>
      <c r="J912" s="99"/>
      <c r="K912" s="99"/>
      <c r="L912" s="99"/>
      <c r="M912" s="99"/>
      <c r="N912" s="99"/>
      <c r="O912" s="99"/>
      <c r="P912" s="99"/>
      <c r="Q912" s="23"/>
      <c r="R912" s="23"/>
      <c r="S912" s="100"/>
      <c r="T912" s="24">
        <f t="shared" si="324"/>
        <v>-0.3488372093</v>
      </c>
      <c r="U912" s="179">
        <f t="shared" si="325"/>
        <v>-1</v>
      </c>
      <c r="V912" s="179" t="str">
        <f t="shared" si="326"/>
        <v/>
      </c>
      <c r="W912" s="179" t="str">
        <f t="shared" si="327"/>
        <v/>
      </c>
      <c r="X912" s="26"/>
    </row>
    <row r="913" hidden="1">
      <c r="A913" s="28"/>
      <c r="B913" s="28"/>
      <c r="C913" s="107"/>
      <c r="D913" s="83" t="s">
        <v>468</v>
      </c>
      <c r="E913" s="105">
        <f>280000*2</f>
        <v>560000</v>
      </c>
      <c r="F913" s="105">
        <f>410000*2</f>
        <v>820000</v>
      </c>
      <c r="G913" s="34">
        <f t="shared" si="328"/>
        <v>0.4642857143</v>
      </c>
      <c r="H913" s="99"/>
      <c r="I913" s="99"/>
      <c r="J913" s="99"/>
      <c r="K913" s="99"/>
      <c r="L913" s="99"/>
      <c r="M913" s="99"/>
      <c r="N913" s="99"/>
      <c r="O913" s="99"/>
      <c r="P913" s="99"/>
      <c r="Q913" s="23"/>
      <c r="R913" s="23"/>
      <c r="S913" s="100"/>
      <c r="T913" s="24">
        <f t="shared" si="324"/>
        <v>-0.4642857143</v>
      </c>
      <c r="U913" s="179">
        <f t="shared" si="325"/>
        <v>-1</v>
      </c>
      <c r="V913" s="179" t="str">
        <f t="shared" si="326"/>
        <v/>
      </c>
      <c r="W913" s="179" t="str">
        <f t="shared" si="327"/>
        <v/>
      </c>
      <c r="X913" s="26"/>
    </row>
    <row r="914" hidden="1">
      <c r="A914" s="28"/>
      <c r="B914" s="28"/>
      <c r="C914" s="107"/>
      <c r="D914" s="83" t="s">
        <v>273</v>
      </c>
      <c r="E914" s="105">
        <f>260000</f>
        <v>260000</v>
      </c>
      <c r="F914" s="105">
        <f>210000*2</f>
        <v>420000</v>
      </c>
      <c r="G914" s="34">
        <f t="shared" si="328"/>
        <v>0.6153846154</v>
      </c>
      <c r="H914" s="99"/>
      <c r="I914" s="99"/>
      <c r="J914" s="99"/>
      <c r="K914" s="99"/>
      <c r="L914" s="99"/>
      <c r="M914" s="99"/>
      <c r="N914" s="99"/>
      <c r="O914" s="99"/>
      <c r="P914" s="99"/>
      <c r="Q914" s="23"/>
      <c r="R914" s="23"/>
      <c r="S914" s="100"/>
      <c r="T914" s="24">
        <f t="shared" si="324"/>
        <v>-0.6153846154</v>
      </c>
      <c r="U914" s="179">
        <f t="shared" si="325"/>
        <v>-1</v>
      </c>
      <c r="V914" s="179" t="str">
        <f t="shared" si="326"/>
        <v/>
      </c>
      <c r="W914" s="179" t="str">
        <f t="shared" si="327"/>
        <v/>
      </c>
      <c r="X914" s="26"/>
    </row>
    <row r="915" hidden="1">
      <c r="A915" s="28"/>
      <c r="B915" s="28"/>
      <c r="C915" s="107"/>
      <c r="D915" s="83" t="s">
        <v>469</v>
      </c>
      <c r="E915" s="201">
        <f>85000*2</f>
        <v>170000</v>
      </c>
      <c r="F915" s="105">
        <f>180000*2</f>
        <v>360000</v>
      </c>
      <c r="G915" s="34">
        <f t="shared" si="328"/>
        <v>1.117647059</v>
      </c>
      <c r="H915" s="99"/>
      <c r="I915" s="99"/>
      <c r="J915" s="99"/>
      <c r="K915" s="99"/>
      <c r="L915" s="99"/>
      <c r="M915" s="99"/>
      <c r="N915" s="99"/>
      <c r="O915" s="99"/>
      <c r="P915" s="99"/>
      <c r="Q915" s="23"/>
      <c r="R915" s="23"/>
      <c r="S915" s="100"/>
      <c r="T915" s="24">
        <f t="shared" si="324"/>
        <v>-1.117647059</v>
      </c>
      <c r="U915" s="179">
        <f t="shared" si="325"/>
        <v>-1</v>
      </c>
      <c r="V915" s="179" t="str">
        <f t="shared" si="326"/>
        <v/>
      </c>
      <c r="W915" s="179" t="str">
        <f t="shared" si="327"/>
        <v/>
      </c>
      <c r="X915" s="26"/>
    </row>
    <row r="916" hidden="1">
      <c r="A916" s="28"/>
      <c r="B916" s="28"/>
      <c r="C916" s="107"/>
      <c r="D916" s="83" t="s">
        <v>101</v>
      </c>
      <c r="E916" s="105">
        <f t="shared" ref="E916:F916" si="329">SUM(E911:E915)</f>
        <v>2292000</v>
      </c>
      <c r="F916" s="105">
        <f t="shared" si="329"/>
        <v>3360000</v>
      </c>
      <c r="G916" s="34">
        <f t="shared" si="328"/>
        <v>0.4659685864</v>
      </c>
      <c r="H916" s="99"/>
      <c r="I916" s="99"/>
      <c r="J916" s="99"/>
      <c r="K916" s="99"/>
      <c r="L916" s="99"/>
      <c r="M916" s="99"/>
      <c r="N916" s="99"/>
      <c r="O916" s="99"/>
      <c r="P916" s="99"/>
      <c r="Q916" s="23"/>
      <c r="R916" s="23"/>
      <c r="S916" s="100"/>
      <c r="T916" s="24">
        <f t="shared" si="324"/>
        <v>-0.4659685864</v>
      </c>
      <c r="U916" s="179">
        <f t="shared" si="325"/>
        <v>-1</v>
      </c>
      <c r="V916" s="179" t="str">
        <f t="shared" si="326"/>
        <v/>
      </c>
      <c r="W916" s="179" t="str">
        <f t="shared" si="327"/>
        <v/>
      </c>
      <c r="X916" s="26"/>
    </row>
    <row r="917" hidden="1">
      <c r="A917" s="28"/>
      <c r="B917" s="28"/>
      <c r="C917" s="107"/>
      <c r="D917" s="83" t="s">
        <v>148</v>
      </c>
      <c r="E917" s="105">
        <f>F916-E916</f>
        <v>1068000</v>
      </c>
      <c r="F917" s="105"/>
      <c r="G917" s="34">
        <f t="shared" si="328"/>
        <v>-1</v>
      </c>
      <c r="H917" s="99"/>
      <c r="I917" s="99"/>
      <c r="J917" s="99"/>
      <c r="K917" s="99"/>
      <c r="L917" s="99"/>
      <c r="M917" s="99"/>
      <c r="N917" s="99"/>
      <c r="O917" s="99"/>
      <c r="P917" s="99"/>
      <c r="Q917" s="23"/>
      <c r="R917" s="23"/>
      <c r="S917" s="100"/>
      <c r="T917" s="24">
        <f t="shared" si="324"/>
        <v>1</v>
      </c>
      <c r="U917" s="179">
        <f t="shared" si="325"/>
        <v>-1</v>
      </c>
      <c r="V917" s="179" t="str">
        <f t="shared" si="326"/>
        <v/>
      </c>
      <c r="W917" s="179" t="str">
        <f t="shared" si="327"/>
        <v/>
      </c>
      <c r="X917" s="26"/>
    </row>
    <row r="918" hidden="1">
      <c r="A918" s="28"/>
      <c r="B918" s="28"/>
      <c r="C918" s="107"/>
      <c r="D918" s="97"/>
      <c r="E918" s="105"/>
      <c r="F918" s="105"/>
      <c r="G918" s="34" t="str">
        <f t="shared" si="328"/>
        <v>#DIV/0!</v>
      </c>
      <c r="H918" s="99"/>
      <c r="I918" s="99"/>
      <c r="J918" s="99"/>
      <c r="K918" s="99"/>
      <c r="L918" s="99"/>
      <c r="M918" s="99"/>
      <c r="N918" s="99"/>
      <c r="O918" s="99"/>
      <c r="P918" s="99"/>
      <c r="Q918" s="23"/>
      <c r="R918" s="23"/>
      <c r="S918" s="100"/>
      <c r="T918" s="24" t="str">
        <f t="shared" si="324"/>
        <v>#DIV/0!</v>
      </c>
      <c r="U918" s="179" t="str">
        <f t="shared" si="325"/>
        <v/>
      </c>
      <c r="V918" s="179" t="str">
        <f t="shared" si="326"/>
        <v/>
      </c>
      <c r="W918" s="179" t="str">
        <f t="shared" si="327"/>
        <v/>
      </c>
      <c r="X918" s="26"/>
    </row>
    <row r="919" hidden="1">
      <c r="A919" s="28"/>
      <c r="B919" s="28"/>
      <c r="C919" s="107"/>
      <c r="D919" s="97"/>
      <c r="E919" s="105"/>
      <c r="F919" s="105"/>
      <c r="G919" s="34" t="str">
        <f t="shared" si="328"/>
        <v>#DIV/0!</v>
      </c>
      <c r="H919" s="99"/>
      <c r="I919" s="99"/>
      <c r="J919" s="99"/>
      <c r="K919" s="99"/>
      <c r="L919" s="99"/>
      <c r="M919" s="99"/>
      <c r="N919" s="99"/>
      <c r="O919" s="99"/>
      <c r="P919" s="99"/>
      <c r="Q919" s="23"/>
      <c r="R919" s="23"/>
      <c r="S919" s="100"/>
      <c r="T919" s="24" t="str">
        <f t="shared" si="324"/>
        <v>#DIV/0!</v>
      </c>
      <c r="U919" s="179" t="str">
        <f t="shared" si="325"/>
        <v/>
      </c>
      <c r="V919" s="179" t="str">
        <f t="shared" si="326"/>
        <v/>
      </c>
      <c r="W919" s="179" t="str">
        <f t="shared" si="327"/>
        <v/>
      </c>
      <c r="X919" s="26"/>
    </row>
    <row r="920" hidden="1">
      <c r="A920" s="28"/>
      <c r="B920" s="28"/>
      <c r="C920" s="82" t="s">
        <v>470</v>
      </c>
      <c r="D920" s="83" t="s">
        <v>156</v>
      </c>
      <c r="E920" s="105">
        <f>(330000*2)</f>
        <v>660000</v>
      </c>
      <c r="F920" s="105">
        <f>510000*2</f>
        <v>1020000</v>
      </c>
      <c r="G920" s="34">
        <f t="shared" si="328"/>
        <v>0.5454545455</v>
      </c>
      <c r="H920" s="99"/>
      <c r="I920" s="99"/>
      <c r="J920" s="99"/>
      <c r="K920" s="99"/>
      <c r="L920" s="99"/>
      <c r="M920" s="99"/>
      <c r="N920" s="99"/>
      <c r="O920" s="99"/>
      <c r="P920" s="99"/>
      <c r="Q920" s="23"/>
      <c r="R920" s="23"/>
      <c r="S920" s="100"/>
      <c r="T920" s="24">
        <f t="shared" si="324"/>
        <v>-0.5454545455</v>
      </c>
      <c r="U920" s="179">
        <f t="shared" si="325"/>
        <v>-1</v>
      </c>
      <c r="V920" s="179" t="str">
        <f t="shared" si="326"/>
        <v/>
      </c>
      <c r="W920" s="179" t="str">
        <f t="shared" si="327"/>
        <v/>
      </c>
      <c r="X920" s="26"/>
    </row>
    <row r="921" hidden="1">
      <c r="A921" s="81"/>
      <c r="B921" s="28"/>
      <c r="C921" s="107"/>
      <c r="D921" s="83" t="s">
        <v>471</v>
      </c>
      <c r="E921" s="105">
        <f>250000*2</f>
        <v>500000</v>
      </c>
      <c r="F921" s="201">
        <f>320000*2</f>
        <v>640000</v>
      </c>
      <c r="G921" s="34">
        <f t="shared" si="328"/>
        <v>0.28</v>
      </c>
      <c r="H921" s="99"/>
      <c r="I921" s="99"/>
      <c r="J921" s="99"/>
      <c r="K921" s="99"/>
      <c r="L921" s="99"/>
      <c r="M921" s="99"/>
      <c r="N921" s="99"/>
      <c r="O921" s="99"/>
      <c r="P921" s="99"/>
      <c r="Q921" s="23"/>
      <c r="R921" s="23"/>
      <c r="S921" s="100"/>
      <c r="T921" s="24"/>
      <c r="U921" s="179"/>
      <c r="V921" s="179"/>
      <c r="W921" s="179"/>
      <c r="X921" s="26"/>
    </row>
    <row r="922" hidden="1">
      <c r="A922" s="28"/>
      <c r="B922" s="28"/>
      <c r="C922" s="107"/>
      <c r="D922" s="83" t="s">
        <v>282</v>
      </c>
      <c r="E922" s="105">
        <f>309000*2</f>
        <v>618000</v>
      </c>
      <c r="F922" s="201">
        <f>450000*2</f>
        <v>900000</v>
      </c>
      <c r="G922" s="34">
        <f t="shared" si="328"/>
        <v>0.4563106796</v>
      </c>
      <c r="H922" s="99"/>
      <c r="I922" s="99"/>
      <c r="J922" s="99"/>
      <c r="K922" s="99"/>
      <c r="L922" s="99"/>
      <c r="M922" s="99"/>
      <c r="N922" s="99"/>
      <c r="O922" s="99"/>
      <c r="P922" s="99"/>
      <c r="Q922" s="23"/>
      <c r="R922" s="23"/>
      <c r="S922" s="100"/>
      <c r="T922" s="24">
        <f>P922-(G922+S922)-(P922*R922)-(P922*Q922)</f>
        <v>-0.4563106796</v>
      </c>
      <c r="U922" s="179">
        <f>IFERROR((P922-G922)/G922,"")</f>
        <v>-1</v>
      </c>
      <c r="V922" s="179" t="str">
        <f>IFERROR((P922-G922)/P922,"")</f>
        <v/>
      </c>
      <c r="W922" s="179" t="str">
        <f>IFERROR(T922/P922,"")</f>
        <v/>
      </c>
      <c r="X922" s="26"/>
    </row>
    <row r="923" hidden="1">
      <c r="A923" s="28"/>
      <c r="B923" s="28"/>
      <c r="C923" s="107"/>
      <c r="D923" s="83" t="s">
        <v>472</v>
      </c>
      <c r="E923" s="105">
        <f>243000*2</f>
        <v>486000</v>
      </c>
      <c r="F923" s="105">
        <f>380000*2</f>
        <v>760000</v>
      </c>
      <c r="G923" s="34">
        <f t="shared" si="328"/>
        <v>0.5637860082</v>
      </c>
      <c r="H923" s="99"/>
      <c r="I923" s="99"/>
      <c r="J923" s="99"/>
      <c r="K923" s="99"/>
      <c r="L923" s="99"/>
      <c r="M923" s="99"/>
      <c r="N923" s="99"/>
      <c r="O923" s="99"/>
      <c r="P923" s="99"/>
      <c r="Q923" s="23"/>
      <c r="R923" s="23"/>
      <c r="S923" s="100"/>
      <c r="T923" s="24"/>
      <c r="U923" s="179"/>
      <c r="V923" s="179"/>
      <c r="W923" s="179"/>
      <c r="X923" s="26"/>
    </row>
    <row r="924" hidden="1">
      <c r="A924" s="28"/>
      <c r="B924" s="28"/>
      <c r="C924" s="107"/>
      <c r="D924" s="83" t="s">
        <v>101</v>
      </c>
      <c r="E924" s="105">
        <f t="shared" ref="E924:F924" si="330">SUM(E920:E923)</f>
        <v>2264000</v>
      </c>
      <c r="F924" s="105">
        <f t="shared" si="330"/>
        <v>3320000</v>
      </c>
      <c r="G924" s="34">
        <f t="shared" si="328"/>
        <v>0.4664310954</v>
      </c>
      <c r="H924" s="99"/>
      <c r="I924" s="99"/>
      <c r="J924" s="99"/>
      <c r="K924" s="99"/>
      <c r="L924" s="99"/>
      <c r="M924" s="99"/>
      <c r="N924" s="99"/>
      <c r="O924" s="99"/>
      <c r="P924" s="99"/>
      <c r="Q924" s="23"/>
      <c r="R924" s="23"/>
      <c r="S924" s="100"/>
      <c r="T924" s="24">
        <f t="shared" ref="T924:T1012" si="331">P924-(G924+S924)-(P924*R924)-(P924*Q924)</f>
        <v>-0.4664310954</v>
      </c>
      <c r="U924" s="179">
        <f t="shared" ref="U924:U1012" si="332">IFERROR((P924-G924)/G924,"")</f>
        <v>-1</v>
      </c>
      <c r="V924" s="179" t="str">
        <f t="shared" ref="V924:V1012" si="333">IFERROR((P924-G924)/P924,"")</f>
        <v/>
      </c>
      <c r="W924" s="179" t="str">
        <f t="shared" ref="W924:W1012" si="334">IFERROR(T924/P924,"")</f>
        <v/>
      </c>
      <c r="X924" s="26"/>
    </row>
    <row r="925" hidden="1">
      <c r="A925" s="28"/>
      <c r="B925" s="28"/>
      <c r="C925" s="107"/>
      <c r="D925" s="83" t="s">
        <v>148</v>
      </c>
      <c r="E925" s="105">
        <f>F924-E924</f>
        <v>1056000</v>
      </c>
      <c r="F925" s="105"/>
      <c r="G925" s="34"/>
      <c r="H925" s="99"/>
      <c r="I925" s="99"/>
      <c r="J925" s="99"/>
      <c r="K925" s="99"/>
      <c r="L925" s="99"/>
      <c r="M925" s="99"/>
      <c r="N925" s="99"/>
      <c r="O925" s="99"/>
      <c r="P925" s="99"/>
      <c r="Q925" s="23"/>
      <c r="R925" s="23"/>
      <c r="S925" s="100"/>
      <c r="T925" s="24">
        <f t="shared" si="331"/>
        <v>0</v>
      </c>
      <c r="U925" s="179" t="str">
        <f t="shared" si="332"/>
        <v/>
      </c>
      <c r="V925" s="179" t="str">
        <f t="shared" si="333"/>
        <v/>
      </c>
      <c r="W925" s="179" t="str">
        <f t="shared" si="334"/>
        <v/>
      </c>
      <c r="X925" s="26"/>
    </row>
    <row r="926" hidden="1">
      <c r="A926" s="28"/>
      <c r="B926" s="28"/>
      <c r="C926" s="107"/>
      <c r="D926" s="97"/>
      <c r="E926" s="105"/>
      <c r="F926" s="105"/>
      <c r="G926" s="34"/>
      <c r="H926" s="99"/>
      <c r="I926" s="99"/>
      <c r="J926" s="99"/>
      <c r="K926" s="99"/>
      <c r="L926" s="99"/>
      <c r="M926" s="99"/>
      <c r="N926" s="99"/>
      <c r="O926" s="99"/>
      <c r="P926" s="99"/>
      <c r="Q926" s="23"/>
      <c r="R926" s="23"/>
      <c r="S926" s="100"/>
      <c r="T926" s="24">
        <f t="shared" si="331"/>
        <v>0</v>
      </c>
      <c r="U926" s="179" t="str">
        <f t="shared" si="332"/>
        <v/>
      </c>
      <c r="V926" s="179" t="str">
        <f t="shared" si="333"/>
        <v/>
      </c>
      <c r="W926" s="179" t="str">
        <f t="shared" si="334"/>
        <v/>
      </c>
      <c r="X926" s="26"/>
    </row>
    <row r="927" hidden="1">
      <c r="A927" s="28"/>
      <c r="B927" s="28"/>
      <c r="C927" s="107"/>
      <c r="D927" s="97"/>
      <c r="E927" s="105"/>
      <c r="F927" s="105"/>
      <c r="G927" s="34"/>
      <c r="H927" s="99"/>
      <c r="I927" s="99"/>
      <c r="J927" s="99"/>
      <c r="K927" s="99"/>
      <c r="L927" s="99"/>
      <c r="M927" s="99"/>
      <c r="N927" s="99"/>
      <c r="O927" s="99"/>
      <c r="P927" s="99"/>
      <c r="Q927" s="23"/>
      <c r="R927" s="23"/>
      <c r="S927" s="100"/>
      <c r="T927" s="24">
        <f t="shared" si="331"/>
        <v>0</v>
      </c>
      <c r="U927" s="179" t="str">
        <f t="shared" si="332"/>
        <v/>
      </c>
      <c r="V927" s="179" t="str">
        <f t="shared" si="333"/>
        <v/>
      </c>
      <c r="W927" s="179" t="str">
        <f t="shared" si="334"/>
        <v/>
      </c>
      <c r="X927" s="26"/>
    </row>
    <row r="928" hidden="1">
      <c r="A928" s="28"/>
      <c r="B928" s="28"/>
      <c r="C928" s="107"/>
      <c r="D928" s="97"/>
      <c r="E928" s="105"/>
      <c r="F928" s="105"/>
      <c r="G928" s="34"/>
      <c r="H928" s="99"/>
      <c r="I928" s="99"/>
      <c r="J928" s="99"/>
      <c r="K928" s="99"/>
      <c r="L928" s="99"/>
      <c r="M928" s="99"/>
      <c r="N928" s="99"/>
      <c r="O928" s="99"/>
      <c r="P928" s="99"/>
      <c r="Q928" s="23"/>
      <c r="R928" s="23"/>
      <c r="S928" s="100"/>
      <c r="T928" s="24">
        <f t="shared" si="331"/>
        <v>0</v>
      </c>
      <c r="U928" s="179" t="str">
        <f t="shared" si="332"/>
        <v/>
      </c>
      <c r="V928" s="179" t="str">
        <f t="shared" si="333"/>
        <v/>
      </c>
      <c r="W928" s="179" t="str">
        <f t="shared" si="334"/>
        <v/>
      </c>
      <c r="X928" s="26"/>
    </row>
    <row r="929" hidden="1">
      <c r="A929" s="28"/>
      <c r="B929" s="28"/>
      <c r="C929" s="82" t="s">
        <v>473</v>
      </c>
      <c r="D929" s="83" t="s">
        <v>267</v>
      </c>
      <c r="E929" s="105">
        <f>300000*3</f>
        <v>900000</v>
      </c>
      <c r="F929" s="105">
        <f>450000*3</f>
        <v>1350000</v>
      </c>
      <c r="G929" s="34">
        <f>(F929-E929)/E929</f>
        <v>0.5</v>
      </c>
      <c r="H929" s="99"/>
      <c r="I929" s="99"/>
      <c r="J929" s="99"/>
      <c r="K929" s="99"/>
      <c r="L929" s="99"/>
      <c r="M929" s="99"/>
      <c r="N929" s="99"/>
      <c r="O929" s="99"/>
      <c r="P929" s="99"/>
      <c r="Q929" s="23"/>
      <c r="R929" s="23"/>
      <c r="S929" s="100"/>
      <c r="T929" s="24">
        <f t="shared" si="331"/>
        <v>-0.5</v>
      </c>
      <c r="U929" s="179">
        <f t="shared" si="332"/>
        <v>-1</v>
      </c>
      <c r="V929" s="179" t="str">
        <f t="shared" si="333"/>
        <v/>
      </c>
      <c r="W929" s="179" t="str">
        <f t="shared" si="334"/>
        <v/>
      </c>
      <c r="X929" s="26"/>
    </row>
    <row r="930" hidden="1">
      <c r="A930" s="28"/>
      <c r="B930" s="28"/>
      <c r="C930" s="107"/>
      <c r="D930" s="83" t="s">
        <v>148</v>
      </c>
      <c r="E930" s="105">
        <f>F929-E929</f>
        <v>450000</v>
      </c>
      <c r="F930" s="105"/>
      <c r="G930" s="34"/>
      <c r="H930" s="99"/>
      <c r="I930" s="99"/>
      <c r="J930" s="99"/>
      <c r="K930" s="99"/>
      <c r="L930" s="99"/>
      <c r="M930" s="99"/>
      <c r="N930" s="99"/>
      <c r="O930" s="99"/>
      <c r="P930" s="99"/>
      <c r="Q930" s="23"/>
      <c r="R930" s="23"/>
      <c r="S930" s="100"/>
      <c r="T930" s="24">
        <f t="shared" si="331"/>
        <v>0</v>
      </c>
      <c r="U930" s="179" t="str">
        <f t="shared" si="332"/>
        <v/>
      </c>
      <c r="V930" s="179" t="str">
        <f t="shared" si="333"/>
        <v/>
      </c>
      <c r="W930" s="179" t="str">
        <f t="shared" si="334"/>
        <v/>
      </c>
      <c r="X930" s="26"/>
    </row>
    <row r="931" hidden="1">
      <c r="A931" s="28"/>
      <c r="B931" s="28"/>
      <c r="C931" s="107"/>
      <c r="D931" s="97"/>
      <c r="E931" s="201" t="s">
        <v>172</v>
      </c>
      <c r="F931" s="105"/>
      <c r="G931" s="34"/>
      <c r="H931" s="99"/>
      <c r="I931" s="99"/>
      <c r="J931" s="99"/>
      <c r="K931" s="99"/>
      <c r="L931" s="99"/>
      <c r="M931" s="99"/>
      <c r="N931" s="99"/>
      <c r="O931" s="99"/>
      <c r="P931" s="99"/>
      <c r="Q931" s="23"/>
      <c r="R931" s="23"/>
      <c r="S931" s="100"/>
      <c r="T931" s="24">
        <f t="shared" si="331"/>
        <v>0</v>
      </c>
      <c r="U931" s="179" t="str">
        <f t="shared" si="332"/>
        <v/>
      </c>
      <c r="V931" s="179" t="str">
        <f t="shared" si="333"/>
        <v/>
      </c>
      <c r="W931" s="179" t="str">
        <f t="shared" si="334"/>
        <v/>
      </c>
      <c r="X931" s="26"/>
    </row>
    <row r="932" hidden="1">
      <c r="A932" s="28"/>
      <c r="B932" s="28"/>
      <c r="C932" s="82" t="s">
        <v>474</v>
      </c>
      <c r="D932" s="83" t="s">
        <v>475</v>
      </c>
      <c r="E932" s="105">
        <f>280000*2</f>
        <v>560000</v>
      </c>
      <c r="F932" s="105">
        <f>450000*2</f>
        <v>900000</v>
      </c>
      <c r="G932" s="34">
        <f t="shared" ref="G932:G937" si="335">(F932-E932)/E932</f>
        <v>0.6071428571</v>
      </c>
      <c r="H932" s="99"/>
      <c r="I932" s="99"/>
      <c r="J932" s="99"/>
      <c r="K932" s="99"/>
      <c r="L932" s="99"/>
      <c r="M932" s="99"/>
      <c r="N932" s="99"/>
      <c r="O932" s="99"/>
      <c r="P932" s="99"/>
      <c r="Q932" s="23"/>
      <c r="R932" s="23"/>
      <c r="S932" s="100"/>
      <c r="T932" s="24">
        <f t="shared" si="331"/>
        <v>-0.6071428571</v>
      </c>
      <c r="U932" s="179">
        <f t="shared" si="332"/>
        <v>-1</v>
      </c>
      <c r="V932" s="179" t="str">
        <f t="shared" si="333"/>
        <v/>
      </c>
      <c r="W932" s="179" t="str">
        <f t="shared" si="334"/>
        <v/>
      </c>
      <c r="X932" s="26"/>
    </row>
    <row r="933" hidden="1">
      <c r="A933" s="28"/>
      <c r="B933" s="28"/>
      <c r="C933" s="107"/>
      <c r="D933" s="83" t="s">
        <v>476</v>
      </c>
      <c r="E933" s="105">
        <f>350000*2</f>
        <v>700000</v>
      </c>
      <c r="F933" s="105">
        <f>(490000*2)</f>
        <v>980000</v>
      </c>
      <c r="G933" s="34">
        <f t="shared" si="335"/>
        <v>0.4</v>
      </c>
      <c r="H933" s="99"/>
      <c r="I933" s="99"/>
      <c r="J933" s="99"/>
      <c r="K933" s="99"/>
      <c r="L933" s="99"/>
      <c r="M933" s="99"/>
      <c r="N933" s="99"/>
      <c r="O933" s="99"/>
      <c r="P933" s="99"/>
      <c r="Q933" s="23"/>
      <c r="R933" s="23"/>
      <c r="S933" s="100"/>
      <c r="T933" s="24">
        <f t="shared" si="331"/>
        <v>-0.4</v>
      </c>
      <c r="U933" s="179">
        <f t="shared" si="332"/>
        <v>-1</v>
      </c>
      <c r="V933" s="179" t="str">
        <f t="shared" si="333"/>
        <v/>
      </c>
      <c r="W933" s="179" t="str">
        <f t="shared" si="334"/>
        <v/>
      </c>
      <c r="X933" s="26"/>
    </row>
    <row r="934" hidden="1">
      <c r="A934" s="28"/>
      <c r="B934" s="28"/>
      <c r="C934" s="107"/>
      <c r="D934" s="83" t="s">
        <v>477</v>
      </c>
      <c r="E934" s="105">
        <f>185000*2</f>
        <v>370000</v>
      </c>
      <c r="F934" s="105">
        <f>320000*2</f>
        <v>640000</v>
      </c>
      <c r="G934" s="34">
        <f t="shared" si="335"/>
        <v>0.7297297297</v>
      </c>
      <c r="H934" s="99"/>
      <c r="I934" s="99"/>
      <c r="J934" s="99"/>
      <c r="K934" s="99"/>
      <c r="L934" s="99"/>
      <c r="M934" s="99"/>
      <c r="N934" s="99"/>
      <c r="O934" s="99"/>
      <c r="P934" s="99"/>
      <c r="Q934" s="23"/>
      <c r="R934" s="23"/>
      <c r="S934" s="100"/>
      <c r="T934" s="24">
        <f t="shared" si="331"/>
        <v>-0.7297297297</v>
      </c>
      <c r="U934" s="179">
        <f t="shared" si="332"/>
        <v>-1</v>
      </c>
      <c r="V934" s="179" t="str">
        <f t="shared" si="333"/>
        <v/>
      </c>
      <c r="W934" s="179" t="str">
        <f t="shared" si="334"/>
        <v/>
      </c>
      <c r="X934" s="26"/>
    </row>
    <row r="935" hidden="1">
      <c r="A935" s="28"/>
      <c r="B935" s="28"/>
      <c r="C935" s="107"/>
      <c r="D935" s="83" t="s">
        <v>478</v>
      </c>
      <c r="E935" s="201">
        <v>350000.0</v>
      </c>
      <c r="F935" s="201">
        <v>580000.0</v>
      </c>
      <c r="G935" s="34">
        <f t="shared" si="335"/>
        <v>0.6571428571</v>
      </c>
      <c r="H935" s="99"/>
      <c r="I935" s="99"/>
      <c r="J935" s="99"/>
      <c r="K935" s="99"/>
      <c r="L935" s="99"/>
      <c r="M935" s="99"/>
      <c r="N935" s="99"/>
      <c r="O935" s="99"/>
      <c r="P935" s="99"/>
      <c r="Q935" s="23"/>
      <c r="R935" s="23"/>
      <c r="S935" s="100"/>
      <c r="T935" s="24">
        <f t="shared" si="331"/>
        <v>-0.6571428571</v>
      </c>
      <c r="U935" s="179">
        <f t="shared" si="332"/>
        <v>-1</v>
      </c>
      <c r="V935" s="179" t="str">
        <f t="shared" si="333"/>
        <v/>
      </c>
      <c r="W935" s="179" t="str">
        <f t="shared" si="334"/>
        <v/>
      </c>
      <c r="X935" s="26"/>
    </row>
    <row r="936" hidden="1">
      <c r="A936" s="28"/>
      <c r="B936" s="28"/>
      <c r="C936" s="107"/>
      <c r="D936" s="83" t="s">
        <v>479</v>
      </c>
      <c r="E936" s="105">
        <f>442000</f>
        <v>442000</v>
      </c>
      <c r="F936" s="105">
        <f>325000*2</f>
        <v>650000</v>
      </c>
      <c r="G936" s="34">
        <f t="shared" si="335"/>
        <v>0.4705882353</v>
      </c>
      <c r="H936" s="99"/>
      <c r="I936" s="99"/>
      <c r="J936" s="99"/>
      <c r="K936" s="99"/>
      <c r="L936" s="99"/>
      <c r="M936" s="99"/>
      <c r="N936" s="99"/>
      <c r="O936" s="99"/>
      <c r="P936" s="99"/>
      <c r="Q936" s="23"/>
      <c r="R936" s="23"/>
      <c r="S936" s="100"/>
      <c r="T936" s="24">
        <f t="shared" si="331"/>
        <v>-0.4705882353</v>
      </c>
      <c r="U936" s="179">
        <f t="shared" si="332"/>
        <v>-1</v>
      </c>
      <c r="V936" s="179" t="str">
        <f t="shared" si="333"/>
        <v/>
      </c>
      <c r="W936" s="179" t="str">
        <f t="shared" si="334"/>
        <v/>
      </c>
      <c r="X936" s="26"/>
    </row>
    <row r="937" hidden="1">
      <c r="A937" s="28"/>
      <c r="B937" s="28"/>
      <c r="C937" s="107"/>
      <c r="D937" s="83" t="s">
        <v>101</v>
      </c>
      <c r="E937" s="105">
        <f t="shared" ref="E937:F937" si="336">SUM(E932:E936)</f>
        <v>2422000</v>
      </c>
      <c r="F937" s="105">
        <f t="shared" si="336"/>
        <v>3750000</v>
      </c>
      <c r="G937" s="34">
        <f t="shared" si="335"/>
        <v>0.5483071841</v>
      </c>
      <c r="H937" s="99"/>
      <c r="I937" s="99"/>
      <c r="J937" s="99"/>
      <c r="K937" s="99"/>
      <c r="L937" s="99"/>
      <c r="M937" s="99"/>
      <c r="N937" s="99"/>
      <c r="O937" s="99"/>
      <c r="P937" s="99"/>
      <c r="Q937" s="23"/>
      <c r="R937" s="23"/>
      <c r="S937" s="100"/>
      <c r="T937" s="24">
        <f t="shared" si="331"/>
        <v>-0.5483071841</v>
      </c>
      <c r="U937" s="179">
        <f t="shared" si="332"/>
        <v>-1</v>
      </c>
      <c r="V937" s="179" t="str">
        <f t="shared" si="333"/>
        <v/>
      </c>
      <c r="W937" s="179" t="str">
        <f t="shared" si="334"/>
        <v/>
      </c>
      <c r="X937" s="26"/>
    </row>
    <row r="938" hidden="1">
      <c r="A938" s="28"/>
      <c r="B938" s="28"/>
      <c r="C938" s="107"/>
      <c r="D938" s="83" t="s">
        <v>148</v>
      </c>
      <c r="E938" s="105">
        <f>F937-E937</f>
        <v>1328000</v>
      </c>
      <c r="F938" s="105"/>
      <c r="G938" s="34"/>
      <c r="H938" s="99"/>
      <c r="I938" s="99"/>
      <c r="J938" s="99"/>
      <c r="K938" s="99"/>
      <c r="L938" s="99"/>
      <c r="M938" s="99"/>
      <c r="N938" s="99"/>
      <c r="O938" s="99"/>
      <c r="P938" s="99"/>
      <c r="Q938" s="23"/>
      <c r="R938" s="23"/>
      <c r="S938" s="100"/>
      <c r="T938" s="24">
        <f t="shared" si="331"/>
        <v>0</v>
      </c>
      <c r="U938" s="179" t="str">
        <f t="shared" si="332"/>
        <v/>
      </c>
      <c r="V938" s="179" t="str">
        <f t="shared" si="333"/>
        <v/>
      </c>
      <c r="W938" s="179" t="str">
        <f t="shared" si="334"/>
        <v/>
      </c>
      <c r="X938" s="26"/>
    </row>
    <row r="939" hidden="1">
      <c r="A939" s="28"/>
      <c r="B939" s="28"/>
      <c r="C939" s="107"/>
      <c r="D939" s="97"/>
      <c r="E939" s="105"/>
      <c r="F939" s="105"/>
      <c r="G939" s="34"/>
      <c r="H939" s="99"/>
      <c r="I939" s="99"/>
      <c r="J939" s="99"/>
      <c r="K939" s="99"/>
      <c r="L939" s="99"/>
      <c r="M939" s="99"/>
      <c r="N939" s="99"/>
      <c r="O939" s="99"/>
      <c r="P939" s="99"/>
      <c r="Q939" s="23"/>
      <c r="R939" s="23"/>
      <c r="S939" s="100"/>
      <c r="T939" s="24">
        <f t="shared" si="331"/>
        <v>0</v>
      </c>
      <c r="U939" s="179" t="str">
        <f t="shared" si="332"/>
        <v/>
      </c>
      <c r="V939" s="179" t="str">
        <f t="shared" si="333"/>
        <v/>
      </c>
      <c r="W939" s="179" t="str">
        <f t="shared" si="334"/>
        <v/>
      </c>
      <c r="X939" s="26"/>
    </row>
    <row r="940" hidden="1">
      <c r="A940" s="28"/>
      <c r="B940" s="28"/>
      <c r="C940" s="107"/>
      <c r="D940" s="97"/>
      <c r="E940" s="105"/>
      <c r="F940" s="105"/>
      <c r="G940" s="34"/>
      <c r="H940" s="99"/>
      <c r="I940" s="99"/>
      <c r="J940" s="99"/>
      <c r="K940" s="99"/>
      <c r="L940" s="99"/>
      <c r="M940" s="99"/>
      <c r="N940" s="99"/>
      <c r="O940" s="99"/>
      <c r="P940" s="99"/>
      <c r="Q940" s="23"/>
      <c r="R940" s="23"/>
      <c r="S940" s="100"/>
      <c r="T940" s="24">
        <f t="shared" si="331"/>
        <v>0</v>
      </c>
      <c r="U940" s="179" t="str">
        <f t="shared" si="332"/>
        <v/>
      </c>
      <c r="V940" s="179" t="str">
        <f t="shared" si="333"/>
        <v/>
      </c>
      <c r="W940" s="179" t="str">
        <f t="shared" si="334"/>
        <v/>
      </c>
      <c r="X940" s="26"/>
    </row>
    <row r="941" hidden="1">
      <c r="A941" s="28"/>
      <c r="B941" s="28"/>
      <c r="C941" s="82" t="s">
        <v>480</v>
      </c>
      <c r="D941" s="83" t="s">
        <v>475</v>
      </c>
      <c r="E941" s="105">
        <f>280000*2</f>
        <v>560000</v>
      </c>
      <c r="F941" s="105">
        <f t="shared" ref="F941:F942" si="337">450000*2</f>
        <v>900000</v>
      </c>
      <c r="G941" s="34">
        <f t="shared" ref="G941:G946" si="338">(F941-E941)/E941</f>
        <v>0.6071428571</v>
      </c>
      <c r="H941" s="99"/>
      <c r="I941" s="99"/>
      <c r="J941" s="99"/>
      <c r="K941" s="99"/>
      <c r="L941" s="99"/>
      <c r="M941" s="99"/>
      <c r="N941" s="99"/>
      <c r="O941" s="99"/>
      <c r="P941" s="99"/>
      <c r="Q941" s="23"/>
      <c r="R941" s="23"/>
      <c r="S941" s="100"/>
      <c r="T941" s="24">
        <f t="shared" si="331"/>
        <v>-0.6071428571</v>
      </c>
      <c r="U941" s="179">
        <f t="shared" si="332"/>
        <v>-1</v>
      </c>
      <c r="V941" s="179" t="str">
        <f t="shared" si="333"/>
        <v/>
      </c>
      <c r="W941" s="179" t="str">
        <f t="shared" si="334"/>
        <v/>
      </c>
      <c r="X941" s="26"/>
    </row>
    <row r="942" hidden="1">
      <c r="A942" s="28"/>
      <c r="B942" s="28"/>
      <c r="C942" s="107"/>
      <c r="D942" s="83" t="s">
        <v>476</v>
      </c>
      <c r="E942" s="105">
        <f>350000*2</f>
        <v>700000</v>
      </c>
      <c r="F942" s="105">
        <f t="shared" si="337"/>
        <v>900000</v>
      </c>
      <c r="G942" s="34">
        <f t="shared" si="338"/>
        <v>0.2857142857</v>
      </c>
      <c r="H942" s="99"/>
      <c r="I942" s="99"/>
      <c r="J942" s="99"/>
      <c r="K942" s="99"/>
      <c r="L942" s="99"/>
      <c r="M942" s="99"/>
      <c r="N942" s="99"/>
      <c r="O942" s="99"/>
      <c r="P942" s="99"/>
      <c r="Q942" s="23"/>
      <c r="R942" s="23"/>
      <c r="S942" s="100"/>
      <c r="T942" s="24">
        <f t="shared" si="331"/>
        <v>-0.2857142857</v>
      </c>
      <c r="U942" s="179">
        <f t="shared" si="332"/>
        <v>-1</v>
      </c>
      <c r="V942" s="179" t="str">
        <f t="shared" si="333"/>
        <v/>
      </c>
      <c r="W942" s="179" t="str">
        <f t="shared" si="334"/>
        <v/>
      </c>
      <c r="X942" s="26"/>
    </row>
    <row r="943" hidden="1">
      <c r="A943" s="28"/>
      <c r="B943" s="28"/>
      <c r="C943" s="107"/>
      <c r="D943" s="83" t="s">
        <v>477</v>
      </c>
      <c r="E943" s="105">
        <f>185000*2</f>
        <v>370000</v>
      </c>
      <c r="F943" s="105">
        <f>300000*2</f>
        <v>600000</v>
      </c>
      <c r="G943" s="34">
        <f t="shared" si="338"/>
        <v>0.6216216216</v>
      </c>
      <c r="H943" s="99"/>
      <c r="I943" s="99"/>
      <c r="J943" s="99"/>
      <c r="K943" s="99"/>
      <c r="L943" s="99"/>
      <c r="M943" s="99"/>
      <c r="N943" s="99"/>
      <c r="O943" s="99"/>
      <c r="P943" s="99"/>
      <c r="Q943" s="23"/>
      <c r="R943" s="23"/>
      <c r="S943" s="100"/>
      <c r="T943" s="24">
        <f t="shared" si="331"/>
        <v>-0.6216216216</v>
      </c>
      <c r="U943" s="179">
        <f t="shared" si="332"/>
        <v>-1</v>
      </c>
      <c r="V943" s="179" t="str">
        <f t="shared" si="333"/>
        <v/>
      </c>
      <c r="W943" s="179" t="str">
        <f t="shared" si="334"/>
        <v/>
      </c>
      <c r="X943" s="26"/>
    </row>
    <row r="944" hidden="1">
      <c r="A944" s="28"/>
      <c r="B944" s="28"/>
      <c r="C944" s="107"/>
      <c r="D944" s="83" t="s">
        <v>478</v>
      </c>
      <c r="E944" s="201">
        <v>350000.0</v>
      </c>
      <c r="F944" s="201">
        <v>580000.0</v>
      </c>
      <c r="G944" s="34">
        <f t="shared" si="338"/>
        <v>0.6571428571</v>
      </c>
      <c r="H944" s="99"/>
      <c r="I944" s="99"/>
      <c r="J944" s="99"/>
      <c r="K944" s="99"/>
      <c r="L944" s="99"/>
      <c r="M944" s="99"/>
      <c r="N944" s="99"/>
      <c r="O944" s="99"/>
      <c r="P944" s="99"/>
      <c r="Q944" s="23"/>
      <c r="R944" s="23"/>
      <c r="S944" s="100"/>
      <c r="T944" s="24">
        <f t="shared" si="331"/>
        <v>-0.6571428571</v>
      </c>
      <c r="U944" s="179">
        <f t="shared" si="332"/>
        <v>-1</v>
      </c>
      <c r="V944" s="179" t="str">
        <f t="shared" si="333"/>
        <v/>
      </c>
      <c r="W944" s="179" t="str">
        <f t="shared" si="334"/>
        <v/>
      </c>
      <c r="X944" s="26"/>
    </row>
    <row r="945" hidden="1">
      <c r="A945" s="28"/>
      <c r="B945" s="28"/>
      <c r="C945" s="107"/>
      <c r="D945" s="83" t="s">
        <v>479</v>
      </c>
      <c r="E945" s="105">
        <f>442000</f>
        <v>442000</v>
      </c>
      <c r="F945" s="105">
        <f>325000*2</f>
        <v>650000</v>
      </c>
      <c r="G945" s="34">
        <f t="shared" si="338"/>
        <v>0.4705882353</v>
      </c>
      <c r="H945" s="99"/>
      <c r="I945" s="99"/>
      <c r="J945" s="99"/>
      <c r="K945" s="99"/>
      <c r="L945" s="99"/>
      <c r="M945" s="99"/>
      <c r="N945" s="99"/>
      <c r="O945" s="99"/>
      <c r="P945" s="99"/>
      <c r="Q945" s="23"/>
      <c r="R945" s="23"/>
      <c r="S945" s="100"/>
      <c r="T945" s="24">
        <f t="shared" si="331"/>
        <v>-0.4705882353</v>
      </c>
      <c r="U945" s="179">
        <f t="shared" si="332"/>
        <v>-1</v>
      </c>
      <c r="V945" s="179" t="str">
        <f t="shared" si="333"/>
        <v/>
      </c>
      <c r="W945" s="179" t="str">
        <f t="shared" si="334"/>
        <v/>
      </c>
      <c r="X945" s="26"/>
    </row>
    <row r="946" hidden="1">
      <c r="A946" s="28"/>
      <c r="B946" s="28"/>
      <c r="C946" s="107"/>
      <c r="D946" s="83" t="s">
        <v>101</v>
      </c>
      <c r="E946" s="105">
        <f t="shared" ref="E946:F946" si="339">SUM(E941:E945)</f>
        <v>2422000</v>
      </c>
      <c r="F946" s="105">
        <f t="shared" si="339"/>
        <v>3630000</v>
      </c>
      <c r="G946" s="34">
        <f t="shared" si="338"/>
        <v>0.4987613543</v>
      </c>
      <c r="H946" s="99">
        <f>F937-F946</f>
        <v>120000</v>
      </c>
      <c r="I946" s="99"/>
      <c r="J946" s="99"/>
      <c r="K946" s="99"/>
      <c r="L946" s="99"/>
      <c r="M946" s="99"/>
      <c r="N946" s="99"/>
      <c r="O946" s="99"/>
      <c r="P946" s="99"/>
      <c r="Q946" s="23"/>
      <c r="R946" s="23"/>
      <c r="S946" s="100"/>
      <c r="T946" s="24">
        <f t="shared" si="331"/>
        <v>-0.4987613543</v>
      </c>
      <c r="U946" s="179">
        <f t="shared" si="332"/>
        <v>-1</v>
      </c>
      <c r="V946" s="179" t="str">
        <f t="shared" si="333"/>
        <v/>
      </c>
      <c r="W946" s="179" t="str">
        <f t="shared" si="334"/>
        <v/>
      </c>
      <c r="X946" s="26"/>
    </row>
    <row r="947" hidden="1">
      <c r="A947" s="28"/>
      <c r="B947" s="28"/>
      <c r="C947" s="107"/>
      <c r="D947" s="83" t="s">
        <v>148</v>
      </c>
      <c r="E947" s="105">
        <f>F946-E946</f>
        <v>1208000</v>
      </c>
      <c r="F947" s="105"/>
      <c r="G947" s="34"/>
      <c r="H947" s="99"/>
      <c r="I947" s="99"/>
      <c r="J947" s="99"/>
      <c r="K947" s="99"/>
      <c r="L947" s="99"/>
      <c r="M947" s="99"/>
      <c r="N947" s="99"/>
      <c r="O947" s="99"/>
      <c r="P947" s="99"/>
      <c r="Q947" s="23"/>
      <c r="R947" s="23"/>
      <c r="S947" s="100"/>
      <c r="T947" s="24">
        <f t="shared" si="331"/>
        <v>0</v>
      </c>
      <c r="U947" s="179" t="str">
        <f t="shared" si="332"/>
        <v/>
      </c>
      <c r="V947" s="179" t="str">
        <f t="shared" si="333"/>
        <v/>
      </c>
      <c r="W947" s="179" t="str">
        <f t="shared" si="334"/>
        <v/>
      </c>
      <c r="X947" s="26"/>
    </row>
    <row r="948" hidden="1">
      <c r="A948" s="28"/>
      <c r="B948" s="28"/>
      <c r="C948" s="107"/>
      <c r="D948" s="97"/>
      <c r="E948" s="105"/>
      <c r="F948" s="105"/>
      <c r="G948" s="34"/>
      <c r="H948" s="99"/>
      <c r="I948" s="99"/>
      <c r="J948" s="99"/>
      <c r="K948" s="99"/>
      <c r="L948" s="99"/>
      <c r="M948" s="99"/>
      <c r="N948" s="99"/>
      <c r="O948" s="99"/>
      <c r="P948" s="99"/>
      <c r="Q948" s="23"/>
      <c r="R948" s="23"/>
      <c r="S948" s="100"/>
      <c r="T948" s="24">
        <f t="shared" si="331"/>
        <v>0</v>
      </c>
      <c r="U948" s="179" t="str">
        <f t="shared" si="332"/>
        <v/>
      </c>
      <c r="V948" s="179" t="str">
        <f t="shared" si="333"/>
        <v/>
      </c>
      <c r="W948" s="179" t="str">
        <f t="shared" si="334"/>
        <v/>
      </c>
      <c r="X948" s="26"/>
    </row>
    <row r="949" hidden="1">
      <c r="A949" s="28"/>
      <c r="B949" s="28"/>
      <c r="C949" s="82" t="s">
        <v>481</v>
      </c>
      <c r="D949" s="83" t="s">
        <v>475</v>
      </c>
      <c r="E949" s="105">
        <f>280000*2</f>
        <v>560000</v>
      </c>
      <c r="F949" s="105">
        <f>450000*2</f>
        <v>900000</v>
      </c>
      <c r="G949" s="34">
        <f t="shared" ref="G949:G954" si="340">(F949-E949)/E949</f>
        <v>0.6071428571</v>
      </c>
      <c r="H949" s="99"/>
      <c r="I949" s="99"/>
      <c r="J949" s="99"/>
      <c r="K949" s="99"/>
      <c r="L949" s="99"/>
      <c r="M949" s="99"/>
      <c r="N949" s="99"/>
      <c r="O949" s="99"/>
      <c r="P949" s="99"/>
      <c r="Q949" s="23"/>
      <c r="R949" s="23"/>
      <c r="S949" s="100"/>
      <c r="T949" s="24">
        <f t="shared" si="331"/>
        <v>-0.6071428571</v>
      </c>
      <c r="U949" s="179">
        <f t="shared" si="332"/>
        <v>-1</v>
      </c>
      <c r="V949" s="179" t="str">
        <f t="shared" si="333"/>
        <v/>
      </c>
      <c r="W949" s="179" t="str">
        <f t="shared" si="334"/>
        <v/>
      </c>
      <c r="X949" s="26"/>
    </row>
    <row r="950" hidden="1">
      <c r="A950" s="28"/>
      <c r="B950" s="28"/>
      <c r="C950" s="107"/>
      <c r="D950" s="83" t="s">
        <v>284</v>
      </c>
      <c r="E950" s="105">
        <f>666000*2</f>
        <v>1332000</v>
      </c>
      <c r="F950" s="201">
        <f>870000*2</f>
        <v>1740000</v>
      </c>
      <c r="G950" s="34">
        <f t="shared" si="340"/>
        <v>0.3063063063</v>
      </c>
      <c r="H950" s="99"/>
      <c r="I950" s="99"/>
      <c r="J950" s="99"/>
      <c r="K950" s="99"/>
      <c r="L950" s="99"/>
      <c r="M950" s="99"/>
      <c r="N950" s="99"/>
      <c r="O950" s="99"/>
      <c r="P950" s="99"/>
      <c r="Q950" s="23"/>
      <c r="R950" s="23"/>
      <c r="S950" s="100"/>
      <c r="T950" s="24">
        <f t="shared" si="331"/>
        <v>-0.3063063063</v>
      </c>
      <c r="U950" s="179">
        <f t="shared" si="332"/>
        <v>-1</v>
      </c>
      <c r="V950" s="179" t="str">
        <f t="shared" si="333"/>
        <v/>
      </c>
      <c r="W950" s="179" t="str">
        <f t="shared" si="334"/>
        <v/>
      </c>
      <c r="X950" s="26"/>
    </row>
    <row r="951" hidden="1">
      <c r="A951" s="28"/>
      <c r="B951" s="28"/>
      <c r="C951" s="107"/>
      <c r="D951" s="83" t="s">
        <v>477</v>
      </c>
      <c r="E951" s="105">
        <f>185000*2</f>
        <v>370000</v>
      </c>
      <c r="F951" s="105">
        <f>320000*2</f>
        <v>640000</v>
      </c>
      <c r="G951" s="34">
        <f t="shared" si="340"/>
        <v>0.7297297297</v>
      </c>
      <c r="H951" s="99"/>
      <c r="I951" s="99"/>
      <c r="J951" s="99"/>
      <c r="K951" s="99"/>
      <c r="L951" s="99"/>
      <c r="M951" s="99"/>
      <c r="N951" s="99"/>
      <c r="O951" s="99"/>
      <c r="P951" s="99"/>
      <c r="Q951" s="23"/>
      <c r="R951" s="23"/>
      <c r="S951" s="100"/>
      <c r="T951" s="24">
        <f t="shared" si="331"/>
        <v>-0.7297297297</v>
      </c>
      <c r="U951" s="179">
        <f t="shared" si="332"/>
        <v>-1</v>
      </c>
      <c r="V951" s="179" t="str">
        <f t="shared" si="333"/>
        <v/>
      </c>
      <c r="W951" s="179" t="str">
        <f t="shared" si="334"/>
        <v/>
      </c>
      <c r="X951" s="26"/>
    </row>
    <row r="952" hidden="1">
      <c r="A952" s="28"/>
      <c r="B952" s="28"/>
      <c r="C952" s="107"/>
      <c r="D952" s="83" t="s">
        <v>478</v>
      </c>
      <c r="E952" s="201">
        <v>350000.0</v>
      </c>
      <c r="F952" s="201">
        <v>580000.0</v>
      </c>
      <c r="G952" s="34">
        <f t="shared" si="340"/>
        <v>0.6571428571</v>
      </c>
      <c r="H952" s="99"/>
      <c r="I952" s="99"/>
      <c r="J952" s="99"/>
      <c r="K952" s="99"/>
      <c r="L952" s="99"/>
      <c r="M952" s="99"/>
      <c r="N952" s="99"/>
      <c r="O952" s="99"/>
      <c r="P952" s="99"/>
      <c r="Q952" s="23"/>
      <c r="R952" s="23"/>
      <c r="S952" s="100"/>
      <c r="T952" s="24">
        <f t="shared" si="331"/>
        <v>-0.6571428571</v>
      </c>
      <c r="U952" s="179">
        <f t="shared" si="332"/>
        <v>-1</v>
      </c>
      <c r="V952" s="179" t="str">
        <f t="shared" si="333"/>
        <v/>
      </c>
      <c r="W952" s="179" t="str">
        <f t="shared" si="334"/>
        <v/>
      </c>
      <c r="X952" s="26"/>
    </row>
    <row r="953" hidden="1">
      <c r="A953" s="28"/>
      <c r="B953" s="28"/>
      <c r="C953" s="107"/>
      <c r="D953" s="83" t="s">
        <v>479</v>
      </c>
      <c r="E953" s="105">
        <f>442000</f>
        <v>442000</v>
      </c>
      <c r="F953" s="105">
        <f>325000*2</f>
        <v>650000</v>
      </c>
      <c r="G953" s="34">
        <f t="shared" si="340"/>
        <v>0.4705882353</v>
      </c>
      <c r="H953" s="99"/>
      <c r="I953" s="99"/>
      <c r="J953" s="99"/>
      <c r="K953" s="99"/>
      <c r="L953" s="99"/>
      <c r="M953" s="99"/>
      <c r="N953" s="99"/>
      <c r="O953" s="99"/>
      <c r="P953" s="99"/>
      <c r="Q953" s="23"/>
      <c r="R953" s="23"/>
      <c r="S953" s="100"/>
      <c r="T953" s="24">
        <f t="shared" si="331"/>
        <v>-0.4705882353</v>
      </c>
      <c r="U953" s="179">
        <f t="shared" si="332"/>
        <v>-1</v>
      </c>
      <c r="V953" s="179" t="str">
        <f t="shared" si="333"/>
        <v/>
      </c>
      <c r="W953" s="179" t="str">
        <f t="shared" si="334"/>
        <v/>
      </c>
      <c r="X953" s="26"/>
    </row>
    <row r="954" hidden="1">
      <c r="A954" s="28"/>
      <c r="B954" s="28"/>
      <c r="C954" s="107"/>
      <c r="D954" s="83" t="s">
        <v>101</v>
      </c>
      <c r="E954" s="105">
        <f t="shared" ref="E954:F954" si="341">SUM(E949:E953)</f>
        <v>3054000</v>
      </c>
      <c r="F954" s="105">
        <f t="shared" si="341"/>
        <v>4510000</v>
      </c>
      <c r="G954" s="34">
        <f t="shared" si="340"/>
        <v>0.4767518009</v>
      </c>
      <c r="H954" s="99"/>
      <c r="I954" s="99"/>
      <c r="J954" s="99"/>
      <c r="K954" s="99"/>
      <c r="L954" s="99"/>
      <c r="M954" s="99"/>
      <c r="N954" s="99"/>
      <c r="O954" s="99"/>
      <c r="P954" s="99"/>
      <c r="Q954" s="23"/>
      <c r="R954" s="23"/>
      <c r="S954" s="100"/>
      <c r="T954" s="24">
        <f t="shared" si="331"/>
        <v>-0.4767518009</v>
      </c>
      <c r="U954" s="179">
        <f t="shared" si="332"/>
        <v>-1</v>
      </c>
      <c r="V954" s="179" t="str">
        <f t="shared" si="333"/>
        <v/>
      </c>
      <c r="W954" s="179" t="str">
        <f t="shared" si="334"/>
        <v/>
      </c>
      <c r="X954" s="26"/>
    </row>
    <row r="955" hidden="1">
      <c r="A955" s="28"/>
      <c r="B955" s="28"/>
      <c r="C955" s="107"/>
      <c r="D955" s="83" t="s">
        <v>148</v>
      </c>
      <c r="E955" s="105">
        <f>F954-E954</f>
        <v>1456000</v>
      </c>
      <c r="F955" s="105"/>
      <c r="G955" s="34"/>
      <c r="H955" s="99"/>
      <c r="I955" s="99"/>
      <c r="J955" s="99"/>
      <c r="K955" s="99"/>
      <c r="L955" s="99"/>
      <c r="M955" s="99"/>
      <c r="N955" s="99"/>
      <c r="O955" s="99"/>
      <c r="P955" s="99"/>
      <c r="Q955" s="23"/>
      <c r="R955" s="23"/>
      <c r="S955" s="100"/>
      <c r="T955" s="24">
        <f t="shared" si="331"/>
        <v>0</v>
      </c>
      <c r="U955" s="179" t="str">
        <f t="shared" si="332"/>
        <v/>
      </c>
      <c r="V955" s="179" t="str">
        <f t="shared" si="333"/>
        <v/>
      </c>
      <c r="W955" s="179" t="str">
        <f t="shared" si="334"/>
        <v/>
      </c>
      <c r="X955" s="26"/>
    </row>
    <row r="956" hidden="1">
      <c r="A956" s="28"/>
      <c r="B956" s="28"/>
      <c r="C956" s="107"/>
      <c r="D956" s="97"/>
      <c r="E956" s="105"/>
      <c r="F956" s="105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23"/>
      <c r="R956" s="23"/>
      <c r="S956" s="100"/>
      <c r="T956" s="24">
        <f t="shared" si="331"/>
        <v>0</v>
      </c>
      <c r="U956" s="179" t="str">
        <f t="shared" si="332"/>
        <v/>
      </c>
      <c r="V956" s="179" t="str">
        <f t="shared" si="333"/>
        <v/>
      </c>
      <c r="W956" s="179" t="str">
        <f t="shared" si="334"/>
        <v/>
      </c>
      <c r="X956" s="26"/>
    </row>
    <row r="957" hidden="1">
      <c r="A957" s="28"/>
      <c r="B957" s="28"/>
      <c r="C957" s="107"/>
      <c r="D957" s="97"/>
      <c r="E957" s="105"/>
      <c r="F957" s="105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23"/>
      <c r="R957" s="23"/>
      <c r="S957" s="100"/>
      <c r="T957" s="24">
        <f t="shared" si="331"/>
        <v>0</v>
      </c>
      <c r="U957" s="179" t="str">
        <f t="shared" si="332"/>
        <v/>
      </c>
      <c r="V957" s="179" t="str">
        <f t="shared" si="333"/>
        <v/>
      </c>
      <c r="W957" s="179" t="str">
        <f t="shared" si="334"/>
        <v/>
      </c>
      <c r="X957" s="26"/>
    </row>
    <row r="958" hidden="1">
      <c r="A958" s="28"/>
      <c r="B958" s="28"/>
      <c r="C958" s="82" t="s">
        <v>482</v>
      </c>
      <c r="D958" s="83" t="s">
        <v>475</v>
      </c>
      <c r="E958" s="105">
        <f>280000*2</f>
        <v>560000</v>
      </c>
      <c r="F958" s="105">
        <f>450000*2</f>
        <v>900000</v>
      </c>
      <c r="G958" s="34">
        <f t="shared" ref="G958:G963" si="342">(F958-E958)/E958</f>
        <v>0.6071428571</v>
      </c>
      <c r="H958" s="99"/>
      <c r="I958" s="99"/>
      <c r="J958" s="99"/>
      <c r="K958" s="99"/>
      <c r="L958" s="99"/>
      <c r="M958" s="99"/>
      <c r="N958" s="99"/>
      <c r="O958" s="99"/>
      <c r="P958" s="99"/>
      <c r="Q958" s="23"/>
      <c r="R958" s="23"/>
      <c r="S958" s="100"/>
      <c r="T958" s="24">
        <f t="shared" si="331"/>
        <v>-0.6071428571</v>
      </c>
      <c r="U958" s="179">
        <f t="shared" si="332"/>
        <v>-1</v>
      </c>
      <c r="V958" s="179" t="str">
        <f t="shared" si="333"/>
        <v/>
      </c>
      <c r="W958" s="179" t="str">
        <f t="shared" si="334"/>
        <v/>
      </c>
      <c r="X958" s="26"/>
    </row>
    <row r="959" hidden="1">
      <c r="A959" s="28"/>
      <c r="B959" s="28"/>
      <c r="C959" s="107"/>
      <c r="D959" s="83" t="s">
        <v>284</v>
      </c>
      <c r="E959" s="105">
        <f>666000*2</f>
        <v>1332000</v>
      </c>
      <c r="F959" s="201">
        <f>815000*2</f>
        <v>1630000</v>
      </c>
      <c r="G959" s="34">
        <f t="shared" si="342"/>
        <v>0.2237237237</v>
      </c>
      <c r="H959" s="99"/>
      <c r="I959" s="99"/>
      <c r="J959" s="99"/>
      <c r="K959" s="99"/>
      <c r="L959" s="99"/>
      <c r="M959" s="99"/>
      <c r="N959" s="99"/>
      <c r="O959" s="99"/>
      <c r="P959" s="99"/>
      <c r="Q959" s="23"/>
      <c r="R959" s="23"/>
      <c r="S959" s="100"/>
      <c r="T959" s="24">
        <f t="shared" si="331"/>
        <v>-0.2237237237</v>
      </c>
      <c r="U959" s="179">
        <f t="shared" si="332"/>
        <v>-1</v>
      </c>
      <c r="V959" s="179" t="str">
        <f t="shared" si="333"/>
        <v/>
      </c>
      <c r="W959" s="179" t="str">
        <f t="shared" si="334"/>
        <v/>
      </c>
      <c r="X959" s="26"/>
    </row>
    <row r="960" hidden="1">
      <c r="A960" s="28"/>
      <c r="B960" s="28"/>
      <c r="C960" s="107"/>
      <c r="D960" s="83" t="s">
        <v>477</v>
      </c>
      <c r="E960" s="105">
        <f>185000*2</f>
        <v>370000</v>
      </c>
      <c r="F960" s="105">
        <f>300000*2</f>
        <v>600000</v>
      </c>
      <c r="G960" s="34">
        <f t="shared" si="342"/>
        <v>0.6216216216</v>
      </c>
      <c r="H960" s="99"/>
      <c r="I960" s="99"/>
      <c r="J960" s="99"/>
      <c r="K960" s="99"/>
      <c r="L960" s="99"/>
      <c r="M960" s="99"/>
      <c r="N960" s="99"/>
      <c r="O960" s="99"/>
      <c r="P960" s="99"/>
      <c r="Q960" s="23"/>
      <c r="R960" s="23"/>
      <c r="S960" s="100"/>
      <c r="T960" s="24">
        <f t="shared" si="331"/>
        <v>-0.6216216216</v>
      </c>
      <c r="U960" s="179">
        <f t="shared" si="332"/>
        <v>-1</v>
      </c>
      <c r="V960" s="179" t="str">
        <f t="shared" si="333"/>
        <v/>
      </c>
      <c r="W960" s="179" t="str">
        <f t="shared" si="334"/>
        <v/>
      </c>
      <c r="X960" s="26"/>
    </row>
    <row r="961" hidden="1">
      <c r="A961" s="28"/>
      <c r="B961" s="28"/>
      <c r="C961" s="107"/>
      <c r="D961" s="83" t="s">
        <v>478</v>
      </c>
      <c r="E961" s="201">
        <v>350000.0</v>
      </c>
      <c r="F961" s="201">
        <v>580000.0</v>
      </c>
      <c r="G961" s="34">
        <f t="shared" si="342"/>
        <v>0.6571428571</v>
      </c>
      <c r="H961" s="99"/>
      <c r="I961" s="99"/>
      <c r="J961" s="99"/>
      <c r="K961" s="99"/>
      <c r="L961" s="99"/>
      <c r="M961" s="99"/>
      <c r="N961" s="99"/>
      <c r="O961" s="99"/>
      <c r="P961" s="99"/>
      <c r="Q961" s="23"/>
      <c r="R961" s="23"/>
      <c r="S961" s="100"/>
      <c r="T961" s="24">
        <f t="shared" si="331"/>
        <v>-0.6571428571</v>
      </c>
      <c r="U961" s="179">
        <f t="shared" si="332"/>
        <v>-1</v>
      </c>
      <c r="V961" s="179" t="str">
        <f t="shared" si="333"/>
        <v/>
      </c>
      <c r="W961" s="179" t="str">
        <f t="shared" si="334"/>
        <v/>
      </c>
      <c r="X961" s="26"/>
    </row>
    <row r="962" hidden="1">
      <c r="A962" s="28"/>
      <c r="B962" s="28"/>
      <c r="C962" s="107"/>
      <c r="D962" s="83" t="s">
        <v>479</v>
      </c>
      <c r="E962" s="105">
        <f>442000</f>
        <v>442000</v>
      </c>
      <c r="F962" s="105">
        <f>325000*2</f>
        <v>650000</v>
      </c>
      <c r="G962" s="34">
        <f t="shared" si="342"/>
        <v>0.4705882353</v>
      </c>
      <c r="H962" s="99"/>
      <c r="I962" s="99"/>
      <c r="J962" s="99"/>
      <c r="K962" s="99"/>
      <c r="L962" s="99"/>
      <c r="M962" s="99"/>
      <c r="N962" s="99"/>
      <c r="O962" s="99"/>
      <c r="P962" s="99"/>
      <c r="Q962" s="23"/>
      <c r="R962" s="23"/>
      <c r="S962" s="100"/>
      <c r="T962" s="24">
        <f t="shared" si="331"/>
        <v>-0.4705882353</v>
      </c>
      <c r="U962" s="179">
        <f t="shared" si="332"/>
        <v>-1</v>
      </c>
      <c r="V962" s="179" t="str">
        <f t="shared" si="333"/>
        <v/>
      </c>
      <c r="W962" s="179" t="str">
        <f t="shared" si="334"/>
        <v/>
      </c>
      <c r="X962" s="26"/>
    </row>
    <row r="963" hidden="1">
      <c r="A963" s="28"/>
      <c r="B963" s="28"/>
      <c r="C963" s="107"/>
      <c r="D963" s="83" t="s">
        <v>101</v>
      </c>
      <c r="E963" s="105">
        <f t="shared" ref="E963:F963" si="343">SUM(E958:E962)</f>
        <v>3054000</v>
      </c>
      <c r="F963" s="105">
        <f t="shared" si="343"/>
        <v>4360000</v>
      </c>
      <c r="G963" s="34">
        <f t="shared" si="342"/>
        <v>0.4276358874</v>
      </c>
      <c r="H963" s="99"/>
      <c r="I963" s="99"/>
      <c r="J963" s="99"/>
      <c r="K963" s="99"/>
      <c r="L963" s="99"/>
      <c r="M963" s="99"/>
      <c r="N963" s="99"/>
      <c r="O963" s="99"/>
      <c r="P963" s="99"/>
      <c r="Q963" s="23"/>
      <c r="R963" s="23"/>
      <c r="S963" s="100"/>
      <c r="T963" s="24">
        <f t="shared" si="331"/>
        <v>-0.4276358874</v>
      </c>
      <c r="U963" s="179">
        <f t="shared" si="332"/>
        <v>-1</v>
      </c>
      <c r="V963" s="179" t="str">
        <f t="shared" si="333"/>
        <v/>
      </c>
      <c r="W963" s="179" t="str">
        <f t="shared" si="334"/>
        <v/>
      </c>
      <c r="X963" s="26"/>
    </row>
    <row r="964" hidden="1">
      <c r="A964" s="28"/>
      <c r="B964" s="28"/>
      <c r="C964" s="107"/>
      <c r="D964" s="83" t="s">
        <v>148</v>
      </c>
      <c r="E964" s="105">
        <f>F963-E963</f>
        <v>1306000</v>
      </c>
      <c r="F964" s="105"/>
      <c r="G964" s="34"/>
      <c r="H964" s="99">
        <f>F954-F963</f>
        <v>150000</v>
      </c>
      <c r="I964" s="99"/>
      <c r="J964" s="99"/>
      <c r="K964" s="99"/>
      <c r="L964" s="99"/>
      <c r="M964" s="99"/>
      <c r="N964" s="99"/>
      <c r="O964" s="99"/>
      <c r="P964" s="99"/>
      <c r="Q964" s="23"/>
      <c r="R964" s="23"/>
      <c r="S964" s="100"/>
      <c r="T964" s="24">
        <f t="shared" si="331"/>
        <v>0</v>
      </c>
      <c r="U964" s="179" t="str">
        <f t="shared" si="332"/>
        <v/>
      </c>
      <c r="V964" s="179" t="str">
        <f t="shared" si="333"/>
        <v/>
      </c>
      <c r="W964" s="179" t="str">
        <f t="shared" si="334"/>
        <v/>
      </c>
      <c r="X964" s="26"/>
    </row>
    <row r="965" hidden="1">
      <c r="A965" s="28"/>
      <c r="B965" s="28"/>
      <c r="C965" s="107"/>
      <c r="D965" s="97"/>
      <c r="E965" s="105"/>
      <c r="F965" s="105"/>
      <c r="G965" s="34"/>
      <c r="H965" s="99"/>
      <c r="I965" s="99"/>
      <c r="J965" s="99"/>
      <c r="K965" s="99"/>
      <c r="L965" s="99"/>
      <c r="M965" s="99"/>
      <c r="N965" s="99"/>
      <c r="O965" s="99"/>
      <c r="P965" s="99"/>
      <c r="Q965" s="23"/>
      <c r="R965" s="23"/>
      <c r="S965" s="100"/>
      <c r="T965" s="24">
        <f t="shared" si="331"/>
        <v>0</v>
      </c>
      <c r="U965" s="179" t="str">
        <f t="shared" si="332"/>
        <v/>
      </c>
      <c r="V965" s="179" t="str">
        <f t="shared" si="333"/>
        <v/>
      </c>
      <c r="W965" s="179" t="str">
        <f t="shared" si="334"/>
        <v/>
      </c>
      <c r="X965" s="26"/>
    </row>
    <row r="966" hidden="1">
      <c r="A966" s="28"/>
      <c r="B966" s="28"/>
      <c r="C966" s="107"/>
      <c r="D966" s="97"/>
      <c r="E966" s="201" t="s">
        <v>172</v>
      </c>
      <c r="F966" s="105"/>
      <c r="G966" s="34"/>
      <c r="H966" s="99"/>
      <c r="I966" s="99"/>
      <c r="J966" s="99"/>
      <c r="K966" s="99"/>
      <c r="L966" s="99"/>
      <c r="M966" s="99"/>
      <c r="N966" s="99"/>
      <c r="O966" s="99"/>
      <c r="P966" s="99"/>
      <c r="Q966" s="23"/>
      <c r="R966" s="23"/>
      <c r="S966" s="100"/>
      <c r="T966" s="24">
        <f t="shared" si="331"/>
        <v>0</v>
      </c>
      <c r="U966" s="179" t="str">
        <f t="shared" si="332"/>
        <v/>
      </c>
      <c r="V966" s="179" t="str">
        <f t="shared" si="333"/>
        <v/>
      </c>
      <c r="W966" s="179" t="str">
        <f t="shared" si="334"/>
        <v/>
      </c>
      <c r="X966" s="26"/>
    </row>
    <row r="967" hidden="1">
      <c r="A967" s="28"/>
      <c r="B967" s="28"/>
      <c r="C967" s="82" t="s">
        <v>483</v>
      </c>
      <c r="D967" s="83" t="s">
        <v>484</v>
      </c>
      <c r="E967" s="105">
        <f>420000+36000*5+50000</f>
        <v>650000</v>
      </c>
      <c r="F967" s="105">
        <f>E967*1.75</f>
        <v>1137500</v>
      </c>
      <c r="G967" s="34">
        <f>(F967-E967)/E967</f>
        <v>0.75</v>
      </c>
      <c r="H967" s="99"/>
      <c r="I967" s="99"/>
      <c r="J967" s="99"/>
      <c r="K967" s="99"/>
      <c r="L967" s="99"/>
      <c r="M967" s="99"/>
      <c r="N967" s="99"/>
      <c r="O967" s="99"/>
      <c r="P967" s="99"/>
      <c r="Q967" s="23"/>
      <c r="R967" s="23"/>
      <c r="S967" s="100"/>
      <c r="T967" s="24">
        <f t="shared" si="331"/>
        <v>-0.75</v>
      </c>
      <c r="U967" s="179">
        <f t="shared" si="332"/>
        <v>-1</v>
      </c>
      <c r="V967" s="179" t="str">
        <f t="shared" si="333"/>
        <v/>
      </c>
      <c r="W967" s="179" t="str">
        <f t="shared" si="334"/>
        <v/>
      </c>
      <c r="X967" s="26"/>
    </row>
    <row r="968" hidden="1">
      <c r="A968" s="28"/>
      <c r="B968" s="28"/>
      <c r="C968" s="107"/>
      <c r="D968" s="83" t="s">
        <v>148</v>
      </c>
      <c r="E968" s="105">
        <f>F967-E967</f>
        <v>487500</v>
      </c>
      <c r="F968" s="105"/>
      <c r="G968" s="34"/>
      <c r="H968" s="99"/>
      <c r="I968" s="99"/>
      <c r="J968" s="99"/>
      <c r="K968" s="99"/>
      <c r="L968" s="99"/>
      <c r="M968" s="99"/>
      <c r="N968" s="99"/>
      <c r="O968" s="99"/>
      <c r="P968" s="99"/>
      <c r="Q968" s="23"/>
      <c r="R968" s="23"/>
      <c r="S968" s="100"/>
      <c r="T968" s="24">
        <f t="shared" si="331"/>
        <v>0</v>
      </c>
      <c r="U968" s="179" t="str">
        <f t="shared" si="332"/>
        <v/>
      </c>
      <c r="V968" s="179" t="str">
        <f t="shared" si="333"/>
        <v/>
      </c>
      <c r="W968" s="179" t="str">
        <f t="shared" si="334"/>
        <v/>
      </c>
      <c r="X968" s="26"/>
    </row>
    <row r="969" hidden="1">
      <c r="A969" s="28"/>
      <c r="B969" s="28"/>
      <c r="C969" s="107"/>
      <c r="D969" s="97"/>
      <c r="E969" s="105"/>
      <c r="F969" s="105"/>
      <c r="G969" s="34"/>
      <c r="H969" s="99"/>
      <c r="I969" s="99"/>
      <c r="J969" s="99"/>
      <c r="K969" s="99"/>
      <c r="L969" s="99"/>
      <c r="M969" s="99"/>
      <c r="N969" s="99"/>
      <c r="O969" s="99"/>
      <c r="P969" s="99"/>
      <c r="Q969" s="23"/>
      <c r="R969" s="23"/>
      <c r="S969" s="100"/>
      <c r="T969" s="24">
        <f t="shared" si="331"/>
        <v>0</v>
      </c>
      <c r="U969" s="179" t="str">
        <f t="shared" si="332"/>
        <v/>
      </c>
      <c r="V969" s="179" t="str">
        <f t="shared" si="333"/>
        <v/>
      </c>
      <c r="W969" s="179" t="str">
        <f t="shared" si="334"/>
        <v/>
      </c>
      <c r="X969" s="26"/>
    </row>
    <row r="970" hidden="1">
      <c r="A970" s="28"/>
      <c r="B970" s="28"/>
      <c r="C970" s="107"/>
      <c r="D970" s="97"/>
      <c r="E970" s="105"/>
      <c r="F970" s="105"/>
      <c r="G970" s="34"/>
      <c r="H970" s="99"/>
      <c r="I970" s="99"/>
      <c r="J970" s="99"/>
      <c r="K970" s="99"/>
      <c r="L970" s="99"/>
      <c r="M970" s="99"/>
      <c r="N970" s="99"/>
      <c r="O970" s="99"/>
      <c r="P970" s="99"/>
      <c r="Q970" s="23"/>
      <c r="R970" s="23"/>
      <c r="S970" s="100"/>
      <c r="T970" s="24">
        <f t="shared" si="331"/>
        <v>0</v>
      </c>
      <c r="U970" s="179" t="str">
        <f t="shared" si="332"/>
        <v/>
      </c>
      <c r="V970" s="179" t="str">
        <f t="shared" si="333"/>
        <v/>
      </c>
      <c r="W970" s="179" t="str">
        <f t="shared" si="334"/>
        <v/>
      </c>
      <c r="X970" s="26"/>
    </row>
    <row r="971" hidden="1">
      <c r="A971" s="28"/>
      <c r="B971" s="28"/>
      <c r="C971" s="107"/>
      <c r="D971" s="97"/>
      <c r="E971" s="105"/>
      <c r="F971" s="105"/>
      <c r="G971" s="34"/>
      <c r="H971" s="99"/>
      <c r="I971" s="99"/>
      <c r="J971" s="99"/>
      <c r="K971" s="99"/>
      <c r="L971" s="99"/>
      <c r="M971" s="99"/>
      <c r="N971" s="99"/>
      <c r="O971" s="99"/>
      <c r="P971" s="99"/>
      <c r="Q971" s="23"/>
      <c r="R971" s="23"/>
      <c r="S971" s="100"/>
      <c r="T971" s="24">
        <f t="shared" si="331"/>
        <v>0</v>
      </c>
      <c r="U971" s="179" t="str">
        <f t="shared" si="332"/>
        <v/>
      </c>
      <c r="V971" s="179" t="str">
        <f t="shared" si="333"/>
        <v/>
      </c>
      <c r="W971" s="179" t="str">
        <f t="shared" si="334"/>
        <v/>
      </c>
      <c r="X971" s="26"/>
    </row>
    <row r="972" hidden="1">
      <c r="A972" s="28"/>
      <c r="B972" s="28"/>
      <c r="C972" s="82" t="s">
        <v>389</v>
      </c>
      <c r="D972" s="83" t="s">
        <v>169</v>
      </c>
      <c r="E972" s="105">
        <f>370000*2</f>
        <v>740000</v>
      </c>
      <c r="F972" s="105">
        <f t="shared" ref="F972:F973" si="344">510000*2</f>
        <v>1020000</v>
      </c>
      <c r="G972" s="34">
        <f t="shared" ref="G972:G973" si="345">(F972-E972)/E972</f>
        <v>0.3783783784</v>
      </c>
      <c r="H972" s="99"/>
      <c r="I972" s="99"/>
      <c r="J972" s="99"/>
      <c r="K972" s="99"/>
      <c r="L972" s="99"/>
      <c r="M972" s="99"/>
      <c r="N972" s="99"/>
      <c r="O972" s="99"/>
      <c r="P972" s="99"/>
      <c r="Q972" s="23"/>
      <c r="R972" s="23"/>
      <c r="S972" s="100"/>
      <c r="T972" s="24">
        <f t="shared" si="331"/>
        <v>-0.3783783784</v>
      </c>
      <c r="U972" s="179">
        <f t="shared" si="332"/>
        <v>-1</v>
      </c>
      <c r="V972" s="179" t="str">
        <f t="shared" si="333"/>
        <v/>
      </c>
      <c r="W972" s="179" t="str">
        <f t="shared" si="334"/>
        <v/>
      </c>
      <c r="X972" s="26"/>
    </row>
    <row r="973" hidden="1">
      <c r="A973" s="28"/>
      <c r="B973" s="28"/>
      <c r="C973" s="107"/>
      <c r="D973" s="83" t="s">
        <v>156</v>
      </c>
      <c r="E973" s="105">
        <f>(330000*2)</f>
        <v>660000</v>
      </c>
      <c r="F973" s="105">
        <f t="shared" si="344"/>
        <v>1020000</v>
      </c>
      <c r="G973" s="34">
        <f t="shared" si="345"/>
        <v>0.5454545455</v>
      </c>
      <c r="H973" s="99"/>
      <c r="I973" s="99"/>
      <c r="J973" s="99"/>
      <c r="K973" s="99"/>
      <c r="L973" s="99"/>
      <c r="M973" s="99"/>
      <c r="N973" s="99"/>
      <c r="O973" s="99"/>
      <c r="P973" s="99"/>
      <c r="Q973" s="23"/>
      <c r="R973" s="23"/>
      <c r="S973" s="100"/>
      <c r="T973" s="24">
        <f t="shared" si="331"/>
        <v>-0.5454545455</v>
      </c>
      <c r="U973" s="179">
        <f t="shared" si="332"/>
        <v>-1</v>
      </c>
      <c r="V973" s="179" t="str">
        <f t="shared" si="333"/>
        <v/>
      </c>
      <c r="W973" s="179" t="str">
        <f t="shared" si="334"/>
        <v/>
      </c>
      <c r="X973" s="26"/>
    </row>
    <row r="974" hidden="1">
      <c r="A974" s="28"/>
      <c r="B974" s="28"/>
      <c r="C974" s="107"/>
      <c r="D974" s="83"/>
      <c r="E974" s="105"/>
      <c r="F974" s="105"/>
      <c r="G974" s="34"/>
      <c r="H974" s="99"/>
      <c r="I974" s="99"/>
      <c r="J974" s="99"/>
      <c r="K974" s="99"/>
      <c r="L974" s="99"/>
      <c r="M974" s="99"/>
      <c r="N974" s="99"/>
      <c r="O974" s="99"/>
      <c r="P974" s="99"/>
      <c r="Q974" s="23"/>
      <c r="R974" s="23"/>
      <c r="S974" s="100"/>
      <c r="T974" s="24">
        <f t="shared" si="331"/>
        <v>0</v>
      </c>
      <c r="U974" s="179" t="str">
        <f t="shared" si="332"/>
        <v/>
      </c>
      <c r="V974" s="179" t="str">
        <f t="shared" si="333"/>
        <v/>
      </c>
      <c r="W974" s="179" t="str">
        <f t="shared" si="334"/>
        <v/>
      </c>
      <c r="X974" s="26"/>
    </row>
    <row r="975" hidden="1">
      <c r="A975" s="28"/>
      <c r="B975" s="28"/>
      <c r="C975" s="107"/>
      <c r="D975" s="83" t="s">
        <v>101</v>
      </c>
      <c r="E975" s="105">
        <f t="shared" ref="E975:F975" si="346">E972+E973+E974</f>
        <v>1400000</v>
      </c>
      <c r="F975" s="105">
        <f t="shared" si="346"/>
        <v>2040000</v>
      </c>
      <c r="G975" s="34">
        <f t="shared" ref="G975:G976" si="347">(F975-E975)/E975</f>
        <v>0.4571428571</v>
      </c>
      <c r="H975" s="99"/>
      <c r="I975" s="99"/>
      <c r="J975" s="99"/>
      <c r="K975" s="99"/>
      <c r="L975" s="99"/>
      <c r="M975" s="99"/>
      <c r="N975" s="99"/>
      <c r="O975" s="99"/>
      <c r="P975" s="99"/>
      <c r="Q975" s="23"/>
      <c r="R975" s="23"/>
      <c r="S975" s="100"/>
      <c r="T975" s="24">
        <f t="shared" si="331"/>
        <v>-0.4571428571</v>
      </c>
      <c r="U975" s="179">
        <f t="shared" si="332"/>
        <v>-1</v>
      </c>
      <c r="V975" s="179" t="str">
        <f t="shared" si="333"/>
        <v/>
      </c>
      <c r="W975" s="179" t="str">
        <f t="shared" si="334"/>
        <v/>
      </c>
      <c r="X975" s="26"/>
    </row>
    <row r="976" hidden="1">
      <c r="A976" s="28"/>
      <c r="B976" s="28"/>
      <c r="C976" s="107"/>
      <c r="D976" s="83" t="s">
        <v>148</v>
      </c>
      <c r="E976" s="105">
        <f>F975-E975</f>
        <v>640000</v>
      </c>
      <c r="F976" s="105">
        <f>F975-980000</f>
        <v>1060000</v>
      </c>
      <c r="G976" s="34">
        <f t="shared" si="347"/>
        <v>0.65625</v>
      </c>
      <c r="H976" s="99"/>
      <c r="I976" s="99"/>
      <c r="J976" s="99"/>
      <c r="K976" s="99"/>
      <c r="L976" s="99"/>
      <c r="M976" s="99"/>
      <c r="N976" s="99"/>
      <c r="O976" s="99"/>
      <c r="P976" s="99"/>
      <c r="Q976" s="23"/>
      <c r="R976" s="23"/>
      <c r="S976" s="100"/>
      <c r="T976" s="24">
        <f t="shared" si="331"/>
        <v>-0.65625</v>
      </c>
      <c r="U976" s="179">
        <f t="shared" si="332"/>
        <v>-1</v>
      </c>
      <c r="V976" s="179" t="str">
        <f t="shared" si="333"/>
        <v/>
      </c>
      <c r="W976" s="179" t="str">
        <f t="shared" si="334"/>
        <v/>
      </c>
      <c r="X976" s="26"/>
    </row>
    <row r="977" hidden="1">
      <c r="A977" s="28"/>
      <c r="B977" s="28"/>
      <c r="C977" s="107"/>
      <c r="D977" s="97"/>
      <c r="E977" s="105"/>
      <c r="F977" s="105"/>
      <c r="G977" s="34"/>
      <c r="H977" s="99"/>
      <c r="I977" s="99"/>
      <c r="J977" s="99"/>
      <c r="K977" s="99"/>
      <c r="L977" s="99"/>
      <c r="M977" s="99"/>
      <c r="N977" s="99"/>
      <c r="O977" s="99"/>
      <c r="P977" s="99"/>
      <c r="Q977" s="23"/>
      <c r="R977" s="23"/>
      <c r="S977" s="100"/>
      <c r="T977" s="24">
        <f t="shared" si="331"/>
        <v>0</v>
      </c>
      <c r="U977" s="179" t="str">
        <f t="shared" si="332"/>
        <v/>
      </c>
      <c r="V977" s="179" t="str">
        <f t="shared" si="333"/>
        <v/>
      </c>
      <c r="W977" s="179" t="str">
        <f t="shared" si="334"/>
        <v/>
      </c>
      <c r="X977" s="26"/>
    </row>
    <row r="978" hidden="1">
      <c r="A978" s="28"/>
      <c r="B978" s="28"/>
      <c r="C978" s="107"/>
      <c r="D978" s="97"/>
      <c r="E978" s="105"/>
      <c r="F978" s="105"/>
      <c r="G978" s="34"/>
      <c r="H978" s="99"/>
      <c r="I978" s="99"/>
      <c r="J978" s="99"/>
      <c r="K978" s="99"/>
      <c r="L978" s="99"/>
      <c r="M978" s="99"/>
      <c r="N978" s="99"/>
      <c r="O978" s="99"/>
      <c r="P978" s="99"/>
      <c r="Q978" s="23"/>
      <c r="R978" s="23"/>
      <c r="S978" s="100"/>
      <c r="T978" s="24">
        <f t="shared" si="331"/>
        <v>0</v>
      </c>
      <c r="U978" s="179" t="str">
        <f t="shared" si="332"/>
        <v/>
      </c>
      <c r="V978" s="179" t="str">
        <f t="shared" si="333"/>
        <v/>
      </c>
      <c r="W978" s="179" t="str">
        <f t="shared" si="334"/>
        <v/>
      </c>
      <c r="X978" s="26"/>
    </row>
    <row r="979" hidden="1">
      <c r="A979" s="28"/>
      <c r="B979" s="28"/>
      <c r="C979" s="107"/>
      <c r="D979" s="97"/>
      <c r="E979" s="105"/>
      <c r="F979" s="105"/>
      <c r="G979" s="34"/>
      <c r="H979" s="99"/>
      <c r="I979" s="99"/>
      <c r="J979" s="99"/>
      <c r="K979" s="99"/>
      <c r="L979" s="99"/>
      <c r="M979" s="99"/>
      <c r="N979" s="99"/>
      <c r="O979" s="99"/>
      <c r="P979" s="99"/>
      <c r="Q979" s="23"/>
      <c r="R979" s="23"/>
      <c r="S979" s="100"/>
      <c r="T979" s="24">
        <f t="shared" si="331"/>
        <v>0</v>
      </c>
      <c r="U979" s="179" t="str">
        <f t="shared" si="332"/>
        <v/>
      </c>
      <c r="V979" s="179" t="str">
        <f t="shared" si="333"/>
        <v/>
      </c>
      <c r="W979" s="179" t="str">
        <f t="shared" si="334"/>
        <v/>
      </c>
      <c r="X979" s="26"/>
    </row>
    <row r="980" hidden="1">
      <c r="A980" s="28"/>
      <c r="B980" s="28"/>
      <c r="C980" s="82" t="s">
        <v>485</v>
      </c>
      <c r="D980" s="83" t="s">
        <v>486</v>
      </c>
      <c r="E980" s="201">
        <v>396000.0</v>
      </c>
      <c r="F980" s="105"/>
      <c r="G980" s="34"/>
      <c r="H980" s="99"/>
      <c r="I980" s="99"/>
      <c r="J980" s="99"/>
      <c r="K980" s="99"/>
      <c r="L980" s="99"/>
      <c r="M980" s="99"/>
      <c r="N980" s="99"/>
      <c r="O980" s="99"/>
      <c r="P980" s="99"/>
      <c r="Q980" s="23"/>
      <c r="R980" s="23"/>
      <c r="S980" s="100"/>
      <c r="T980" s="24">
        <f t="shared" si="331"/>
        <v>0</v>
      </c>
      <c r="U980" s="179" t="str">
        <f t="shared" si="332"/>
        <v/>
      </c>
      <c r="V980" s="179" t="str">
        <f t="shared" si="333"/>
        <v/>
      </c>
      <c r="W980" s="179" t="str">
        <f t="shared" si="334"/>
        <v/>
      </c>
      <c r="X980" s="26"/>
    </row>
    <row r="981" hidden="1">
      <c r="A981" s="28"/>
      <c r="B981" s="28"/>
      <c r="C981" s="107"/>
      <c r="D981" s="83" t="s">
        <v>325</v>
      </c>
      <c r="E981" s="201">
        <v>330000.0</v>
      </c>
      <c r="F981" s="105"/>
      <c r="G981" s="34"/>
      <c r="H981" s="99"/>
      <c r="I981" s="99"/>
      <c r="J981" s="99"/>
      <c r="K981" s="99"/>
      <c r="L981" s="99"/>
      <c r="M981" s="99"/>
      <c r="N981" s="99"/>
      <c r="O981" s="99"/>
      <c r="P981" s="99"/>
      <c r="Q981" s="23"/>
      <c r="R981" s="23"/>
      <c r="S981" s="100"/>
      <c r="T981" s="24">
        <f t="shared" si="331"/>
        <v>0</v>
      </c>
      <c r="U981" s="179" t="str">
        <f t="shared" si="332"/>
        <v/>
      </c>
      <c r="V981" s="179" t="str">
        <f t="shared" si="333"/>
        <v/>
      </c>
      <c r="W981" s="179" t="str">
        <f t="shared" si="334"/>
        <v/>
      </c>
      <c r="X981" s="26"/>
    </row>
    <row r="982" hidden="1">
      <c r="A982" s="28"/>
      <c r="B982" s="28"/>
      <c r="C982" s="107"/>
      <c r="D982" s="83" t="s">
        <v>364</v>
      </c>
      <c r="E982" s="201">
        <v>350000.0</v>
      </c>
      <c r="F982" s="105"/>
      <c r="G982" s="34"/>
      <c r="H982" s="99"/>
      <c r="I982" s="99"/>
      <c r="J982" s="99"/>
      <c r="K982" s="99"/>
      <c r="L982" s="99"/>
      <c r="M982" s="99"/>
      <c r="N982" s="99"/>
      <c r="O982" s="99"/>
      <c r="P982" s="99"/>
      <c r="Q982" s="23"/>
      <c r="R982" s="23"/>
      <c r="S982" s="100"/>
      <c r="T982" s="24">
        <f t="shared" si="331"/>
        <v>0</v>
      </c>
      <c r="U982" s="179" t="str">
        <f t="shared" si="332"/>
        <v/>
      </c>
      <c r="V982" s="179" t="str">
        <f t="shared" si="333"/>
        <v/>
      </c>
      <c r="W982" s="179" t="str">
        <f t="shared" si="334"/>
        <v/>
      </c>
      <c r="X982" s="26"/>
    </row>
    <row r="983" hidden="1">
      <c r="A983" s="28"/>
      <c r="B983" s="28"/>
      <c r="C983" s="107"/>
      <c r="D983" s="83" t="s">
        <v>101</v>
      </c>
      <c r="E983" s="105">
        <f>SUM(E980:E982)</f>
        <v>1076000</v>
      </c>
      <c r="F983" s="201">
        <v>1410000.0</v>
      </c>
      <c r="G983" s="34">
        <f>(F983-E983)/E983</f>
        <v>0.3104089219</v>
      </c>
      <c r="H983" s="99"/>
      <c r="I983" s="99"/>
      <c r="J983" s="99"/>
      <c r="K983" s="99"/>
      <c r="L983" s="99"/>
      <c r="M983" s="99"/>
      <c r="N983" s="99"/>
      <c r="O983" s="99"/>
      <c r="P983" s="99"/>
      <c r="Q983" s="23"/>
      <c r="R983" s="23"/>
      <c r="S983" s="100"/>
      <c r="T983" s="24">
        <f t="shared" si="331"/>
        <v>-0.3104089219</v>
      </c>
      <c r="U983" s="179">
        <f t="shared" si="332"/>
        <v>-1</v>
      </c>
      <c r="V983" s="179" t="str">
        <f t="shared" si="333"/>
        <v/>
      </c>
      <c r="W983" s="179" t="str">
        <f t="shared" si="334"/>
        <v/>
      </c>
      <c r="X983" s="26"/>
    </row>
    <row r="984" hidden="1">
      <c r="A984" s="28"/>
      <c r="B984" s="28"/>
      <c r="C984" s="107"/>
      <c r="D984" s="83" t="s">
        <v>148</v>
      </c>
      <c r="E984" s="201">
        <f>F983-E983</f>
        <v>334000</v>
      </c>
      <c r="F984" s="105"/>
      <c r="G984" s="34"/>
      <c r="H984" s="99"/>
      <c r="I984" s="99"/>
      <c r="J984" s="99"/>
      <c r="K984" s="99"/>
      <c r="L984" s="99"/>
      <c r="M984" s="99"/>
      <c r="N984" s="99"/>
      <c r="O984" s="99"/>
      <c r="P984" s="99"/>
      <c r="Q984" s="23"/>
      <c r="R984" s="23"/>
      <c r="S984" s="100"/>
      <c r="T984" s="24">
        <f t="shared" si="331"/>
        <v>0</v>
      </c>
      <c r="U984" s="179" t="str">
        <f t="shared" si="332"/>
        <v/>
      </c>
      <c r="V984" s="179" t="str">
        <f t="shared" si="333"/>
        <v/>
      </c>
      <c r="W984" s="179" t="str">
        <f t="shared" si="334"/>
        <v/>
      </c>
      <c r="X984" s="26"/>
    </row>
    <row r="985" hidden="1">
      <c r="A985" s="28"/>
      <c r="B985" s="28"/>
      <c r="C985" s="107"/>
      <c r="D985" s="97"/>
      <c r="E985" s="105"/>
      <c r="F985" s="105"/>
      <c r="G985" s="34"/>
      <c r="H985" s="99"/>
      <c r="I985" s="99"/>
      <c r="J985" s="99"/>
      <c r="K985" s="99"/>
      <c r="L985" s="99"/>
      <c r="M985" s="99"/>
      <c r="N985" s="99"/>
      <c r="O985" s="99"/>
      <c r="P985" s="99"/>
      <c r="Q985" s="23"/>
      <c r="R985" s="23"/>
      <c r="S985" s="100"/>
      <c r="T985" s="24">
        <f t="shared" si="331"/>
        <v>0</v>
      </c>
      <c r="U985" s="179" t="str">
        <f t="shared" si="332"/>
        <v/>
      </c>
      <c r="V985" s="179" t="str">
        <f t="shared" si="333"/>
        <v/>
      </c>
      <c r="W985" s="179" t="str">
        <f t="shared" si="334"/>
        <v/>
      </c>
      <c r="X985" s="26"/>
    </row>
    <row r="986" hidden="1">
      <c r="A986" s="28"/>
      <c r="B986" s="28"/>
      <c r="C986" s="82" t="s">
        <v>487</v>
      </c>
      <c r="D986" s="238" t="s">
        <v>488</v>
      </c>
      <c r="E986" s="105">
        <f>370000*2</f>
        <v>740000</v>
      </c>
      <c r="F986" s="105">
        <f>510000*2</f>
        <v>1020000</v>
      </c>
      <c r="G986" s="34">
        <f t="shared" ref="G986:G991" si="348">(F986-E986)/E986</f>
        <v>0.3783783784</v>
      </c>
      <c r="H986" s="99"/>
      <c r="I986" s="99"/>
      <c r="J986" s="99"/>
      <c r="K986" s="99"/>
      <c r="L986" s="99"/>
      <c r="M986" s="99"/>
      <c r="N986" s="99"/>
      <c r="O986" s="99"/>
      <c r="P986" s="99"/>
      <c r="Q986" s="23"/>
      <c r="R986" s="23"/>
      <c r="S986" s="100"/>
      <c r="T986" s="24">
        <f t="shared" si="331"/>
        <v>-0.3783783784</v>
      </c>
      <c r="U986" s="179">
        <f t="shared" si="332"/>
        <v>-1</v>
      </c>
      <c r="V986" s="179" t="str">
        <f t="shared" si="333"/>
        <v/>
      </c>
      <c r="W986" s="179" t="str">
        <f t="shared" si="334"/>
        <v/>
      </c>
      <c r="X986" s="26"/>
    </row>
    <row r="987" hidden="1">
      <c r="A987" s="28"/>
      <c r="B987" s="28"/>
      <c r="C987" s="107"/>
      <c r="D987" s="83" t="s">
        <v>489</v>
      </c>
      <c r="E987" s="105">
        <f>450000*2+29000*2+10000</f>
        <v>968000</v>
      </c>
      <c r="F987" s="105">
        <f>600000*2+29000*2+10000</f>
        <v>1268000</v>
      </c>
      <c r="G987" s="34">
        <f t="shared" si="348"/>
        <v>0.3099173554</v>
      </c>
      <c r="H987" s="99"/>
      <c r="I987" s="99"/>
      <c r="J987" s="99"/>
      <c r="K987" s="99"/>
      <c r="L987" s="99"/>
      <c r="M987" s="99"/>
      <c r="N987" s="99"/>
      <c r="O987" s="99"/>
      <c r="P987" s="99"/>
      <c r="Q987" s="23"/>
      <c r="R987" s="23"/>
      <c r="S987" s="100"/>
      <c r="T987" s="24">
        <f t="shared" si="331"/>
        <v>-0.3099173554</v>
      </c>
      <c r="U987" s="179">
        <f t="shared" si="332"/>
        <v>-1</v>
      </c>
      <c r="V987" s="179" t="str">
        <f t="shared" si="333"/>
        <v/>
      </c>
      <c r="W987" s="179" t="str">
        <f t="shared" si="334"/>
        <v/>
      </c>
      <c r="X987" s="26"/>
    </row>
    <row r="988" hidden="1">
      <c r="A988" s="28"/>
      <c r="B988" s="28"/>
      <c r="C988" s="107"/>
      <c r="D988" s="83" t="s">
        <v>490</v>
      </c>
      <c r="E988" s="201">
        <f>633000*2</f>
        <v>1266000</v>
      </c>
      <c r="F988" s="105">
        <f>870000*2</f>
        <v>1740000</v>
      </c>
      <c r="G988" s="34">
        <f t="shared" si="348"/>
        <v>0.3744075829</v>
      </c>
      <c r="H988" s="99"/>
      <c r="I988" s="99"/>
      <c r="J988" s="99"/>
      <c r="K988" s="99"/>
      <c r="L988" s="99"/>
      <c r="M988" s="99"/>
      <c r="N988" s="99"/>
      <c r="O988" s="99"/>
      <c r="P988" s="99"/>
      <c r="Q988" s="23"/>
      <c r="R988" s="23"/>
      <c r="S988" s="100"/>
      <c r="T988" s="24">
        <f t="shared" si="331"/>
        <v>-0.3744075829</v>
      </c>
      <c r="U988" s="179">
        <f t="shared" si="332"/>
        <v>-1</v>
      </c>
      <c r="V988" s="179" t="str">
        <f t="shared" si="333"/>
        <v/>
      </c>
      <c r="W988" s="179" t="str">
        <f t="shared" si="334"/>
        <v/>
      </c>
      <c r="X988" s="26"/>
    </row>
    <row r="989" hidden="1">
      <c r="A989" s="28"/>
      <c r="B989" s="28"/>
      <c r="C989" s="107"/>
      <c r="D989" s="83" t="s">
        <v>491</v>
      </c>
      <c r="E989" s="201">
        <v>442000.0</v>
      </c>
      <c r="F989" s="105">
        <f>325000*2</f>
        <v>650000</v>
      </c>
      <c r="G989" s="34">
        <f t="shared" si="348"/>
        <v>0.4705882353</v>
      </c>
      <c r="H989" s="99"/>
      <c r="I989" s="99"/>
      <c r="J989" s="99"/>
      <c r="K989" s="99"/>
      <c r="L989" s="99"/>
      <c r="M989" s="99"/>
      <c r="N989" s="99"/>
      <c r="O989" s="99"/>
      <c r="P989" s="99"/>
      <c r="Q989" s="23"/>
      <c r="R989" s="23"/>
      <c r="S989" s="100"/>
      <c r="T989" s="24">
        <f t="shared" si="331"/>
        <v>-0.4705882353</v>
      </c>
      <c r="U989" s="179">
        <f t="shared" si="332"/>
        <v>-1</v>
      </c>
      <c r="V989" s="179" t="str">
        <f t="shared" si="333"/>
        <v/>
      </c>
      <c r="W989" s="179" t="str">
        <f t="shared" si="334"/>
        <v/>
      </c>
      <c r="X989" s="26"/>
    </row>
    <row r="990" hidden="1">
      <c r="A990" s="28"/>
      <c r="B990" s="28"/>
      <c r="C990" s="107"/>
      <c r="D990" s="83" t="s">
        <v>492</v>
      </c>
      <c r="E990" s="105">
        <f>260000</f>
        <v>260000</v>
      </c>
      <c r="F990" s="105">
        <f>250000*2</f>
        <v>500000</v>
      </c>
      <c r="G990" s="34">
        <f t="shared" si="348"/>
        <v>0.9230769231</v>
      </c>
      <c r="H990" s="99"/>
      <c r="I990" s="99"/>
      <c r="J990" s="99"/>
      <c r="K990" s="99"/>
      <c r="L990" s="99"/>
      <c r="M990" s="99"/>
      <c r="N990" s="99"/>
      <c r="O990" s="99"/>
      <c r="P990" s="99"/>
      <c r="Q990" s="23"/>
      <c r="R990" s="23"/>
      <c r="S990" s="100"/>
      <c r="T990" s="24">
        <f t="shared" si="331"/>
        <v>-0.9230769231</v>
      </c>
      <c r="U990" s="179">
        <f t="shared" si="332"/>
        <v>-1</v>
      </c>
      <c r="V990" s="179" t="str">
        <f t="shared" si="333"/>
        <v/>
      </c>
      <c r="W990" s="179" t="str">
        <f t="shared" si="334"/>
        <v/>
      </c>
      <c r="X990" s="26"/>
    </row>
    <row r="991" hidden="1">
      <c r="A991" s="28"/>
      <c r="B991" s="28"/>
      <c r="C991" s="107"/>
      <c r="D991" s="83" t="s">
        <v>101</v>
      </c>
      <c r="E991" s="105">
        <f>E986+E987+E988+E989+E990</f>
        <v>3676000</v>
      </c>
      <c r="F991" s="105">
        <f>SUM(F986:F990)</f>
        <v>5178000</v>
      </c>
      <c r="G991" s="34">
        <f t="shared" si="348"/>
        <v>0.4085963003</v>
      </c>
      <c r="H991" s="99"/>
      <c r="I991" s="99"/>
      <c r="J991" s="99"/>
      <c r="K991" s="99"/>
      <c r="L991" s="99"/>
      <c r="M991" s="99"/>
      <c r="N991" s="99"/>
      <c r="O991" s="99"/>
      <c r="P991" s="99"/>
      <c r="Q991" s="23"/>
      <c r="R991" s="23"/>
      <c r="S991" s="100"/>
      <c r="T991" s="24">
        <f t="shared" si="331"/>
        <v>-0.4085963003</v>
      </c>
      <c r="U991" s="179">
        <f t="shared" si="332"/>
        <v>-1</v>
      </c>
      <c r="V991" s="179" t="str">
        <f t="shared" si="333"/>
        <v/>
      </c>
      <c r="W991" s="179" t="str">
        <f t="shared" si="334"/>
        <v/>
      </c>
      <c r="X991" s="26"/>
    </row>
    <row r="992" hidden="1">
      <c r="A992" s="28"/>
      <c r="B992" s="28"/>
      <c r="C992" s="107"/>
      <c r="D992" s="83" t="s">
        <v>148</v>
      </c>
      <c r="E992" s="105">
        <f>F991-E991</f>
        <v>1502000</v>
      </c>
      <c r="F992" s="105"/>
      <c r="G992" s="34"/>
      <c r="H992" s="99"/>
      <c r="I992" s="99"/>
      <c r="J992" s="99"/>
      <c r="K992" s="99"/>
      <c r="L992" s="99"/>
      <c r="M992" s="99"/>
      <c r="N992" s="99"/>
      <c r="O992" s="99"/>
      <c r="P992" s="99"/>
      <c r="Q992" s="23"/>
      <c r="R992" s="23"/>
      <c r="S992" s="100"/>
      <c r="T992" s="24">
        <f t="shared" si="331"/>
        <v>0</v>
      </c>
      <c r="U992" s="179" t="str">
        <f t="shared" si="332"/>
        <v/>
      </c>
      <c r="V992" s="179" t="str">
        <f t="shared" si="333"/>
        <v/>
      </c>
      <c r="W992" s="179" t="str">
        <f t="shared" si="334"/>
        <v/>
      </c>
      <c r="X992" s="26"/>
    </row>
    <row r="993" hidden="1">
      <c r="A993" s="28"/>
      <c r="B993" s="28"/>
      <c r="C993" s="107"/>
      <c r="D993" s="97"/>
      <c r="E993" s="105"/>
      <c r="F993" s="105"/>
      <c r="G993" s="34"/>
      <c r="H993" s="99"/>
      <c r="I993" s="99"/>
      <c r="J993" s="99"/>
      <c r="K993" s="99"/>
      <c r="L993" s="99"/>
      <c r="M993" s="99"/>
      <c r="N993" s="99"/>
      <c r="O993" s="99"/>
      <c r="P993" s="99"/>
      <c r="Q993" s="23"/>
      <c r="R993" s="23"/>
      <c r="S993" s="100"/>
      <c r="T993" s="24">
        <f t="shared" si="331"/>
        <v>0</v>
      </c>
      <c r="U993" s="179" t="str">
        <f t="shared" si="332"/>
        <v/>
      </c>
      <c r="V993" s="179" t="str">
        <f t="shared" si="333"/>
        <v/>
      </c>
      <c r="W993" s="179" t="str">
        <f t="shared" si="334"/>
        <v/>
      </c>
      <c r="X993" s="26"/>
    </row>
    <row r="994" hidden="1">
      <c r="A994" s="28"/>
      <c r="B994" s="28"/>
      <c r="C994" s="82" t="s">
        <v>493</v>
      </c>
      <c r="D994" s="83" t="s">
        <v>197</v>
      </c>
      <c r="E994" s="105">
        <f>300000*2</f>
        <v>600000</v>
      </c>
      <c r="F994" s="105">
        <f>450000*2</f>
        <v>900000</v>
      </c>
      <c r="G994" s="34">
        <f t="shared" ref="G994:G996" si="349">(F994-E994)/E994</f>
        <v>0.5</v>
      </c>
      <c r="H994" s="99"/>
      <c r="I994" s="99"/>
      <c r="J994" s="99"/>
      <c r="K994" s="99"/>
      <c r="L994" s="99"/>
      <c r="M994" s="99"/>
      <c r="N994" s="99"/>
      <c r="O994" s="99"/>
      <c r="P994" s="99"/>
      <c r="Q994" s="23"/>
      <c r="R994" s="23"/>
      <c r="S994" s="100"/>
      <c r="T994" s="24">
        <f t="shared" si="331"/>
        <v>-0.5</v>
      </c>
      <c r="U994" s="179">
        <f t="shared" si="332"/>
        <v>-1</v>
      </c>
      <c r="V994" s="179" t="str">
        <f t="shared" si="333"/>
        <v/>
      </c>
      <c r="W994" s="179" t="str">
        <f t="shared" si="334"/>
        <v/>
      </c>
      <c r="X994" s="26"/>
    </row>
    <row r="995" hidden="1">
      <c r="A995" s="28"/>
      <c r="B995" s="28"/>
      <c r="C995" s="107"/>
      <c r="D995" s="83" t="s">
        <v>169</v>
      </c>
      <c r="E995" s="201">
        <v>740000.0</v>
      </c>
      <c r="F995" s="105">
        <f>510000*2</f>
        <v>1020000</v>
      </c>
      <c r="G995" s="34">
        <f t="shared" si="349"/>
        <v>0.3783783784</v>
      </c>
      <c r="H995" s="99"/>
      <c r="I995" s="99"/>
      <c r="J995" s="99"/>
      <c r="K995" s="99"/>
      <c r="L995" s="99"/>
      <c r="M995" s="99"/>
      <c r="N995" s="99"/>
      <c r="O995" s="99"/>
      <c r="P995" s="99"/>
      <c r="Q995" s="23"/>
      <c r="R995" s="23"/>
      <c r="S995" s="100"/>
      <c r="T995" s="24">
        <f t="shared" si="331"/>
        <v>-0.3783783784</v>
      </c>
      <c r="U995" s="179">
        <f t="shared" si="332"/>
        <v>-1</v>
      </c>
      <c r="V995" s="179" t="str">
        <f t="shared" si="333"/>
        <v/>
      </c>
      <c r="W995" s="179" t="str">
        <f t="shared" si="334"/>
        <v/>
      </c>
      <c r="X995" s="26"/>
    </row>
    <row r="996" hidden="1">
      <c r="A996" s="28"/>
      <c r="B996" s="28"/>
      <c r="C996" s="107"/>
      <c r="D996" s="83" t="s">
        <v>101</v>
      </c>
      <c r="E996" s="105">
        <f t="shared" ref="E996:F996" si="350">E994+E995</f>
        <v>1340000</v>
      </c>
      <c r="F996" s="105">
        <f t="shared" si="350"/>
        <v>1920000</v>
      </c>
      <c r="G996" s="34">
        <f t="shared" si="349"/>
        <v>0.4328358209</v>
      </c>
      <c r="H996" s="99"/>
      <c r="I996" s="99"/>
      <c r="J996" s="99"/>
      <c r="K996" s="99"/>
      <c r="L996" s="99"/>
      <c r="M996" s="99"/>
      <c r="N996" s="99"/>
      <c r="O996" s="99"/>
      <c r="P996" s="99"/>
      <c r="Q996" s="23"/>
      <c r="R996" s="23"/>
      <c r="S996" s="100"/>
      <c r="T996" s="24">
        <f t="shared" si="331"/>
        <v>-0.4328358209</v>
      </c>
      <c r="U996" s="179">
        <f t="shared" si="332"/>
        <v>-1</v>
      </c>
      <c r="V996" s="179" t="str">
        <f t="shared" si="333"/>
        <v/>
      </c>
      <c r="W996" s="179" t="str">
        <f t="shared" si="334"/>
        <v/>
      </c>
      <c r="X996" s="26"/>
    </row>
    <row r="997" hidden="1">
      <c r="A997" s="28"/>
      <c r="B997" s="28"/>
      <c r="C997" s="107"/>
      <c r="D997" s="83" t="s">
        <v>148</v>
      </c>
      <c r="E997" s="105">
        <f>F996-E996</f>
        <v>580000</v>
      </c>
      <c r="F997" s="105"/>
      <c r="G997" s="34"/>
      <c r="H997" s="99"/>
      <c r="I997" s="99"/>
      <c r="J997" s="99"/>
      <c r="K997" s="99"/>
      <c r="L997" s="99"/>
      <c r="M997" s="99"/>
      <c r="N997" s="99"/>
      <c r="O997" s="99"/>
      <c r="P997" s="99"/>
      <c r="Q997" s="23"/>
      <c r="R997" s="23"/>
      <c r="S997" s="100"/>
      <c r="T997" s="24">
        <f t="shared" si="331"/>
        <v>0</v>
      </c>
      <c r="U997" s="179" t="str">
        <f t="shared" si="332"/>
        <v/>
      </c>
      <c r="V997" s="179" t="str">
        <f t="shared" si="333"/>
        <v/>
      </c>
      <c r="W997" s="179" t="str">
        <f t="shared" si="334"/>
        <v/>
      </c>
      <c r="X997" s="26"/>
    </row>
    <row r="998" hidden="1">
      <c r="A998" s="28"/>
      <c r="B998" s="28"/>
      <c r="C998" s="107"/>
      <c r="D998" s="97"/>
      <c r="E998" s="105"/>
      <c r="F998" s="105"/>
      <c r="G998" s="34"/>
      <c r="H998" s="99"/>
      <c r="I998" s="99"/>
      <c r="J998" s="99"/>
      <c r="K998" s="99"/>
      <c r="L998" s="99"/>
      <c r="M998" s="99"/>
      <c r="N998" s="99"/>
      <c r="O998" s="99"/>
      <c r="P998" s="99"/>
      <c r="Q998" s="23"/>
      <c r="R998" s="23"/>
      <c r="S998" s="100"/>
      <c r="T998" s="24">
        <f t="shared" si="331"/>
        <v>0</v>
      </c>
      <c r="U998" s="179" t="str">
        <f t="shared" si="332"/>
        <v/>
      </c>
      <c r="V998" s="179" t="str">
        <f t="shared" si="333"/>
        <v/>
      </c>
      <c r="W998" s="179" t="str">
        <f t="shared" si="334"/>
        <v/>
      </c>
      <c r="X998" s="26"/>
    </row>
    <row r="999" hidden="1">
      <c r="A999" s="28"/>
      <c r="B999" s="28"/>
      <c r="C999" s="107"/>
      <c r="D999" s="97"/>
      <c r="E999" s="105"/>
      <c r="F999" s="105"/>
      <c r="G999" s="34"/>
      <c r="H999" s="99"/>
      <c r="I999" s="99"/>
      <c r="J999" s="99"/>
      <c r="K999" s="99"/>
      <c r="L999" s="99"/>
      <c r="M999" s="99"/>
      <c r="N999" s="99"/>
      <c r="O999" s="99"/>
      <c r="P999" s="99"/>
      <c r="Q999" s="23"/>
      <c r="R999" s="23"/>
      <c r="S999" s="100"/>
      <c r="T999" s="24">
        <f t="shared" si="331"/>
        <v>0</v>
      </c>
      <c r="U999" s="179" t="str">
        <f t="shared" si="332"/>
        <v/>
      </c>
      <c r="V999" s="179" t="str">
        <f t="shared" si="333"/>
        <v/>
      </c>
      <c r="W999" s="179" t="str">
        <f t="shared" si="334"/>
        <v/>
      </c>
      <c r="X999" s="26"/>
    </row>
    <row r="1000" hidden="1">
      <c r="A1000" s="28"/>
      <c r="B1000" s="28"/>
      <c r="C1000" s="107"/>
      <c r="D1000" s="97"/>
      <c r="E1000" s="201"/>
      <c r="F1000" s="201"/>
      <c r="G1000" s="34"/>
      <c r="H1000" s="99"/>
      <c r="I1000" s="99"/>
      <c r="J1000" s="99"/>
      <c r="K1000" s="99"/>
      <c r="L1000" s="99"/>
      <c r="M1000" s="99"/>
      <c r="N1000" s="99"/>
      <c r="O1000" s="99"/>
      <c r="P1000" s="99"/>
      <c r="Q1000" s="23"/>
      <c r="R1000" s="23"/>
      <c r="S1000" s="100"/>
      <c r="T1000" s="24">
        <f t="shared" si="331"/>
        <v>0</v>
      </c>
      <c r="U1000" s="179" t="str">
        <f t="shared" si="332"/>
        <v/>
      </c>
      <c r="V1000" s="179" t="str">
        <f t="shared" si="333"/>
        <v/>
      </c>
      <c r="W1000" s="179" t="str">
        <f t="shared" si="334"/>
        <v/>
      </c>
      <c r="X1000" s="26"/>
    </row>
    <row r="1001">
      <c r="A1001" s="28"/>
      <c r="B1001" s="28"/>
      <c r="C1001" s="82" t="s">
        <v>494</v>
      </c>
      <c r="D1001" s="83" t="s">
        <v>440</v>
      </c>
      <c r="E1001" s="201">
        <v>350000.0</v>
      </c>
      <c r="F1001" s="201">
        <v>500000.0</v>
      </c>
      <c r="G1001" s="34">
        <f t="shared" ref="G1001:G1020" si="351">(F1001-E1001)/E1001</f>
        <v>0.4285714286</v>
      </c>
      <c r="H1001" s="99">
        <f>F1001-E1001</f>
        <v>150000</v>
      </c>
      <c r="I1001" s="99"/>
      <c r="J1001" s="99"/>
      <c r="K1001" s="99"/>
      <c r="L1001" s="99"/>
      <c r="M1001" s="99"/>
      <c r="N1001" s="99"/>
      <c r="O1001" s="99"/>
      <c r="P1001" s="99"/>
      <c r="Q1001" s="23"/>
      <c r="R1001" s="23"/>
      <c r="S1001" s="100"/>
      <c r="T1001" s="24">
        <f t="shared" si="331"/>
        <v>-0.4285714286</v>
      </c>
      <c r="U1001" s="179">
        <f t="shared" si="332"/>
        <v>-1</v>
      </c>
      <c r="V1001" s="179" t="str">
        <f t="shared" si="333"/>
        <v/>
      </c>
      <c r="W1001" s="179" t="str">
        <f t="shared" si="334"/>
        <v/>
      </c>
      <c r="X1001" s="26"/>
    </row>
    <row r="1002">
      <c r="A1002" s="28"/>
      <c r="B1002" s="28"/>
      <c r="C1002" s="107"/>
      <c r="D1002" s="83" t="s">
        <v>441</v>
      </c>
      <c r="E1002" s="201">
        <v>272000.0</v>
      </c>
      <c r="F1002" s="201">
        <v>350000.0</v>
      </c>
      <c r="G1002" s="34">
        <f t="shared" si="351"/>
        <v>0.2867647059</v>
      </c>
      <c r="H1002" s="99">
        <f>H1024</f>
        <v>520</v>
      </c>
      <c r="I1002" s="99"/>
      <c r="J1002" s="99"/>
      <c r="K1002" s="99"/>
      <c r="L1002" s="99"/>
      <c r="M1002" s="99"/>
      <c r="N1002" s="99"/>
      <c r="O1002" s="99"/>
      <c r="P1002" s="99"/>
      <c r="Q1002" s="23"/>
      <c r="R1002" s="23"/>
      <c r="S1002" s="100"/>
      <c r="T1002" s="24">
        <f t="shared" si="331"/>
        <v>-0.2867647059</v>
      </c>
      <c r="U1002" s="179">
        <f t="shared" si="332"/>
        <v>-1</v>
      </c>
      <c r="V1002" s="179" t="str">
        <f t="shared" si="333"/>
        <v/>
      </c>
      <c r="W1002" s="179" t="str">
        <f t="shared" si="334"/>
        <v/>
      </c>
      <c r="X1002" s="26"/>
    </row>
    <row r="1003">
      <c r="A1003" s="28"/>
      <c r="B1003" s="28"/>
      <c r="C1003" s="107"/>
      <c r="D1003" s="83" t="s">
        <v>442</v>
      </c>
      <c r="E1003" s="201">
        <v>270000.0</v>
      </c>
      <c r="F1003" s="201">
        <v>350000.0</v>
      </c>
      <c r="G1003" s="34">
        <f t="shared" si="351"/>
        <v>0.2962962963</v>
      </c>
      <c r="H1003" s="99">
        <f t="shared" ref="H1003:H1004" si="352">H1002</f>
        <v>520</v>
      </c>
      <c r="I1003" s="99"/>
      <c r="J1003" s="99"/>
      <c r="K1003" s="99"/>
      <c r="L1003" s="99"/>
      <c r="M1003" s="99"/>
      <c r="N1003" s="99"/>
      <c r="O1003" s="99"/>
      <c r="P1003" s="99"/>
      <c r="Q1003" s="23"/>
      <c r="R1003" s="23"/>
      <c r="S1003" s="100"/>
      <c r="T1003" s="24">
        <f t="shared" si="331"/>
        <v>-0.2962962963</v>
      </c>
      <c r="U1003" s="179">
        <f t="shared" si="332"/>
        <v>-1</v>
      </c>
      <c r="V1003" s="179" t="str">
        <f t="shared" si="333"/>
        <v/>
      </c>
      <c r="W1003" s="179" t="str">
        <f t="shared" si="334"/>
        <v/>
      </c>
      <c r="X1003" s="26"/>
    </row>
    <row r="1004">
      <c r="A1004" s="28"/>
      <c r="B1004" s="28"/>
      <c r="C1004" s="107"/>
      <c r="D1004" s="83" t="s">
        <v>444</v>
      </c>
      <c r="E1004" s="201">
        <v>272000.0</v>
      </c>
      <c r="F1004" s="201">
        <v>350000.0</v>
      </c>
      <c r="G1004" s="34">
        <f t="shared" si="351"/>
        <v>0.2867647059</v>
      </c>
      <c r="H1004" s="99">
        <f t="shared" si="352"/>
        <v>520</v>
      </c>
      <c r="I1004" s="99"/>
      <c r="J1004" s="99"/>
      <c r="K1004" s="99"/>
      <c r="L1004" s="99"/>
      <c r="M1004" s="99"/>
      <c r="N1004" s="99"/>
      <c r="O1004" s="99"/>
      <c r="P1004" s="99"/>
      <c r="Q1004" s="23"/>
      <c r="R1004" s="23"/>
      <c r="S1004" s="100"/>
      <c r="T1004" s="24">
        <f t="shared" si="331"/>
        <v>-0.2867647059</v>
      </c>
      <c r="U1004" s="179">
        <f t="shared" si="332"/>
        <v>-1</v>
      </c>
      <c r="V1004" s="179" t="str">
        <f t="shared" si="333"/>
        <v/>
      </c>
      <c r="W1004" s="179" t="str">
        <f t="shared" si="334"/>
        <v/>
      </c>
      <c r="X1004" s="26"/>
    </row>
    <row r="1005">
      <c r="A1005" s="28"/>
      <c r="B1005" s="28"/>
      <c r="C1005" s="107"/>
      <c r="D1005" s="83" t="s">
        <v>445</v>
      </c>
      <c r="E1005" s="201">
        <v>320000.0</v>
      </c>
      <c r="F1005" s="249">
        <v>450000.0</v>
      </c>
      <c r="G1005" s="34">
        <f t="shared" si="351"/>
        <v>0.40625</v>
      </c>
      <c r="H1005" s="98">
        <v>670.0</v>
      </c>
      <c r="I1005" s="99"/>
      <c r="J1005" s="99"/>
      <c r="K1005" s="99"/>
      <c r="L1005" s="99"/>
      <c r="M1005" s="99"/>
      <c r="N1005" s="99"/>
      <c r="O1005" s="99"/>
      <c r="P1005" s="99"/>
      <c r="Q1005" s="23"/>
      <c r="R1005" s="23"/>
      <c r="S1005" s="100"/>
      <c r="T1005" s="24">
        <f t="shared" si="331"/>
        <v>-0.40625</v>
      </c>
      <c r="U1005" s="179">
        <f t="shared" si="332"/>
        <v>-1</v>
      </c>
      <c r="V1005" s="179" t="str">
        <f t="shared" si="333"/>
        <v/>
      </c>
      <c r="W1005" s="179" t="str">
        <f t="shared" si="334"/>
        <v/>
      </c>
      <c r="X1005" s="26"/>
    </row>
    <row r="1006">
      <c r="A1006" s="28"/>
      <c r="B1006" s="28"/>
      <c r="C1006" s="107"/>
      <c r="D1006" s="83" t="s">
        <v>446</v>
      </c>
      <c r="E1006" s="201">
        <v>272000.0</v>
      </c>
      <c r="F1006" s="201">
        <v>350000.0</v>
      </c>
      <c r="G1006" s="34">
        <f t="shared" si="351"/>
        <v>0.2867647059</v>
      </c>
      <c r="H1006" s="98">
        <v>520.0</v>
      </c>
      <c r="I1006" s="99"/>
      <c r="J1006" s="99"/>
      <c r="K1006" s="99"/>
      <c r="L1006" s="99"/>
      <c r="M1006" s="99"/>
      <c r="N1006" s="99"/>
      <c r="O1006" s="99"/>
      <c r="P1006" s="99"/>
      <c r="Q1006" s="23"/>
      <c r="R1006" s="23"/>
      <c r="S1006" s="100"/>
      <c r="T1006" s="24">
        <f t="shared" si="331"/>
        <v>-0.2867647059</v>
      </c>
      <c r="U1006" s="179">
        <f t="shared" si="332"/>
        <v>-1</v>
      </c>
      <c r="V1006" s="179" t="str">
        <f t="shared" si="333"/>
        <v/>
      </c>
      <c r="W1006" s="179" t="str">
        <f t="shared" si="334"/>
        <v/>
      </c>
      <c r="X1006" s="26"/>
    </row>
    <row r="1007">
      <c r="A1007" s="28"/>
      <c r="B1007" s="28"/>
      <c r="C1007" s="107"/>
      <c r="D1007" s="83" t="s">
        <v>447</v>
      </c>
      <c r="E1007" s="201">
        <v>350000.0</v>
      </c>
      <c r="F1007" s="201">
        <v>500000.0</v>
      </c>
      <c r="G1007" s="34">
        <f t="shared" si="351"/>
        <v>0.4285714286</v>
      </c>
      <c r="H1007" s="98">
        <v>740.0</v>
      </c>
      <c r="I1007" s="99"/>
      <c r="J1007" s="99"/>
      <c r="K1007" s="99"/>
      <c r="L1007" s="99"/>
      <c r="M1007" s="99"/>
      <c r="N1007" s="99"/>
      <c r="O1007" s="99"/>
      <c r="P1007" s="99"/>
      <c r="Q1007" s="23"/>
      <c r="R1007" s="23"/>
      <c r="S1007" s="100"/>
      <c r="T1007" s="24">
        <f t="shared" si="331"/>
        <v>-0.4285714286</v>
      </c>
      <c r="U1007" s="179">
        <f t="shared" si="332"/>
        <v>-1</v>
      </c>
      <c r="V1007" s="179" t="str">
        <f t="shared" si="333"/>
        <v/>
      </c>
      <c r="W1007" s="179" t="str">
        <f t="shared" si="334"/>
        <v/>
      </c>
      <c r="X1007" s="26"/>
    </row>
    <row r="1008">
      <c r="A1008" s="28"/>
      <c r="B1008" s="28"/>
      <c r="C1008" s="107"/>
      <c r="D1008" s="83" t="s">
        <v>448</v>
      </c>
      <c r="E1008" s="201">
        <v>200000.0</v>
      </c>
      <c r="F1008" s="201">
        <v>350000.0</v>
      </c>
      <c r="G1008" s="34">
        <f t="shared" si="351"/>
        <v>0.75</v>
      </c>
      <c r="H1008" s="98">
        <v>520.0</v>
      </c>
      <c r="I1008" s="99"/>
      <c r="J1008" s="99"/>
      <c r="K1008" s="99"/>
      <c r="L1008" s="99"/>
      <c r="M1008" s="99"/>
      <c r="N1008" s="99"/>
      <c r="O1008" s="99"/>
      <c r="P1008" s="99"/>
      <c r="Q1008" s="23"/>
      <c r="R1008" s="23"/>
      <c r="S1008" s="100"/>
      <c r="T1008" s="24">
        <f t="shared" si="331"/>
        <v>-0.75</v>
      </c>
      <c r="U1008" s="179">
        <f t="shared" si="332"/>
        <v>-1</v>
      </c>
      <c r="V1008" s="179" t="str">
        <f t="shared" si="333"/>
        <v/>
      </c>
      <c r="W1008" s="179" t="str">
        <f t="shared" si="334"/>
        <v/>
      </c>
      <c r="X1008" s="26"/>
    </row>
    <row r="1009">
      <c r="A1009" s="28"/>
      <c r="B1009" s="28"/>
      <c r="C1009" s="107"/>
      <c r="D1009" s="83" t="s">
        <v>449</v>
      </c>
      <c r="E1009" s="201">
        <v>150000.0</v>
      </c>
      <c r="F1009" s="201">
        <v>250000.0</v>
      </c>
      <c r="G1009" s="34">
        <f t="shared" si="351"/>
        <v>0.6666666667</v>
      </c>
      <c r="H1009" s="98">
        <v>370.0</v>
      </c>
      <c r="I1009" s="99"/>
      <c r="J1009" s="99"/>
      <c r="K1009" s="99"/>
      <c r="L1009" s="99"/>
      <c r="M1009" s="99"/>
      <c r="N1009" s="99"/>
      <c r="O1009" s="99"/>
      <c r="P1009" s="99"/>
      <c r="Q1009" s="23"/>
      <c r="R1009" s="23"/>
      <c r="S1009" s="100"/>
      <c r="T1009" s="24">
        <f t="shared" si="331"/>
        <v>-0.6666666667</v>
      </c>
      <c r="U1009" s="179">
        <f t="shared" si="332"/>
        <v>-1</v>
      </c>
      <c r="V1009" s="179" t="str">
        <f t="shared" si="333"/>
        <v/>
      </c>
      <c r="W1009" s="179" t="str">
        <f t="shared" si="334"/>
        <v/>
      </c>
      <c r="X1009" s="26"/>
    </row>
    <row r="1010">
      <c r="A1010" s="28"/>
      <c r="B1010" s="28"/>
      <c r="C1010" s="107"/>
      <c r="D1010" s="83" t="s">
        <v>86</v>
      </c>
      <c r="E1010" s="201">
        <v>130000.0</v>
      </c>
      <c r="F1010" s="201">
        <v>230000.0</v>
      </c>
      <c r="G1010" s="34">
        <f t="shared" si="351"/>
        <v>0.7692307692</v>
      </c>
      <c r="H1010" s="98">
        <v>340.0</v>
      </c>
      <c r="I1010" s="99"/>
      <c r="J1010" s="99"/>
      <c r="K1010" s="99"/>
      <c r="L1010" s="99"/>
      <c r="M1010" s="99"/>
      <c r="N1010" s="99"/>
      <c r="O1010" s="99"/>
      <c r="P1010" s="99"/>
      <c r="Q1010" s="23"/>
      <c r="R1010" s="23"/>
      <c r="S1010" s="100"/>
      <c r="T1010" s="24">
        <f t="shared" si="331"/>
        <v>-0.7692307692</v>
      </c>
      <c r="U1010" s="179">
        <f t="shared" si="332"/>
        <v>-1</v>
      </c>
      <c r="V1010" s="179" t="str">
        <f t="shared" si="333"/>
        <v/>
      </c>
      <c r="W1010" s="179" t="str">
        <f t="shared" si="334"/>
        <v/>
      </c>
      <c r="X1010" s="26"/>
    </row>
    <row r="1011">
      <c r="A1011" s="28"/>
      <c r="B1011" s="28"/>
      <c r="C1011" s="107"/>
      <c r="D1011" s="83" t="s">
        <v>452</v>
      </c>
      <c r="E1011" s="201">
        <v>450000.0</v>
      </c>
      <c r="F1011" s="201">
        <v>600000.0</v>
      </c>
      <c r="G1011" s="34">
        <f t="shared" si="351"/>
        <v>0.3333333333</v>
      </c>
      <c r="H1011" s="98">
        <v>894.0</v>
      </c>
      <c r="I1011" s="98">
        <v>8945.0</v>
      </c>
      <c r="J1011" s="99"/>
      <c r="K1011" s="99"/>
      <c r="L1011" s="99"/>
      <c r="M1011" s="99"/>
      <c r="N1011" s="99"/>
      <c r="O1011" s="99"/>
      <c r="P1011" s="99"/>
      <c r="Q1011" s="23"/>
      <c r="R1011" s="23"/>
      <c r="S1011" s="100"/>
      <c r="T1011" s="24">
        <f t="shared" si="331"/>
        <v>-0.3333333333</v>
      </c>
      <c r="U1011" s="179">
        <f t="shared" si="332"/>
        <v>-1</v>
      </c>
      <c r="V1011" s="179" t="str">
        <f t="shared" si="333"/>
        <v/>
      </c>
      <c r="W1011" s="179" t="str">
        <f t="shared" si="334"/>
        <v/>
      </c>
      <c r="X1011" s="26"/>
    </row>
    <row r="1012">
      <c r="A1012" s="28"/>
      <c r="B1012" s="28"/>
      <c r="C1012" s="107"/>
      <c r="D1012" s="83" t="s">
        <v>495</v>
      </c>
      <c r="E1012" s="201">
        <v>150000.0</v>
      </c>
      <c r="F1012" s="201">
        <v>230000.0</v>
      </c>
      <c r="G1012" s="34">
        <f t="shared" si="351"/>
        <v>0.5333333333</v>
      </c>
      <c r="H1012" s="98">
        <v>300.0</v>
      </c>
      <c r="I1012" s="99"/>
      <c r="J1012" s="99"/>
      <c r="K1012" s="99"/>
      <c r="L1012" s="99"/>
      <c r="M1012" s="99"/>
      <c r="N1012" s="99"/>
      <c r="O1012" s="99"/>
      <c r="P1012" s="99"/>
      <c r="Q1012" s="23"/>
      <c r="R1012" s="23"/>
      <c r="S1012" s="100"/>
      <c r="T1012" s="24">
        <f t="shared" si="331"/>
        <v>-0.5333333333</v>
      </c>
      <c r="U1012" s="179">
        <f t="shared" si="332"/>
        <v>-1</v>
      </c>
      <c r="V1012" s="179" t="str">
        <f t="shared" si="333"/>
        <v/>
      </c>
      <c r="W1012" s="179" t="str">
        <f t="shared" si="334"/>
        <v/>
      </c>
      <c r="X1012" s="26"/>
    </row>
    <row r="1013">
      <c r="A1013" s="28"/>
      <c r="B1013" s="28"/>
      <c r="C1013" s="107"/>
      <c r="D1013" s="83" t="s">
        <v>496</v>
      </c>
      <c r="E1013" s="201">
        <v>200000.0</v>
      </c>
      <c r="F1013" s="201">
        <v>300000.0</v>
      </c>
      <c r="G1013" s="34">
        <f t="shared" si="351"/>
        <v>0.5</v>
      </c>
      <c r="H1013" s="98">
        <v>445.0</v>
      </c>
      <c r="I1013" s="99"/>
      <c r="J1013" s="99"/>
      <c r="K1013" s="99"/>
      <c r="L1013" s="99"/>
      <c r="M1013" s="99"/>
      <c r="N1013" s="99"/>
      <c r="O1013" s="99"/>
      <c r="P1013" s="99"/>
      <c r="Q1013" s="23"/>
      <c r="R1013" s="23"/>
      <c r="S1013" s="100"/>
      <c r="T1013" s="24"/>
      <c r="U1013" s="179"/>
      <c r="V1013" s="179"/>
      <c r="W1013" s="179"/>
      <c r="X1013" s="26"/>
    </row>
    <row r="1014">
      <c r="A1014" s="28"/>
      <c r="B1014" s="28"/>
      <c r="C1014" s="107"/>
      <c r="D1014" s="83" t="s">
        <v>431</v>
      </c>
      <c r="E1014" s="201">
        <v>340000.0</v>
      </c>
      <c r="F1014" s="201">
        <v>425000.0</v>
      </c>
      <c r="G1014" s="34">
        <f t="shared" si="351"/>
        <v>0.25</v>
      </c>
      <c r="H1014" s="98">
        <v>630.0</v>
      </c>
      <c r="I1014" s="99"/>
      <c r="J1014" s="99"/>
      <c r="K1014" s="99"/>
      <c r="L1014" s="99"/>
      <c r="M1014" s="99"/>
      <c r="N1014" s="99"/>
      <c r="O1014" s="99"/>
      <c r="P1014" s="99"/>
      <c r="Q1014" s="23"/>
      <c r="R1014" s="23"/>
      <c r="S1014" s="100"/>
      <c r="T1014" s="24">
        <f t="shared" ref="T1014:T1017" si="353">P1014-(G1014+S1014)-(P1014*R1014)-(P1014*Q1014)</f>
        <v>-0.25</v>
      </c>
      <c r="U1014" s="179">
        <f t="shared" ref="U1014:U1017" si="354">IFERROR((P1014-G1014)/G1014,"")</f>
        <v>-1</v>
      </c>
      <c r="V1014" s="179" t="str">
        <f t="shared" ref="V1014:V1017" si="355">IFERROR((P1014-G1014)/P1014,"")</f>
        <v/>
      </c>
      <c r="W1014" s="179" t="str">
        <f t="shared" ref="W1014:W1017" si="356">IFERROR(T1014/P1014,"")</f>
        <v/>
      </c>
      <c r="X1014" s="26"/>
    </row>
    <row r="1015">
      <c r="A1015" s="28"/>
      <c r="B1015" s="28"/>
      <c r="C1015" s="107"/>
      <c r="D1015" s="83" t="s">
        <v>182</v>
      </c>
      <c r="E1015" s="201">
        <v>200000.0</v>
      </c>
      <c r="F1015" s="201">
        <v>320000.0</v>
      </c>
      <c r="G1015" s="34">
        <f t="shared" si="351"/>
        <v>0.6</v>
      </c>
      <c r="H1015" s="98">
        <v>475.0</v>
      </c>
      <c r="I1015" s="99"/>
      <c r="J1015" s="99"/>
      <c r="K1015" s="99"/>
      <c r="L1015" s="99"/>
      <c r="M1015" s="99"/>
      <c r="N1015" s="99"/>
      <c r="O1015" s="99"/>
      <c r="P1015" s="99"/>
      <c r="Q1015" s="23"/>
      <c r="R1015" s="23"/>
      <c r="S1015" s="100"/>
      <c r="T1015" s="24">
        <f t="shared" si="353"/>
        <v>-0.6</v>
      </c>
      <c r="U1015" s="179">
        <f t="shared" si="354"/>
        <v>-1</v>
      </c>
      <c r="V1015" s="179" t="str">
        <f t="shared" si="355"/>
        <v/>
      </c>
      <c r="W1015" s="179" t="str">
        <f t="shared" si="356"/>
        <v/>
      </c>
      <c r="X1015" s="26"/>
    </row>
    <row r="1016">
      <c r="A1016" s="28"/>
      <c r="B1016" s="28"/>
      <c r="C1016" s="107"/>
      <c r="D1016" s="83" t="s">
        <v>454</v>
      </c>
      <c r="E1016" s="201">
        <f>180000</f>
        <v>180000</v>
      </c>
      <c r="F1016" s="201">
        <v>300000.0</v>
      </c>
      <c r="G1016" s="34">
        <f t="shared" si="351"/>
        <v>0.6666666667</v>
      </c>
      <c r="H1016" s="98">
        <v>445.0</v>
      </c>
      <c r="I1016" s="99"/>
      <c r="J1016" s="99"/>
      <c r="K1016" s="99"/>
      <c r="L1016" s="99"/>
      <c r="M1016" s="99"/>
      <c r="N1016" s="99"/>
      <c r="O1016" s="99"/>
      <c r="P1016" s="99"/>
      <c r="Q1016" s="23"/>
      <c r="R1016" s="23"/>
      <c r="S1016" s="100"/>
      <c r="T1016" s="24">
        <f t="shared" si="353"/>
        <v>-0.6666666667</v>
      </c>
      <c r="U1016" s="179">
        <f t="shared" si="354"/>
        <v>-1</v>
      </c>
      <c r="V1016" s="179" t="str">
        <f t="shared" si="355"/>
        <v/>
      </c>
      <c r="W1016" s="179" t="str">
        <f t="shared" si="356"/>
        <v/>
      </c>
      <c r="X1016" s="26"/>
    </row>
    <row r="1017">
      <c r="A1017" s="28"/>
      <c r="B1017" s="28"/>
      <c r="C1017" s="107"/>
      <c r="D1017" s="83" t="s">
        <v>456</v>
      </c>
      <c r="E1017" s="201">
        <v>200000.0</v>
      </c>
      <c r="F1017" s="201">
        <v>350000.0</v>
      </c>
      <c r="G1017" s="34">
        <f t="shared" si="351"/>
        <v>0.75</v>
      </c>
      <c r="H1017" s="98">
        <v>520.0</v>
      </c>
      <c r="I1017" s="99"/>
      <c r="J1017" s="99"/>
      <c r="K1017" s="99"/>
      <c r="L1017" s="99"/>
      <c r="M1017" s="99"/>
      <c r="N1017" s="99"/>
      <c r="O1017" s="99"/>
      <c r="P1017" s="99"/>
      <c r="Q1017" s="23"/>
      <c r="R1017" s="23"/>
      <c r="S1017" s="100"/>
      <c r="T1017" s="24">
        <f t="shared" si="353"/>
        <v>-0.75</v>
      </c>
      <c r="U1017" s="179">
        <f t="shared" si="354"/>
        <v>-1</v>
      </c>
      <c r="V1017" s="179" t="str">
        <f t="shared" si="355"/>
        <v/>
      </c>
      <c r="W1017" s="179" t="str">
        <f t="shared" si="356"/>
        <v/>
      </c>
      <c r="X1017" s="26"/>
    </row>
    <row r="1018">
      <c r="A1018" s="28"/>
      <c r="B1018" s="28"/>
      <c r="C1018" s="107"/>
      <c r="D1018" s="83" t="s">
        <v>497</v>
      </c>
      <c r="E1018" s="201">
        <v>150000.0</v>
      </c>
      <c r="F1018" s="201">
        <v>300000.0</v>
      </c>
      <c r="G1018" s="34">
        <f t="shared" si="351"/>
        <v>1</v>
      </c>
      <c r="H1018" s="98">
        <v>440.0</v>
      </c>
      <c r="I1018" s="99"/>
      <c r="J1018" s="99"/>
      <c r="K1018" s="99"/>
      <c r="L1018" s="99"/>
      <c r="M1018" s="99"/>
      <c r="N1018" s="99"/>
      <c r="O1018" s="99"/>
      <c r="P1018" s="99"/>
      <c r="Q1018" s="23"/>
      <c r="R1018" s="23"/>
      <c r="S1018" s="100"/>
      <c r="T1018" s="24"/>
      <c r="U1018" s="179"/>
      <c r="V1018" s="179"/>
      <c r="W1018" s="179"/>
      <c r="X1018" s="26"/>
    </row>
    <row r="1019">
      <c r="A1019" s="28"/>
      <c r="B1019" s="28"/>
      <c r="C1019" s="107"/>
      <c r="D1019" s="83" t="s">
        <v>498</v>
      </c>
      <c r="E1019" s="201">
        <v>30000.0</v>
      </c>
      <c r="F1019" s="201">
        <v>100000.0</v>
      </c>
      <c r="G1019" s="34">
        <f t="shared" si="351"/>
        <v>2.333333333</v>
      </c>
      <c r="H1019" s="98">
        <v>150.0</v>
      </c>
      <c r="I1019" s="99"/>
      <c r="J1019" s="99"/>
      <c r="K1019" s="99"/>
      <c r="L1019" s="99"/>
      <c r="M1019" s="99"/>
      <c r="N1019" s="99"/>
      <c r="O1019" s="99"/>
      <c r="P1019" s="99"/>
      <c r="Q1019" s="23"/>
      <c r="R1019" s="23"/>
      <c r="S1019" s="100"/>
      <c r="T1019" s="24"/>
      <c r="U1019" s="179"/>
      <c r="V1019" s="179"/>
      <c r="W1019" s="179"/>
      <c r="X1019" s="26"/>
    </row>
    <row r="1020">
      <c r="A1020" s="28"/>
      <c r="B1020" s="28"/>
      <c r="C1020" s="107"/>
      <c r="D1020" s="83" t="s">
        <v>101</v>
      </c>
      <c r="E1020" s="201">
        <f t="shared" ref="E1020:F1020" si="357">SUM(E1001:E1019)</f>
        <v>4486000</v>
      </c>
      <c r="F1020" s="105">
        <f t="shared" si="357"/>
        <v>6605000</v>
      </c>
      <c r="G1020" s="34">
        <f t="shared" si="351"/>
        <v>0.4723584485</v>
      </c>
      <c r="H1020" s="99"/>
      <c r="I1020" s="99"/>
      <c r="J1020" s="99"/>
      <c r="K1020" s="99"/>
      <c r="L1020" s="99"/>
      <c r="M1020" s="99"/>
      <c r="N1020" s="99"/>
      <c r="O1020" s="99"/>
      <c r="P1020" s="99"/>
      <c r="Q1020" s="23"/>
      <c r="R1020" s="23"/>
      <c r="S1020" s="100"/>
      <c r="T1020" s="24">
        <f t="shared" ref="T1020:T1032" si="358">P1020-(G1020+S1020)-(P1020*R1020)-(P1020*Q1020)</f>
        <v>-0.4723584485</v>
      </c>
      <c r="U1020" s="179">
        <f t="shared" ref="U1020:U1032" si="359">IFERROR((P1020-G1020)/G1020,"")</f>
        <v>-1</v>
      </c>
      <c r="V1020" s="179" t="str">
        <f t="shared" ref="V1020:V1032" si="360">IFERROR((P1020-G1020)/P1020,"")</f>
        <v/>
      </c>
      <c r="W1020" s="179" t="str">
        <f t="shared" ref="W1020:W1032" si="361">IFERROR(T1020/P1020,"")</f>
        <v/>
      </c>
      <c r="X1020" s="26"/>
    </row>
    <row r="1021">
      <c r="A1021" s="28"/>
      <c r="B1021" s="28"/>
      <c r="C1021" s="107"/>
      <c r="D1021" s="97"/>
      <c r="E1021" s="105"/>
      <c r="F1021" s="105"/>
      <c r="G1021" s="34"/>
      <c r="H1021" s="99"/>
      <c r="I1021" s="99"/>
      <c r="J1021" s="99"/>
      <c r="K1021" s="99"/>
      <c r="L1021" s="99"/>
      <c r="M1021" s="99"/>
      <c r="N1021" s="99"/>
      <c r="O1021" s="99"/>
      <c r="P1021" s="99"/>
      <c r="Q1021" s="23"/>
      <c r="R1021" s="23"/>
      <c r="S1021" s="100"/>
      <c r="T1021" s="24">
        <f t="shared" si="358"/>
        <v>0</v>
      </c>
      <c r="U1021" s="179" t="str">
        <f t="shared" si="359"/>
        <v/>
      </c>
      <c r="V1021" s="179" t="str">
        <f t="shared" si="360"/>
        <v/>
      </c>
      <c r="W1021" s="179" t="str">
        <f t="shared" si="361"/>
        <v/>
      </c>
      <c r="X1021" s="26"/>
    </row>
    <row r="1022">
      <c r="A1022" s="28"/>
      <c r="B1022" s="28"/>
      <c r="C1022" s="107"/>
      <c r="D1022" s="97"/>
      <c r="E1022" s="105"/>
      <c r="F1022" s="105"/>
      <c r="G1022" s="34"/>
      <c r="H1022" s="99"/>
      <c r="I1022" s="99"/>
      <c r="J1022" s="99"/>
      <c r="K1022" s="99"/>
      <c r="L1022" s="99"/>
      <c r="M1022" s="99"/>
      <c r="N1022" s="99"/>
      <c r="O1022" s="99"/>
      <c r="P1022" s="99"/>
      <c r="Q1022" s="23"/>
      <c r="R1022" s="23"/>
      <c r="S1022" s="100"/>
      <c r="T1022" s="24">
        <f t="shared" si="358"/>
        <v>0</v>
      </c>
      <c r="U1022" s="179" t="str">
        <f t="shared" si="359"/>
        <v/>
      </c>
      <c r="V1022" s="179" t="str">
        <f t="shared" si="360"/>
        <v/>
      </c>
      <c r="W1022" s="179" t="str">
        <f t="shared" si="361"/>
        <v/>
      </c>
      <c r="X1022" s="26"/>
    </row>
    <row r="1023">
      <c r="A1023" s="82" t="s">
        <v>494</v>
      </c>
      <c r="B1023" s="28"/>
      <c r="C1023" s="205" t="s">
        <v>499</v>
      </c>
      <c r="D1023" s="83" t="s">
        <v>440</v>
      </c>
      <c r="E1023" s="201">
        <v>350000.0</v>
      </c>
      <c r="F1023" s="201">
        <v>500000.0</v>
      </c>
      <c r="G1023" s="34">
        <f t="shared" ref="G1023:G1039" si="362">(F1023-E1023)/E1023</f>
        <v>0.4285714286</v>
      </c>
      <c r="H1023" s="98">
        <v>740.0</v>
      </c>
      <c r="I1023" s="99"/>
      <c r="J1023" s="99"/>
      <c r="K1023" s="99"/>
      <c r="L1023" s="99"/>
      <c r="M1023" s="99"/>
      <c r="N1023" s="99"/>
      <c r="O1023" s="99"/>
      <c r="P1023" s="99"/>
      <c r="Q1023" s="23"/>
      <c r="R1023" s="23"/>
      <c r="S1023" s="100"/>
      <c r="T1023" s="24">
        <f t="shared" si="358"/>
        <v>-0.4285714286</v>
      </c>
      <c r="U1023" s="179">
        <f t="shared" si="359"/>
        <v>-1</v>
      </c>
      <c r="V1023" s="179" t="str">
        <f t="shared" si="360"/>
        <v/>
      </c>
      <c r="W1023" s="179" t="str">
        <f t="shared" si="361"/>
        <v/>
      </c>
      <c r="X1023" s="26"/>
    </row>
    <row r="1024">
      <c r="A1024" s="28"/>
      <c r="B1024" s="28"/>
      <c r="C1024" s="107"/>
      <c r="D1024" s="83" t="s">
        <v>441</v>
      </c>
      <c r="E1024" s="201">
        <v>272000.0</v>
      </c>
      <c r="F1024" s="201">
        <v>350000.0</v>
      </c>
      <c r="G1024" s="34">
        <f t="shared" si="362"/>
        <v>0.2867647059</v>
      </c>
      <c r="H1024" s="98">
        <v>520.0</v>
      </c>
      <c r="I1024" s="99"/>
      <c r="J1024" s="99"/>
      <c r="K1024" s="99"/>
      <c r="L1024" s="99"/>
      <c r="M1024" s="99"/>
      <c r="N1024" s="99"/>
      <c r="O1024" s="99"/>
      <c r="P1024" s="99"/>
      <c r="Q1024" s="23"/>
      <c r="R1024" s="23"/>
      <c r="S1024" s="100"/>
      <c r="T1024" s="24">
        <f t="shared" si="358"/>
        <v>-0.2867647059</v>
      </c>
      <c r="U1024" s="179">
        <f t="shared" si="359"/>
        <v>-1</v>
      </c>
      <c r="V1024" s="179" t="str">
        <f t="shared" si="360"/>
        <v/>
      </c>
      <c r="W1024" s="179" t="str">
        <f t="shared" si="361"/>
        <v/>
      </c>
      <c r="X1024" s="26"/>
    </row>
    <row r="1025">
      <c r="A1025" s="28"/>
      <c r="B1025" s="28"/>
      <c r="C1025" s="107"/>
      <c r="D1025" s="83" t="s">
        <v>442</v>
      </c>
      <c r="E1025" s="201">
        <v>270000.0</v>
      </c>
      <c r="F1025" s="201">
        <v>350000.0</v>
      </c>
      <c r="G1025" s="34">
        <f t="shared" si="362"/>
        <v>0.2962962963</v>
      </c>
      <c r="H1025" s="98">
        <v>520.0</v>
      </c>
      <c r="I1025" s="99"/>
      <c r="J1025" s="99"/>
      <c r="K1025" s="99"/>
      <c r="L1025" s="99"/>
      <c r="M1025" s="99"/>
      <c r="N1025" s="99"/>
      <c r="O1025" s="99"/>
      <c r="P1025" s="99"/>
      <c r="Q1025" s="23"/>
      <c r="R1025" s="23"/>
      <c r="S1025" s="100"/>
      <c r="T1025" s="24">
        <f t="shared" si="358"/>
        <v>-0.2962962963</v>
      </c>
      <c r="U1025" s="179">
        <f t="shared" si="359"/>
        <v>-1</v>
      </c>
      <c r="V1025" s="179" t="str">
        <f t="shared" si="360"/>
        <v/>
      </c>
      <c r="W1025" s="179" t="str">
        <f t="shared" si="361"/>
        <v/>
      </c>
      <c r="X1025" s="26"/>
    </row>
    <row r="1026">
      <c r="A1026" s="28"/>
      <c r="B1026" s="28"/>
      <c r="C1026" s="107"/>
      <c r="D1026" s="83" t="s">
        <v>444</v>
      </c>
      <c r="E1026" s="201">
        <v>272000.0</v>
      </c>
      <c r="F1026" s="201">
        <v>350000.0</v>
      </c>
      <c r="G1026" s="34">
        <f t="shared" si="362"/>
        <v>0.2867647059</v>
      </c>
      <c r="H1026" s="99">
        <f>H1024</f>
        <v>520</v>
      </c>
      <c r="I1026" s="99"/>
      <c r="J1026" s="99"/>
      <c r="K1026" s="99"/>
      <c r="L1026" s="99"/>
      <c r="M1026" s="99"/>
      <c r="N1026" s="99"/>
      <c r="O1026" s="99"/>
      <c r="P1026" s="99"/>
      <c r="Q1026" s="23"/>
      <c r="R1026" s="23"/>
      <c r="S1026" s="100"/>
      <c r="T1026" s="24">
        <f t="shared" si="358"/>
        <v>-0.2867647059</v>
      </c>
      <c r="U1026" s="179">
        <f t="shared" si="359"/>
        <v>-1</v>
      </c>
      <c r="V1026" s="179" t="str">
        <f t="shared" si="360"/>
        <v/>
      </c>
      <c r="W1026" s="179" t="str">
        <f t="shared" si="361"/>
        <v/>
      </c>
      <c r="X1026" s="26"/>
    </row>
    <row r="1027">
      <c r="A1027" s="28"/>
      <c r="B1027" s="28"/>
      <c r="C1027" s="107"/>
      <c r="D1027" s="83" t="s">
        <v>445</v>
      </c>
      <c r="E1027" s="201">
        <v>320000.0</v>
      </c>
      <c r="F1027" s="249">
        <v>450000.0</v>
      </c>
      <c r="G1027" s="34">
        <f t="shared" si="362"/>
        <v>0.40625</v>
      </c>
      <c r="H1027" s="98">
        <v>670.0</v>
      </c>
      <c r="I1027" s="99"/>
      <c r="J1027" s="99"/>
      <c r="K1027" s="99"/>
      <c r="L1027" s="99"/>
      <c r="M1027" s="99"/>
      <c r="N1027" s="99"/>
      <c r="O1027" s="99"/>
      <c r="P1027" s="99"/>
      <c r="Q1027" s="23"/>
      <c r="R1027" s="23"/>
      <c r="S1027" s="100"/>
      <c r="T1027" s="24">
        <f t="shared" si="358"/>
        <v>-0.40625</v>
      </c>
      <c r="U1027" s="179">
        <f t="shared" si="359"/>
        <v>-1</v>
      </c>
      <c r="V1027" s="179" t="str">
        <f t="shared" si="360"/>
        <v/>
      </c>
      <c r="W1027" s="179" t="str">
        <f t="shared" si="361"/>
        <v/>
      </c>
      <c r="X1027" s="26"/>
    </row>
    <row r="1028">
      <c r="A1028" s="28"/>
      <c r="B1028" s="28"/>
      <c r="C1028" s="107"/>
      <c r="D1028" s="83" t="s">
        <v>446</v>
      </c>
      <c r="E1028" s="201">
        <v>272000.0</v>
      </c>
      <c r="F1028" s="201">
        <v>350000.0</v>
      </c>
      <c r="G1028" s="34">
        <f t="shared" si="362"/>
        <v>0.2867647059</v>
      </c>
      <c r="H1028" s="99">
        <f>H1024</f>
        <v>520</v>
      </c>
      <c r="I1028" s="99"/>
      <c r="J1028" s="99"/>
      <c r="K1028" s="99"/>
      <c r="L1028" s="99"/>
      <c r="M1028" s="99"/>
      <c r="N1028" s="99"/>
      <c r="O1028" s="99"/>
      <c r="P1028" s="99"/>
      <c r="Q1028" s="23"/>
      <c r="R1028" s="23"/>
      <c r="S1028" s="100"/>
      <c r="T1028" s="24">
        <f t="shared" si="358"/>
        <v>-0.2867647059</v>
      </c>
      <c r="U1028" s="179">
        <f t="shared" si="359"/>
        <v>-1</v>
      </c>
      <c r="V1028" s="179" t="str">
        <f t="shared" si="360"/>
        <v/>
      </c>
      <c r="W1028" s="179" t="str">
        <f t="shared" si="361"/>
        <v/>
      </c>
      <c r="X1028" s="26"/>
    </row>
    <row r="1029">
      <c r="A1029" s="28"/>
      <c r="B1029" s="28"/>
      <c r="C1029" s="107"/>
      <c r="D1029" s="83" t="s">
        <v>447</v>
      </c>
      <c r="E1029" s="201">
        <v>350000.0</v>
      </c>
      <c r="F1029" s="201">
        <v>500000.0</v>
      </c>
      <c r="G1029" s="34">
        <f t="shared" si="362"/>
        <v>0.4285714286</v>
      </c>
      <c r="H1029" s="99">
        <f>H1023</f>
        <v>740</v>
      </c>
      <c r="I1029" s="99"/>
      <c r="J1029" s="99"/>
      <c r="K1029" s="99"/>
      <c r="L1029" s="99"/>
      <c r="M1029" s="99"/>
      <c r="N1029" s="99"/>
      <c r="O1029" s="99"/>
      <c r="P1029" s="99"/>
      <c r="Q1029" s="23"/>
      <c r="R1029" s="23"/>
      <c r="S1029" s="100"/>
      <c r="T1029" s="24">
        <f t="shared" si="358"/>
        <v>-0.4285714286</v>
      </c>
      <c r="U1029" s="179">
        <f t="shared" si="359"/>
        <v>-1</v>
      </c>
      <c r="V1029" s="179" t="str">
        <f t="shared" si="360"/>
        <v/>
      </c>
      <c r="W1029" s="179" t="str">
        <f t="shared" si="361"/>
        <v/>
      </c>
      <c r="X1029" s="26"/>
    </row>
    <row r="1030">
      <c r="A1030" s="28"/>
      <c r="B1030" s="28"/>
      <c r="C1030" s="107"/>
      <c r="D1030" s="83" t="s">
        <v>448</v>
      </c>
      <c r="E1030" s="201">
        <v>200000.0</v>
      </c>
      <c r="F1030" s="201">
        <v>350000.0</v>
      </c>
      <c r="G1030" s="34">
        <f t="shared" si="362"/>
        <v>0.75</v>
      </c>
      <c r="H1030" s="99">
        <f>H1028</f>
        <v>520</v>
      </c>
      <c r="I1030" s="99"/>
      <c r="J1030" s="99"/>
      <c r="K1030" s="99"/>
      <c r="L1030" s="99"/>
      <c r="M1030" s="99"/>
      <c r="N1030" s="99"/>
      <c r="O1030" s="99"/>
      <c r="P1030" s="99"/>
      <c r="Q1030" s="23"/>
      <c r="R1030" s="23"/>
      <c r="S1030" s="100"/>
      <c r="T1030" s="24">
        <f t="shared" si="358"/>
        <v>-0.75</v>
      </c>
      <c r="U1030" s="179">
        <f t="shared" si="359"/>
        <v>-1</v>
      </c>
      <c r="V1030" s="179" t="str">
        <f t="shared" si="360"/>
        <v/>
      </c>
      <c r="W1030" s="179" t="str">
        <f t="shared" si="361"/>
        <v/>
      </c>
      <c r="X1030" s="26"/>
    </row>
    <row r="1031">
      <c r="A1031" s="28"/>
      <c r="B1031" s="28"/>
      <c r="C1031" s="107"/>
      <c r="D1031" s="83" t="s">
        <v>449</v>
      </c>
      <c r="E1031" s="201">
        <v>150000.0</v>
      </c>
      <c r="F1031" s="201">
        <v>250000.0</v>
      </c>
      <c r="G1031" s="34">
        <f t="shared" si="362"/>
        <v>0.6666666667</v>
      </c>
      <c r="H1031" s="98">
        <v>370.0</v>
      </c>
      <c r="I1031" s="99"/>
      <c r="J1031" s="99"/>
      <c r="K1031" s="99"/>
      <c r="L1031" s="99"/>
      <c r="M1031" s="99"/>
      <c r="N1031" s="99"/>
      <c r="O1031" s="99"/>
      <c r="P1031" s="99"/>
      <c r="Q1031" s="23"/>
      <c r="R1031" s="23"/>
      <c r="S1031" s="100"/>
      <c r="T1031" s="24">
        <f t="shared" si="358"/>
        <v>-0.6666666667</v>
      </c>
      <c r="U1031" s="179">
        <f t="shared" si="359"/>
        <v>-1</v>
      </c>
      <c r="V1031" s="179" t="str">
        <f t="shared" si="360"/>
        <v/>
      </c>
      <c r="W1031" s="179" t="str">
        <f t="shared" si="361"/>
        <v/>
      </c>
      <c r="X1031" s="26"/>
    </row>
    <row r="1032">
      <c r="A1032" s="28"/>
      <c r="B1032" s="28"/>
      <c r="C1032" s="107"/>
      <c r="D1032" s="83" t="s">
        <v>86</v>
      </c>
      <c r="E1032" s="201">
        <v>130000.0</v>
      </c>
      <c r="F1032" s="201">
        <v>230000.0</v>
      </c>
      <c r="G1032" s="34">
        <f t="shared" si="362"/>
        <v>0.7692307692</v>
      </c>
      <c r="H1032" s="98">
        <v>340.0</v>
      </c>
      <c r="I1032" s="99"/>
      <c r="J1032" s="99"/>
      <c r="K1032" s="99"/>
      <c r="L1032" s="99"/>
      <c r="M1032" s="99"/>
      <c r="N1032" s="99"/>
      <c r="O1032" s="99"/>
      <c r="P1032" s="99"/>
      <c r="Q1032" s="23"/>
      <c r="R1032" s="23"/>
      <c r="S1032" s="100"/>
      <c r="T1032" s="24">
        <f t="shared" si="358"/>
        <v>-0.7692307692</v>
      </c>
      <c r="U1032" s="179">
        <f t="shared" si="359"/>
        <v>-1</v>
      </c>
      <c r="V1032" s="179" t="str">
        <f t="shared" si="360"/>
        <v/>
      </c>
      <c r="W1032" s="179" t="str">
        <f t="shared" si="361"/>
        <v/>
      </c>
      <c r="X1032" s="26"/>
    </row>
    <row r="1033">
      <c r="A1033" s="28"/>
      <c r="B1033" s="28"/>
      <c r="C1033" s="107"/>
      <c r="D1033" s="83" t="s">
        <v>498</v>
      </c>
      <c r="E1033" s="201">
        <v>30000.0</v>
      </c>
      <c r="F1033" s="201">
        <v>100000.0</v>
      </c>
      <c r="G1033" s="34">
        <f t="shared" si="362"/>
        <v>2.333333333</v>
      </c>
      <c r="H1033" s="98">
        <v>150.0</v>
      </c>
      <c r="I1033" s="99"/>
      <c r="J1033" s="99"/>
      <c r="K1033" s="99"/>
      <c r="L1033" s="99"/>
      <c r="M1033" s="99"/>
      <c r="N1033" s="99"/>
      <c r="O1033" s="99"/>
      <c r="P1033" s="99"/>
      <c r="Q1033" s="23"/>
      <c r="R1033" s="23"/>
      <c r="S1033" s="100"/>
      <c r="T1033" s="24"/>
      <c r="U1033" s="179"/>
      <c r="V1033" s="179"/>
      <c r="W1033" s="179"/>
      <c r="X1033" s="26"/>
    </row>
    <row r="1034">
      <c r="A1034" s="28"/>
      <c r="B1034" s="28"/>
      <c r="C1034" s="107"/>
      <c r="D1034" s="83" t="s">
        <v>392</v>
      </c>
      <c r="E1034" s="201">
        <v>420000.0</v>
      </c>
      <c r="F1034" s="201">
        <v>590000.0</v>
      </c>
      <c r="G1034" s="34">
        <f t="shared" si="362"/>
        <v>0.4047619048</v>
      </c>
      <c r="H1034" s="98">
        <v>875.0</v>
      </c>
      <c r="I1034" s="99"/>
      <c r="J1034" s="99"/>
      <c r="K1034" s="99"/>
      <c r="L1034" s="99"/>
      <c r="M1034" s="99"/>
      <c r="N1034" s="99"/>
      <c r="O1034" s="99"/>
      <c r="P1034" s="99"/>
      <c r="Q1034" s="23"/>
      <c r="R1034" s="23"/>
      <c r="S1034" s="100"/>
      <c r="T1034" s="24">
        <f t="shared" ref="T1034:T1053" si="363">P1034-(G1034+S1034)-(P1034*R1034)-(P1034*Q1034)</f>
        <v>-0.4047619048</v>
      </c>
      <c r="U1034" s="179">
        <f t="shared" ref="U1034:U1053" si="364">IFERROR((P1034-G1034)/G1034,"")</f>
        <v>-1</v>
      </c>
      <c r="V1034" s="179" t="str">
        <f t="shared" ref="V1034:V1053" si="365">IFERROR((P1034-G1034)/P1034,"")</f>
        <v/>
      </c>
      <c r="W1034" s="179" t="str">
        <f t="shared" ref="W1034:W1068" si="366">IFERROR(T1034/P1034,"")</f>
        <v/>
      </c>
      <c r="X1034" s="26"/>
    </row>
    <row r="1035">
      <c r="A1035" s="28"/>
      <c r="B1035" s="28"/>
      <c r="C1035" s="107"/>
      <c r="D1035" s="83" t="s">
        <v>431</v>
      </c>
      <c r="E1035" s="201">
        <v>340000.0</v>
      </c>
      <c r="F1035" s="201">
        <v>425000.0</v>
      </c>
      <c r="G1035" s="34">
        <f t="shared" si="362"/>
        <v>0.25</v>
      </c>
      <c r="H1035" s="98">
        <v>630.0</v>
      </c>
      <c r="I1035" s="99"/>
      <c r="J1035" s="99"/>
      <c r="K1035" s="99"/>
      <c r="L1035" s="99"/>
      <c r="M1035" s="99"/>
      <c r="N1035" s="99"/>
      <c r="O1035" s="99"/>
      <c r="P1035" s="99"/>
      <c r="Q1035" s="23"/>
      <c r="R1035" s="23"/>
      <c r="S1035" s="100"/>
      <c r="T1035" s="24">
        <f t="shared" si="363"/>
        <v>-0.25</v>
      </c>
      <c r="U1035" s="179">
        <f t="shared" si="364"/>
        <v>-1</v>
      </c>
      <c r="V1035" s="179" t="str">
        <f t="shared" si="365"/>
        <v/>
      </c>
      <c r="W1035" s="179" t="str">
        <f t="shared" si="366"/>
        <v/>
      </c>
      <c r="X1035" s="26"/>
    </row>
    <row r="1036">
      <c r="A1036" s="28"/>
      <c r="B1036" s="28"/>
      <c r="C1036" s="107"/>
      <c r="D1036" s="83" t="s">
        <v>182</v>
      </c>
      <c r="E1036" s="201">
        <v>200000.0</v>
      </c>
      <c r="F1036" s="201">
        <v>320000.0</v>
      </c>
      <c r="G1036" s="34">
        <f t="shared" si="362"/>
        <v>0.6</v>
      </c>
      <c r="H1036" s="98">
        <v>475.0</v>
      </c>
      <c r="I1036" s="99"/>
      <c r="J1036" s="99"/>
      <c r="K1036" s="99"/>
      <c r="L1036" s="99"/>
      <c r="M1036" s="99"/>
      <c r="N1036" s="99"/>
      <c r="O1036" s="99"/>
      <c r="P1036" s="99"/>
      <c r="Q1036" s="23"/>
      <c r="R1036" s="23"/>
      <c r="S1036" s="100"/>
      <c r="T1036" s="24">
        <f t="shared" si="363"/>
        <v>-0.6</v>
      </c>
      <c r="U1036" s="179">
        <f t="shared" si="364"/>
        <v>-1</v>
      </c>
      <c r="V1036" s="179" t="str">
        <f t="shared" si="365"/>
        <v/>
      </c>
      <c r="W1036" s="179" t="str">
        <f t="shared" si="366"/>
        <v/>
      </c>
      <c r="X1036" s="26"/>
    </row>
    <row r="1037">
      <c r="A1037" s="28"/>
      <c r="B1037" s="28"/>
      <c r="C1037" s="107"/>
      <c r="D1037" s="83" t="s">
        <v>454</v>
      </c>
      <c r="E1037" s="201">
        <f>180000</f>
        <v>180000</v>
      </c>
      <c r="F1037" s="201">
        <v>300000.0</v>
      </c>
      <c r="G1037" s="34">
        <f t="shared" si="362"/>
        <v>0.6666666667</v>
      </c>
      <c r="H1037" s="98">
        <v>445.0</v>
      </c>
      <c r="I1037" s="99"/>
      <c r="J1037" s="99"/>
      <c r="K1037" s="99"/>
      <c r="L1037" s="99"/>
      <c r="M1037" s="99"/>
      <c r="N1037" s="99"/>
      <c r="O1037" s="99"/>
      <c r="P1037" s="99"/>
      <c r="Q1037" s="23"/>
      <c r="R1037" s="23"/>
      <c r="S1037" s="100"/>
      <c r="T1037" s="24">
        <f t="shared" si="363"/>
        <v>-0.6666666667</v>
      </c>
      <c r="U1037" s="179">
        <f t="shared" si="364"/>
        <v>-1</v>
      </c>
      <c r="V1037" s="179" t="str">
        <f t="shared" si="365"/>
        <v/>
      </c>
      <c r="W1037" s="179" t="str">
        <f t="shared" si="366"/>
        <v/>
      </c>
      <c r="X1037" s="26"/>
    </row>
    <row r="1038">
      <c r="A1038" s="28"/>
      <c r="B1038" s="28"/>
      <c r="C1038" s="107"/>
      <c r="D1038" s="83" t="s">
        <v>456</v>
      </c>
      <c r="E1038" s="201">
        <v>200000.0</v>
      </c>
      <c r="F1038" s="201">
        <v>350000.0</v>
      </c>
      <c r="G1038" s="34">
        <f t="shared" si="362"/>
        <v>0.75</v>
      </c>
      <c r="H1038" s="99">
        <f>H1030</f>
        <v>520</v>
      </c>
      <c r="I1038" s="99"/>
      <c r="J1038" s="99"/>
      <c r="K1038" s="99"/>
      <c r="L1038" s="99"/>
      <c r="M1038" s="99"/>
      <c r="N1038" s="99"/>
      <c r="O1038" s="99"/>
      <c r="P1038" s="99"/>
      <c r="Q1038" s="23"/>
      <c r="R1038" s="23"/>
      <c r="S1038" s="100"/>
      <c r="T1038" s="24">
        <f t="shared" si="363"/>
        <v>-0.75</v>
      </c>
      <c r="U1038" s="179">
        <f t="shared" si="364"/>
        <v>-1</v>
      </c>
      <c r="V1038" s="179" t="str">
        <f t="shared" si="365"/>
        <v/>
      </c>
      <c r="W1038" s="179" t="str">
        <f t="shared" si="366"/>
        <v/>
      </c>
      <c r="X1038" s="26"/>
    </row>
    <row r="1039">
      <c r="A1039" s="28"/>
      <c r="B1039" s="28"/>
      <c r="C1039" s="107"/>
      <c r="D1039" s="97"/>
      <c r="E1039" s="105">
        <f t="shared" ref="E1039:F1039" si="367">SUM(E1023:E1038)</f>
        <v>3956000</v>
      </c>
      <c r="F1039" s="105">
        <f t="shared" si="367"/>
        <v>5765000</v>
      </c>
      <c r="G1039" s="34">
        <f t="shared" si="362"/>
        <v>0.4572800809</v>
      </c>
      <c r="H1039" s="98"/>
      <c r="I1039" s="99"/>
      <c r="J1039" s="99"/>
      <c r="K1039" s="99"/>
      <c r="L1039" s="99"/>
      <c r="M1039" s="99"/>
      <c r="N1039" s="99"/>
      <c r="O1039" s="99"/>
      <c r="P1039" s="99"/>
      <c r="Q1039" s="23"/>
      <c r="R1039" s="23"/>
      <c r="S1039" s="100"/>
      <c r="T1039" s="24">
        <f t="shared" si="363"/>
        <v>-0.4572800809</v>
      </c>
      <c r="U1039" s="179">
        <f t="shared" si="364"/>
        <v>-1</v>
      </c>
      <c r="V1039" s="179" t="str">
        <f t="shared" si="365"/>
        <v/>
      </c>
      <c r="W1039" s="179" t="str">
        <f t="shared" si="366"/>
        <v/>
      </c>
      <c r="X1039" s="26"/>
    </row>
    <row r="1040">
      <c r="A1040" s="28"/>
      <c r="B1040" s="28"/>
      <c r="C1040" s="107"/>
      <c r="D1040" s="97"/>
      <c r="E1040" s="105"/>
      <c r="F1040" s="105"/>
      <c r="G1040" s="34"/>
      <c r="H1040" s="99"/>
      <c r="I1040" s="99"/>
      <c r="J1040" s="99"/>
      <c r="K1040" s="99"/>
      <c r="L1040" s="99"/>
      <c r="M1040" s="99"/>
      <c r="N1040" s="99"/>
      <c r="O1040" s="99"/>
      <c r="P1040" s="99"/>
      <c r="Q1040" s="23"/>
      <c r="R1040" s="23"/>
      <c r="S1040" s="100"/>
      <c r="T1040" s="24">
        <f t="shared" si="363"/>
        <v>0</v>
      </c>
      <c r="U1040" s="179" t="str">
        <f t="shared" si="364"/>
        <v/>
      </c>
      <c r="V1040" s="179" t="str">
        <f t="shared" si="365"/>
        <v/>
      </c>
      <c r="W1040" s="179" t="str">
        <f t="shared" si="366"/>
        <v/>
      </c>
      <c r="X1040" s="26"/>
    </row>
    <row r="1041">
      <c r="A1041" s="28"/>
      <c r="B1041" s="28"/>
      <c r="C1041" s="82" t="s">
        <v>500</v>
      </c>
      <c r="D1041" s="83" t="s">
        <v>309</v>
      </c>
      <c r="E1041" s="201">
        <v>2940000.0</v>
      </c>
      <c r="F1041" s="105">
        <f>E1041*1.4</f>
        <v>4116000</v>
      </c>
      <c r="G1041" s="34">
        <f t="shared" ref="G1041:G1042" si="368">(F1041-E1041)/E1041</f>
        <v>0.4</v>
      </c>
      <c r="H1041" s="99"/>
      <c r="I1041" s="99"/>
      <c r="J1041" s="99"/>
      <c r="K1041" s="99"/>
      <c r="L1041" s="99"/>
      <c r="M1041" s="99"/>
      <c r="N1041" s="99"/>
      <c r="O1041" s="99"/>
      <c r="P1041" s="99"/>
      <c r="Q1041" s="23"/>
      <c r="R1041" s="23"/>
      <c r="S1041" s="100"/>
      <c r="T1041" s="24">
        <f t="shared" si="363"/>
        <v>-0.4</v>
      </c>
      <c r="U1041" s="179">
        <f t="shared" si="364"/>
        <v>-1</v>
      </c>
      <c r="V1041" s="179" t="str">
        <f t="shared" si="365"/>
        <v/>
      </c>
      <c r="W1041" s="179" t="str">
        <f t="shared" si="366"/>
        <v/>
      </c>
      <c r="X1041" s="26"/>
    </row>
    <row r="1042">
      <c r="A1042" s="28"/>
      <c r="B1042" s="28"/>
      <c r="C1042" s="107"/>
      <c r="D1042" s="83" t="s">
        <v>406</v>
      </c>
      <c r="E1042" s="201">
        <v>150000.0</v>
      </c>
      <c r="F1042" s="201">
        <v>250000.0</v>
      </c>
      <c r="G1042" s="34">
        <f t="shared" si="368"/>
        <v>0.6666666667</v>
      </c>
      <c r="H1042" s="99"/>
      <c r="I1042" s="99"/>
      <c r="J1042" s="99"/>
      <c r="K1042" s="99"/>
      <c r="L1042" s="99"/>
      <c r="M1042" s="99"/>
      <c r="N1042" s="99"/>
      <c r="O1042" s="99"/>
      <c r="P1042" s="99"/>
      <c r="Q1042" s="108"/>
      <c r="R1042" s="108"/>
      <c r="S1042" s="100"/>
      <c r="T1042" s="24">
        <f t="shared" si="363"/>
        <v>-0.6666666667</v>
      </c>
      <c r="U1042" s="179">
        <f t="shared" si="364"/>
        <v>-1</v>
      </c>
      <c r="V1042" s="179" t="str">
        <f t="shared" si="365"/>
        <v/>
      </c>
      <c r="W1042" s="179" t="str">
        <f t="shared" si="366"/>
        <v/>
      </c>
      <c r="X1042" s="26"/>
    </row>
    <row r="1043">
      <c r="A1043" s="28"/>
      <c r="B1043" s="28"/>
      <c r="C1043" s="107"/>
      <c r="D1043" s="83" t="s">
        <v>101</v>
      </c>
      <c r="E1043" s="201">
        <f t="shared" ref="E1043:F1043" si="369">SUM(E1041:E1042)</f>
        <v>3090000</v>
      </c>
      <c r="F1043" s="201">
        <f t="shared" si="369"/>
        <v>4366000</v>
      </c>
      <c r="G1043" s="34"/>
      <c r="H1043" s="99"/>
      <c r="I1043" s="99"/>
      <c r="J1043" s="99"/>
      <c r="K1043" s="99"/>
      <c r="L1043" s="99"/>
      <c r="M1043" s="99"/>
      <c r="N1043" s="99"/>
      <c r="O1043" s="99"/>
      <c r="P1043" s="99"/>
      <c r="Q1043" s="108"/>
      <c r="R1043" s="108"/>
      <c r="S1043" s="100"/>
      <c r="T1043" s="24">
        <f t="shared" si="363"/>
        <v>0</v>
      </c>
      <c r="U1043" s="179" t="str">
        <f t="shared" si="364"/>
        <v/>
      </c>
      <c r="V1043" s="179" t="str">
        <f t="shared" si="365"/>
        <v/>
      </c>
      <c r="W1043" s="179" t="str">
        <f t="shared" si="366"/>
        <v/>
      </c>
      <c r="X1043" s="26"/>
    </row>
    <row r="1044">
      <c r="A1044" s="28"/>
      <c r="B1044" s="28"/>
      <c r="C1044" s="107"/>
      <c r="D1044" s="83" t="s">
        <v>148</v>
      </c>
      <c r="E1044" s="105"/>
      <c r="F1044" s="105"/>
      <c r="G1044" s="34"/>
      <c r="H1044" s="99"/>
      <c r="I1044" s="99"/>
      <c r="J1044" s="99"/>
      <c r="K1044" s="99"/>
      <c r="L1044" s="99"/>
      <c r="M1044" s="99"/>
      <c r="N1044" s="99"/>
      <c r="O1044" s="99"/>
      <c r="P1044" s="99"/>
      <c r="Q1044" s="108"/>
      <c r="R1044" s="108"/>
      <c r="S1044" s="100"/>
      <c r="T1044" s="24">
        <f t="shared" si="363"/>
        <v>0</v>
      </c>
      <c r="U1044" s="179" t="str">
        <f t="shared" si="364"/>
        <v/>
      </c>
      <c r="V1044" s="179" t="str">
        <f t="shared" si="365"/>
        <v/>
      </c>
      <c r="W1044" s="179" t="str">
        <f t="shared" si="366"/>
        <v/>
      </c>
      <c r="X1044" s="26"/>
    </row>
    <row r="1045">
      <c r="A1045" s="28"/>
      <c r="B1045" s="28"/>
      <c r="C1045" s="107"/>
      <c r="D1045" s="97"/>
      <c r="E1045" s="105"/>
      <c r="F1045" s="105"/>
      <c r="G1045" s="34"/>
      <c r="H1045" s="99"/>
      <c r="I1045" s="99"/>
      <c r="J1045" s="99"/>
      <c r="K1045" s="99"/>
      <c r="L1045" s="99"/>
      <c r="M1045" s="99"/>
      <c r="N1045" s="99"/>
      <c r="O1045" s="99"/>
      <c r="P1045" s="99"/>
      <c r="Q1045" s="108"/>
      <c r="R1045" s="108"/>
      <c r="S1045" s="100"/>
      <c r="T1045" s="24">
        <f t="shared" si="363"/>
        <v>0</v>
      </c>
      <c r="U1045" s="179" t="str">
        <f t="shared" si="364"/>
        <v/>
      </c>
      <c r="V1045" s="179" t="str">
        <f t="shared" si="365"/>
        <v/>
      </c>
      <c r="W1045" s="179" t="str">
        <f t="shared" si="366"/>
        <v/>
      </c>
      <c r="X1045" s="26"/>
    </row>
    <row r="1046">
      <c r="A1046" s="28"/>
      <c r="B1046" s="28"/>
      <c r="C1046" s="82" t="s">
        <v>501</v>
      </c>
      <c r="D1046" s="238" t="s">
        <v>502</v>
      </c>
      <c r="E1046" s="201">
        <f>(330000*2)</f>
        <v>660000</v>
      </c>
      <c r="F1046" s="105">
        <f>(490000*2)</f>
        <v>980000</v>
      </c>
      <c r="G1046" s="34">
        <f t="shared" ref="G1046:G1049" si="370">(F1046-E1046)/E1046</f>
        <v>0.4848484848</v>
      </c>
      <c r="H1046" s="99"/>
      <c r="I1046" s="99"/>
      <c r="J1046" s="99"/>
      <c r="K1046" s="99"/>
      <c r="L1046" s="99"/>
      <c r="M1046" s="99"/>
      <c r="N1046" s="99"/>
      <c r="O1046" s="99"/>
      <c r="P1046" s="99"/>
      <c r="Q1046" s="108"/>
      <c r="R1046" s="108"/>
      <c r="S1046" s="100"/>
      <c r="T1046" s="24">
        <f t="shared" si="363"/>
        <v>-0.4848484848</v>
      </c>
      <c r="U1046" s="179">
        <f t="shared" si="364"/>
        <v>-1</v>
      </c>
      <c r="V1046" s="179" t="str">
        <f t="shared" si="365"/>
        <v/>
      </c>
      <c r="W1046" s="179" t="str">
        <f t="shared" si="366"/>
        <v/>
      </c>
      <c r="X1046" s="26"/>
    </row>
    <row r="1047">
      <c r="A1047" s="28"/>
      <c r="B1047" s="28"/>
      <c r="C1047" s="107"/>
      <c r="D1047" s="83" t="s">
        <v>503</v>
      </c>
      <c r="E1047" s="201">
        <v>442000.0</v>
      </c>
      <c r="F1047" s="105">
        <f>325000*2</f>
        <v>650000</v>
      </c>
      <c r="G1047" s="34">
        <f t="shared" si="370"/>
        <v>0.4705882353</v>
      </c>
      <c r="H1047" s="99"/>
      <c r="I1047" s="99"/>
      <c r="J1047" s="99"/>
      <c r="K1047" s="99"/>
      <c r="L1047" s="99"/>
      <c r="M1047" s="99"/>
      <c r="N1047" s="99"/>
      <c r="O1047" s="99"/>
      <c r="P1047" s="99"/>
      <c r="Q1047" s="108"/>
      <c r="R1047" s="108"/>
      <c r="S1047" s="100"/>
      <c r="T1047" s="24">
        <f t="shared" si="363"/>
        <v>-0.4705882353</v>
      </c>
      <c r="U1047" s="179">
        <f t="shared" si="364"/>
        <v>-1</v>
      </c>
      <c r="V1047" s="179" t="str">
        <f t="shared" si="365"/>
        <v/>
      </c>
      <c r="W1047" s="179" t="str">
        <f t="shared" si="366"/>
        <v/>
      </c>
      <c r="X1047" s="26"/>
    </row>
    <row r="1048">
      <c r="A1048" s="28"/>
      <c r="B1048" s="28"/>
      <c r="C1048" s="107"/>
      <c r="D1048" s="83" t="s">
        <v>504</v>
      </c>
      <c r="E1048" s="105">
        <f>(330000*2)</f>
        <v>660000</v>
      </c>
      <c r="F1048" s="105">
        <f>510000*2</f>
        <v>1020000</v>
      </c>
      <c r="G1048" s="34">
        <f t="shared" si="370"/>
        <v>0.5454545455</v>
      </c>
      <c r="H1048" s="99"/>
      <c r="I1048" s="99"/>
      <c r="J1048" s="99"/>
      <c r="K1048" s="99"/>
      <c r="L1048" s="99"/>
      <c r="M1048" s="99"/>
      <c r="N1048" s="99"/>
      <c r="O1048" s="99"/>
      <c r="P1048" s="99"/>
      <c r="Q1048" s="108"/>
      <c r="R1048" s="108"/>
      <c r="S1048" s="100"/>
      <c r="T1048" s="24">
        <f t="shared" si="363"/>
        <v>-0.5454545455</v>
      </c>
      <c r="U1048" s="179">
        <f t="shared" si="364"/>
        <v>-1</v>
      </c>
      <c r="V1048" s="179" t="str">
        <f t="shared" si="365"/>
        <v/>
      </c>
      <c r="W1048" s="179" t="str">
        <f t="shared" si="366"/>
        <v/>
      </c>
      <c r="X1048" s="26"/>
    </row>
    <row r="1049">
      <c r="A1049" s="28"/>
      <c r="B1049" s="28"/>
      <c r="C1049" s="107"/>
      <c r="D1049" s="83" t="s">
        <v>101</v>
      </c>
      <c r="E1049" s="105">
        <f t="shared" ref="E1049:F1049" si="371">SUM(E1046:E1048)</f>
        <v>1762000</v>
      </c>
      <c r="F1049" s="105">
        <f t="shared" si="371"/>
        <v>2650000</v>
      </c>
      <c r="G1049" s="34">
        <f t="shared" si="370"/>
        <v>0.5039727582</v>
      </c>
      <c r="H1049" s="99"/>
      <c r="I1049" s="99"/>
      <c r="J1049" s="99"/>
      <c r="K1049" s="99"/>
      <c r="L1049" s="99"/>
      <c r="M1049" s="99"/>
      <c r="N1049" s="99"/>
      <c r="O1049" s="99"/>
      <c r="P1049" s="99"/>
      <c r="Q1049" s="108"/>
      <c r="R1049" s="108"/>
      <c r="S1049" s="100"/>
      <c r="T1049" s="24">
        <f t="shared" si="363"/>
        <v>-0.5039727582</v>
      </c>
      <c r="U1049" s="179">
        <f t="shared" si="364"/>
        <v>-1</v>
      </c>
      <c r="V1049" s="179" t="str">
        <f t="shared" si="365"/>
        <v/>
      </c>
      <c r="W1049" s="179" t="str">
        <f t="shared" si="366"/>
        <v/>
      </c>
      <c r="X1049" s="26"/>
    </row>
    <row r="1050">
      <c r="A1050" s="28"/>
      <c r="B1050" s="28"/>
      <c r="C1050" s="107"/>
      <c r="D1050" s="83" t="s">
        <v>148</v>
      </c>
      <c r="E1050" s="105">
        <f>F1049-E1049</f>
        <v>888000</v>
      </c>
      <c r="F1050" s="105"/>
      <c r="G1050" s="34"/>
      <c r="H1050" s="99"/>
      <c r="I1050" s="99"/>
      <c r="J1050" s="99"/>
      <c r="K1050" s="99"/>
      <c r="L1050" s="99"/>
      <c r="M1050" s="99"/>
      <c r="N1050" s="99"/>
      <c r="O1050" s="99"/>
      <c r="P1050" s="99"/>
      <c r="Q1050" s="108"/>
      <c r="R1050" s="108"/>
      <c r="S1050" s="100"/>
      <c r="T1050" s="24">
        <f t="shared" si="363"/>
        <v>0</v>
      </c>
      <c r="U1050" s="179" t="str">
        <f t="shared" si="364"/>
        <v/>
      </c>
      <c r="V1050" s="179" t="str">
        <f t="shared" si="365"/>
        <v/>
      </c>
      <c r="W1050" s="179" t="str">
        <f t="shared" si="366"/>
        <v/>
      </c>
      <c r="X1050" s="26"/>
    </row>
    <row r="1051">
      <c r="A1051" s="28"/>
      <c r="B1051" s="28"/>
      <c r="C1051" s="107"/>
      <c r="D1051" s="97"/>
      <c r="E1051" s="105"/>
      <c r="F1051" s="105"/>
      <c r="G1051" s="34"/>
      <c r="H1051" s="99"/>
      <c r="I1051" s="99"/>
      <c r="J1051" s="99"/>
      <c r="K1051" s="99"/>
      <c r="L1051" s="99"/>
      <c r="M1051" s="99"/>
      <c r="N1051" s="99"/>
      <c r="O1051" s="99"/>
      <c r="P1051" s="99"/>
      <c r="Q1051" s="108"/>
      <c r="R1051" s="108"/>
      <c r="S1051" s="100"/>
      <c r="T1051" s="24">
        <f t="shared" si="363"/>
        <v>0</v>
      </c>
      <c r="U1051" s="179" t="str">
        <f t="shared" si="364"/>
        <v/>
      </c>
      <c r="V1051" s="179" t="str">
        <f t="shared" si="365"/>
        <v/>
      </c>
      <c r="W1051" s="179" t="str">
        <f t="shared" si="366"/>
        <v/>
      </c>
      <c r="X1051" s="26"/>
    </row>
    <row r="1052">
      <c r="A1052" s="28"/>
      <c r="B1052" s="28"/>
      <c r="C1052" s="107"/>
      <c r="D1052" s="97"/>
      <c r="E1052" s="105"/>
      <c r="F1052" s="105"/>
      <c r="G1052" s="34"/>
      <c r="H1052" s="99"/>
      <c r="I1052" s="99"/>
      <c r="J1052" s="99"/>
      <c r="K1052" s="99"/>
      <c r="L1052" s="99"/>
      <c r="M1052" s="99"/>
      <c r="N1052" s="99"/>
      <c r="O1052" s="99"/>
      <c r="P1052" s="99"/>
      <c r="Q1052" s="108"/>
      <c r="R1052" s="108"/>
      <c r="S1052" s="100"/>
      <c r="T1052" s="24">
        <f t="shared" si="363"/>
        <v>0</v>
      </c>
      <c r="U1052" s="179" t="str">
        <f t="shared" si="364"/>
        <v/>
      </c>
      <c r="V1052" s="179" t="str">
        <f t="shared" si="365"/>
        <v/>
      </c>
      <c r="W1052" s="179" t="str">
        <f t="shared" si="366"/>
        <v/>
      </c>
      <c r="X1052" s="26"/>
    </row>
    <row r="1053">
      <c r="A1053" s="28"/>
      <c r="B1053" s="28"/>
      <c r="C1053" s="82" t="s">
        <v>505</v>
      </c>
      <c r="D1053" s="83" t="s">
        <v>506</v>
      </c>
      <c r="E1053" s="105">
        <f>560000*3+112000</f>
        <v>1792000</v>
      </c>
      <c r="F1053" s="201">
        <v>2700000.0</v>
      </c>
      <c r="G1053" s="34">
        <f>(F1053-E1053)/E1053</f>
        <v>0.5066964286</v>
      </c>
      <c r="H1053" s="99"/>
      <c r="I1053" s="99"/>
      <c r="J1053" s="99"/>
      <c r="K1053" s="99"/>
      <c r="L1053" s="99"/>
      <c r="M1053" s="99"/>
      <c r="N1053" s="99"/>
      <c r="O1053" s="99"/>
      <c r="P1053" s="99"/>
      <c r="Q1053" s="108"/>
      <c r="R1053" s="108"/>
      <c r="S1053" s="100"/>
      <c r="T1053" s="24">
        <f t="shared" si="363"/>
        <v>-0.5066964286</v>
      </c>
      <c r="U1053" s="179">
        <f t="shared" si="364"/>
        <v>-1</v>
      </c>
      <c r="V1053" s="179" t="str">
        <f t="shared" si="365"/>
        <v/>
      </c>
      <c r="W1053" s="179" t="str">
        <f t="shared" si="366"/>
        <v/>
      </c>
      <c r="X1053" s="26"/>
    </row>
    <row r="1054">
      <c r="A1054" s="28"/>
      <c r="B1054" s="28"/>
      <c r="C1054" s="107"/>
      <c r="D1054" s="97"/>
      <c r="E1054" s="105">
        <f>F1053-E1053</f>
        <v>908000</v>
      </c>
      <c r="F1054" s="105"/>
      <c r="H1054" s="99"/>
      <c r="I1054" s="99"/>
      <c r="J1054" s="99"/>
      <c r="K1054" s="99"/>
      <c r="L1054" s="99"/>
      <c r="M1054" s="99"/>
      <c r="N1054" s="99"/>
      <c r="O1054" s="99"/>
      <c r="P1054" s="99"/>
      <c r="Q1054" s="108"/>
      <c r="R1054" s="108"/>
      <c r="S1054" s="100"/>
      <c r="T1054" s="24">
        <f>P1054-(G1055+S1054)-(P1054*R1054)-(P1054*Q1054)</f>
        <v>0</v>
      </c>
      <c r="U1054" s="179" t="str">
        <f>IFERROR((P1054-G1055)/G1055,"")</f>
        <v/>
      </c>
      <c r="V1054" s="179" t="str">
        <f>IFERROR((P1054-G1055)/P1054,"")</f>
        <v/>
      </c>
      <c r="W1054" s="179" t="str">
        <f t="shared" si="366"/>
        <v/>
      </c>
      <c r="X1054" s="26"/>
    </row>
    <row r="1055">
      <c r="A1055" s="28"/>
      <c r="B1055" s="28"/>
      <c r="C1055" s="107"/>
      <c r="D1055" s="97"/>
      <c r="E1055" s="105"/>
      <c r="F1055" s="105"/>
      <c r="G1055" s="34"/>
      <c r="H1055" s="99"/>
      <c r="I1055" s="99"/>
      <c r="J1055" s="99"/>
      <c r="K1055" s="99"/>
      <c r="L1055" s="99"/>
      <c r="M1055" s="99"/>
      <c r="N1055" s="99"/>
      <c r="O1055" s="99"/>
      <c r="P1055" s="99"/>
      <c r="Q1055" s="108"/>
      <c r="R1055" s="108"/>
      <c r="S1055" s="100"/>
      <c r="T1055" s="24" t="str">
        <f>P1055-(#REF!+S1055)-(P1055*R1055)-(P1055*Q1055)</f>
        <v>#REF!</v>
      </c>
      <c r="U1055" s="179" t="str">
        <f>IFERROR((P1055-#REF!)/#REF!,"")</f>
        <v/>
      </c>
      <c r="V1055" s="179" t="str">
        <f>IFERROR((P1055-#REF!)/P1055,"")</f>
        <v/>
      </c>
      <c r="W1055" s="179" t="str">
        <f t="shared" si="366"/>
        <v/>
      </c>
      <c r="X1055" s="26"/>
    </row>
    <row r="1056">
      <c r="A1056" s="28"/>
      <c r="B1056" s="28"/>
      <c r="C1056" s="82" t="s">
        <v>507</v>
      </c>
      <c r="D1056" s="83" t="s">
        <v>392</v>
      </c>
      <c r="E1056" s="105">
        <f>390000*2</f>
        <v>780000</v>
      </c>
      <c r="F1056" s="201">
        <f>610000*2</f>
        <v>1220000</v>
      </c>
      <c r="G1056" s="34">
        <f>(F1056-E1056)/E1056</f>
        <v>0.5641025641</v>
      </c>
      <c r="H1056" s="99"/>
      <c r="I1056" s="99"/>
      <c r="J1056" s="99"/>
      <c r="K1056" s="99"/>
      <c r="L1056" s="99"/>
      <c r="M1056" s="99"/>
      <c r="N1056" s="99"/>
      <c r="O1056" s="99"/>
      <c r="P1056" s="99"/>
      <c r="Q1056" s="108"/>
      <c r="R1056" s="108"/>
      <c r="S1056" s="100"/>
      <c r="T1056" s="24">
        <f t="shared" ref="T1056:T1068" si="372">P1056-(G1056+S1056)-(P1056*R1056)-(P1056*Q1056)</f>
        <v>-0.5641025641</v>
      </c>
      <c r="U1056" s="179">
        <f t="shared" ref="U1056:U1068" si="373">IFERROR((P1056-G1056)/G1056,"")</f>
        <v>-1</v>
      </c>
      <c r="V1056" s="179" t="str">
        <f t="shared" ref="V1056:V1068" si="374">IFERROR((P1056-G1056)/P1056,"")</f>
        <v/>
      </c>
      <c r="W1056" s="179" t="str">
        <f t="shared" si="366"/>
        <v/>
      </c>
      <c r="X1056" s="26"/>
    </row>
    <row r="1057">
      <c r="A1057" s="28"/>
      <c r="B1057" s="28"/>
      <c r="C1057" s="107"/>
      <c r="D1057" s="97"/>
      <c r="E1057" s="105">
        <f>F1056-E1056</f>
        <v>440000</v>
      </c>
      <c r="F1057" s="105"/>
      <c r="G1057" s="34"/>
      <c r="H1057" s="99"/>
      <c r="I1057" s="99"/>
      <c r="J1057" s="99"/>
      <c r="K1057" s="99"/>
      <c r="L1057" s="99"/>
      <c r="M1057" s="99"/>
      <c r="N1057" s="99"/>
      <c r="O1057" s="99"/>
      <c r="P1057" s="99"/>
      <c r="Q1057" s="108"/>
      <c r="R1057" s="108"/>
      <c r="S1057" s="100"/>
      <c r="T1057" s="24">
        <f t="shared" si="372"/>
        <v>0</v>
      </c>
      <c r="U1057" s="179" t="str">
        <f t="shared" si="373"/>
        <v/>
      </c>
      <c r="V1057" s="179" t="str">
        <f t="shared" si="374"/>
        <v/>
      </c>
      <c r="W1057" s="179" t="str">
        <f t="shared" si="366"/>
        <v/>
      </c>
      <c r="X1057" s="26"/>
    </row>
    <row r="1058">
      <c r="A1058" s="28"/>
      <c r="B1058" s="28"/>
      <c r="C1058" s="107"/>
      <c r="D1058" s="97"/>
      <c r="E1058" s="105"/>
      <c r="F1058" s="105"/>
      <c r="G1058" s="34"/>
      <c r="H1058" s="99"/>
      <c r="I1058" s="99"/>
      <c r="J1058" s="99"/>
      <c r="K1058" s="99"/>
      <c r="L1058" s="99"/>
      <c r="M1058" s="99"/>
      <c r="N1058" s="99"/>
      <c r="O1058" s="99"/>
      <c r="P1058" s="99"/>
      <c r="Q1058" s="108"/>
      <c r="R1058" s="108"/>
      <c r="S1058" s="100"/>
      <c r="T1058" s="24">
        <f t="shared" si="372"/>
        <v>0</v>
      </c>
      <c r="U1058" s="179" t="str">
        <f t="shared" si="373"/>
        <v/>
      </c>
      <c r="V1058" s="179" t="str">
        <f t="shared" si="374"/>
        <v/>
      </c>
      <c r="W1058" s="179" t="str">
        <f t="shared" si="366"/>
        <v/>
      </c>
      <c r="X1058" s="26"/>
    </row>
    <row r="1059">
      <c r="A1059" s="28"/>
      <c r="B1059" s="28"/>
      <c r="C1059" s="82" t="s">
        <v>508</v>
      </c>
      <c r="D1059" s="83" t="s">
        <v>158</v>
      </c>
      <c r="E1059" s="105">
        <f>550000*2</f>
        <v>1100000</v>
      </c>
      <c r="F1059" s="105">
        <f>400000*2</f>
        <v>800000</v>
      </c>
      <c r="G1059" s="34">
        <f>(F1059-E1059)/E1059</f>
        <v>-0.2727272727</v>
      </c>
      <c r="H1059" s="99"/>
      <c r="I1059" s="99"/>
      <c r="J1059" s="99"/>
      <c r="K1059" s="99"/>
      <c r="L1059" s="99"/>
      <c r="M1059" s="99"/>
      <c r="N1059" s="99"/>
      <c r="O1059" s="99"/>
      <c r="P1059" s="99"/>
      <c r="Q1059" s="108"/>
      <c r="R1059" s="108"/>
      <c r="S1059" s="100"/>
      <c r="T1059" s="24">
        <f t="shared" si="372"/>
        <v>0.2727272727</v>
      </c>
      <c r="U1059" s="179">
        <f t="shared" si="373"/>
        <v>-1</v>
      </c>
      <c r="V1059" s="179" t="str">
        <f t="shared" si="374"/>
        <v/>
      </c>
      <c r="W1059" s="179" t="str">
        <f t="shared" si="366"/>
        <v/>
      </c>
      <c r="X1059" s="26"/>
    </row>
    <row r="1060">
      <c r="A1060" s="28"/>
      <c r="B1060" s="28"/>
      <c r="C1060" s="107"/>
      <c r="D1060" s="97"/>
      <c r="E1060" s="105">
        <f>E1059-F1059</f>
        <v>300000</v>
      </c>
      <c r="F1060" s="105"/>
      <c r="G1060" s="34"/>
      <c r="H1060" s="99"/>
      <c r="I1060" s="99"/>
      <c r="J1060" s="99"/>
      <c r="K1060" s="99"/>
      <c r="L1060" s="99"/>
      <c r="M1060" s="99"/>
      <c r="N1060" s="99"/>
      <c r="O1060" s="99"/>
      <c r="P1060" s="99"/>
      <c r="Q1060" s="108"/>
      <c r="R1060" s="108"/>
      <c r="S1060" s="100"/>
      <c r="T1060" s="24">
        <f t="shared" si="372"/>
        <v>0</v>
      </c>
      <c r="U1060" s="179" t="str">
        <f t="shared" si="373"/>
        <v/>
      </c>
      <c r="V1060" s="179" t="str">
        <f t="shared" si="374"/>
        <v/>
      </c>
      <c r="W1060" s="179" t="str">
        <f t="shared" si="366"/>
        <v/>
      </c>
      <c r="X1060" s="26"/>
    </row>
    <row r="1061">
      <c r="A1061" s="28"/>
      <c r="B1061" s="28"/>
      <c r="C1061" s="107"/>
      <c r="D1061" s="97"/>
      <c r="E1061" s="105"/>
      <c r="F1061" s="105"/>
      <c r="G1061" s="34"/>
      <c r="H1061" s="99"/>
      <c r="I1061" s="99"/>
      <c r="J1061" s="99"/>
      <c r="K1061" s="99"/>
      <c r="L1061" s="99"/>
      <c r="M1061" s="99"/>
      <c r="N1061" s="99"/>
      <c r="O1061" s="99"/>
      <c r="P1061" s="99"/>
      <c r="Q1061" s="108"/>
      <c r="R1061" s="108"/>
      <c r="S1061" s="100"/>
      <c r="T1061" s="24">
        <f t="shared" si="372"/>
        <v>0</v>
      </c>
      <c r="U1061" s="179" t="str">
        <f t="shared" si="373"/>
        <v/>
      </c>
      <c r="V1061" s="179" t="str">
        <f t="shared" si="374"/>
        <v/>
      </c>
      <c r="W1061" s="179" t="str">
        <f t="shared" si="366"/>
        <v/>
      </c>
      <c r="X1061" s="26"/>
    </row>
    <row r="1062">
      <c r="A1062" s="28"/>
      <c r="B1062" s="28"/>
      <c r="C1062" s="82" t="s">
        <v>509</v>
      </c>
      <c r="D1062" s="83" t="s">
        <v>364</v>
      </c>
      <c r="E1062" s="201">
        <v>350000.0</v>
      </c>
      <c r="F1062" s="201">
        <v>580000.0</v>
      </c>
      <c r="G1062" s="34">
        <f t="shared" ref="G1062:G1064" si="375">(F1062-E1062)/E1062</f>
        <v>0.6571428571</v>
      </c>
      <c r="H1062" s="99"/>
      <c r="I1062" s="99"/>
      <c r="J1062" s="99"/>
      <c r="K1062" s="99"/>
      <c r="L1062" s="99"/>
      <c r="M1062" s="99"/>
      <c r="N1062" s="99"/>
      <c r="O1062" s="99"/>
      <c r="P1062" s="99"/>
      <c r="Q1062" s="108"/>
      <c r="R1062" s="108"/>
      <c r="S1062" s="100"/>
      <c r="T1062" s="24">
        <f t="shared" si="372"/>
        <v>-0.6571428571</v>
      </c>
      <c r="U1062" s="179">
        <f t="shared" si="373"/>
        <v>-1</v>
      </c>
      <c r="V1062" s="179" t="str">
        <f t="shared" si="374"/>
        <v/>
      </c>
      <c r="W1062" s="179" t="str">
        <f t="shared" si="366"/>
        <v/>
      </c>
      <c r="X1062" s="26"/>
    </row>
    <row r="1063">
      <c r="A1063" s="28"/>
      <c r="B1063" s="28"/>
      <c r="C1063" s="107"/>
      <c r="D1063" s="83" t="s">
        <v>510</v>
      </c>
      <c r="E1063" s="201">
        <v>422000.0</v>
      </c>
      <c r="F1063" s="201">
        <v>650000.0</v>
      </c>
      <c r="G1063" s="34">
        <f t="shared" si="375"/>
        <v>0.5402843602</v>
      </c>
      <c r="H1063" s="99"/>
      <c r="I1063" s="99"/>
      <c r="J1063" s="99"/>
      <c r="K1063" s="99"/>
      <c r="L1063" s="99"/>
      <c r="M1063" s="99"/>
      <c r="N1063" s="99"/>
      <c r="O1063" s="99"/>
      <c r="P1063" s="99"/>
      <c r="Q1063" s="108"/>
      <c r="R1063" s="108"/>
      <c r="S1063" s="100"/>
      <c r="T1063" s="24">
        <f t="shared" si="372"/>
        <v>-0.5402843602</v>
      </c>
      <c r="U1063" s="179">
        <f t="shared" si="373"/>
        <v>-1</v>
      </c>
      <c r="V1063" s="179" t="str">
        <f t="shared" si="374"/>
        <v/>
      </c>
      <c r="W1063" s="179" t="str">
        <f t="shared" si="366"/>
        <v/>
      </c>
      <c r="X1063" s="26"/>
    </row>
    <row r="1064">
      <c r="A1064" s="28"/>
      <c r="B1064" s="28"/>
      <c r="C1064" s="107"/>
      <c r="D1064" s="83" t="s">
        <v>101</v>
      </c>
      <c r="E1064" s="105">
        <f>E1062+E1063</f>
        <v>772000</v>
      </c>
      <c r="F1064" s="105">
        <f>SUM(F1062:F1063)</f>
        <v>1230000</v>
      </c>
      <c r="G1064" s="34">
        <f t="shared" si="375"/>
        <v>0.5932642487</v>
      </c>
      <c r="H1064" s="99"/>
      <c r="I1064" s="99"/>
      <c r="J1064" s="99"/>
      <c r="K1064" s="99"/>
      <c r="L1064" s="99"/>
      <c r="M1064" s="99"/>
      <c r="N1064" s="99"/>
      <c r="O1064" s="99"/>
      <c r="P1064" s="99"/>
      <c r="Q1064" s="108"/>
      <c r="R1064" s="108"/>
      <c r="S1064" s="100"/>
      <c r="T1064" s="24">
        <f t="shared" si="372"/>
        <v>-0.5932642487</v>
      </c>
      <c r="U1064" s="179">
        <f t="shared" si="373"/>
        <v>-1</v>
      </c>
      <c r="V1064" s="179" t="str">
        <f t="shared" si="374"/>
        <v/>
      </c>
      <c r="W1064" s="179" t="str">
        <f t="shared" si="366"/>
        <v/>
      </c>
      <c r="X1064" s="26"/>
    </row>
    <row r="1065">
      <c r="A1065" s="28"/>
      <c r="B1065" s="28"/>
      <c r="C1065" s="107"/>
      <c r="D1065" s="97"/>
      <c r="E1065" s="105"/>
      <c r="F1065" s="105"/>
      <c r="G1065" s="34"/>
      <c r="H1065" s="99"/>
      <c r="I1065" s="99"/>
      <c r="J1065" s="99"/>
      <c r="K1065" s="99"/>
      <c r="L1065" s="99"/>
      <c r="M1065" s="99"/>
      <c r="N1065" s="99"/>
      <c r="O1065" s="99"/>
      <c r="P1065" s="99"/>
      <c r="Q1065" s="108"/>
      <c r="R1065" s="108"/>
      <c r="S1065" s="100"/>
      <c r="T1065" s="24">
        <f t="shared" si="372"/>
        <v>0</v>
      </c>
      <c r="U1065" s="179" t="str">
        <f t="shared" si="373"/>
        <v/>
      </c>
      <c r="V1065" s="179" t="str">
        <f t="shared" si="374"/>
        <v/>
      </c>
      <c r="W1065" s="179" t="str">
        <f t="shared" si="366"/>
        <v/>
      </c>
      <c r="X1065" s="26"/>
    </row>
    <row r="1066">
      <c r="A1066" s="28"/>
      <c r="B1066" s="28"/>
      <c r="C1066" s="107"/>
      <c r="D1066" s="97"/>
      <c r="E1066" s="105"/>
      <c r="F1066" s="105"/>
      <c r="G1066" s="34"/>
      <c r="H1066" s="99"/>
      <c r="I1066" s="99"/>
      <c r="J1066" s="99"/>
      <c r="K1066" s="99"/>
      <c r="L1066" s="99"/>
      <c r="M1066" s="99"/>
      <c r="N1066" s="99"/>
      <c r="O1066" s="99"/>
      <c r="P1066" s="99"/>
      <c r="Q1066" s="108"/>
      <c r="R1066" s="108"/>
      <c r="S1066" s="100"/>
      <c r="T1066" s="24">
        <f t="shared" si="372"/>
        <v>0</v>
      </c>
      <c r="U1066" s="179" t="str">
        <f t="shared" si="373"/>
        <v/>
      </c>
      <c r="V1066" s="179" t="str">
        <f t="shared" si="374"/>
        <v/>
      </c>
      <c r="W1066" s="179" t="str">
        <f t="shared" si="366"/>
        <v/>
      </c>
      <c r="X1066" s="26"/>
    </row>
    <row r="1067">
      <c r="A1067" s="28"/>
      <c r="B1067" s="28"/>
      <c r="C1067" s="82" t="s">
        <v>511</v>
      </c>
      <c r="D1067" s="83" t="s">
        <v>512</v>
      </c>
      <c r="E1067" s="201">
        <v>261000.0</v>
      </c>
      <c r="F1067" s="201">
        <v>500000.0</v>
      </c>
      <c r="G1067" s="34">
        <f t="shared" ref="G1067:G1072" si="376">(F1067-E1067)/E1067</f>
        <v>0.9157088123</v>
      </c>
      <c r="H1067" s="98">
        <v>756.0</v>
      </c>
      <c r="I1067" s="99"/>
      <c r="J1067" s="99"/>
      <c r="K1067" s="99"/>
      <c r="L1067" s="99"/>
      <c r="M1067" s="99"/>
      <c r="N1067" s="99"/>
      <c r="O1067" s="99"/>
      <c r="P1067" s="99"/>
      <c r="Q1067" s="108"/>
      <c r="R1067" s="108"/>
      <c r="S1067" s="100"/>
      <c r="T1067" s="24">
        <f t="shared" si="372"/>
        <v>-0.9157088123</v>
      </c>
      <c r="U1067" s="179">
        <f t="shared" si="373"/>
        <v>-1</v>
      </c>
      <c r="V1067" s="179" t="str">
        <f t="shared" si="374"/>
        <v/>
      </c>
      <c r="W1067" s="179" t="str">
        <f t="shared" si="366"/>
        <v/>
      </c>
      <c r="X1067" s="26"/>
    </row>
    <row r="1068">
      <c r="A1068" s="28"/>
      <c r="B1068" s="28"/>
      <c r="C1068" s="107"/>
      <c r="D1068" s="83" t="s">
        <v>513</v>
      </c>
      <c r="E1068" s="201">
        <f> 150400 * 7 +100000</f>
        <v>1152800</v>
      </c>
      <c r="F1068" s="105">
        <f>E1068*1.5</f>
        <v>1729200</v>
      </c>
      <c r="G1068" s="34">
        <f t="shared" si="376"/>
        <v>0.5</v>
      </c>
      <c r="H1068" s="98">
        <v>2607.53</v>
      </c>
      <c r="I1068" s="99"/>
      <c r="J1068" s="99"/>
      <c r="K1068" s="99"/>
      <c r="L1068" s="99"/>
      <c r="M1068" s="99"/>
      <c r="N1068" s="99"/>
      <c r="O1068" s="99"/>
      <c r="P1068" s="99"/>
      <c r="Q1068" s="108"/>
      <c r="R1068" s="108"/>
      <c r="S1068" s="100"/>
      <c r="T1068" s="24">
        <f t="shared" si="372"/>
        <v>-0.5</v>
      </c>
      <c r="U1068" s="179">
        <f t="shared" si="373"/>
        <v>-1</v>
      </c>
      <c r="V1068" s="179" t="str">
        <f t="shared" si="374"/>
        <v/>
      </c>
      <c r="W1068" s="179" t="str">
        <f t="shared" si="366"/>
        <v/>
      </c>
      <c r="X1068" s="26"/>
    </row>
    <row r="1069">
      <c r="A1069" s="28"/>
      <c r="B1069" s="28"/>
      <c r="C1069" s="107"/>
      <c r="D1069" s="83" t="s">
        <v>514</v>
      </c>
      <c r="E1069" s="201">
        <v>170000.0</v>
      </c>
      <c r="F1069" s="201">
        <v>350000.0</v>
      </c>
      <c r="G1069" s="34">
        <f t="shared" si="376"/>
        <v>1.058823529</v>
      </c>
      <c r="H1069" s="98">
        <v>528.7</v>
      </c>
      <c r="I1069" s="99"/>
      <c r="J1069" s="99"/>
      <c r="K1069" s="99"/>
      <c r="L1069" s="99"/>
      <c r="M1069" s="99"/>
      <c r="N1069" s="99"/>
      <c r="O1069" s="99"/>
      <c r="P1069" s="99"/>
      <c r="Q1069" s="108"/>
      <c r="R1069" s="108"/>
      <c r="S1069" s="100"/>
      <c r="T1069" s="24"/>
      <c r="U1069" s="179"/>
      <c r="V1069" s="179"/>
      <c r="W1069" s="179"/>
      <c r="X1069" s="26"/>
    </row>
    <row r="1070">
      <c r="A1070" s="28"/>
      <c r="B1070" s="28"/>
      <c r="C1070" s="107"/>
      <c r="D1070" s="83" t="s">
        <v>486</v>
      </c>
      <c r="E1070" s="105">
        <f>600000+(36000*7)+80000+400000</f>
        <v>1332000</v>
      </c>
      <c r="F1070" s="201">
        <f>300000*7</f>
        <v>2100000</v>
      </c>
      <c r="G1070" s="34">
        <f t="shared" si="376"/>
        <v>0.5765765766</v>
      </c>
      <c r="H1070" s="98">
        <v>3172.2</v>
      </c>
      <c r="I1070" s="99"/>
      <c r="J1070" s="99"/>
      <c r="K1070" s="99"/>
      <c r="L1070" s="99"/>
      <c r="M1070" s="99"/>
      <c r="N1070" s="99"/>
      <c r="O1070" s="99"/>
      <c r="P1070" s="99"/>
      <c r="Q1070" s="108"/>
      <c r="R1070" s="108"/>
      <c r="S1070" s="100"/>
      <c r="T1070" s="24">
        <f t="shared" ref="T1070:T1071" si="377">P1070-(G1070+S1070)-(P1070*R1070)-(P1070*Q1070)</f>
        <v>-0.5765765766</v>
      </c>
      <c r="U1070" s="179">
        <f t="shared" ref="U1070:U1071" si="378">IFERROR((P1070-G1070)/G1070,"")</f>
        <v>-1</v>
      </c>
      <c r="V1070" s="179" t="str">
        <f t="shared" ref="V1070:V1071" si="379">IFERROR((P1070-G1070)/P1070,"")</f>
        <v/>
      </c>
      <c r="W1070" s="179" t="str">
        <f t="shared" ref="W1070:W1071" si="380">IFERROR(T1070/P1070,"")</f>
        <v/>
      </c>
      <c r="X1070" s="26"/>
    </row>
    <row r="1071">
      <c r="A1071" s="28"/>
      <c r="B1071" s="28"/>
      <c r="C1071" s="107"/>
      <c r="D1071" s="83" t="s">
        <v>309</v>
      </c>
      <c r="E1071" s="201">
        <v>3050000.0</v>
      </c>
      <c r="F1071" s="105">
        <f>E1071*1.4</f>
        <v>4270000</v>
      </c>
      <c r="G1071" s="34">
        <f t="shared" si="376"/>
        <v>0.4</v>
      </c>
      <c r="H1071" s="98">
        <v>6447.63</v>
      </c>
      <c r="I1071" s="99"/>
      <c r="J1071" s="99"/>
      <c r="K1071" s="99"/>
      <c r="L1071" s="99"/>
      <c r="M1071" s="99"/>
      <c r="N1071" s="99"/>
      <c r="O1071" s="99"/>
      <c r="P1071" s="99"/>
      <c r="Q1071" s="108"/>
      <c r="R1071" s="108"/>
      <c r="S1071" s="100"/>
      <c r="T1071" s="24">
        <f t="shared" si="377"/>
        <v>-0.4</v>
      </c>
      <c r="U1071" s="179">
        <f t="shared" si="378"/>
        <v>-1</v>
      </c>
      <c r="V1071" s="179" t="str">
        <f t="shared" si="379"/>
        <v/>
      </c>
      <c r="W1071" s="179" t="str">
        <f t="shared" si="380"/>
        <v/>
      </c>
      <c r="X1071" s="26"/>
    </row>
    <row r="1072" ht="14.25" customHeight="1">
      <c r="A1072" s="28"/>
      <c r="B1072" s="28"/>
      <c r="C1072" s="82"/>
      <c r="D1072" s="83" t="s">
        <v>515</v>
      </c>
      <c r="E1072" s="105">
        <f>130000*8</f>
        <v>1040000</v>
      </c>
      <c r="F1072" s="201">
        <f>220000*8</f>
        <v>1760000</v>
      </c>
      <c r="G1072" s="34">
        <f t="shared" si="376"/>
        <v>0.6923076923</v>
      </c>
      <c r="H1072" s="98">
        <v>2657.56</v>
      </c>
      <c r="I1072" s="99"/>
      <c r="J1072" s="99"/>
      <c r="K1072" s="99"/>
      <c r="L1072" s="99"/>
      <c r="M1072" s="99"/>
      <c r="N1072" s="99"/>
      <c r="O1072" s="99"/>
      <c r="P1072" s="99"/>
      <c r="Q1072" s="108"/>
      <c r="R1072" s="108"/>
      <c r="S1072" s="100"/>
      <c r="T1072" s="24"/>
      <c r="U1072" s="179"/>
      <c r="V1072" s="179"/>
      <c r="W1072" s="179"/>
      <c r="X1072" s="26"/>
    </row>
    <row r="1073">
      <c r="A1073" s="28"/>
      <c r="B1073" s="28"/>
      <c r="C1073" s="82"/>
      <c r="D1073" s="83" t="s">
        <v>101</v>
      </c>
      <c r="E1073" s="105">
        <f>E1067+E1068+E1070+E1071+E1072</f>
        <v>6835800</v>
      </c>
      <c r="F1073" s="105">
        <f>SUM(F1067:F1072)</f>
        <v>10709200</v>
      </c>
      <c r="G1073" s="34"/>
      <c r="H1073" s="99">
        <f>H1067+H1068+H1069+H1070+H1071+H1072</f>
        <v>16169.62</v>
      </c>
      <c r="I1073" s="99"/>
      <c r="J1073" s="99"/>
      <c r="K1073" s="99"/>
      <c r="L1073" s="99"/>
      <c r="M1073" s="99"/>
      <c r="N1073" s="99"/>
      <c r="O1073" s="99"/>
      <c r="P1073" s="99"/>
      <c r="Q1073" s="108"/>
      <c r="R1073" s="108"/>
      <c r="S1073" s="100"/>
      <c r="T1073" s="24"/>
      <c r="U1073" s="179"/>
      <c r="V1073" s="179"/>
      <c r="W1073" s="179"/>
      <c r="X1073" s="26"/>
    </row>
    <row r="1074">
      <c r="A1074" s="28"/>
      <c r="B1074" s="28"/>
      <c r="C1074" s="82"/>
      <c r="D1074" s="83" t="s">
        <v>148</v>
      </c>
      <c r="E1074" s="105">
        <f>F1073-E1073</f>
        <v>3873400</v>
      </c>
      <c r="F1074" s="105"/>
      <c r="G1074" s="34"/>
      <c r="H1074" s="99"/>
      <c r="I1074" s="99"/>
      <c r="J1074" s="99"/>
      <c r="K1074" s="99"/>
      <c r="L1074" s="99"/>
      <c r="M1074" s="99"/>
      <c r="N1074" s="99"/>
      <c r="O1074" s="99"/>
      <c r="P1074" s="99"/>
      <c r="Q1074" s="108"/>
      <c r="R1074" s="108"/>
      <c r="S1074" s="100"/>
      <c r="T1074" s="24"/>
      <c r="U1074" s="179"/>
      <c r="V1074" s="179"/>
      <c r="W1074" s="179"/>
      <c r="X1074" s="26"/>
    </row>
    <row r="1075">
      <c r="A1075" s="28"/>
      <c r="B1075" s="28"/>
      <c r="C1075" s="82"/>
      <c r="D1075" s="83"/>
      <c r="E1075" s="105"/>
      <c r="F1075" s="105"/>
      <c r="G1075" s="34"/>
      <c r="H1075" s="99"/>
      <c r="I1075" s="99"/>
      <c r="J1075" s="99"/>
      <c r="K1075" s="99"/>
      <c r="L1075" s="99"/>
      <c r="M1075" s="99"/>
      <c r="N1075" s="99"/>
      <c r="O1075" s="99"/>
      <c r="P1075" s="99"/>
      <c r="Q1075" s="108"/>
      <c r="R1075" s="108"/>
      <c r="S1075" s="100"/>
      <c r="T1075" s="24"/>
      <c r="U1075" s="179"/>
      <c r="V1075" s="179"/>
      <c r="W1075" s="179"/>
      <c r="X1075" s="26"/>
    </row>
    <row r="1076">
      <c r="A1076" s="28"/>
      <c r="B1076" s="28"/>
      <c r="C1076" s="82"/>
      <c r="D1076" s="83"/>
      <c r="E1076" s="105"/>
      <c r="F1076" s="105"/>
      <c r="G1076" s="34"/>
      <c r="H1076" s="99"/>
      <c r="I1076" s="99"/>
      <c r="J1076" s="99"/>
      <c r="K1076" s="99"/>
      <c r="L1076" s="99"/>
      <c r="M1076" s="99"/>
      <c r="N1076" s="99"/>
      <c r="O1076" s="99"/>
      <c r="P1076" s="99"/>
      <c r="Q1076" s="108"/>
      <c r="R1076" s="108"/>
      <c r="S1076" s="100"/>
      <c r="T1076" s="24"/>
      <c r="U1076" s="179"/>
      <c r="V1076" s="179"/>
      <c r="W1076" s="179"/>
      <c r="X1076" s="26"/>
    </row>
    <row r="1077">
      <c r="A1077" s="28"/>
      <c r="B1077" s="28"/>
      <c r="C1077" s="82" t="s">
        <v>516</v>
      </c>
      <c r="D1077" s="83" t="s">
        <v>484</v>
      </c>
      <c r="E1077" s="105">
        <f>600000+60000</f>
        <v>660000</v>
      </c>
      <c r="F1077" s="105">
        <f>300000*6</f>
        <v>1800000</v>
      </c>
      <c r="G1077" s="34">
        <f t="shared" ref="G1077:G1079" si="381">(F1077-E1077)/E1077</f>
        <v>1.727272727</v>
      </c>
      <c r="H1077" s="99"/>
      <c r="I1077" s="99"/>
      <c r="J1077" s="99"/>
      <c r="K1077" s="99"/>
      <c r="L1077" s="99"/>
      <c r="M1077" s="99"/>
      <c r="N1077" s="99"/>
      <c r="O1077" s="99"/>
      <c r="P1077" s="99"/>
      <c r="Q1077" s="108"/>
      <c r="R1077" s="108"/>
      <c r="S1077" s="100"/>
      <c r="T1077" s="24">
        <f t="shared" ref="T1077:T1079" si="382">P1077-(G1077+S1077)-(P1077*R1077)-(P1077*Q1077)</f>
        <v>-1.727272727</v>
      </c>
      <c r="U1077" s="179">
        <f t="shared" ref="U1077:U1079" si="383">IFERROR((P1077-G1077)/G1077,"")</f>
        <v>-1</v>
      </c>
      <c r="V1077" s="179" t="str">
        <f t="shared" ref="V1077:V1079" si="384">IFERROR((P1077-G1077)/P1077,"")</f>
        <v/>
      </c>
      <c r="W1077" s="179" t="str">
        <f t="shared" ref="W1077:W1079" si="385">IFERROR(T1077/P1077,"")</f>
        <v/>
      </c>
      <c r="X1077" s="26"/>
    </row>
    <row r="1078">
      <c r="A1078" s="28"/>
      <c r="B1078" s="28"/>
      <c r="C1078" s="107"/>
      <c r="D1078" s="83" t="s">
        <v>398</v>
      </c>
      <c r="E1078" s="201">
        <f>170000*2</f>
        <v>340000</v>
      </c>
      <c r="F1078" s="105"/>
      <c r="G1078" s="34">
        <f t="shared" si="381"/>
        <v>-1</v>
      </c>
      <c r="H1078" s="99"/>
      <c r="I1078" s="99"/>
      <c r="J1078" s="99"/>
      <c r="K1078" s="99"/>
      <c r="L1078" s="99"/>
      <c r="M1078" s="99"/>
      <c r="N1078" s="99"/>
      <c r="O1078" s="99"/>
      <c r="P1078" s="99"/>
      <c r="Q1078" s="108"/>
      <c r="R1078" s="108"/>
      <c r="S1078" s="100"/>
      <c r="T1078" s="24">
        <f t="shared" si="382"/>
        <v>1</v>
      </c>
      <c r="U1078" s="179">
        <f t="shared" si="383"/>
        <v>-1</v>
      </c>
      <c r="V1078" s="179" t="str">
        <f t="shared" si="384"/>
        <v/>
      </c>
      <c r="W1078" s="179" t="str">
        <f t="shared" si="385"/>
        <v/>
      </c>
      <c r="X1078" s="26"/>
    </row>
    <row r="1079">
      <c r="A1079" s="28"/>
      <c r="B1079" s="28"/>
      <c r="C1079" s="107"/>
      <c r="D1079" s="83" t="s">
        <v>101</v>
      </c>
      <c r="E1079" s="201">
        <f>E1077+E1078</f>
        <v>1000000</v>
      </c>
      <c r="F1079" s="105"/>
      <c r="G1079" s="34">
        <f t="shared" si="381"/>
        <v>-1</v>
      </c>
      <c r="H1079" s="99"/>
      <c r="I1079" s="99"/>
      <c r="J1079" s="99"/>
      <c r="K1079" s="99"/>
      <c r="L1079" s="99"/>
      <c r="M1079" s="99"/>
      <c r="N1079" s="99"/>
      <c r="O1079" s="99"/>
      <c r="P1079" s="99"/>
      <c r="Q1079" s="108"/>
      <c r="R1079" s="108"/>
      <c r="S1079" s="100"/>
      <c r="T1079" s="24">
        <f t="shared" si="382"/>
        <v>1</v>
      </c>
      <c r="U1079" s="179">
        <f t="shared" si="383"/>
        <v>-1</v>
      </c>
      <c r="V1079" s="179" t="str">
        <f t="shared" si="384"/>
        <v/>
      </c>
      <c r="W1079" s="179" t="str">
        <f t="shared" si="385"/>
        <v/>
      </c>
      <c r="X1079" s="26"/>
    </row>
    <row r="1080">
      <c r="A1080" s="28"/>
      <c r="B1080" s="28"/>
      <c r="C1080" s="107"/>
      <c r="D1080" s="83" t="s">
        <v>148</v>
      </c>
      <c r="E1080" s="201">
        <f>F1077-E1079</f>
        <v>800000</v>
      </c>
      <c r="F1080" s="105"/>
      <c r="G1080" s="34"/>
      <c r="H1080" s="99"/>
      <c r="I1080" s="99"/>
      <c r="J1080" s="99"/>
      <c r="K1080" s="99"/>
      <c r="L1080" s="99"/>
      <c r="M1080" s="99"/>
      <c r="N1080" s="99"/>
      <c r="O1080" s="99"/>
      <c r="P1080" s="99"/>
      <c r="Q1080" s="108"/>
      <c r="R1080" s="108"/>
      <c r="S1080" s="100"/>
      <c r="T1080" s="24"/>
      <c r="U1080" s="179"/>
      <c r="V1080" s="179"/>
      <c r="W1080" s="179"/>
      <c r="X1080" s="26"/>
    </row>
    <row r="1081">
      <c r="A1081" s="28"/>
      <c r="B1081" s="28"/>
      <c r="C1081" s="107"/>
      <c r="D1081" s="97"/>
      <c r="E1081" s="105"/>
      <c r="F1081" s="105"/>
      <c r="G1081" s="34"/>
      <c r="H1081" s="99"/>
      <c r="I1081" s="99"/>
      <c r="J1081" s="99"/>
      <c r="K1081" s="99"/>
      <c r="L1081" s="99"/>
      <c r="M1081" s="99"/>
      <c r="N1081" s="99"/>
      <c r="O1081" s="99"/>
      <c r="P1081" s="99"/>
      <c r="Q1081" s="108"/>
      <c r="R1081" s="108"/>
      <c r="S1081" s="100"/>
      <c r="T1081" s="24">
        <f t="shared" ref="T1081:T1115" si="386">P1081-(G1081+S1081)-(P1081*R1081)-(P1081*Q1081)</f>
        <v>0</v>
      </c>
      <c r="U1081" s="179" t="str">
        <f t="shared" ref="U1081:U1115" si="387">IFERROR((P1081-G1081)/G1081,"")</f>
        <v/>
      </c>
      <c r="V1081" s="179" t="str">
        <f t="shared" ref="V1081:V1115" si="388">IFERROR((P1081-G1081)/P1081,"")</f>
        <v/>
      </c>
      <c r="W1081" s="179" t="str">
        <f t="shared" ref="W1081:W1115" si="389">IFERROR(T1081/P1081,"")</f>
        <v/>
      </c>
      <c r="X1081" s="26"/>
    </row>
    <row r="1082">
      <c r="A1082" s="28"/>
      <c r="B1082" s="28"/>
      <c r="C1082" s="82" t="s">
        <v>517</v>
      </c>
      <c r="D1082" s="83" t="s">
        <v>510</v>
      </c>
      <c r="E1082" s="105">
        <f>400000+36000*3+30000+30000</f>
        <v>568000</v>
      </c>
      <c r="F1082" s="105">
        <f>300000*3</f>
        <v>900000</v>
      </c>
      <c r="G1082" s="34">
        <f>(F1082-E1082)/E1082</f>
        <v>0.5845070423</v>
      </c>
      <c r="H1082" s="99"/>
      <c r="I1082" s="99"/>
      <c r="J1082" s="99"/>
      <c r="K1082" s="99"/>
      <c r="L1082" s="99"/>
      <c r="M1082" s="99"/>
      <c r="N1082" s="99"/>
      <c r="O1082" s="99"/>
      <c r="P1082" s="99"/>
      <c r="Q1082" s="108"/>
      <c r="R1082" s="108"/>
      <c r="S1082" s="100"/>
      <c r="T1082" s="24">
        <f t="shared" si="386"/>
        <v>-0.5845070423</v>
      </c>
      <c r="U1082" s="179">
        <f t="shared" si="387"/>
        <v>-1</v>
      </c>
      <c r="V1082" s="179" t="str">
        <f t="shared" si="388"/>
        <v/>
      </c>
      <c r="W1082" s="179" t="str">
        <f t="shared" si="389"/>
        <v/>
      </c>
      <c r="X1082" s="26"/>
    </row>
    <row r="1083">
      <c r="A1083" s="28"/>
      <c r="B1083" s="28"/>
      <c r="C1083" s="107"/>
      <c r="D1083" s="97"/>
      <c r="E1083" s="105">
        <f>F1082-E1082</f>
        <v>332000</v>
      </c>
      <c r="F1083" s="105"/>
      <c r="G1083" s="34"/>
      <c r="H1083" s="99"/>
      <c r="I1083" s="99"/>
      <c r="J1083" s="99"/>
      <c r="K1083" s="99"/>
      <c r="L1083" s="99"/>
      <c r="M1083" s="99"/>
      <c r="N1083" s="99"/>
      <c r="O1083" s="99"/>
      <c r="P1083" s="99"/>
      <c r="Q1083" s="108"/>
      <c r="R1083" s="108"/>
      <c r="S1083" s="100"/>
      <c r="T1083" s="24">
        <f t="shared" si="386"/>
        <v>0</v>
      </c>
      <c r="U1083" s="179" t="str">
        <f t="shared" si="387"/>
        <v/>
      </c>
      <c r="V1083" s="179" t="str">
        <f t="shared" si="388"/>
        <v/>
      </c>
      <c r="W1083" s="179" t="str">
        <f t="shared" si="389"/>
        <v/>
      </c>
      <c r="X1083" s="26"/>
    </row>
    <row r="1084">
      <c r="A1084" s="28"/>
      <c r="B1084" s="28"/>
      <c r="C1084" s="107"/>
      <c r="D1084" s="97"/>
      <c r="E1084" s="105"/>
      <c r="F1084" s="105"/>
      <c r="G1084" s="34"/>
      <c r="H1084" s="99"/>
      <c r="I1084" s="99"/>
      <c r="J1084" s="99"/>
      <c r="K1084" s="99"/>
      <c r="L1084" s="99"/>
      <c r="M1084" s="99"/>
      <c r="N1084" s="99"/>
      <c r="O1084" s="99"/>
      <c r="P1084" s="99"/>
      <c r="Q1084" s="108"/>
      <c r="R1084" s="108"/>
      <c r="S1084" s="100"/>
      <c r="T1084" s="24">
        <f t="shared" si="386"/>
        <v>0</v>
      </c>
      <c r="U1084" s="179" t="str">
        <f t="shared" si="387"/>
        <v/>
      </c>
      <c r="V1084" s="179" t="str">
        <f t="shared" si="388"/>
        <v/>
      </c>
      <c r="W1084" s="179" t="str">
        <f t="shared" si="389"/>
        <v/>
      </c>
      <c r="X1084" s="26"/>
    </row>
    <row r="1085">
      <c r="A1085" s="28"/>
      <c r="B1085" s="28"/>
      <c r="C1085" s="82" t="s">
        <v>518</v>
      </c>
      <c r="D1085" s="83" t="s">
        <v>510</v>
      </c>
      <c r="E1085" s="105">
        <f>300000+36000+30000+10000</f>
        <v>376000</v>
      </c>
      <c r="F1085" s="201">
        <v>500000.0</v>
      </c>
      <c r="G1085" s="34">
        <f t="shared" ref="G1085:G1088" si="390">(F1085-E1085)/E1085</f>
        <v>0.329787234</v>
      </c>
      <c r="H1085" s="99"/>
      <c r="I1085" s="99"/>
      <c r="J1085" s="99"/>
      <c r="K1085" s="99"/>
      <c r="L1085" s="99"/>
      <c r="M1085" s="99"/>
      <c r="N1085" s="99"/>
      <c r="O1085" s="99"/>
      <c r="P1085" s="99"/>
      <c r="Q1085" s="108"/>
      <c r="R1085" s="108"/>
      <c r="S1085" s="100"/>
      <c r="T1085" s="24">
        <f t="shared" si="386"/>
        <v>-0.329787234</v>
      </c>
      <c r="U1085" s="179">
        <f t="shared" si="387"/>
        <v>-1</v>
      </c>
      <c r="V1085" s="179" t="str">
        <f t="shared" si="388"/>
        <v/>
      </c>
      <c r="W1085" s="179" t="str">
        <f t="shared" si="389"/>
        <v/>
      </c>
      <c r="X1085" s="26"/>
    </row>
    <row r="1086">
      <c r="A1086" s="28"/>
      <c r="B1086" s="28"/>
      <c r="C1086" s="107"/>
      <c r="D1086" s="83" t="s">
        <v>325</v>
      </c>
      <c r="E1086" s="201">
        <v>330000.0</v>
      </c>
      <c r="F1086" s="201">
        <v>490000.0</v>
      </c>
      <c r="G1086" s="34">
        <f t="shared" si="390"/>
        <v>0.4848484848</v>
      </c>
      <c r="H1086" s="99"/>
      <c r="I1086" s="99"/>
      <c r="J1086" s="99"/>
      <c r="K1086" s="99"/>
      <c r="L1086" s="99"/>
      <c r="M1086" s="99"/>
      <c r="N1086" s="99"/>
      <c r="O1086" s="99"/>
      <c r="P1086" s="99"/>
      <c r="Q1086" s="108"/>
      <c r="R1086" s="108"/>
      <c r="S1086" s="100"/>
      <c r="T1086" s="24">
        <f t="shared" si="386"/>
        <v>-0.4848484848</v>
      </c>
      <c r="U1086" s="179">
        <f t="shared" si="387"/>
        <v>-1</v>
      </c>
      <c r="V1086" s="179" t="str">
        <f t="shared" si="388"/>
        <v/>
      </c>
      <c r="W1086" s="179" t="str">
        <f t="shared" si="389"/>
        <v/>
      </c>
      <c r="X1086" s="26"/>
    </row>
    <row r="1087">
      <c r="A1087" s="28"/>
      <c r="B1087" s="28"/>
      <c r="C1087" s="107"/>
      <c r="D1087" s="83" t="s">
        <v>273</v>
      </c>
      <c r="E1087" s="201">
        <v>130000.0</v>
      </c>
      <c r="F1087" s="201">
        <v>250000.0</v>
      </c>
      <c r="G1087" s="34">
        <f t="shared" si="390"/>
        <v>0.9230769231</v>
      </c>
      <c r="H1087" s="99"/>
      <c r="I1087" s="99"/>
      <c r="J1087" s="99"/>
      <c r="K1087" s="99"/>
      <c r="L1087" s="99"/>
      <c r="M1087" s="99"/>
      <c r="N1087" s="99"/>
      <c r="O1087" s="99"/>
      <c r="P1087" s="99"/>
      <c r="Q1087" s="108"/>
      <c r="R1087" s="108"/>
      <c r="S1087" s="100"/>
      <c r="T1087" s="24">
        <f t="shared" si="386"/>
        <v>-0.9230769231</v>
      </c>
      <c r="U1087" s="179">
        <f t="shared" si="387"/>
        <v>-1</v>
      </c>
      <c r="V1087" s="179" t="str">
        <f t="shared" si="388"/>
        <v/>
      </c>
      <c r="W1087" s="179" t="str">
        <f t="shared" si="389"/>
        <v/>
      </c>
      <c r="X1087" s="26"/>
    </row>
    <row r="1088">
      <c r="A1088" s="28"/>
      <c r="B1088" s="28"/>
      <c r="C1088" s="107"/>
      <c r="D1088" s="83" t="s">
        <v>101</v>
      </c>
      <c r="E1088" s="105">
        <f t="shared" ref="E1088:F1088" si="391">SUM(E1085:E1087)</f>
        <v>836000</v>
      </c>
      <c r="F1088" s="105">
        <f t="shared" si="391"/>
        <v>1240000</v>
      </c>
      <c r="G1088" s="34">
        <f t="shared" si="390"/>
        <v>0.4832535885</v>
      </c>
      <c r="H1088" s="99"/>
      <c r="I1088" s="99"/>
      <c r="J1088" s="99"/>
      <c r="K1088" s="99"/>
      <c r="L1088" s="99"/>
      <c r="M1088" s="99"/>
      <c r="N1088" s="99"/>
      <c r="O1088" s="99"/>
      <c r="P1088" s="99"/>
      <c r="Q1088" s="108"/>
      <c r="R1088" s="108"/>
      <c r="S1088" s="100"/>
      <c r="T1088" s="24">
        <f t="shared" si="386"/>
        <v>-0.4832535885</v>
      </c>
      <c r="U1088" s="179">
        <f t="shared" si="387"/>
        <v>-1</v>
      </c>
      <c r="V1088" s="179" t="str">
        <f t="shared" si="388"/>
        <v/>
      </c>
      <c r="W1088" s="179" t="str">
        <f t="shared" si="389"/>
        <v/>
      </c>
      <c r="X1088" s="26"/>
    </row>
    <row r="1089">
      <c r="A1089" s="28"/>
      <c r="B1089" s="28"/>
      <c r="C1089" s="107"/>
      <c r="D1089" s="83" t="s">
        <v>148</v>
      </c>
      <c r="E1089" s="105">
        <f>F1088-E1088</f>
        <v>404000</v>
      </c>
      <c r="F1089" s="105"/>
      <c r="G1089" s="34"/>
      <c r="H1089" s="99"/>
      <c r="I1089" s="99"/>
      <c r="J1089" s="99"/>
      <c r="K1089" s="99"/>
      <c r="L1089" s="99"/>
      <c r="M1089" s="99"/>
      <c r="N1089" s="99"/>
      <c r="O1089" s="99"/>
      <c r="P1089" s="99"/>
      <c r="Q1089" s="108"/>
      <c r="R1089" s="108"/>
      <c r="S1089" s="100"/>
      <c r="T1089" s="24">
        <f t="shared" si="386"/>
        <v>0</v>
      </c>
      <c r="U1089" s="179" t="str">
        <f t="shared" si="387"/>
        <v/>
      </c>
      <c r="V1089" s="179" t="str">
        <f t="shared" si="388"/>
        <v/>
      </c>
      <c r="W1089" s="179" t="str">
        <f t="shared" si="389"/>
        <v/>
      </c>
      <c r="X1089" s="26"/>
    </row>
    <row r="1090">
      <c r="A1090" s="28"/>
      <c r="B1090" s="28"/>
      <c r="C1090" s="107"/>
      <c r="D1090" s="97"/>
      <c r="E1090" s="105"/>
      <c r="F1090" s="105"/>
      <c r="G1090" s="34"/>
      <c r="H1090" s="99"/>
      <c r="I1090" s="99"/>
      <c r="J1090" s="99"/>
      <c r="K1090" s="99"/>
      <c r="L1090" s="99"/>
      <c r="M1090" s="99"/>
      <c r="N1090" s="99"/>
      <c r="O1090" s="99"/>
      <c r="P1090" s="99"/>
      <c r="Q1090" s="108"/>
      <c r="R1090" s="108"/>
      <c r="S1090" s="100"/>
      <c r="T1090" s="24">
        <f t="shared" si="386"/>
        <v>0</v>
      </c>
      <c r="U1090" s="179" t="str">
        <f t="shared" si="387"/>
        <v/>
      </c>
      <c r="V1090" s="179" t="str">
        <f t="shared" si="388"/>
        <v/>
      </c>
      <c r="W1090" s="179" t="str">
        <f t="shared" si="389"/>
        <v/>
      </c>
      <c r="X1090" s="26"/>
    </row>
    <row r="1091">
      <c r="A1091" s="28"/>
      <c r="B1091" s="28"/>
      <c r="C1091" s="82" t="s">
        <v>519</v>
      </c>
      <c r="D1091" s="83" t="s">
        <v>520</v>
      </c>
      <c r="E1091" s="105">
        <f>633000*2</f>
        <v>1266000</v>
      </c>
      <c r="F1091" s="105">
        <f>870000*2</f>
        <v>1740000</v>
      </c>
      <c r="G1091" s="34">
        <f t="shared" ref="G1091:G1093" si="392">(F1091-E1091)/E1091</f>
        <v>0.3744075829</v>
      </c>
      <c r="H1091" s="99"/>
      <c r="I1091" s="99"/>
      <c r="J1091" s="99"/>
      <c r="K1091" s="99"/>
      <c r="L1091" s="99"/>
      <c r="M1091" s="99"/>
      <c r="N1091" s="99"/>
      <c r="O1091" s="99"/>
      <c r="P1091" s="99"/>
      <c r="Q1091" s="108"/>
      <c r="R1091" s="108"/>
      <c r="S1091" s="100"/>
      <c r="T1091" s="24">
        <f t="shared" si="386"/>
        <v>-0.3744075829</v>
      </c>
      <c r="U1091" s="179">
        <f t="shared" si="387"/>
        <v>-1</v>
      </c>
      <c r="V1091" s="179" t="str">
        <f t="shared" si="388"/>
        <v/>
      </c>
      <c r="W1091" s="179" t="str">
        <f t="shared" si="389"/>
        <v/>
      </c>
      <c r="X1091" s="26"/>
    </row>
    <row r="1092">
      <c r="A1092" s="28"/>
      <c r="B1092" s="28"/>
      <c r="C1092" s="107"/>
      <c r="D1092" s="83" t="s">
        <v>521</v>
      </c>
      <c r="E1092" s="105">
        <f>400000*2</f>
        <v>800000</v>
      </c>
      <c r="F1092" s="105">
        <f>550000*2</f>
        <v>1100000</v>
      </c>
      <c r="G1092" s="34">
        <f t="shared" si="392"/>
        <v>0.375</v>
      </c>
      <c r="H1092" s="99"/>
      <c r="I1092" s="99"/>
      <c r="J1092" s="99"/>
      <c r="K1092" s="99"/>
      <c r="L1092" s="99"/>
      <c r="M1092" s="99"/>
      <c r="N1092" s="99"/>
      <c r="O1092" s="99"/>
      <c r="P1092" s="99"/>
      <c r="Q1092" s="108"/>
      <c r="R1092" s="108"/>
      <c r="S1092" s="100"/>
      <c r="T1092" s="24">
        <f t="shared" si="386"/>
        <v>-0.375</v>
      </c>
      <c r="U1092" s="179">
        <f t="shared" si="387"/>
        <v>-1</v>
      </c>
      <c r="V1092" s="179" t="str">
        <f t="shared" si="388"/>
        <v/>
      </c>
      <c r="W1092" s="179" t="str">
        <f t="shared" si="389"/>
        <v/>
      </c>
      <c r="X1092" s="26"/>
    </row>
    <row r="1093">
      <c r="A1093" s="28"/>
      <c r="B1093" s="28"/>
      <c r="C1093" s="107"/>
      <c r="D1093" s="83" t="s">
        <v>101</v>
      </c>
      <c r="E1093" s="105">
        <f>E1091+E1092</f>
        <v>2066000</v>
      </c>
      <c r="F1093" s="105">
        <f>SUM(F1091:F1092)</f>
        <v>2840000</v>
      </c>
      <c r="G1093" s="34">
        <f t="shared" si="392"/>
        <v>0.3746369797</v>
      </c>
      <c r="H1093" s="99"/>
      <c r="I1093" s="99"/>
      <c r="J1093" s="99"/>
      <c r="K1093" s="99"/>
      <c r="L1093" s="99"/>
      <c r="M1093" s="99"/>
      <c r="N1093" s="99"/>
      <c r="O1093" s="99"/>
      <c r="P1093" s="99"/>
      <c r="Q1093" s="108"/>
      <c r="R1093" s="108"/>
      <c r="S1093" s="100"/>
      <c r="T1093" s="24">
        <f t="shared" si="386"/>
        <v>-0.3746369797</v>
      </c>
      <c r="U1093" s="179">
        <f t="shared" si="387"/>
        <v>-1</v>
      </c>
      <c r="V1093" s="179" t="str">
        <f t="shared" si="388"/>
        <v/>
      </c>
      <c r="W1093" s="179" t="str">
        <f t="shared" si="389"/>
        <v/>
      </c>
      <c r="X1093" s="26"/>
    </row>
    <row r="1094">
      <c r="A1094" s="28"/>
      <c r="B1094" s="28"/>
      <c r="C1094" s="107"/>
      <c r="D1094" s="83" t="s">
        <v>148</v>
      </c>
      <c r="E1094" s="105">
        <f>F1093-E1093</f>
        <v>774000</v>
      </c>
      <c r="F1094" s="105"/>
      <c r="G1094" s="34"/>
      <c r="H1094" s="99"/>
      <c r="I1094" s="99"/>
      <c r="J1094" s="99"/>
      <c r="K1094" s="99"/>
      <c r="L1094" s="99"/>
      <c r="M1094" s="99"/>
      <c r="N1094" s="99"/>
      <c r="O1094" s="99"/>
      <c r="P1094" s="99"/>
      <c r="Q1094" s="108"/>
      <c r="R1094" s="108"/>
      <c r="S1094" s="100"/>
      <c r="T1094" s="24">
        <f t="shared" si="386"/>
        <v>0</v>
      </c>
      <c r="U1094" s="179" t="str">
        <f t="shared" si="387"/>
        <v/>
      </c>
      <c r="V1094" s="179" t="str">
        <f t="shared" si="388"/>
        <v/>
      </c>
      <c r="W1094" s="179" t="str">
        <f t="shared" si="389"/>
        <v/>
      </c>
      <c r="X1094" s="26"/>
    </row>
    <row r="1095">
      <c r="A1095" s="28"/>
      <c r="B1095" s="28"/>
      <c r="C1095" s="107"/>
      <c r="D1095" s="97"/>
      <c r="E1095" s="105"/>
      <c r="F1095" s="105"/>
      <c r="G1095" s="34"/>
      <c r="H1095" s="99"/>
      <c r="I1095" s="99"/>
      <c r="J1095" s="99"/>
      <c r="K1095" s="99"/>
      <c r="L1095" s="99"/>
      <c r="M1095" s="99"/>
      <c r="N1095" s="99"/>
      <c r="O1095" s="99"/>
      <c r="P1095" s="99"/>
      <c r="Q1095" s="108"/>
      <c r="R1095" s="108"/>
      <c r="S1095" s="100"/>
      <c r="T1095" s="24">
        <f t="shared" si="386"/>
        <v>0</v>
      </c>
      <c r="U1095" s="179" t="str">
        <f t="shared" si="387"/>
        <v/>
      </c>
      <c r="V1095" s="179" t="str">
        <f t="shared" si="388"/>
        <v/>
      </c>
      <c r="W1095" s="179" t="str">
        <f t="shared" si="389"/>
        <v/>
      </c>
      <c r="X1095" s="26"/>
    </row>
    <row r="1096">
      <c r="A1096" s="28"/>
      <c r="B1096" s="28"/>
      <c r="C1096" s="82" t="s">
        <v>522</v>
      </c>
      <c r="D1096" s="83" t="s">
        <v>284</v>
      </c>
      <c r="E1096" s="105">
        <f>633000*2</f>
        <v>1266000</v>
      </c>
      <c r="F1096" s="105">
        <f>800000*2</f>
        <v>1600000</v>
      </c>
      <c r="G1096" s="34">
        <f t="shared" ref="G1096:G1098" si="393">(F1096-E1096)/E1096</f>
        <v>0.2638230648</v>
      </c>
      <c r="H1096" s="99"/>
      <c r="I1096" s="99"/>
      <c r="J1096" s="99"/>
      <c r="K1096" s="99"/>
      <c r="L1096" s="99"/>
      <c r="M1096" s="99"/>
      <c r="N1096" s="99"/>
      <c r="O1096" s="99"/>
      <c r="P1096" s="99"/>
      <c r="Q1096" s="108"/>
      <c r="R1096" s="108"/>
      <c r="S1096" s="100"/>
      <c r="T1096" s="24">
        <f t="shared" si="386"/>
        <v>-0.2638230648</v>
      </c>
      <c r="U1096" s="179">
        <f t="shared" si="387"/>
        <v>-1</v>
      </c>
      <c r="V1096" s="179" t="str">
        <f t="shared" si="388"/>
        <v/>
      </c>
      <c r="W1096" s="179" t="str">
        <f t="shared" si="389"/>
        <v/>
      </c>
      <c r="X1096" s="26"/>
    </row>
    <row r="1097">
      <c r="A1097" s="28"/>
      <c r="B1097" s="28"/>
      <c r="C1097" s="107"/>
      <c r="D1097" s="83" t="s">
        <v>523</v>
      </c>
      <c r="E1097" s="105">
        <f>(330000*2)</f>
        <v>660000</v>
      </c>
      <c r="F1097" s="105">
        <f>510000*2</f>
        <v>1020000</v>
      </c>
      <c r="G1097" s="34">
        <f t="shared" si="393"/>
        <v>0.5454545455</v>
      </c>
      <c r="H1097" s="99"/>
      <c r="I1097" s="99"/>
      <c r="J1097" s="99"/>
      <c r="K1097" s="99"/>
      <c r="L1097" s="99"/>
      <c r="M1097" s="99"/>
      <c r="N1097" s="99"/>
      <c r="O1097" s="99"/>
      <c r="P1097" s="99"/>
      <c r="Q1097" s="108"/>
      <c r="R1097" s="108"/>
      <c r="S1097" s="100"/>
      <c r="T1097" s="24">
        <f t="shared" si="386"/>
        <v>-0.5454545455</v>
      </c>
      <c r="U1097" s="179">
        <f t="shared" si="387"/>
        <v>-1</v>
      </c>
      <c r="V1097" s="179" t="str">
        <f t="shared" si="388"/>
        <v/>
      </c>
      <c r="W1097" s="179" t="str">
        <f t="shared" si="389"/>
        <v/>
      </c>
      <c r="X1097" s="26"/>
    </row>
    <row r="1098">
      <c r="A1098" s="28"/>
      <c r="B1098" s="28"/>
      <c r="C1098" s="107"/>
      <c r="D1098" s="83" t="s">
        <v>101</v>
      </c>
      <c r="E1098" s="105">
        <f t="shared" ref="E1098:F1098" si="394">SUM(E1096:E1097)</f>
        <v>1926000</v>
      </c>
      <c r="F1098" s="105">
        <f t="shared" si="394"/>
        <v>2620000</v>
      </c>
      <c r="G1098" s="34">
        <f t="shared" si="393"/>
        <v>0.3603322949</v>
      </c>
      <c r="H1098" s="99"/>
      <c r="I1098" s="99"/>
      <c r="J1098" s="99"/>
      <c r="K1098" s="99"/>
      <c r="L1098" s="99"/>
      <c r="M1098" s="99"/>
      <c r="N1098" s="99"/>
      <c r="O1098" s="99"/>
      <c r="P1098" s="99"/>
      <c r="Q1098" s="108"/>
      <c r="R1098" s="108"/>
      <c r="S1098" s="100"/>
      <c r="T1098" s="24">
        <f t="shared" si="386"/>
        <v>-0.3603322949</v>
      </c>
      <c r="U1098" s="179">
        <f t="shared" si="387"/>
        <v>-1</v>
      </c>
      <c r="V1098" s="179" t="str">
        <f t="shared" si="388"/>
        <v/>
      </c>
      <c r="W1098" s="179" t="str">
        <f t="shared" si="389"/>
        <v/>
      </c>
      <c r="X1098" s="26"/>
    </row>
    <row r="1099">
      <c r="A1099" s="28"/>
      <c r="B1099" s="28"/>
      <c r="C1099" s="107"/>
      <c r="D1099" s="83" t="s">
        <v>148</v>
      </c>
      <c r="E1099" s="105">
        <f>F1098-E1098</f>
        <v>694000</v>
      </c>
      <c r="F1099" s="105"/>
      <c r="G1099" s="34"/>
      <c r="H1099" s="99"/>
      <c r="I1099" s="99"/>
      <c r="J1099" s="99"/>
      <c r="K1099" s="99"/>
      <c r="L1099" s="99"/>
      <c r="M1099" s="99"/>
      <c r="N1099" s="99"/>
      <c r="O1099" s="99"/>
      <c r="P1099" s="99"/>
      <c r="Q1099" s="108"/>
      <c r="R1099" s="108"/>
      <c r="S1099" s="100"/>
      <c r="T1099" s="24">
        <f t="shared" si="386"/>
        <v>0</v>
      </c>
      <c r="U1099" s="179" t="str">
        <f t="shared" si="387"/>
        <v/>
      </c>
      <c r="V1099" s="179" t="str">
        <f t="shared" si="388"/>
        <v/>
      </c>
      <c r="W1099" s="179" t="str">
        <f t="shared" si="389"/>
        <v/>
      </c>
      <c r="X1099" s="26"/>
    </row>
    <row r="1100">
      <c r="A1100" s="28"/>
      <c r="B1100" s="28"/>
      <c r="C1100" s="107"/>
      <c r="D1100" s="97"/>
      <c r="E1100" s="105"/>
      <c r="F1100" s="105"/>
      <c r="G1100" s="34"/>
      <c r="H1100" s="99"/>
      <c r="I1100" s="99"/>
      <c r="J1100" s="99"/>
      <c r="K1100" s="99"/>
      <c r="L1100" s="99"/>
      <c r="M1100" s="99"/>
      <c r="N1100" s="99"/>
      <c r="O1100" s="99"/>
      <c r="P1100" s="99"/>
      <c r="Q1100" s="108"/>
      <c r="R1100" s="108"/>
      <c r="S1100" s="100"/>
      <c r="T1100" s="24">
        <f t="shared" si="386"/>
        <v>0</v>
      </c>
      <c r="U1100" s="179" t="str">
        <f t="shared" si="387"/>
        <v/>
      </c>
      <c r="V1100" s="179" t="str">
        <f t="shared" si="388"/>
        <v/>
      </c>
      <c r="W1100" s="179" t="str">
        <f t="shared" si="389"/>
        <v/>
      </c>
      <c r="X1100" s="26"/>
    </row>
    <row r="1101">
      <c r="A1101" s="28"/>
      <c r="B1101" s="28"/>
      <c r="C1101" s="107"/>
      <c r="D1101" s="97"/>
      <c r="E1101" s="105"/>
      <c r="F1101" s="105"/>
      <c r="G1101" s="34"/>
      <c r="H1101" s="99"/>
      <c r="I1101" s="99"/>
      <c r="J1101" s="99"/>
      <c r="K1101" s="99"/>
      <c r="L1101" s="99"/>
      <c r="M1101" s="99"/>
      <c r="N1101" s="99"/>
      <c r="O1101" s="99"/>
      <c r="P1101" s="99"/>
      <c r="Q1101" s="108"/>
      <c r="R1101" s="108"/>
      <c r="S1101" s="100"/>
      <c r="T1101" s="24">
        <f t="shared" si="386"/>
        <v>0</v>
      </c>
      <c r="U1101" s="179" t="str">
        <f t="shared" si="387"/>
        <v/>
      </c>
      <c r="V1101" s="179" t="str">
        <f t="shared" si="388"/>
        <v/>
      </c>
      <c r="W1101" s="179" t="str">
        <f t="shared" si="389"/>
        <v/>
      </c>
      <c r="X1101" s="26"/>
    </row>
    <row r="1102">
      <c r="A1102" s="28"/>
      <c r="B1102" s="28"/>
      <c r="C1102" s="82" t="s">
        <v>524</v>
      </c>
      <c r="D1102" s="83" t="s">
        <v>525</v>
      </c>
      <c r="E1102" s="105">
        <f>260000</f>
        <v>260000</v>
      </c>
      <c r="F1102" s="105">
        <f>250000*2</f>
        <v>500000</v>
      </c>
      <c r="G1102" s="34">
        <f t="shared" ref="G1102:G1105" si="395">(F1102-E1102)/E1102</f>
        <v>0.9230769231</v>
      </c>
      <c r="H1102" s="99"/>
      <c r="I1102" s="99"/>
      <c r="J1102" s="99"/>
      <c r="K1102" s="99"/>
      <c r="L1102" s="99"/>
      <c r="M1102" s="99"/>
      <c r="N1102" s="99"/>
      <c r="O1102" s="99"/>
      <c r="P1102" s="99"/>
      <c r="Q1102" s="108"/>
      <c r="R1102" s="108"/>
      <c r="S1102" s="100"/>
      <c r="T1102" s="24">
        <f t="shared" si="386"/>
        <v>-0.9230769231</v>
      </c>
      <c r="U1102" s="179">
        <f t="shared" si="387"/>
        <v>-1</v>
      </c>
      <c r="V1102" s="179" t="str">
        <f t="shared" si="388"/>
        <v/>
      </c>
      <c r="W1102" s="179" t="str">
        <f t="shared" si="389"/>
        <v/>
      </c>
      <c r="X1102" s="26"/>
    </row>
    <row r="1103">
      <c r="A1103" s="28"/>
      <c r="B1103" s="28"/>
      <c r="C1103" s="107"/>
      <c r="D1103" s="83" t="s">
        <v>526</v>
      </c>
      <c r="E1103" s="105">
        <f>350000*2</f>
        <v>700000</v>
      </c>
      <c r="F1103" s="105">
        <f>520000*2</f>
        <v>1040000</v>
      </c>
      <c r="G1103" s="34">
        <f t="shared" si="395"/>
        <v>0.4857142857</v>
      </c>
      <c r="H1103" s="99"/>
      <c r="I1103" s="99"/>
      <c r="J1103" s="99"/>
      <c r="K1103" s="99"/>
      <c r="L1103" s="99"/>
      <c r="M1103" s="99"/>
      <c r="N1103" s="99"/>
      <c r="O1103" s="99"/>
      <c r="P1103" s="99"/>
      <c r="Q1103" s="108"/>
      <c r="R1103" s="108"/>
      <c r="S1103" s="100"/>
      <c r="T1103" s="24">
        <f t="shared" si="386"/>
        <v>-0.4857142857</v>
      </c>
      <c r="U1103" s="179">
        <f t="shared" si="387"/>
        <v>-1</v>
      </c>
      <c r="V1103" s="179" t="str">
        <f t="shared" si="388"/>
        <v/>
      </c>
      <c r="W1103" s="179" t="str">
        <f t="shared" si="389"/>
        <v/>
      </c>
      <c r="X1103" s="26"/>
    </row>
    <row r="1104">
      <c r="A1104" s="28"/>
      <c r="B1104" s="28"/>
      <c r="C1104" s="107"/>
      <c r="D1104" s="83" t="s">
        <v>527</v>
      </c>
      <c r="E1104" s="105">
        <f>633000*2</f>
        <v>1266000</v>
      </c>
      <c r="F1104" s="105">
        <f>800000*2</f>
        <v>1600000</v>
      </c>
      <c r="G1104" s="34">
        <f t="shared" si="395"/>
        <v>0.2638230648</v>
      </c>
      <c r="H1104" s="99"/>
      <c r="I1104" s="99"/>
      <c r="J1104" s="99"/>
      <c r="K1104" s="99"/>
      <c r="L1104" s="99"/>
      <c r="M1104" s="99"/>
      <c r="N1104" s="99"/>
      <c r="O1104" s="99"/>
      <c r="P1104" s="99"/>
      <c r="Q1104" s="108"/>
      <c r="R1104" s="108"/>
      <c r="S1104" s="100"/>
      <c r="T1104" s="24">
        <f t="shared" si="386"/>
        <v>-0.2638230648</v>
      </c>
      <c r="U1104" s="179">
        <f t="shared" si="387"/>
        <v>-1</v>
      </c>
      <c r="V1104" s="179" t="str">
        <f t="shared" si="388"/>
        <v/>
      </c>
      <c r="W1104" s="179" t="str">
        <f t="shared" si="389"/>
        <v/>
      </c>
      <c r="X1104" s="26"/>
    </row>
    <row r="1105">
      <c r="A1105" s="28"/>
      <c r="B1105" s="28"/>
      <c r="C1105" s="107"/>
      <c r="D1105" s="83" t="s">
        <v>101</v>
      </c>
      <c r="E1105" s="105">
        <f>E1102+E1103+E1104</f>
        <v>2226000</v>
      </c>
      <c r="F1105" s="105">
        <f>SUM(F1102:F1104)</f>
        <v>3140000</v>
      </c>
      <c r="G1105" s="34">
        <f t="shared" si="395"/>
        <v>0.4106019766</v>
      </c>
      <c r="H1105" s="99"/>
      <c r="I1105" s="99"/>
      <c r="J1105" s="99"/>
      <c r="K1105" s="99"/>
      <c r="L1105" s="99"/>
      <c r="M1105" s="99"/>
      <c r="N1105" s="99"/>
      <c r="O1105" s="99"/>
      <c r="P1105" s="99"/>
      <c r="Q1105" s="108"/>
      <c r="R1105" s="108"/>
      <c r="S1105" s="100"/>
      <c r="T1105" s="24">
        <f t="shared" si="386"/>
        <v>-0.4106019766</v>
      </c>
      <c r="U1105" s="179">
        <f t="shared" si="387"/>
        <v>-1</v>
      </c>
      <c r="V1105" s="179" t="str">
        <f t="shared" si="388"/>
        <v/>
      </c>
      <c r="W1105" s="179" t="str">
        <f t="shared" si="389"/>
        <v/>
      </c>
      <c r="X1105" s="26"/>
    </row>
    <row r="1106">
      <c r="A1106" s="28"/>
      <c r="B1106" s="28"/>
      <c r="C1106" s="107"/>
      <c r="D1106" s="83" t="s">
        <v>148</v>
      </c>
      <c r="E1106" s="105">
        <f>F1105-E1105</f>
        <v>914000</v>
      </c>
      <c r="F1106" s="105"/>
      <c r="G1106" s="34"/>
      <c r="H1106" s="99"/>
      <c r="I1106" s="99"/>
      <c r="J1106" s="99"/>
      <c r="K1106" s="99"/>
      <c r="L1106" s="99"/>
      <c r="M1106" s="99"/>
      <c r="N1106" s="99"/>
      <c r="O1106" s="99"/>
      <c r="P1106" s="99"/>
      <c r="Q1106" s="108"/>
      <c r="R1106" s="108"/>
      <c r="S1106" s="100"/>
      <c r="T1106" s="24">
        <f t="shared" si="386"/>
        <v>0</v>
      </c>
      <c r="U1106" s="179" t="str">
        <f t="shared" si="387"/>
        <v/>
      </c>
      <c r="V1106" s="179" t="str">
        <f t="shared" si="388"/>
        <v/>
      </c>
      <c r="W1106" s="179" t="str">
        <f t="shared" si="389"/>
        <v/>
      </c>
      <c r="X1106" s="26"/>
    </row>
    <row r="1107">
      <c r="A1107" s="28"/>
      <c r="B1107" s="28"/>
      <c r="C1107" s="107"/>
      <c r="D1107" s="97"/>
      <c r="E1107" s="105"/>
      <c r="F1107" s="105"/>
      <c r="G1107" s="34"/>
      <c r="H1107" s="99"/>
      <c r="I1107" s="99"/>
      <c r="J1107" s="99"/>
      <c r="K1107" s="99"/>
      <c r="L1107" s="99"/>
      <c r="M1107" s="99"/>
      <c r="N1107" s="99"/>
      <c r="O1107" s="99"/>
      <c r="P1107" s="99"/>
      <c r="Q1107" s="108"/>
      <c r="R1107" s="108"/>
      <c r="S1107" s="100"/>
      <c r="T1107" s="24">
        <f t="shared" si="386"/>
        <v>0</v>
      </c>
      <c r="U1107" s="179" t="str">
        <f t="shared" si="387"/>
        <v/>
      </c>
      <c r="V1107" s="179" t="str">
        <f t="shared" si="388"/>
        <v/>
      </c>
      <c r="W1107" s="179" t="str">
        <f t="shared" si="389"/>
        <v/>
      </c>
      <c r="X1107" s="26"/>
    </row>
    <row r="1108">
      <c r="A1108" s="28"/>
      <c r="B1108" s="28"/>
      <c r="C1108" s="82" t="s">
        <v>528</v>
      </c>
      <c r="D1108" s="83" t="s">
        <v>529</v>
      </c>
      <c r="E1108" s="105">
        <f>330000*3</f>
        <v>990000</v>
      </c>
      <c r="F1108" s="105">
        <f>510000*3</f>
        <v>1530000</v>
      </c>
      <c r="G1108" s="34">
        <f>(F1108-E1108)/E1108</f>
        <v>0.5454545455</v>
      </c>
      <c r="H1108" s="99"/>
      <c r="I1108" s="99"/>
      <c r="J1108" s="99"/>
      <c r="K1108" s="99"/>
      <c r="L1108" s="99"/>
      <c r="M1108" s="99"/>
      <c r="N1108" s="99"/>
      <c r="O1108" s="99"/>
      <c r="P1108" s="99"/>
      <c r="Q1108" s="108"/>
      <c r="R1108" s="108"/>
      <c r="S1108" s="100"/>
      <c r="T1108" s="24">
        <f t="shared" si="386"/>
        <v>-0.5454545455</v>
      </c>
      <c r="U1108" s="179">
        <f t="shared" si="387"/>
        <v>-1</v>
      </c>
      <c r="V1108" s="179" t="str">
        <f t="shared" si="388"/>
        <v/>
      </c>
      <c r="W1108" s="179" t="str">
        <f t="shared" si="389"/>
        <v/>
      </c>
      <c r="X1108" s="26"/>
    </row>
    <row r="1109">
      <c r="A1109" s="28"/>
      <c r="B1109" s="28"/>
      <c r="C1109" s="107"/>
      <c r="D1109" s="83" t="s">
        <v>530</v>
      </c>
      <c r="E1109" s="105">
        <f>F1108-E1108</f>
        <v>540000</v>
      </c>
      <c r="F1109" s="105"/>
      <c r="G1109" s="34"/>
      <c r="H1109" s="99"/>
      <c r="I1109" s="99"/>
      <c r="J1109" s="99"/>
      <c r="K1109" s="99"/>
      <c r="L1109" s="99"/>
      <c r="M1109" s="99"/>
      <c r="N1109" s="99"/>
      <c r="O1109" s="99"/>
      <c r="P1109" s="99"/>
      <c r="Q1109" s="108"/>
      <c r="R1109" s="108"/>
      <c r="S1109" s="100"/>
      <c r="T1109" s="24">
        <f t="shared" si="386"/>
        <v>0</v>
      </c>
      <c r="U1109" s="179" t="str">
        <f t="shared" si="387"/>
        <v/>
      </c>
      <c r="V1109" s="179" t="str">
        <f t="shared" si="388"/>
        <v/>
      </c>
      <c r="W1109" s="179" t="str">
        <f t="shared" si="389"/>
        <v/>
      </c>
      <c r="X1109" s="26"/>
    </row>
    <row r="1110">
      <c r="A1110" s="28"/>
      <c r="B1110" s="28"/>
      <c r="C1110" s="107"/>
      <c r="D1110" s="97"/>
      <c r="E1110" s="105"/>
      <c r="F1110" s="105"/>
      <c r="G1110" s="34"/>
      <c r="H1110" s="99"/>
      <c r="I1110" s="99"/>
      <c r="J1110" s="99"/>
      <c r="K1110" s="99"/>
      <c r="L1110" s="99"/>
      <c r="M1110" s="99"/>
      <c r="N1110" s="99"/>
      <c r="O1110" s="99"/>
      <c r="P1110" s="99"/>
      <c r="Q1110" s="108"/>
      <c r="R1110" s="108"/>
      <c r="S1110" s="100"/>
      <c r="T1110" s="24">
        <f t="shared" si="386"/>
        <v>0</v>
      </c>
      <c r="U1110" s="179" t="str">
        <f t="shared" si="387"/>
        <v/>
      </c>
      <c r="V1110" s="179" t="str">
        <f t="shared" si="388"/>
        <v/>
      </c>
      <c r="W1110" s="179" t="str">
        <f t="shared" si="389"/>
        <v/>
      </c>
      <c r="X1110" s="26"/>
    </row>
    <row r="1111">
      <c r="A1111" s="28"/>
      <c r="B1111" s="28"/>
      <c r="C1111" s="107"/>
      <c r="D1111" s="97"/>
      <c r="E1111" s="105"/>
      <c r="F1111" s="105"/>
      <c r="G1111" s="34"/>
      <c r="H1111" s="99"/>
      <c r="I1111" s="99"/>
      <c r="J1111" s="99"/>
      <c r="K1111" s="99"/>
      <c r="L1111" s="99"/>
      <c r="M1111" s="99"/>
      <c r="N1111" s="99"/>
      <c r="O1111" s="99"/>
      <c r="P1111" s="99"/>
      <c r="Q1111" s="108"/>
      <c r="R1111" s="108"/>
      <c r="S1111" s="100"/>
      <c r="T1111" s="24">
        <f t="shared" si="386"/>
        <v>0</v>
      </c>
      <c r="U1111" s="179" t="str">
        <f t="shared" si="387"/>
        <v/>
      </c>
      <c r="V1111" s="179" t="str">
        <f t="shared" si="388"/>
        <v/>
      </c>
      <c r="W1111" s="179" t="str">
        <f t="shared" si="389"/>
        <v/>
      </c>
      <c r="X1111" s="26"/>
    </row>
    <row r="1112">
      <c r="A1112" s="28"/>
      <c r="B1112" s="28"/>
      <c r="C1112" s="82" t="s">
        <v>531</v>
      </c>
      <c r="D1112" s="83"/>
      <c r="E1112" s="201"/>
      <c r="F1112" s="201"/>
      <c r="G1112" s="34"/>
      <c r="H1112" s="99"/>
      <c r="I1112" s="99"/>
      <c r="J1112" s="99"/>
      <c r="K1112" s="99"/>
      <c r="L1112" s="99"/>
      <c r="M1112" s="99"/>
      <c r="N1112" s="99"/>
      <c r="O1112" s="99"/>
      <c r="P1112" s="99"/>
      <c r="Q1112" s="108"/>
      <c r="R1112" s="108"/>
      <c r="S1112" s="100"/>
      <c r="T1112" s="24">
        <f t="shared" si="386"/>
        <v>0</v>
      </c>
      <c r="U1112" s="179" t="str">
        <f t="shared" si="387"/>
        <v/>
      </c>
      <c r="V1112" s="179" t="str">
        <f t="shared" si="388"/>
        <v/>
      </c>
      <c r="W1112" s="179" t="str">
        <f t="shared" si="389"/>
        <v/>
      </c>
      <c r="X1112" s="26"/>
    </row>
    <row r="1113">
      <c r="A1113" s="28"/>
      <c r="B1113" s="28"/>
      <c r="C1113" s="107"/>
      <c r="D1113" s="83" t="s">
        <v>532</v>
      </c>
      <c r="E1113" s="201">
        <v>330000.0</v>
      </c>
      <c r="F1113" s="201">
        <v>510000.0</v>
      </c>
      <c r="G1113" s="34">
        <f t="shared" ref="G1113:G1117" si="396">(F1113-E1113)/E1113</f>
        <v>0.5454545455</v>
      </c>
      <c r="H1113" s="99"/>
      <c r="I1113" s="99"/>
      <c r="J1113" s="99"/>
      <c r="K1113" s="99"/>
      <c r="L1113" s="99"/>
      <c r="M1113" s="99"/>
      <c r="N1113" s="99"/>
      <c r="O1113" s="99"/>
      <c r="P1113" s="99"/>
      <c r="Q1113" s="108"/>
      <c r="R1113" s="108"/>
      <c r="S1113" s="100"/>
      <c r="T1113" s="24">
        <f t="shared" si="386"/>
        <v>-0.5454545455</v>
      </c>
      <c r="U1113" s="179">
        <f t="shared" si="387"/>
        <v>-1</v>
      </c>
      <c r="V1113" s="179" t="str">
        <f t="shared" si="388"/>
        <v/>
      </c>
      <c r="W1113" s="179" t="str">
        <f t="shared" si="389"/>
        <v/>
      </c>
      <c r="X1113" s="26"/>
    </row>
    <row r="1114">
      <c r="A1114" s="28"/>
      <c r="B1114" s="28"/>
      <c r="C1114" s="107"/>
      <c r="D1114" s="83" t="s">
        <v>533</v>
      </c>
      <c r="E1114" s="201">
        <f>320000+36000+30000+10000</f>
        <v>396000</v>
      </c>
      <c r="F1114" s="201">
        <v>500000.0</v>
      </c>
      <c r="G1114" s="34">
        <f t="shared" si="396"/>
        <v>0.2626262626</v>
      </c>
      <c r="H1114" s="99"/>
      <c r="I1114" s="99"/>
      <c r="J1114" s="99"/>
      <c r="K1114" s="99"/>
      <c r="L1114" s="99"/>
      <c r="M1114" s="99"/>
      <c r="N1114" s="99"/>
      <c r="O1114" s="99"/>
      <c r="P1114" s="99"/>
      <c r="Q1114" s="108"/>
      <c r="R1114" s="108"/>
      <c r="S1114" s="100"/>
      <c r="T1114" s="24">
        <f t="shared" si="386"/>
        <v>-0.2626262626</v>
      </c>
      <c r="U1114" s="179">
        <f t="shared" si="387"/>
        <v>-1</v>
      </c>
      <c r="V1114" s="179" t="str">
        <f t="shared" si="388"/>
        <v/>
      </c>
      <c r="W1114" s="179" t="str">
        <f t="shared" si="389"/>
        <v/>
      </c>
      <c r="X1114" s="26"/>
    </row>
    <row r="1115">
      <c r="A1115" s="28"/>
      <c r="B1115" s="28"/>
      <c r="C1115" s="107"/>
      <c r="D1115" s="83" t="s">
        <v>534</v>
      </c>
      <c r="E1115" s="201">
        <v>370000.0</v>
      </c>
      <c r="F1115" s="201">
        <v>510000.0</v>
      </c>
      <c r="G1115" s="34">
        <f t="shared" si="396"/>
        <v>0.3783783784</v>
      </c>
      <c r="H1115" s="99"/>
      <c r="I1115" s="99"/>
      <c r="J1115" s="99"/>
      <c r="K1115" s="99"/>
      <c r="L1115" s="99"/>
      <c r="M1115" s="99"/>
      <c r="N1115" s="99"/>
      <c r="O1115" s="99"/>
      <c r="P1115" s="99"/>
      <c r="Q1115" s="108"/>
      <c r="R1115" s="108"/>
      <c r="S1115" s="100"/>
      <c r="T1115" s="24">
        <f t="shared" si="386"/>
        <v>-0.3783783784</v>
      </c>
      <c r="U1115" s="179">
        <f t="shared" si="387"/>
        <v>-1</v>
      </c>
      <c r="V1115" s="179" t="str">
        <f t="shared" si="388"/>
        <v/>
      </c>
      <c r="W1115" s="179" t="str">
        <f t="shared" si="389"/>
        <v/>
      </c>
      <c r="X1115" s="26"/>
    </row>
    <row r="1116">
      <c r="A1116" s="28"/>
      <c r="B1116" s="28"/>
      <c r="C1116" s="107"/>
      <c r="D1116" s="83" t="s">
        <v>535</v>
      </c>
      <c r="E1116" s="201">
        <v>130000.0</v>
      </c>
      <c r="F1116" s="201">
        <v>250000.0</v>
      </c>
      <c r="G1116" s="34">
        <f t="shared" si="396"/>
        <v>0.9230769231</v>
      </c>
      <c r="H1116" s="99"/>
      <c r="I1116" s="99"/>
      <c r="J1116" s="99"/>
      <c r="K1116" s="99"/>
      <c r="L1116" s="99"/>
      <c r="M1116" s="99"/>
      <c r="N1116" s="99"/>
      <c r="O1116" s="99"/>
      <c r="P1116" s="99"/>
      <c r="Q1116" s="108"/>
      <c r="R1116" s="108"/>
      <c r="S1116" s="100"/>
      <c r="T1116" s="24"/>
      <c r="U1116" s="179"/>
      <c r="V1116" s="179"/>
      <c r="W1116" s="179"/>
      <c r="X1116" s="26"/>
    </row>
    <row r="1117">
      <c r="A1117" s="28"/>
      <c r="B1117" s="28"/>
      <c r="C1117" s="107"/>
      <c r="D1117" s="83" t="s">
        <v>101</v>
      </c>
      <c r="E1117" s="105">
        <f>SUM(E1113:E1116)</f>
        <v>1226000</v>
      </c>
      <c r="F1117" s="105">
        <f>F1113+F1114+F1115+F1116</f>
        <v>1770000</v>
      </c>
      <c r="G1117" s="34">
        <f t="shared" si="396"/>
        <v>0.4437194127</v>
      </c>
      <c r="H1117" s="99"/>
      <c r="I1117" s="99"/>
      <c r="J1117" s="99"/>
      <c r="K1117" s="99"/>
      <c r="L1117" s="99"/>
      <c r="M1117" s="99"/>
      <c r="N1117" s="99"/>
      <c r="O1117" s="99"/>
      <c r="P1117" s="99"/>
      <c r="Q1117" s="108"/>
      <c r="R1117" s="108"/>
      <c r="S1117" s="100"/>
      <c r="T1117" s="24">
        <f t="shared" ref="T1117:T1127" si="397">P1117-(G1117+S1117)-(P1117*R1117)-(P1117*Q1117)</f>
        <v>-0.4437194127</v>
      </c>
      <c r="U1117" s="179">
        <f t="shared" ref="U1117:U1127" si="398">IFERROR((P1117-G1117)/G1117,"")</f>
        <v>-1</v>
      </c>
      <c r="V1117" s="179" t="str">
        <f t="shared" ref="V1117:V1127" si="399">IFERROR((P1117-G1117)/P1117,"")</f>
        <v/>
      </c>
      <c r="W1117" s="179" t="str">
        <f t="shared" ref="W1117:W1127" si="400">IFERROR(T1117/P1117,"")</f>
        <v/>
      </c>
      <c r="X1117" s="26"/>
    </row>
    <row r="1118">
      <c r="A1118" s="28"/>
      <c r="B1118" s="28"/>
      <c r="C1118" s="107"/>
      <c r="D1118" s="83" t="s">
        <v>148</v>
      </c>
      <c r="E1118" s="105">
        <f>F1117-E1117</f>
        <v>544000</v>
      </c>
      <c r="F1118" s="105"/>
      <c r="G1118" s="34"/>
      <c r="H1118" s="99"/>
      <c r="I1118" s="99"/>
      <c r="J1118" s="99"/>
      <c r="K1118" s="99"/>
      <c r="L1118" s="99"/>
      <c r="M1118" s="99"/>
      <c r="N1118" s="99"/>
      <c r="O1118" s="99"/>
      <c r="P1118" s="99"/>
      <c r="Q1118" s="108"/>
      <c r="R1118" s="108"/>
      <c r="S1118" s="100"/>
      <c r="T1118" s="24">
        <f t="shared" si="397"/>
        <v>0</v>
      </c>
      <c r="U1118" s="179" t="str">
        <f t="shared" si="398"/>
        <v/>
      </c>
      <c r="V1118" s="179" t="str">
        <f t="shared" si="399"/>
        <v/>
      </c>
      <c r="W1118" s="179" t="str">
        <f t="shared" si="400"/>
        <v/>
      </c>
      <c r="X1118" s="26"/>
    </row>
    <row r="1119">
      <c r="A1119" s="28"/>
      <c r="B1119" s="28"/>
      <c r="C1119" s="107"/>
      <c r="D1119" s="97"/>
      <c r="E1119" s="105"/>
      <c r="F1119" s="105"/>
      <c r="G1119" s="99"/>
      <c r="H1119" s="99"/>
      <c r="I1119" s="99"/>
      <c r="J1119" s="99"/>
      <c r="K1119" s="99"/>
      <c r="L1119" s="99"/>
      <c r="M1119" s="99"/>
      <c r="N1119" s="99"/>
      <c r="O1119" s="99"/>
      <c r="P1119" s="99"/>
      <c r="Q1119" s="108"/>
      <c r="R1119" s="108"/>
      <c r="S1119" s="100"/>
      <c r="T1119" s="24">
        <f t="shared" si="397"/>
        <v>0</v>
      </c>
      <c r="U1119" s="179" t="str">
        <f t="shared" si="398"/>
        <v/>
      </c>
      <c r="V1119" s="179" t="str">
        <f t="shared" si="399"/>
        <v/>
      </c>
      <c r="W1119" s="179" t="str">
        <f t="shared" si="400"/>
        <v/>
      </c>
      <c r="X1119" s="26"/>
    </row>
    <row r="1120">
      <c r="A1120" s="28"/>
      <c r="B1120" s="28"/>
      <c r="C1120" s="107"/>
      <c r="D1120" s="97"/>
      <c r="E1120" s="105"/>
      <c r="F1120" s="105"/>
      <c r="G1120" s="99"/>
      <c r="H1120" s="99"/>
      <c r="I1120" s="99"/>
      <c r="J1120" s="99"/>
      <c r="K1120" s="99"/>
      <c r="L1120" s="99"/>
      <c r="M1120" s="99"/>
      <c r="N1120" s="99"/>
      <c r="O1120" s="99"/>
      <c r="P1120" s="99"/>
      <c r="Q1120" s="108"/>
      <c r="R1120" s="108"/>
      <c r="S1120" s="100"/>
      <c r="T1120" s="24">
        <f t="shared" si="397"/>
        <v>0</v>
      </c>
      <c r="U1120" s="179" t="str">
        <f t="shared" si="398"/>
        <v/>
      </c>
      <c r="V1120" s="179" t="str">
        <f t="shared" si="399"/>
        <v/>
      </c>
      <c r="W1120" s="179" t="str">
        <f t="shared" si="400"/>
        <v/>
      </c>
      <c r="X1120" s="26"/>
    </row>
    <row r="1121">
      <c r="A1121" s="28"/>
      <c r="B1121" s="28"/>
      <c r="C1121" s="82" t="s">
        <v>536</v>
      </c>
      <c r="D1121" s="83" t="s">
        <v>138</v>
      </c>
      <c r="E1121" s="105">
        <f>350000*4</f>
        <v>1400000</v>
      </c>
      <c r="F1121" s="105">
        <f>510000*4</f>
        <v>2040000</v>
      </c>
      <c r="G1121" s="99"/>
      <c r="H1121" s="99"/>
      <c r="I1121" s="99"/>
      <c r="J1121" s="99"/>
      <c r="K1121" s="99"/>
      <c r="L1121" s="99"/>
      <c r="M1121" s="99"/>
      <c r="N1121" s="99"/>
      <c r="O1121" s="99"/>
      <c r="P1121" s="99"/>
      <c r="Q1121" s="108"/>
      <c r="R1121" s="108"/>
      <c r="S1121" s="100"/>
      <c r="T1121" s="24">
        <f t="shared" si="397"/>
        <v>0</v>
      </c>
      <c r="U1121" s="179" t="str">
        <f t="shared" si="398"/>
        <v/>
      </c>
      <c r="V1121" s="179" t="str">
        <f t="shared" si="399"/>
        <v/>
      </c>
      <c r="W1121" s="179" t="str">
        <f t="shared" si="400"/>
        <v/>
      </c>
      <c r="X1121" s="26"/>
    </row>
    <row r="1122">
      <c r="A1122" s="28"/>
      <c r="B1122" s="28"/>
      <c r="C1122" s="107"/>
      <c r="D1122" s="83" t="s">
        <v>282</v>
      </c>
      <c r="E1122" s="105">
        <f>309000*4</f>
        <v>1236000</v>
      </c>
      <c r="F1122" s="105">
        <f>450000*4</f>
        <v>1800000</v>
      </c>
      <c r="G1122" s="99"/>
      <c r="H1122" s="99"/>
      <c r="I1122" s="99"/>
      <c r="J1122" s="99"/>
      <c r="K1122" s="99"/>
      <c r="L1122" s="99"/>
      <c r="M1122" s="99"/>
      <c r="N1122" s="99"/>
      <c r="O1122" s="99"/>
      <c r="P1122" s="99"/>
      <c r="Q1122" s="108"/>
      <c r="R1122" s="108"/>
      <c r="S1122" s="100"/>
      <c r="T1122" s="24">
        <f t="shared" si="397"/>
        <v>0</v>
      </c>
      <c r="U1122" s="179" t="str">
        <f t="shared" si="398"/>
        <v/>
      </c>
      <c r="V1122" s="179" t="str">
        <f t="shared" si="399"/>
        <v/>
      </c>
      <c r="W1122" s="179" t="str">
        <f t="shared" si="400"/>
        <v/>
      </c>
      <c r="X1122" s="26"/>
    </row>
    <row r="1123">
      <c r="A1123" s="28"/>
      <c r="B1123" s="28"/>
      <c r="C1123" s="107"/>
      <c r="D1123" s="83" t="s">
        <v>101</v>
      </c>
      <c r="E1123" s="105">
        <f t="shared" ref="E1123:F1123" si="401">E1121+E1122</f>
        <v>2636000</v>
      </c>
      <c r="F1123" s="105">
        <f t="shared" si="401"/>
        <v>3840000</v>
      </c>
      <c r="G1123" s="99"/>
      <c r="H1123" s="99"/>
      <c r="I1123" s="99"/>
      <c r="J1123" s="99"/>
      <c r="K1123" s="99"/>
      <c r="L1123" s="99"/>
      <c r="M1123" s="99"/>
      <c r="N1123" s="99"/>
      <c r="O1123" s="99"/>
      <c r="P1123" s="99"/>
      <c r="Q1123" s="108"/>
      <c r="R1123" s="108"/>
      <c r="S1123" s="100"/>
      <c r="T1123" s="24">
        <f t="shared" si="397"/>
        <v>0</v>
      </c>
      <c r="U1123" s="179" t="str">
        <f t="shared" si="398"/>
        <v/>
      </c>
      <c r="V1123" s="179" t="str">
        <f t="shared" si="399"/>
        <v/>
      </c>
      <c r="W1123" s="179" t="str">
        <f t="shared" si="400"/>
        <v/>
      </c>
      <c r="X1123" s="26"/>
    </row>
    <row r="1124">
      <c r="A1124" s="28"/>
      <c r="B1124" s="28"/>
      <c r="C1124" s="107"/>
      <c r="D1124" s="83" t="s">
        <v>148</v>
      </c>
      <c r="E1124" s="105">
        <f>F1123-E1123</f>
        <v>1204000</v>
      </c>
      <c r="F1124" s="105"/>
      <c r="G1124" s="99"/>
      <c r="H1124" s="99"/>
      <c r="I1124" s="99"/>
      <c r="J1124" s="99"/>
      <c r="K1124" s="99"/>
      <c r="L1124" s="99"/>
      <c r="M1124" s="99"/>
      <c r="N1124" s="99"/>
      <c r="O1124" s="99"/>
      <c r="P1124" s="99"/>
      <c r="Q1124" s="108"/>
      <c r="R1124" s="108"/>
      <c r="S1124" s="100"/>
      <c r="T1124" s="24">
        <f t="shared" si="397"/>
        <v>0</v>
      </c>
      <c r="U1124" s="179" t="str">
        <f t="shared" si="398"/>
        <v/>
      </c>
      <c r="V1124" s="179" t="str">
        <f t="shared" si="399"/>
        <v/>
      </c>
      <c r="W1124" s="179" t="str">
        <f t="shared" si="400"/>
        <v/>
      </c>
      <c r="X1124" s="26"/>
    </row>
    <row r="1125">
      <c r="A1125" s="28"/>
      <c r="B1125" s="28"/>
      <c r="C1125" s="107"/>
      <c r="D1125" s="97"/>
      <c r="E1125" s="105"/>
      <c r="F1125" s="105"/>
      <c r="G1125" s="99"/>
      <c r="H1125" s="99"/>
      <c r="I1125" s="99"/>
      <c r="J1125" s="99"/>
      <c r="K1125" s="99"/>
      <c r="L1125" s="99"/>
      <c r="M1125" s="99"/>
      <c r="N1125" s="99"/>
      <c r="O1125" s="99"/>
      <c r="P1125" s="99"/>
      <c r="Q1125" s="108"/>
      <c r="R1125" s="108"/>
      <c r="S1125" s="100"/>
      <c r="T1125" s="24">
        <f t="shared" si="397"/>
        <v>0</v>
      </c>
      <c r="U1125" s="179" t="str">
        <f t="shared" si="398"/>
        <v/>
      </c>
      <c r="V1125" s="179" t="str">
        <f t="shared" si="399"/>
        <v/>
      </c>
      <c r="W1125" s="179" t="str">
        <f t="shared" si="400"/>
        <v/>
      </c>
      <c r="X1125" s="26"/>
    </row>
    <row r="1126">
      <c r="A1126" s="28"/>
      <c r="B1126" s="28"/>
      <c r="C1126" s="107"/>
      <c r="D1126" s="97"/>
      <c r="E1126" s="105"/>
      <c r="F1126" s="105"/>
      <c r="G1126" s="99"/>
      <c r="H1126" s="99"/>
      <c r="I1126" s="99"/>
      <c r="J1126" s="99"/>
      <c r="K1126" s="99"/>
      <c r="L1126" s="99"/>
      <c r="M1126" s="99"/>
      <c r="N1126" s="99"/>
      <c r="O1126" s="99"/>
      <c r="P1126" s="99"/>
      <c r="Q1126" s="108"/>
      <c r="R1126" s="108"/>
      <c r="S1126" s="100"/>
      <c r="T1126" s="24">
        <f t="shared" si="397"/>
        <v>0</v>
      </c>
      <c r="U1126" s="179" t="str">
        <f t="shared" si="398"/>
        <v/>
      </c>
      <c r="V1126" s="179" t="str">
        <f t="shared" si="399"/>
        <v/>
      </c>
      <c r="W1126" s="179" t="str">
        <f t="shared" si="400"/>
        <v/>
      </c>
      <c r="X1126" s="26"/>
    </row>
    <row r="1127">
      <c r="A1127" s="28"/>
      <c r="B1127" s="28"/>
      <c r="C1127" s="82" t="s">
        <v>537</v>
      </c>
      <c r="D1127" s="83" t="s">
        <v>464</v>
      </c>
      <c r="E1127" s="201">
        <v>55000.0</v>
      </c>
      <c r="F1127" s="201">
        <v>140000.0</v>
      </c>
      <c r="G1127" s="34">
        <f t="shared" ref="G1127:G1132" si="402">(F1127-E1127)/E1127</f>
        <v>1.545454545</v>
      </c>
      <c r="H1127" s="99"/>
      <c r="I1127" s="99"/>
      <c r="J1127" s="99"/>
      <c r="K1127" s="99"/>
      <c r="L1127" s="99"/>
      <c r="M1127" s="99"/>
      <c r="N1127" s="99"/>
      <c r="O1127" s="99"/>
      <c r="P1127" s="99"/>
      <c r="Q1127" s="108"/>
      <c r="R1127" s="108"/>
      <c r="S1127" s="100"/>
      <c r="T1127" s="24">
        <f t="shared" si="397"/>
        <v>-1.545454545</v>
      </c>
      <c r="U1127" s="179">
        <f t="shared" si="398"/>
        <v>-1</v>
      </c>
      <c r="V1127" s="179" t="str">
        <f t="shared" si="399"/>
        <v/>
      </c>
      <c r="W1127" s="179" t="str">
        <f t="shared" si="400"/>
        <v/>
      </c>
      <c r="X1127" s="26"/>
    </row>
    <row r="1128">
      <c r="A1128" s="28"/>
      <c r="B1128" s="28"/>
      <c r="C1128" s="107"/>
      <c r="D1128" s="83" t="s">
        <v>538</v>
      </c>
      <c r="E1128" s="201">
        <v>330000.0</v>
      </c>
      <c r="F1128" s="105">
        <f t="shared" ref="F1128:F1129" si="403">510000</f>
        <v>510000</v>
      </c>
      <c r="G1128" s="34">
        <f t="shared" si="402"/>
        <v>0.5454545455</v>
      </c>
      <c r="H1128" s="99"/>
      <c r="I1128" s="99"/>
      <c r="J1128" s="99"/>
      <c r="K1128" s="99"/>
      <c r="L1128" s="99"/>
      <c r="M1128" s="99"/>
      <c r="N1128" s="99"/>
      <c r="O1128" s="99"/>
      <c r="P1128" s="99"/>
      <c r="Q1128" s="108"/>
      <c r="R1128" s="108"/>
      <c r="S1128" s="100"/>
      <c r="T1128" s="24"/>
      <c r="U1128" s="179"/>
      <c r="V1128" s="179"/>
      <c r="W1128" s="179"/>
      <c r="X1128" s="26"/>
    </row>
    <row r="1129">
      <c r="A1129" s="28"/>
      <c r="B1129" s="28"/>
      <c r="C1129" s="107"/>
      <c r="D1129" s="83" t="s">
        <v>465</v>
      </c>
      <c r="E1129" s="105">
        <f>370000</f>
        <v>370000</v>
      </c>
      <c r="F1129" s="105">
        <f t="shared" si="403"/>
        <v>510000</v>
      </c>
      <c r="G1129" s="34">
        <f t="shared" si="402"/>
        <v>0.3783783784</v>
      </c>
      <c r="H1129" s="99"/>
      <c r="I1129" s="99"/>
      <c r="J1129" s="99"/>
      <c r="K1129" s="99"/>
      <c r="L1129" s="99"/>
      <c r="M1129" s="99"/>
      <c r="N1129" s="99"/>
      <c r="O1129" s="99"/>
      <c r="P1129" s="99"/>
      <c r="Q1129" s="108"/>
      <c r="R1129" s="108"/>
      <c r="S1129" s="100"/>
      <c r="T1129" s="24">
        <f t="shared" ref="T1129:T1153" si="404">P1129-(G1129+S1129)-(P1129*R1129)-(P1129*Q1129)</f>
        <v>-0.3783783784</v>
      </c>
      <c r="U1129" s="179">
        <f t="shared" ref="U1129:U1153" si="405">IFERROR((P1129-G1129)/G1129,"")</f>
        <v>-1</v>
      </c>
      <c r="V1129" s="179" t="str">
        <f t="shared" ref="V1129:V1153" si="406">IFERROR((P1129-G1129)/P1129,"")</f>
        <v/>
      </c>
      <c r="W1129" s="179" t="str">
        <f t="shared" ref="W1129:W1153" si="407">IFERROR(T1129/P1129,"")</f>
        <v/>
      </c>
      <c r="X1129" s="26"/>
    </row>
    <row r="1130">
      <c r="A1130" s="28"/>
      <c r="B1130" s="28"/>
      <c r="C1130" s="107"/>
      <c r="D1130" s="83" t="s">
        <v>222</v>
      </c>
      <c r="E1130" s="105">
        <f>350000</f>
        <v>350000</v>
      </c>
      <c r="F1130" s="105">
        <f>490000</f>
        <v>490000</v>
      </c>
      <c r="G1130" s="34">
        <f t="shared" si="402"/>
        <v>0.4</v>
      </c>
      <c r="H1130" s="99"/>
      <c r="I1130" s="99"/>
      <c r="J1130" s="99"/>
      <c r="K1130" s="99"/>
      <c r="L1130" s="99"/>
      <c r="M1130" s="99"/>
      <c r="N1130" s="99"/>
      <c r="O1130" s="99"/>
      <c r="P1130" s="99"/>
      <c r="Q1130" s="108"/>
      <c r="R1130" s="108"/>
      <c r="S1130" s="100"/>
      <c r="T1130" s="24">
        <f t="shared" si="404"/>
        <v>-0.4</v>
      </c>
      <c r="U1130" s="179">
        <f t="shared" si="405"/>
        <v>-1</v>
      </c>
      <c r="V1130" s="179" t="str">
        <f t="shared" si="406"/>
        <v/>
      </c>
      <c r="W1130" s="179" t="str">
        <f t="shared" si="407"/>
        <v/>
      </c>
      <c r="X1130" s="26"/>
    </row>
    <row r="1131">
      <c r="A1131" s="28"/>
      <c r="B1131" s="28"/>
      <c r="C1131" s="107"/>
      <c r="D1131" s="83" t="s">
        <v>466</v>
      </c>
      <c r="E1131" s="201">
        <v>55000.0</v>
      </c>
      <c r="F1131" s="201">
        <v>140000.0</v>
      </c>
      <c r="G1131" s="34">
        <f t="shared" si="402"/>
        <v>1.545454545</v>
      </c>
      <c r="H1131" s="99"/>
      <c r="I1131" s="99"/>
      <c r="J1131" s="99"/>
      <c r="K1131" s="99"/>
      <c r="L1131" s="99"/>
      <c r="M1131" s="99"/>
      <c r="N1131" s="99"/>
      <c r="O1131" s="99"/>
      <c r="P1131" s="99"/>
      <c r="Q1131" s="108"/>
      <c r="R1131" s="108"/>
      <c r="S1131" s="100"/>
      <c r="T1131" s="24">
        <f t="shared" si="404"/>
        <v>-1.545454545</v>
      </c>
      <c r="U1131" s="179">
        <f t="shared" si="405"/>
        <v>-1</v>
      </c>
      <c r="V1131" s="179" t="str">
        <f t="shared" si="406"/>
        <v/>
      </c>
      <c r="W1131" s="179" t="str">
        <f t="shared" si="407"/>
        <v/>
      </c>
      <c r="X1131" s="26"/>
    </row>
    <row r="1132">
      <c r="A1132" s="28"/>
      <c r="B1132" s="28"/>
      <c r="C1132" s="107"/>
      <c r="D1132" s="83" t="s">
        <v>101</v>
      </c>
      <c r="E1132" s="105">
        <f t="shared" ref="E1132:F1132" si="408">SUM(E1127:E1131)</f>
        <v>1160000</v>
      </c>
      <c r="F1132" s="105">
        <f t="shared" si="408"/>
        <v>1790000</v>
      </c>
      <c r="G1132" s="34">
        <f t="shared" si="402"/>
        <v>0.5431034483</v>
      </c>
      <c r="H1132" s="99"/>
      <c r="I1132" s="99"/>
      <c r="J1132" s="99"/>
      <c r="K1132" s="99"/>
      <c r="L1132" s="99"/>
      <c r="M1132" s="99"/>
      <c r="N1132" s="99"/>
      <c r="O1132" s="99"/>
      <c r="P1132" s="99"/>
      <c r="Q1132" s="108"/>
      <c r="R1132" s="108"/>
      <c r="S1132" s="100"/>
      <c r="T1132" s="24">
        <f t="shared" si="404"/>
        <v>-0.5431034483</v>
      </c>
      <c r="U1132" s="179">
        <f t="shared" si="405"/>
        <v>-1</v>
      </c>
      <c r="V1132" s="179" t="str">
        <f t="shared" si="406"/>
        <v/>
      </c>
      <c r="W1132" s="179" t="str">
        <f t="shared" si="407"/>
        <v/>
      </c>
      <c r="X1132" s="26"/>
    </row>
    <row r="1133">
      <c r="A1133" s="28"/>
      <c r="B1133" s="28"/>
      <c r="C1133" s="107"/>
      <c r="D1133" s="83" t="s">
        <v>148</v>
      </c>
      <c r="E1133" s="105">
        <f>F1132-E1132</f>
        <v>630000</v>
      </c>
      <c r="F1133" s="105"/>
      <c r="G1133" s="34"/>
      <c r="H1133" s="99"/>
      <c r="I1133" s="99"/>
      <c r="J1133" s="99"/>
      <c r="K1133" s="99"/>
      <c r="L1133" s="99"/>
      <c r="M1133" s="99"/>
      <c r="N1133" s="99"/>
      <c r="O1133" s="99"/>
      <c r="P1133" s="99"/>
      <c r="Q1133" s="108"/>
      <c r="R1133" s="108"/>
      <c r="S1133" s="100"/>
      <c r="T1133" s="24">
        <f t="shared" si="404"/>
        <v>0</v>
      </c>
      <c r="U1133" s="179" t="str">
        <f t="shared" si="405"/>
        <v/>
      </c>
      <c r="V1133" s="179" t="str">
        <f t="shared" si="406"/>
        <v/>
      </c>
      <c r="W1133" s="179" t="str">
        <f t="shared" si="407"/>
        <v/>
      </c>
      <c r="X1133" s="26"/>
    </row>
    <row r="1134">
      <c r="A1134" s="28"/>
      <c r="B1134" s="28"/>
      <c r="C1134" s="107"/>
      <c r="D1134" s="97"/>
      <c r="E1134" s="105"/>
      <c r="F1134" s="105"/>
      <c r="G1134" s="34"/>
      <c r="H1134" s="99"/>
      <c r="I1134" s="99"/>
      <c r="J1134" s="99"/>
      <c r="K1134" s="99"/>
      <c r="L1134" s="99"/>
      <c r="M1134" s="99"/>
      <c r="N1134" s="99"/>
      <c r="O1134" s="99"/>
      <c r="P1134" s="99"/>
      <c r="Q1134" s="108"/>
      <c r="R1134" s="108"/>
      <c r="S1134" s="100"/>
      <c r="T1134" s="24">
        <f t="shared" si="404"/>
        <v>0</v>
      </c>
      <c r="U1134" s="179" t="str">
        <f t="shared" si="405"/>
        <v/>
      </c>
      <c r="V1134" s="179" t="str">
        <f t="shared" si="406"/>
        <v/>
      </c>
      <c r="W1134" s="179" t="str">
        <f t="shared" si="407"/>
        <v/>
      </c>
      <c r="X1134" s="26"/>
    </row>
    <row r="1135">
      <c r="A1135" s="28"/>
      <c r="B1135" s="28"/>
      <c r="C1135" s="107"/>
      <c r="D1135" s="97"/>
      <c r="E1135" s="105"/>
      <c r="F1135" s="105"/>
      <c r="G1135" s="34"/>
      <c r="H1135" s="99"/>
      <c r="I1135" s="99"/>
      <c r="J1135" s="99"/>
      <c r="K1135" s="99"/>
      <c r="L1135" s="99"/>
      <c r="M1135" s="99"/>
      <c r="N1135" s="99"/>
      <c r="O1135" s="99"/>
      <c r="P1135" s="99"/>
      <c r="Q1135" s="108"/>
      <c r="R1135" s="108"/>
      <c r="S1135" s="100"/>
      <c r="T1135" s="24">
        <f t="shared" si="404"/>
        <v>0</v>
      </c>
      <c r="U1135" s="179" t="str">
        <f t="shared" si="405"/>
        <v/>
      </c>
      <c r="V1135" s="179" t="str">
        <f t="shared" si="406"/>
        <v/>
      </c>
      <c r="W1135" s="179" t="str">
        <f t="shared" si="407"/>
        <v/>
      </c>
      <c r="X1135" s="26"/>
    </row>
    <row r="1136">
      <c r="A1136" s="28"/>
      <c r="B1136" s="28"/>
      <c r="C1136" s="82" t="s">
        <v>539</v>
      </c>
      <c r="D1136" s="83"/>
      <c r="E1136" s="201"/>
      <c r="F1136" s="201"/>
      <c r="G1136" s="34"/>
      <c r="H1136" s="99"/>
      <c r="I1136" s="99"/>
      <c r="J1136" s="99"/>
      <c r="K1136" s="99"/>
      <c r="L1136" s="99"/>
      <c r="M1136" s="99"/>
      <c r="N1136" s="99"/>
      <c r="O1136" s="99"/>
      <c r="P1136" s="99"/>
      <c r="Q1136" s="108"/>
      <c r="R1136" s="108"/>
      <c r="S1136" s="100"/>
      <c r="T1136" s="24">
        <f t="shared" si="404"/>
        <v>0</v>
      </c>
      <c r="U1136" s="179" t="str">
        <f t="shared" si="405"/>
        <v/>
      </c>
      <c r="V1136" s="179" t="str">
        <f t="shared" si="406"/>
        <v/>
      </c>
      <c r="W1136" s="179" t="str">
        <f t="shared" si="407"/>
        <v/>
      </c>
      <c r="X1136" s="26"/>
    </row>
    <row r="1137">
      <c r="A1137" s="28"/>
      <c r="B1137" s="28"/>
      <c r="C1137" s="107"/>
      <c r="D1137" s="83" t="s">
        <v>540</v>
      </c>
      <c r="E1137" s="105">
        <f>(330000*2)</f>
        <v>660000</v>
      </c>
      <c r="F1137" s="105">
        <f>(490000*2)</f>
        <v>980000</v>
      </c>
      <c r="G1137" s="34">
        <f t="shared" ref="G1137:G1141" si="409">(F1137-E1137)/E1137</f>
        <v>0.4848484848</v>
      </c>
      <c r="H1137" s="99"/>
      <c r="I1137" s="99"/>
      <c r="J1137" s="99"/>
      <c r="K1137" s="99"/>
      <c r="L1137" s="99"/>
      <c r="M1137" s="99"/>
      <c r="N1137" s="99"/>
      <c r="O1137" s="99"/>
      <c r="P1137" s="99"/>
      <c r="Q1137" s="108"/>
      <c r="R1137" s="108"/>
      <c r="S1137" s="100"/>
      <c r="T1137" s="24">
        <f t="shared" si="404"/>
        <v>-0.4848484848</v>
      </c>
      <c r="U1137" s="179">
        <f t="shared" si="405"/>
        <v>-1</v>
      </c>
      <c r="V1137" s="179" t="str">
        <f t="shared" si="406"/>
        <v/>
      </c>
      <c r="W1137" s="179" t="str">
        <f t="shared" si="407"/>
        <v/>
      </c>
      <c r="X1137" s="26"/>
    </row>
    <row r="1138">
      <c r="A1138" s="28"/>
      <c r="B1138" s="28"/>
      <c r="C1138" s="107"/>
      <c r="D1138" s="83" t="s">
        <v>541</v>
      </c>
      <c r="E1138" s="201">
        <v>442000.0</v>
      </c>
      <c r="F1138" s="105">
        <f>325000*2</f>
        <v>650000</v>
      </c>
      <c r="G1138" s="34">
        <f t="shared" si="409"/>
        <v>0.4705882353</v>
      </c>
      <c r="H1138" s="99"/>
      <c r="I1138" s="99"/>
      <c r="J1138" s="99"/>
      <c r="K1138" s="99"/>
      <c r="L1138" s="99"/>
      <c r="M1138" s="99"/>
      <c r="N1138" s="99"/>
      <c r="O1138" s="99"/>
      <c r="P1138" s="99"/>
      <c r="Q1138" s="108"/>
      <c r="R1138" s="108"/>
      <c r="S1138" s="100"/>
      <c r="T1138" s="24">
        <f t="shared" si="404"/>
        <v>-0.4705882353</v>
      </c>
      <c r="U1138" s="179">
        <f t="shared" si="405"/>
        <v>-1</v>
      </c>
      <c r="V1138" s="179" t="str">
        <f t="shared" si="406"/>
        <v/>
      </c>
      <c r="W1138" s="179" t="str">
        <f t="shared" si="407"/>
        <v/>
      </c>
      <c r="X1138" s="26"/>
    </row>
    <row r="1139">
      <c r="A1139" s="28"/>
      <c r="B1139" s="28"/>
      <c r="C1139" s="107"/>
      <c r="D1139" s="83" t="s">
        <v>542</v>
      </c>
      <c r="E1139" s="105">
        <f>(330000*2)</f>
        <v>660000</v>
      </c>
      <c r="F1139" s="105">
        <f>510000*2</f>
        <v>1020000</v>
      </c>
      <c r="G1139" s="34">
        <f t="shared" si="409"/>
        <v>0.5454545455</v>
      </c>
      <c r="H1139" s="99"/>
      <c r="I1139" s="99"/>
      <c r="J1139" s="99"/>
      <c r="K1139" s="99"/>
      <c r="L1139" s="99"/>
      <c r="M1139" s="99"/>
      <c r="N1139" s="99"/>
      <c r="O1139" s="99"/>
      <c r="P1139" s="99"/>
      <c r="Q1139" s="108"/>
      <c r="R1139" s="108"/>
      <c r="S1139" s="100"/>
      <c r="T1139" s="24">
        <f t="shared" si="404"/>
        <v>-0.5454545455</v>
      </c>
      <c r="U1139" s="179">
        <f t="shared" si="405"/>
        <v>-1</v>
      </c>
      <c r="V1139" s="179" t="str">
        <f t="shared" si="406"/>
        <v/>
      </c>
      <c r="W1139" s="179" t="str">
        <f t="shared" si="407"/>
        <v/>
      </c>
      <c r="X1139" s="26"/>
    </row>
    <row r="1140">
      <c r="A1140" s="28"/>
      <c r="B1140" s="28"/>
      <c r="C1140" s="107"/>
      <c r="D1140" s="83" t="s">
        <v>543</v>
      </c>
      <c r="E1140" s="201">
        <f>84150*2</f>
        <v>168300</v>
      </c>
      <c r="F1140" s="105">
        <f>220000*2</f>
        <v>440000</v>
      </c>
      <c r="G1140" s="34">
        <f t="shared" si="409"/>
        <v>1.614379085</v>
      </c>
      <c r="H1140" s="99"/>
      <c r="I1140" s="99"/>
      <c r="J1140" s="99"/>
      <c r="K1140" s="99"/>
      <c r="L1140" s="99"/>
      <c r="M1140" s="99"/>
      <c r="N1140" s="99"/>
      <c r="O1140" s="99"/>
      <c r="P1140" s="99"/>
      <c r="Q1140" s="108"/>
      <c r="R1140" s="108"/>
      <c r="S1140" s="100"/>
      <c r="T1140" s="24">
        <f t="shared" si="404"/>
        <v>-1.614379085</v>
      </c>
      <c r="U1140" s="179">
        <f t="shared" si="405"/>
        <v>-1</v>
      </c>
      <c r="V1140" s="179" t="str">
        <f t="shared" si="406"/>
        <v/>
      </c>
      <c r="W1140" s="179" t="str">
        <f t="shared" si="407"/>
        <v/>
      </c>
      <c r="X1140" s="26"/>
    </row>
    <row r="1141">
      <c r="A1141" s="28"/>
      <c r="B1141" s="28"/>
      <c r="C1141" s="107"/>
      <c r="D1141" s="83" t="s">
        <v>101</v>
      </c>
      <c r="E1141" s="105">
        <f>SUM(E1137:E1140)</f>
        <v>1930300</v>
      </c>
      <c r="F1141" s="201">
        <v>3000000.0</v>
      </c>
      <c r="G1141" s="34">
        <f t="shared" si="409"/>
        <v>0.5541625654</v>
      </c>
      <c r="H1141" s="99"/>
      <c r="I1141" s="99"/>
      <c r="J1141" s="99"/>
      <c r="K1141" s="99"/>
      <c r="L1141" s="99"/>
      <c r="M1141" s="99"/>
      <c r="N1141" s="99"/>
      <c r="O1141" s="99"/>
      <c r="P1141" s="99"/>
      <c r="Q1141" s="108"/>
      <c r="R1141" s="108"/>
      <c r="S1141" s="100"/>
      <c r="T1141" s="24">
        <f t="shared" si="404"/>
        <v>-0.5541625654</v>
      </c>
      <c r="U1141" s="179">
        <f t="shared" si="405"/>
        <v>-1</v>
      </c>
      <c r="V1141" s="179" t="str">
        <f t="shared" si="406"/>
        <v/>
      </c>
      <c r="W1141" s="179" t="str">
        <f t="shared" si="407"/>
        <v/>
      </c>
      <c r="X1141" s="26"/>
    </row>
    <row r="1142">
      <c r="A1142" s="28"/>
      <c r="B1142" s="28"/>
      <c r="C1142" s="107"/>
      <c r="D1142" s="83" t="s">
        <v>148</v>
      </c>
      <c r="E1142" s="105">
        <f>F1141-E1141</f>
        <v>1069700</v>
      </c>
      <c r="F1142" s="105"/>
      <c r="G1142" s="34"/>
      <c r="H1142" s="99"/>
      <c r="I1142" s="99"/>
      <c r="J1142" s="99"/>
      <c r="K1142" s="99"/>
      <c r="L1142" s="99"/>
      <c r="M1142" s="99"/>
      <c r="N1142" s="99"/>
      <c r="O1142" s="99"/>
      <c r="P1142" s="99"/>
      <c r="Q1142" s="108"/>
      <c r="R1142" s="108"/>
      <c r="S1142" s="100"/>
      <c r="T1142" s="24">
        <f t="shared" si="404"/>
        <v>0</v>
      </c>
      <c r="U1142" s="179" t="str">
        <f t="shared" si="405"/>
        <v/>
      </c>
      <c r="V1142" s="179" t="str">
        <f t="shared" si="406"/>
        <v/>
      </c>
      <c r="W1142" s="179" t="str">
        <f t="shared" si="407"/>
        <v/>
      </c>
      <c r="X1142" s="26"/>
    </row>
    <row r="1143">
      <c r="A1143" s="28"/>
      <c r="B1143" s="28"/>
      <c r="C1143" s="107"/>
      <c r="D1143" s="97"/>
      <c r="E1143" s="201" t="s">
        <v>172</v>
      </c>
      <c r="F1143" s="105"/>
      <c r="G1143" s="34"/>
      <c r="H1143" s="99"/>
      <c r="I1143" s="99"/>
      <c r="J1143" s="99"/>
      <c r="K1143" s="99"/>
      <c r="L1143" s="99"/>
      <c r="M1143" s="99"/>
      <c r="N1143" s="99"/>
      <c r="O1143" s="99"/>
      <c r="P1143" s="99"/>
      <c r="Q1143" s="108"/>
      <c r="R1143" s="108"/>
      <c r="S1143" s="100"/>
      <c r="T1143" s="24">
        <f t="shared" si="404"/>
        <v>0</v>
      </c>
      <c r="U1143" s="179" t="str">
        <f t="shared" si="405"/>
        <v/>
      </c>
      <c r="V1143" s="179" t="str">
        <f t="shared" si="406"/>
        <v/>
      </c>
      <c r="W1143" s="179" t="str">
        <f t="shared" si="407"/>
        <v/>
      </c>
      <c r="X1143" s="26"/>
    </row>
    <row r="1144">
      <c r="A1144" s="28"/>
      <c r="B1144" s="28"/>
      <c r="C1144" s="82" t="s">
        <v>544</v>
      </c>
      <c r="D1144" s="83" t="s">
        <v>545</v>
      </c>
      <c r="E1144" s="201">
        <v>55000.0</v>
      </c>
      <c r="F1144" s="201">
        <v>200000.0</v>
      </c>
      <c r="G1144" s="34">
        <f t="shared" ref="G1144:G1152" si="410">(F1144-E1144)/E1144</f>
        <v>2.636363636</v>
      </c>
      <c r="H1144" s="99"/>
      <c r="I1144" s="99"/>
      <c r="J1144" s="99"/>
      <c r="K1144" s="99"/>
      <c r="L1144" s="99"/>
      <c r="M1144" s="99"/>
      <c r="N1144" s="99"/>
      <c r="O1144" s="99"/>
      <c r="P1144" s="99"/>
      <c r="Q1144" s="108"/>
      <c r="R1144" s="108"/>
      <c r="S1144" s="100"/>
      <c r="T1144" s="24">
        <f t="shared" si="404"/>
        <v>-2.636363636</v>
      </c>
      <c r="U1144" s="179">
        <f t="shared" si="405"/>
        <v>-1</v>
      </c>
      <c r="V1144" s="179" t="str">
        <f t="shared" si="406"/>
        <v/>
      </c>
      <c r="W1144" s="179" t="str">
        <f t="shared" si="407"/>
        <v/>
      </c>
      <c r="X1144" s="26"/>
    </row>
    <row r="1145">
      <c r="A1145" s="28"/>
      <c r="B1145" s="28"/>
      <c r="C1145" s="107"/>
      <c r="D1145" s="83" t="s">
        <v>540</v>
      </c>
      <c r="E1145" s="105">
        <f>(330000*2)</f>
        <v>660000</v>
      </c>
      <c r="F1145" s="105">
        <f>(490000*2)</f>
        <v>980000</v>
      </c>
      <c r="G1145" s="34">
        <f t="shared" si="410"/>
        <v>0.4848484848</v>
      </c>
      <c r="H1145" s="99"/>
      <c r="I1145" s="99"/>
      <c r="J1145" s="99"/>
      <c r="K1145" s="99"/>
      <c r="L1145" s="99"/>
      <c r="M1145" s="99"/>
      <c r="N1145" s="99"/>
      <c r="O1145" s="99"/>
      <c r="P1145" s="99"/>
      <c r="Q1145" s="108"/>
      <c r="R1145" s="108"/>
      <c r="S1145" s="100"/>
      <c r="T1145" s="24">
        <f t="shared" si="404"/>
        <v>-0.4848484848</v>
      </c>
      <c r="U1145" s="179">
        <f t="shared" si="405"/>
        <v>-1</v>
      </c>
      <c r="V1145" s="179" t="str">
        <f t="shared" si="406"/>
        <v/>
      </c>
      <c r="W1145" s="179" t="str">
        <f t="shared" si="407"/>
        <v/>
      </c>
      <c r="X1145" s="26"/>
    </row>
    <row r="1146">
      <c r="A1146" s="28"/>
      <c r="B1146" s="28"/>
      <c r="C1146" s="107"/>
      <c r="D1146" s="83" t="s">
        <v>541</v>
      </c>
      <c r="E1146" s="201">
        <v>442000.0</v>
      </c>
      <c r="F1146" s="105">
        <f>325000*2</f>
        <v>650000</v>
      </c>
      <c r="G1146" s="34">
        <f t="shared" si="410"/>
        <v>0.4705882353</v>
      </c>
      <c r="H1146" s="99"/>
      <c r="I1146" s="99"/>
      <c r="J1146" s="99"/>
      <c r="K1146" s="99"/>
      <c r="L1146" s="99"/>
      <c r="M1146" s="99"/>
      <c r="N1146" s="99"/>
      <c r="O1146" s="99"/>
      <c r="P1146" s="99"/>
      <c r="Q1146" s="108"/>
      <c r="R1146" s="108"/>
      <c r="S1146" s="100"/>
      <c r="T1146" s="24">
        <f t="shared" si="404"/>
        <v>-0.4705882353</v>
      </c>
      <c r="U1146" s="179">
        <f t="shared" si="405"/>
        <v>-1</v>
      </c>
      <c r="V1146" s="179" t="str">
        <f t="shared" si="406"/>
        <v/>
      </c>
      <c r="W1146" s="179" t="str">
        <f t="shared" si="407"/>
        <v/>
      </c>
      <c r="X1146" s="26"/>
    </row>
    <row r="1147">
      <c r="A1147" s="28"/>
      <c r="B1147" s="28"/>
      <c r="C1147" s="107"/>
      <c r="D1147" s="83" t="s">
        <v>542</v>
      </c>
      <c r="E1147" s="105">
        <f>(330000*2)</f>
        <v>660000</v>
      </c>
      <c r="F1147" s="105">
        <f>510000*2</f>
        <v>1020000</v>
      </c>
      <c r="G1147" s="34">
        <f t="shared" si="410"/>
        <v>0.5454545455</v>
      </c>
      <c r="H1147" s="99"/>
      <c r="I1147" s="99"/>
      <c r="J1147" s="99"/>
      <c r="K1147" s="99"/>
      <c r="L1147" s="99"/>
      <c r="M1147" s="99"/>
      <c r="N1147" s="99"/>
      <c r="O1147" s="99"/>
      <c r="P1147" s="99"/>
      <c r="Q1147" s="108"/>
      <c r="R1147" s="108"/>
      <c r="S1147" s="100"/>
      <c r="T1147" s="24">
        <f t="shared" si="404"/>
        <v>-0.5454545455</v>
      </c>
      <c r="U1147" s="179">
        <f t="shared" si="405"/>
        <v>-1</v>
      </c>
      <c r="V1147" s="179" t="str">
        <f t="shared" si="406"/>
        <v/>
      </c>
      <c r="W1147" s="179" t="str">
        <f t="shared" si="407"/>
        <v/>
      </c>
      <c r="X1147" s="26"/>
    </row>
    <row r="1148">
      <c r="A1148" s="28"/>
      <c r="B1148" s="28"/>
      <c r="C1148" s="107"/>
      <c r="D1148" s="83" t="s">
        <v>546</v>
      </c>
      <c r="E1148" s="201">
        <v>55000.0</v>
      </c>
      <c r="F1148" s="201">
        <v>200000.0</v>
      </c>
      <c r="G1148" s="34">
        <f t="shared" si="410"/>
        <v>2.636363636</v>
      </c>
      <c r="H1148" s="99"/>
      <c r="I1148" s="99"/>
      <c r="J1148" s="99"/>
      <c r="K1148" s="99"/>
      <c r="L1148" s="99"/>
      <c r="M1148" s="99"/>
      <c r="N1148" s="99"/>
      <c r="O1148" s="99"/>
      <c r="P1148" s="99"/>
      <c r="Q1148" s="108"/>
      <c r="R1148" s="108"/>
      <c r="S1148" s="100"/>
      <c r="T1148" s="24">
        <f t="shared" si="404"/>
        <v>-2.636363636</v>
      </c>
      <c r="U1148" s="179">
        <f t="shared" si="405"/>
        <v>-1</v>
      </c>
      <c r="V1148" s="179" t="str">
        <f t="shared" si="406"/>
        <v/>
      </c>
      <c r="W1148" s="179" t="str">
        <f t="shared" si="407"/>
        <v/>
      </c>
      <c r="X1148" s="26"/>
    </row>
    <row r="1149">
      <c r="A1149" s="28"/>
      <c r="B1149" s="28"/>
      <c r="C1149" s="107"/>
      <c r="D1149" s="83" t="s">
        <v>547</v>
      </c>
      <c r="E1149" s="201">
        <v>139000.0</v>
      </c>
      <c r="F1149" s="201">
        <v>360000.0</v>
      </c>
      <c r="G1149" s="34">
        <f t="shared" si="410"/>
        <v>1.589928058</v>
      </c>
      <c r="H1149" s="99"/>
      <c r="I1149" s="99"/>
      <c r="J1149" s="99"/>
      <c r="K1149" s="99"/>
      <c r="L1149" s="99"/>
      <c r="M1149" s="99"/>
      <c r="N1149" s="99"/>
      <c r="O1149" s="99"/>
      <c r="P1149" s="99"/>
      <c r="Q1149" s="108"/>
      <c r="R1149" s="108"/>
      <c r="S1149" s="100"/>
      <c r="T1149" s="24">
        <f t="shared" si="404"/>
        <v>-1.589928058</v>
      </c>
      <c r="U1149" s="179">
        <f t="shared" si="405"/>
        <v>-1</v>
      </c>
      <c r="V1149" s="179" t="str">
        <f t="shared" si="406"/>
        <v/>
      </c>
      <c r="W1149" s="179" t="str">
        <f t="shared" si="407"/>
        <v/>
      </c>
      <c r="X1149" s="26"/>
    </row>
    <row r="1150">
      <c r="A1150" s="28"/>
      <c r="B1150" s="28"/>
      <c r="C1150" s="107"/>
      <c r="D1150" s="83" t="s">
        <v>548</v>
      </c>
      <c r="E1150" s="201">
        <f>613800*2</f>
        <v>1227600</v>
      </c>
      <c r="F1150" s="105">
        <f>980000*2</f>
        <v>1960000</v>
      </c>
      <c r="G1150" s="34">
        <f t="shared" si="410"/>
        <v>0.596611274</v>
      </c>
      <c r="H1150" s="99"/>
      <c r="I1150" s="99"/>
      <c r="J1150" s="99"/>
      <c r="K1150" s="99"/>
      <c r="L1150" s="99"/>
      <c r="M1150" s="99"/>
      <c r="N1150" s="99"/>
      <c r="O1150" s="99"/>
      <c r="P1150" s="99"/>
      <c r="Q1150" s="108"/>
      <c r="R1150" s="108"/>
      <c r="S1150" s="100"/>
      <c r="T1150" s="24">
        <f t="shared" si="404"/>
        <v>-0.596611274</v>
      </c>
      <c r="U1150" s="179">
        <f t="shared" si="405"/>
        <v>-1</v>
      </c>
      <c r="V1150" s="179" t="str">
        <f t="shared" si="406"/>
        <v/>
      </c>
      <c r="W1150" s="179" t="str">
        <f t="shared" si="407"/>
        <v/>
      </c>
      <c r="X1150" s="26"/>
    </row>
    <row r="1151">
      <c r="A1151" s="28"/>
      <c r="B1151" s="28"/>
      <c r="C1151" s="107"/>
      <c r="D1151" s="83" t="s">
        <v>549</v>
      </c>
      <c r="E1151" s="105">
        <f>E1149</f>
        <v>139000</v>
      </c>
      <c r="F1151" s="201">
        <v>360000.0</v>
      </c>
      <c r="G1151" s="34">
        <f t="shared" si="410"/>
        <v>1.589928058</v>
      </c>
      <c r="H1151" s="99"/>
      <c r="I1151" s="98">
        <v>5374000.0</v>
      </c>
      <c r="J1151" s="99"/>
      <c r="K1151" s="99"/>
      <c r="L1151" s="99"/>
      <c r="M1151" s="99"/>
      <c r="N1151" s="99"/>
      <c r="O1151" s="99"/>
      <c r="P1151" s="99"/>
      <c r="Q1151" s="108"/>
      <c r="R1151" s="108"/>
      <c r="S1151" s="100"/>
      <c r="T1151" s="24">
        <f t="shared" si="404"/>
        <v>-1.589928058</v>
      </c>
      <c r="U1151" s="179">
        <f t="shared" si="405"/>
        <v>-1</v>
      </c>
      <c r="V1151" s="179" t="str">
        <f t="shared" si="406"/>
        <v/>
      </c>
      <c r="W1151" s="179" t="str">
        <f t="shared" si="407"/>
        <v/>
      </c>
      <c r="X1151" s="26"/>
    </row>
    <row r="1152">
      <c r="A1152" s="28"/>
      <c r="B1152" s="28"/>
      <c r="C1152" s="107"/>
      <c r="D1152" s="83" t="s">
        <v>101</v>
      </c>
      <c r="E1152" s="105">
        <f>SUM(E1144:E1151)</f>
        <v>3377600</v>
      </c>
      <c r="F1152" s="105">
        <f>I1151</f>
        <v>5374000</v>
      </c>
      <c r="G1152" s="34">
        <f t="shared" si="410"/>
        <v>0.5910705827</v>
      </c>
      <c r="H1152" s="99"/>
      <c r="I1152" s="99"/>
      <c r="J1152" s="99"/>
      <c r="K1152" s="99"/>
      <c r="L1152" s="99"/>
      <c r="M1152" s="99"/>
      <c r="N1152" s="99"/>
      <c r="O1152" s="99"/>
      <c r="P1152" s="99"/>
      <c r="Q1152" s="108"/>
      <c r="R1152" s="108"/>
      <c r="S1152" s="100"/>
      <c r="T1152" s="24">
        <f t="shared" si="404"/>
        <v>-0.5910705827</v>
      </c>
      <c r="U1152" s="179">
        <f t="shared" si="405"/>
        <v>-1</v>
      </c>
      <c r="V1152" s="179" t="str">
        <f t="shared" si="406"/>
        <v/>
      </c>
      <c r="W1152" s="179" t="str">
        <f t="shared" si="407"/>
        <v/>
      </c>
      <c r="X1152" s="26"/>
    </row>
    <row r="1153">
      <c r="A1153" s="28"/>
      <c r="B1153" s="28"/>
      <c r="C1153" s="107"/>
      <c r="D1153" s="83" t="s">
        <v>148</v>
      </c>
      <c r="E1153" s="105">
        <f>F1152-E1152</f>
        <v>1996400</v>
      </c>
      <c r="F1153" s="105"/>
      <c r="G1153" s="34"/>
      <c r="H1153" s="99"/>
      <c r="I1153" s="99"/>
      <c r="J1153" s="99"/>
      <c r="K1153" s="99"/>
      <c r="L1153" s="99"/>
      <c r="M1153" s="99"/>
      <c r="N1153" s="99"/>
      <c r="O1153" s="99"/>
      <c r="P1153" s="99"/>
      <c r="Q1153" s="108"/>
      <c r="R1153" s="108"/>
      <c r="S1153" s="100"/>
      <c r="T1153" s="24">
        <f t="shared" si="404"/>
        <v>0</v>
      </c>
      <c r="U1153" s="179" t="str">
        <f t="shared" si="405"/>
        <v/>
      </c>
      <c r="V1153" s="179" t="str">
        <f t="shared" si="406"/>
        <v/>
      </c>
      <c r="W1153" s="179" t="str">
        <f t="shared" si="407"/>
        <v/>
      </c>
      <c r="X1153" s="26"/>
    </row>
    <row r="1154">
      <c r="A1154" s="28"/>
      <c r="B1154" s="28"/>
      <c r="C1154" s="107"/>
      <c r="D1154" s="97"/>
      <c r="E1154" s="105"/>
      <c r="F1154" s="105"/>
      <c r="G1154" s="99"/>
      <c r="H1154" s="99"/>
      <c r="I1154" s="99"/>
      <c r="J1154" s="99"/>
      <c r="K1154" s="99"/>
      <c r="L1154" s="99"/>
      <c r="M1154" s="99"/>
      <c r="N1154" s="99"/>
      <c r="O1154" s="99"/>
      <c r="P1154" s="99"/>
      <c r="Q1154" s="108"/>
      <c r="R1154" s="108"/>
      <c r="S1154" s="100"/>
      <c r="T1154" s="24"/>
      <c r="U1154" s="179"/>
      <c r="V1154" s="179"/>
      <c r="W1154" s="179"/>
      <c r="X1154" s="26"/>
    </row>
    <row r="1155">
      <c r="A1155" s="28"/>
      <c r="B1155" s="28"/>
      <c r="C1155" s="107"/>
      <c r="D1155" s="97"/>
      <c r="E1155" s="105"/>
      <c r="F1155" s="105"/>
      <c r="G1155" s="99"/>
      <c r="H1155" s="99"/>
      <c r="I1155" s="99"/>
      <c r="J1155" s="99"/>
      <c r="K1155" s="99"/>
      <c r="L1155" s="99"/>
      <c r="M1155" s="99"/>
      <c r="N1155" s="99"/>
      <c r="O1155" s="99"/>
      <c r="P1155" s="99"/>
      <c r="Q1155" s="108"/>
      <c r="R1155" s="108"/>
      <c r="S1155" s="100"/>
      <c r="T1155" s="24">
        <f t="shared" ref="T1155:T1211" si="411">P1155-(G1155+S1155)-(P1155*R1155)-(P1155*Q1155)</f>
        <v>0</v>
      </c>
      <c r="U1155" s="179" t="str">
        <f t="shared" ref="U1155:U1211" si="412">IFERROR((P1155-G1155)/G1155,"")</f>
        <v/>
      </c>
      <c r="V1155" s="179" t="str">
        <f t="shared" ref="V1155:V1211" si="413">IFERROR((P1155-G1155)/P1155,"")</f>
        <v/>
      </c>
      <c r="W1155" s="179" t="str">
        <f t="shared" ref="W1155:W1211" si="414">IFERROR(T1155/P1155,"")</f>
        <v/>
      </c>
      <c r="X1155" s="26"/>
    </row>
    <row r="1156">
      <c r="A1156" s="28"/>
      <c r="B1156" s="28"/>
      <c r="C1156" s="82" t="s">
        <v>550</v>
      </c>
      <c r="D1156" s="83"/>
      <c r="E1156" s="201"/>
      <c r="F1156" s="201"/>
      <c r="G1156" s="34"/>
      <c r="H1156" s="99"/>
      <c r="I1156" s="99"/>
      <c r="J1156" s="99"/>
      <c r="K1156" s="99"/>
      <c r="L1156" s="99"/>
      <c r="M1156" s="99"/>
      <c r="N1156" s="99"/>
      <c r="O1156" s="99"/>
      <c r="P1156" s="99"/>
      <c r="Q1156" s="108"/>
      <c r="R1156" s="108"/>
      <c r="S1156" s="100"/>
      <c r="T1156" s="24">
        <f t="shared" si="411"/>
        <v>0</v>
      </c>
      <c r="U1156" s="179" t="str">
        <f t="shared" si="412"/>
        <v/>
      </c>
      <c r="V1156" s="179" t="str">
        <f t="shared" si="413"/>
        <v/>
      </c>
      <c r="W1156" s="179" t="str">
        <f t="shared" si="414"/>
        <v/>
      </c>
      <c r="X1156" s="26"/>
    </row>
    <row r="1157">
      <c r="A1157" s="28"/>
      <c r="B1157" s="28"/>
      <c r="C1157" s="107"/>
      <c r="D1157" s="83" t="s">
        <v>538</v>
      </c>
      <c r="E1157" s="201">
        <v>330000.0</v>
      </c>
      <c r="F1157" s="105">
        <f t="shared" ref="F1157:F1158" si="415">510000</f>
        <v>510000</v>
      </c>
      <c r="G1157" s="34">
        <f t="shared" ref="G1157:G1159" si="416">(F1157-E1157)/E1157</f>
        <v>0.5454545455</v>
      </c>
      <c r="H1157" s="99"/>
      <c r="I1157" s="99"/>
      <c r="J1157" s="99"/>
      <c r="K1157" s="99"/>
      <c r="L1157" s="99"/>
      <c r="M1157" s="99"/>
      <c r="N1157" s="99"/>
      <c r="O1157" s="99"/>
      <c r="P1157" s="99"/>
      <c r="Q1157" s="108"/>
      <c r="R1157" s="108"/>
      <c r="S1157" s="100"/>
      <c r="T1157" s="24">
        <f t="shared" si="411"/>
        <v>-0.5454545455</v>
      </c>
      <c r="U1157" s="179">
        <f t="shared" si="412"/>
        <v>-1</v>
      </c>
      <c r="V1157" s="179" t="str">
        <f t="shared" si="413"/>
        <v/>
      </c>
      <c r="W1157" s="179" t="str">
        <f t="shared" si="414"/>
        <v/>
      </c>
      <c r="X1157" s="26"/>
    </row>
    <row r="1158">
      <c r="A1158" s="28"/>
      <c r="B1158" s="28"/>
      <c r="C1158" s="107"/>
      <c r="D1158" s="83" t="s">
        <v>465</v>
      </c>
      <c r="E1158" s="105">
        <f>370000</f>
        <v>370000</v>
      </c>
      <c r="F1158" s="105">
        <f t="shared" si="415"/>
        <v>510000</v>
      </c>
      <c r="G1158" s="34">
        <f t="shared" si="416"/>
        <v>0.3783783784</v>
      </c>
      <c r="H1158" s="99"/>
      <c r="I1158" s="99"/>
      <c r="J1158" s="99"/>
      <c r="K1158" s="99"/>
      <c r="L1158" s="99"/>
      <c r="M1158" s="99"/>
      <c r="N1158" s="99"/>
      <c r="O1158" s="99"/>
      <c r="P1158" s="99"/>
      <c r="Q1158" s="108"/>
      <c r="R1158" s="108"/>
      <c r="S1158" s="100"/>
      <c r="T1158" s="24">
        <f t="shared" si="411"/>
        <v>-0.3783783784</v>
      </c>
      <c r="U1158" s="179">
        <f t="shared" si="412"/>
        <v>-1</v>
      </c>
      <c r="V1158" s="179" t="str">
        <f t="shared" si="413"/>
        <v/>
      </c>
      <c r="W1158" s="179" t="str">
        <f t="shared" si="414"/>
        <v/>
      </c>
      <c r="X1158" s="26"/>
    </row>
    <row r="1159">
      <c r="A1159" s="28"/>
      <c r="B1159" s="28"/>
      <c r="C1159" s="107"/>
      <c r="D1159" s="83" t="s">
        <v>222</v>
      </c>
      <c r="E1159" s="105">
        <f>350000</f>
        <v>350000</v>
      </c>
      <c r="F1159" s="105">
        <f>490000</f>
        <v>490000</v>
      </c>
      <c r="G1159" s="34">
        <f t="shared" si="416"/>
        <v>0.4</v>
      </c>
      <c r="H1159" s="99"/>
      <c r="I1159" s="99"/>
      <c r="J1159" s="99"/>
      <c r="K1159" s="99"/>
      <c r="L1159" s="99"/>
      <c r="M1159" s="99"/>
      <c r="N1159" s="99"/>
      <c r="O1159" s="99"/>
      <c r="P1159" s="99"/>
      <c r="Q1159" s="108"/>
      <c r="R1159" s="108"/>
      <c r="S1159" s="100"/>
      <c r="T1159" s="24">
        <f t="shared" si="411"/>
        <v>-0.4</v>
      </c>
      <c r="U1159" s="179">
        <f t="shared" si="412"/>
        <v>-1</v>
      </c>
      <c r="V1159" s="179" t="str">
        <f t="shared" si="413"/>
        <v/>
      </c>
      <c r="W1159" s="179" t="str">
        <f t="shared" si="414"/>
        <v/>
      </c>
      <c r="X1159" s="26"/>
    </row>
    <row r="1160">
      <c r="A1160" s="28"/>
      <c r="B1160" s="28"/>
      <c r="C1160" s="107"/>
      <c r="D1160" s="83"/>
      <c r="E1160" s="201"/>
      <c r="F1160" s="201"/>
      <c r="G1160" s="34"/>
      <c r="H1160" s="99"/>
      <c r="I1160" s="99"/>
      <c r="J1160" s="99"/>
      <c r="K1160" s="99"/>
      <c r="L1160" s="99"/>
      <c r="M1160" s="99"/>
      <c r="N1160" s="99"/>
      <c r="O1160" s="99"/>
      <c r="P1160" s="99"/>
      <c r="Q1160" s="108"/>
      <c r="R1160" s="108"/>
      <c r="S1160" s="100"/>
      <c r="T1160" s="24">
        <f t="shared" si="411"/>
        <v>0</v>
      </c>
      <c r="U1160" s="179" t="str">
        <f t="shared" si="412"/>
        <v/>
      </c>
      <c r="V1160" s="179" t="str">
        <f t="shared" si="413"/>
        <v/>
      </c>
      <c r="W1160" s="179" t="str">
        <f t="shared" si="414"/>
        <v/>
      </c>
      <c r="X1160" s="26"/>
    </row>
    <row r="1161">
      <c r="A1161" s="28"/>
      <c r="B1161" s="28"/>
      <c r="C1161" s="107"/>
      <c r="D1161" s="83" t="s">
        <v>101</v>
      </c>
      <c r="E1161" s="105">
        <f t="shared" ref="E1161:F1161" si="417">SUM(E1156:E1160)</f>
        <v>1050000</v>
      </c>
      <c r="F1161" s="105">
        <f t="shared" si="417"/>
        <v>1510000</v>
      </c>
      <c r="G1161" s="34">
        <f>(F1161-E1161)/E1161</f>
        <v>0.4380952381</v>
      </c>
      <c r="H1161" s="99"/>
      <c r="I1161" s="99"/>
      <c r="J1161" s="99"/>
      <c r="K1161" s="99"/>
      <c r="L1161" s="99"/>
      <c r="M1161" s="99"/>
      <c r="N1161" s="99"/>
      <c r="O1161" s="99"/>
      <c r="P1161" s="99"/>
      <c r="Q1161" s="108"/>
      <c r="R1161" s="108"/>
      <c r="S1161" s="100"/>
      <c r="T1161" s="24">
        <f t="shared" si="411"/>
        <v>-0.4380952381</v>
      </c>
      <c r="U1161" s="179">
        <f t="shared" si="412"/>
        <v>-1</v>
      </c>
      <c r="V1161" s="179" t="str">
        <f t="shared" si="413"/>
        <v/>
      </c>
      <c r="W1161" s="179" t="str">
        <f t="shared" si="414"/>
        <v/>
      </c>
      <c r="X1161" s="26"/>
    </row>
    <row r="1162">
      <c r="A1162" s="28"/>
      <c r="B1162" s="28"/>
      <c r="C1162" s="107"/>
      <c r="D1162" s="83" t="s">
        <v>148</v>
      </c>
      <c r="E1162" s="105">
        <f>F1161-E1161</f>
        <v>460000</v>
      </c>
      <c r="F1162" s="105"/>
      <c r="G1162" s="34"/>
      <c r="H1162" s="99"/>
      <c r="I1162" s="99"/>
      <c r="J1162" s="99"/>
      <c r="K1162" s="99"/>
      <c r="L1162" s="99"/>
      <c r="M1162" s="99"/>
      <c r="N1162" s="99"/>
      <c r="O1162" s="99"/>
      <c r="P1162" s="99"/>
      <c r="Q1162" s="108"/>
      <c r="R1162" s="108"/>
      <c r="S1162" s="100"/>
      <c r="T1162" s="24">
        <f t="shared" si="411"/>
        <v>0</v>
      </c>
      <c r="U1162" s="179" t="str">
        <f t="shared" si="412"/>
        <v/>
      </c>
      <c r="V1162" s="179" t="str">
        <f t="shared" si="413"/>
        <v/>
      </c>
      <c r="W1162" s="179" t="str">
        <f t="shared" si="414"/>
        <v/>
      </c>
      <c r="X1162" s="26"/>
    </row>
    <row r="1163">
      <c r="A1163" s="28"/>
      <c r="B1163" s="28"/>
      <c r="C1163" s="107"/>
      <c r="D1163" s="97"/>
      <c r="E1163" s="105"/>
      <c r="F1163" s="105"/>
      <c r="G1163" s="99"/>
      <c r="H1163" s="99"/>
      <c r="I1163" s="99"/>
      <c r="J1163" s="99"/>
      <c r="K1163" s="99"/>
      <c r="L1163" s="99"/>
      <c r="M1163" s="99"/>
      <c r="N1163" s="99"/>
      <c r="O1163" s="99"/>
      <c r="P1163" s="99"/>
      <c r="Q1163" s="108"/>
      <c r="R1163" s="108"/>
      <c r="S1163" s="100"/>
      <c r="T1163" s="24">
        <f t="shared" si="411"/>
        <v>0</v>
      </c>
      <c r="U1163" s="179" t="str">
        <f t="shared" si="412"/>
        <v/>
      </c>
      <c r="V1163" s="179" t="str">
        <f t="shared" si="413"/>
        <v/>
      </c>
      <c r="W1163" s="179" t="str">
        <f t="shared" si="414"/>
        <v/>
      </c>
      <c r="X1163" s="26"/>
    </row>
    <row r="1164">
      <c r="A1164" s="28"/>
      <c r="B1164" s="28"/>
      <c r="C1164" s="82" t="s">
        <v>551</v>
      </c>
      <c r="D1164" s="83" t="s">
        <v>552</v>
      </c>
      <c r="E1164" s="201">
        <v>442000.0</v>
      </c>
      <c r="F1164" s="201">
        <v>650000.0</v>
      </c>
      <c r="G1164" s="34">
        <f t="shared" ref="G1164:G1169" si="418">(F1164-E1164)/E1164</f>
        <v>0.4705882353</v>
      </c>
      <c r="H1164" s="99"/>
      <c r="I1164" s="99"/>
      <c r="J1164" s="99"/>
      <c r="K1164" s="99"/>
      <c r="L1164" s="99"/>
      <c r="M1164" s="99"/>
      <c r="N1164" s="99"/>
      <c r="O1164" s="99"/>
      <c r="P1164" s="99"/>
      <c r="Q1164" s="108"/>
      <c r="R1164" s="108"/>
      <c r="S1164" s="100"/>
      <c r="T1164" s="24">
        <f t="shared" si="411"/>
        <v>-0.4705882353</v>
      </c>
      <c r="U1164" s="179">
        <f t="shared" si="412"/>
        <v>-1</v>
      </c>
      <c r="V1164" s="179" t="str">
        <f t="shared" si="413"/>
        <v/>
      </c>
      <c r="W1164" s="179" t="str">
        <f t="shared" si="414"/>
        <v/>
      </c>
      <c r="X1164" s="26"/>
    </row>
    <row r="1165">
      <c r="A1165" s="28"/>
      <c r="B1165" s="28"/>
      <c r="C1165" s="107"/>
      <c r="D1165" s="83" t="s">
        <v>553</v>
      </c>
      <c r="E1165" s="201">
        <v>840000.0</v>
      </c>
      <c r="F1165" s="105">
        <f>550000*2</f>
        <v>1100000</v>
      </c>
      <c r="G1165" s="34">
        <f t="shared" si="418"/>
        <v>0.3095238095</v>
      </c>
      <c r="H1165" s="99"/>
      <c r="I1165" s="99"/>
      <c r="J1165" s="99"/>
      <c r="K1165" s="99"/>
      <c r="L1165" s="99"/>
      <c r="M1165" s="99"/>
      <c r="N1165" s="99"/>
      <c r="O1165" s="99"/>
      <c r="P1165" s="99"/>
      <c r="Q1165" s="108"/>
      <c r="R1165" s="108"/>
      <c r="S1165" s="100"/>
      <c r="T1165" s="24">
        <f t="shared" si="411"/>
        <v>-0.3095238095</v>
      </c>
      <c r="U1165" s="179">
        <f t="shared" si="412"/>
        <v>-1</v>
      </c>
      <c r="V1165" s="179" t="str">
        <f t="shared" si="413"/>
        <v/>
      </c>
      <c r="W1165" s="179" t="str">
        <f t="shared" si="414"/>
        <v/>
      </c>
      <c r="X1165" s="26"/>
    </row>
    <row r="1166">
      <c r="A1166" s="28"/>
      <c r="B1166" s="28"/>
      <c r="C1166" s="107"/>
      <c r="D1166" s="83" t="s">
        <v>120</v>
      </c>
      <c r="E1166" s="201">
        <v>900000.0</v>
      </c>
      <c r="F1166" s="105">
        <f>600000*2</f>
        <v>1200000</v>
      </c>
      <c r="G1166" s="34">
        <f t="shared" si="418"/>
        <v>0.3333333333</v>
      </c>
      <c r="H1166" s="99"/>
      <c r="I1166" s="99"/>
      <c r="J1166" s="99"/>
      <c r="K1166" s="99"/>
      <c r="L1166" s="99"/>
      <c r="M1166" s="99"/>
      <c r="N1166" s="99"/>
      <c r="O1166" s="99"/>
      <c r="P1166" s="99"/>
      <c r="Q1166" s="108"/>
      <c r="R1166" s="108"/>
      <c r="S1166" s="100"/>
      <c r="T1166" s="24">
        <f t="shared" si="411"/>
        <v>-0.3333333333</v>
      </c>
      <c r="U1166" s="179">
        <f t="shared" si="412"/>
        <v>-1</v>
      </c>
      <c r="V1166" s="179" t="str">
        <f t="shared" si="413"/>
        <v/>
      </c>
      <c r="W1166" s="179" t="str">
        <f t="shared" si="414"/>
        <v/>
      </c>
      <c r="X1166" s="26"/>
    </row>
    <row r="1167">
      <c r="A1167" s="28"/>
      <c r="B1167" s="28"/>
      <c r="C1167" s="107"/>
      <c r="D1167" s="83" t="s">
        <v>554</v>
      </c>
      <c r="E1167" s="105">
        <f>370000*2</f>
        <v>740000</v>
      </c>
      <c r="F1167" s="105">
        <f>510000*2</f>
        <v>1020000</v>
      </c>
      <c r="G1167" s="34">
        <f t="shared" si="418"/>
        <v>0.3783783784</v>
      </c>
      <c r="H1167" s="99"/>
      <c r="I1167" s="99"/>
      <c r="J1167" s="99"/>
      <c r="K1167" s="99"/>
      <c r="L1167" s="99"/>
      <c r="M1167" s="99"/>
      <c r="N1167" s="99"/>
      <c r="O1167" s="99"/>
      <c r="P1167" s="99"/>
      <c r="Q1167" s="108"/>
      <c r="R1167" s="108"/>
      <c r="S1167" s="100"/>
      <c r="T1167" s="24">
        <f t="shared" si="411"/>
        <v>-0.3783783784</v>
      </c>
      <c r="U1167" s="179">
        <f t="shared" si="412"/>
        <v>-1</v>
      </c>
      <c r="V1167" s="179" t="str">
        <f t="shared" si="413"/>
        <v/>
      </c>
      <c r="W1167" s="179" t="str">
        <f t="shared" si="414"/>
        <v/>
      </c>
      <c r="X1167" s="26"/>
    </row>
    <row r="1168">
      <c r="A1168" s="28"/>
      <c r="B1168" s="28"/>
      <c r="C1168" s="107"/>
      <c r="D1168" s="83" t="s">
        <v>555</v>
      </c>
      <c r="E1168" s="201">
        <v>110000.0</v>
      </c>
      <c r="F1168" s="201">
        <v>400000.0</v>
      </c>
      <c r="G1168" s="34">
        <f t="shared" si="418"/>
        <v>2.636363636</v>
      </c>
      <c r="H1168" s="99"/>
      <c r="I1168" s="99"/>
      <c r="J1168" s="99"/>
      <c r="K1168" s="99"/>
      <c r="L1168" s="99"/>
      <c r="M1168" s="99"/>
      <c r="N1168" s="99"/>
      <c r="O1168" s="99"/>
      <c r="P1168" s="99"/>
      <c r="Q1168" s="108"/>
      <c r="R1168" s="108"/>
      <c r="S1168" s="100"/>
      <c r="T1168" s="24">
        <f t="shared" si="411"/>
        <v>-2.636363636</v>
      </c>
      <c r="U1168" s="179">
        <f t="shared" si="412"/>
        <v>-1</v>
      </c>
      <c r="V1168" s="179" t="str">
        <f t="shared" si="413"/>
        <v/>
      </c>
      <c r="W1168" s="179" t="str">
        <f t="shared" si="414"/>
        <v/>
      </c>
      <c r="X1168" s="26"/>
    </row>
    <row r="1169">
      <c r="A1169" s="28"/>
      <c r="B1169" s="28"/>
      <c r="C1169" s="107"/>
      <c r="D1169" s="83" t="s">
        <v>101</v>
      </c>
      <c r="E1169" s="105">
        <f>SUM(E1164:E1168)</f>
        <v>3032000</v>
      </c>
      <c r="F1169" s="201">
        <f>4250000+120000</f>
        <v>4370000</v>
      </c>
      <c r="G1169" s="34">
        <f t="shared" si="418"/>
        <v>0.441292876</v>
      </c>
      <c r="H1169" s="99"/>
      <c r="I1169" s="99"/>
      <c r="J1169" s="99"/>
      <c r="K1169" s="99"/>
      <c r="L1169" s="99"/>
      <c r="M1169" s="99"/>
      <c r="N1169" s="99"/>
      <c r="O1169" s="99"/>
      <c r="P1169" s="99"/>
      <c r="Q1169" s="108"/>
      <c r="R1169" s="108"/>
      <c r="S1169" s="100"/>
      <c r="T1169" s="24">
        <f t="shared" si="411"/>
        <v>-0.441292876</v>
      </c>
      <c r="U1169" s="179">
        <f t="shared" si="412"/>
        <v>-1</v>
      </c>
      <c r="V1169" s="179" t="str">
        <f t="shared" si="413"/>
        <v/>
      </c>
      <c r="W1169" s="179" t="str">
        <f t="shared" si="414"/>
        <v/>
      </c>
      <c r="X1169" s="26"/>
    </row>
    <row r="1170">
      <c r="A1170" s="28"/>
      <c r="B1170" s="28"/>
      <c r="C1170" s="107"/>
      <c r="D1170" s="83" t="s">
        <v>148</v>
      </c>
      <c r="E1170" s="105">
        <f>F1169-E1169</f>
        <v>1338000</v>
      </c>
      <c r="F1170" s="105"/>
      <c r="G1170" s="34"/>
      <c r="H1170" s="99"/>
      <c r="I1170" s="99"/>
      <c r="J1170" s="99"/>
      <c r="K1170" s="99"/>
      <c r="L1170" s="99"/>
      <c r="M1170" s="99"/>
      <c r="N1170" s="99"/>
      <c r="O1170" s="99"/>
      <c r="P1170" s="99"/>
      <c r="Q1170" s="108"/>
      <c r="R1170" s="108"/>
      <c r="S1170" s="100"/>
      <c r="T1170" s="24">
        <f t="shared" si="411"/>
        <v>0</v>
      </c>
      <c r="U1170" s="179" t="str">
        <f t="shared" si="412"/>
        <v/>
      </c>
      <c r="V1170" s="179" t="str">
        <f t="shared" si="413"/>
        <v/>
      </c>
      <c r="W1170" s="179" t="str">
        <f t="shared" si="414"/>
        <v/>
      </c>
      <c r="X1170" s="26"/>
    </row>
    <row r="1171">
      <c r="A1171" s="28"/>
      <c r="B1171" s="28"/>
      <c r="C1171" s="107"/>
      <c r="D1171" s="97"/>
      <c r="E1171" s="105"/>
      <c r="F1171" s="105"/>
      <c r="G1171" s="34"/>
      <c r="H1171" s="99"/>
      <c r="I1171" s="99"/>
      <c r="J1171" s="99"/>
      <c r="K1171" s="99"/>
      <c r="L1171" s="99"/>
      <c r="M1171" s="99"/>
      <c r="N1171" s="99"/>
      <c r="O1171" s="99"/>
      <c r="P1171" s="99"/>
      <c r="Q1171" s="108"/>
      <c r="R1171" s="108"/>
      <c r="S1171" s="100"/>
      <c r="T1171" s="24">
        <f t="shared" si="411"/>
        <v>0</v>
      </c>
      <c r="U1171" s="179" t="str">
        <f t="shared" si="412"/>
        <v/>
      </c>
      <c r="V1171" s="179" t="str">
        <f t="shared" si="413"/>
        <v/>
      </c>
      <c r="W1171" s="179" t="str">
        <f t="shared" si="414"/>
        <v/>
      </c>
      <c r="X1171" s="26"/>
    </row>
    <row r="1172">
      <c r="A1172" s="28"/>
      <c r="B1172" s="28"/>
      <c r="C1172" s="107"/>
      <c r="D1172" s="97"/>
      <c r="E1172" s="105"/>
      <c r="F1172" s="105"/>
      <c r="G1172" s="34"/>
      <c r="H1172" s="99"/>
      <c r="I1172" s="99"/>
      <c r="J1172" s="99"/>
      <c r="K1172" s="99"/>
      <c r="L1172" s="99"/>
      <c r="M1172" s="99"/>
      <c r="N1172" s="99"/>
      <c r="O1172" s="99"/>
      <c r="P1172" s="99"/>
      <c r="Q1172" s="108"/>
      <c r="R1172" s="108"/>
      <c r="S1172" s="100"/>
      <c r="T1172" s="24">
        <f t="shared" si="411"/>
        <v>0</v>
      </c>
      <c r="U1172" s="179" t="str">
        <f t="shared" si="412"/>
        <v/>
      </c>
      <c r="V1172" s="179" t="str">
        <f t="shared" si="413"/>
        <v/>
      </c>
      <c r="W1172" s="179" t="str">
        <f t="shared" si="414"/>
        <v/>
      </c>
      <c r="X1172" s="26"/>
    </row>
    <row r="1173">
      <c r="A1173" s="28"/>
      <c r="B1173" s="28"/>
      <c r="C1173" s="1" t="s">
        <v>556</v>
      </c>
      <c r="D1173" s="83" t="s">
        <v>557</v>
      </c>
      <c r="E1173" s="201">
        <v>1238000.0</v>
      </c>
      <c r="F1173" s="201">
        <f>980000*2</f>
        <v>1960000</v>
      </c>
      <c r="G1173" s="34">
        <f t="shared" ref="G1173:G1176" si="419">(F1173-E1173)/E1173</f>
        <v>0.5831987076</v>
      </c>
      <c r="H1173" s="99"/>
      <c r="I1173" s="99"/>
      <c r="J1173" s="99"/>
      <c r="K1173" s="99"/>
      <c r="L1173" s="99"/>
      <c r="M1173" s="99"/>
      <c r="N1173" s="99"/>
      <c r="O1173" s="99"/>
      <c r="P1173" s="99"/>
      <c r="Q1173" s="108"/>
      <c r="R1173" s="108"/>
      <c r="S1173" s="100"/>
      <c r="T1173" s="24">
        <f t="shared" si="411"/>
        <v>-0.5831987076</v>
      </c>
      <c r="U1173" s="179">
        <f t="shared" si="412"/>
        <v>-1</v>
      </c>
      <c r="V1173" s="179" t="str">
        <f t="shared" si="413"/>
        <v/>
      </c>
      <c r="W1173" s="179" t="str">
        <f t="shared" si="414"/>
        <v/>
      </c>
      <c r="X1173" s="26"/>
    </row>
    <row r="1174">
      <c r="A1174" s="28"/>
      <c r="B1174" s="28"/>
      <c r="C1174" s="107"/>
      <c r="D1174" s="83" t="s">
        <v>325</v>
      </c>
      <c r="E1174" s="105">
        <f>(330000*2)</f>
        <v>660000</v>
      </c>
      <c r="F1174" s="201">
        <f>(490000*2)</f>
        <v>980000</v>
      </c>
      <c r="G1174" s="34">
        <f t="shared" si="419"/>
        <v>0.4848484848</v>
      </c>
      <c r="H1174" s="99"/>
      <c r="I1174" s="99"/>
      <c r="J1174" s="99"/>
      <c r="K1174" s="99"/>
      <c r="L1174" s="99"/>
      <c r="M1174" s="99"/>
      <c r="N1174" s="99"/>
      <c r="O1174" s="99"/>
      <c r="P1174" s="99"/>
      <c r="Q1174" s="108"/>
      <c r="R1174" s="108"/>
      <c r="S1174" s="100"/>
      <c r="T1174" s="24">
        <f t="shared" si="411"/>
        <v>-0.4848484848</v>
      </c>
      <c r="U1174" s="179">
        <f t="shared" si="412"/>
        <v>-1</v>
      </c>
      <c r="V1174" s="179" t="str">
        <f t="shared" si="413"/>
        <v/>
      </c>
      <c r="W1174" s="179" t="str">
        <f t="shared" si="414"/>
        <v/>
      </c>
      <c r="X1174" s="26"/>
    </row>
    <row r="1175">
      <c r="A1175" s="28"/>
      <c r="B1175" s="28"/>
      <c r="C1175" s="107"/>
      <c r="D1175" s="83" t="s">
        <v>176</v>
      </c>
      <c r="E1175" s="105">
        <f>442000</f>
        <v>442000</v>
      </c>
      <c r="F1175" s="105">
        <f>325000*2</f>
        <v>650000</v>
      </c>
      <c r="G1175" s="34">
        <f t="shared" si="419"/>
        <v>0.4705882353</v>
      </c>
      <c r="H1175" s="99"/>
      <c r="I1175" s="99"/>
      <c r="J1175" s="99"/>
      <c r="K1175" s="99"/>
      <c r="L1175" s="99"/>
      <c r="M1175" s="99"/>
      <c r="N1175" s="99"/>
      <c r="O1175" s="99"/>
      <c r="P1175" s="99"/>
      <c r="Q1175" s="108"/>
      <c r="R1175" s="108"/>
      <c r="S1175" s="100"/>
      <c r="T1175" s="24">
        <f t="shared" si="411"/>
        <v>-0.4705882353</v>
      </c>
      <c r="U1175" s="179">
        <f t="shared" si="412"/>
        <v>-1</v>
      </c>
      <c r="V1175" s="179" t="str">
        <f t="shared" si="413"/>
        <v/>
      </c>
      <c r="W1175" s="179" t="str">
        <f t="shared" si="414"/>
        <v/>
      </c>
      <c r="X1175" s="26"/>
    </row>
    <row r="1176">
      <c r="A1176" s="28"/>
      <c r="B1176" s="28"/>
      <c r="C1176" s="107"/>
      <c r="D1176" s="83" t="s">
        <v>101</v>
      </c>
      <c r="E1176" s="105">
        <f>E1173+E1174+E1175</f>
        <v>2340000</v>
      </c>
      <c r="F1176" s="105">
        <f>SUM(F1173:F1175)</f>
        <v>3590000</v>
      </c>
      <c r="G1176" s="34">
        <f t="shared" si="419"/>
        <v>0.5341880342</v>
      </c>
      <c r="H1176" s="99"/>
      <c r="I1176" s="99"/>
      <c r="J1176" s="99"/>
      <c r="K1176" s="99"/>
      <c r="L1176" s="99"/>
      <c r="M1176" s="99"/>
      <c r="N1176" s="99"/>
      <c r="O1176" s="99"/>
      <c r="P1176" s="99"/>
      <c r="Q1176" s="108"/>
      <c r="R1176" s="108"/>
      <c r="S1176" s="100"/>
      <c r="T1176" s="24">
        <f t="shared" si="411"/>
        <v>-0.5341880342</v>
      </c>
      <c r="U1176" s="179">
        <f t="shared" si="412"/>
        <v>-1</v>
      </c>
      <c r="V1176" s="179" t="str">
        <f t="shared" si="413"/>
        <v/>
      </c>
      <c r="W1176" s="179" t="str">
        <f t="shared" si="414"/>
        <v/>
      </c>
      <c r="X1176" s="26"/>
    </row>
    <row r="1177">
      <c r="A1177" s="28"/>
      <c r="B1177" s="28"/>
      <c r="C1177" s="107"/>
      <c r="D1177" s="83" t="s">
        <v>148</v>
      </c>
      <c r="E1177" s="105">
        <f>F1176-E1176</f>
        <v>1250000</v>
      </c>
      <c r="F1177" s="105"/>
      <c r="G1177" s="34"/>
      <c r="H1177" s="99"/>
      <c r="I1177" s="99"/>
      <c r="J1177" s="99"/>
      <c r="K1177" s="99"/>
      <c r="L1177" s="99"/>
      <c r="M1177" s="99"/>
      <c r="N1177" s="99"/>
      <c r="O1177" s="99"/>
      <c r="P1177" s="99"/>
      <c r="Q1177" s="108"/>
      <c r="R1177" s="108"/>
      <c r="S1177" s="100"/>
      <c r="T1177" s="24">
        <f t="shared" si="411"/>
        <v>0</v>
      </c>
      <c r="U1177" s="179" t="str">
        <f t="shared" si="412"/>
        <v/>
      </c>
      <c r="V1177" s="179" t="str">
        <f t="shared" si="413"/>
        <v/>
      </c>
      <c r="W1177" s="179" t="str">
        <f t="shared" si="414"/>
        <v/>
      </c>
      <c r="X1177" s="26"/>
    </row>
    <row r="1178">
      <c r="A1178" s="28"/>
      <c r="B1178" s="28"/>
      <c r="C1178" s="107"/>
      <c r="D1178" s="97"/>
      <c r="E1178" s="105"/>
      <c r="F1178" s="105"/>
      <c r="G1178" s="34"/>
      <c r="H1178" s="99"/>
      <c r="I1178" s="99"/>
      <c r="J1178" s="99"/>
      <c r="K1178" s="99"/>
      <c r="L1178" s="99"/>
      <c r="M1178" s="99"/>
      <c r="N1178" s="99"/>
      <c r="O1178" s="99"/>
      <c r="P1178" s="99"/>
      <c r="Q1178" s="108"/>
      <c r="R1178" s="108"/>
      <c r="S1178" s="100"/>
      <c r="T1178" s="24">
        <f t="shared" si="411"/>
        <v>0</v>
      </c>
      <c r="U1178" s="179" t="str">
        <f t="shared" si="412"/>
        <v/>
      </c>
      <c r="V1178" s="179" t="str">
        <f t="shared" si="413"/>
        <v/>
      </c>
      <c r="W1178" s="179" t="str">
        <f t="shared" si="414"/>
        <v/>
      </c>
      <c r="X1178" s="26"/>
    </row>
    <row r="1179">
      <c r="A1179" s="28"/>
      <c r="B1179" s="28"/>
      <c r="C1179" s="107"/>
      <c r="D1179" s="97"/>
      <c r="E1179" s="105"/>
      <c r="F1179" s="105"/>
      <c r="G1179" s="34"/>
      <c r="H1179" s="99"/>
      <c r="I1179" s="99"/>
      <c r="J1179" s="99"/>
      <c r="K1179" s="99"/>
      <c r="L1179" s="99"/>
      <c r="M1179" s="99"/>
      <c r="N1179" s="99"/>
      <c r="O1179" s="99"/>
      <c r="P1179" s="99"/>
      <c r="Q1179" s="108"/>
      <c r="R1179" s="108"/>
      <c r="S1179" s="100"/>
      <c r="T1179" s="24">
        <f t="shared" si="411"/>
        <v>0</v>
      </c>
      <c r="U1179" s="179" t="str">
        <f t="shared" si="412"/>
        <v/>
      </c>
      <c r="V1179" s="179" t="str">
        <f t="shared" si="413"/>
        <v/>
      </c>
      <c r="W1179" s="179" t="str">
        <f t="shared" si="414"/>
        <v/>
      </c>
      <c r="X1179" s="26"/>
    </row>
    <row r="1180">
      <c r="A1180" s="28"/>
      <c r="B1180" s="28"/>
      <c r="C1180" s="82" t="s">
        <v>558</v>
      </c>
      <c r="D1180" s="83" t="s">
        <v>559</v>
      </c>
      <c r="E1180" s="201">
        <v>145000.0</v>
      </c>
      <c r="F1180" s="201">
        <v>300000.0</v>
      </c>
      <c r="G1180" s="34">
        <f t="shared" ref="G1180:G1182" si="420">(F1180-E1180)/E1180</f>
        <v>1.068965517</v>
      </c>
      <c r="H1180" s="99"/>
      <c r="I1180" s="99"/>
      <c r="J1180" s="99"/>
      <c r="K1180" s="99"/>
      <c r="L1180" s="99"/>
      <c r="M1180" s="99"/>
      <c r="N1180" s="99"/>
      <c r="O1180" s="99"/>
      <c r="P1180" s="99"/>
      <c r="Q1180" s="108"/>
      <c r="R1180" s="108"/>
      <c r="S1180" s="100"/>
      <c r="T1180" s="24">
        <f t="shared" si="411"/>
        <v>-1.068965517</v>
      </c>
      <c r="U1180" s="179">
        <f t="shared" si="412"/>
        <v>-1</v>
      </c>
      <c r="V1180" s="179" t="str">
        <f t="shared" si="413"/>
        <v/>
      </c>
      <c r="W1180" s="179" t="str">
        <f t="shared" si="414"/>
        <v/>
      </c>
      <c r="X1180" s="26"/>
    </row>
    <row r="1181">
      <c r="A1181" s="28"/>
      <c r="B1181" s="28"/>
      <c r="C1181" s="107"/>
      <c r="D1181" s="83" t="s">
        <v>392</v>
      </c>
      <c r="E1181" s="105">
        <f>390000*4</f>
        <v>1560000</v>
      </c>
      <c r="F1181" s="105">
        <f>610000*4</f>
        <v>2440000</v>
      </c>
      <c r="G1181" s="34">
        <f t="shared" si="420"/>
        <v>0.5641025641</v>
      </c>
      <c r="H1181" s="99"/>
      <c r="I1181" s="99"/>
      <c r="J1181" s="99"/>
      <c r="K1181" s="99"/>
      <c r="L1181" s="99"/>
      <c r="M1181" s="99"/>
      <c r="N1181" s="99"/>
      <c r="O1181" s="99"/>
      <c r="P1181" s="99"/>
      <c r="Q1181" s="108"/>
      <c r="R1181" s="108"/>
      <c r="S1181" s="100"/>
      <c r="T1181" s="24">
        <f t="shared" si="411"/>
        <v>-0.5641025641</v>
      </c>
      <c r="U1181" s="179">
        <f t="shared" si="412"/>
        <v>-1</v>
      </c>
      <c r="V1181" s="179" t="str">
        <f t="shared" si="413"/>
        <v/>
      </c>
      <c r="W1181" s="179" t="str">
        <f t="shared" si="414"/>
        <v/>
      </c>
      <c r="X1181" s="26"/>
    </row>
    <row r="1182">
      <c r="A1182" s="28"/>
      <c r="B1182" s="28"/>
      <c r="C1182" s="107"/>
      <c r="D1182" s="83" t="s">
        <v>101</v>
      </c>
      <c r="E1182" s="105">
        <f t="shared" ref="E1182:F1182" si="421">SUM(E1180:E1181)</f>
        <v>1705000</v>
      </c>
      <c r="F1182" s="105">
        <f t="shared" si="421"/>
        <v>2740000</v>
      </c>
      <c r="G1182" s="34">
        <f t="shared" si="420"/>
        <v>0.6070381232</v>
      </c>
      <c r="H1182" s="99"/>
      <c r="I1182" s="99"/>
      <c r="J1182" s="99"/>
      <c r="K1182" s="99"/>
      <c r="L1182" s="99"/>
      <c r="M1182" s="99"/>
      <c r="N1182" s="99"/>
      <c r="O1182" s="99"/>
      <c r="P1182" s="99"/>
      <c r="Q1182" s="108"/>
      <c r="R1182" s="108"/>
      <c r="S1182" s="100"/>
      <c r="T1182" s="24">
        <f t="shared" si="411"/>
        <v>-0.6070381232</v>
      </c>
      <c r="U1182" s="179">
        <f t="shared" si="412"/>
        <v>-1</v>
      </c>
      <c r="V1182" s="179" t="str">
        <f t="shared" si="413"/>
        <v/>
      </c>
      <c r="W1182" s="179" t="str">
        <f t="shared" si="414"/>
        <v/>
      </c>
      <c r="X1182" s="26"/>
    </row>
    <row r="1183">
      <c r="A1183" s="28"/>
      <c r="B1183" s="28"/>
      <c r="C1183" s="107"/>
      <c r="D1183" s="83" t="s">
        <v>148</v>
      </c>
      <c r="E1183" s="105">
        <f>F1182-E1182</f>
        <v>1035000</v>
      </c>
      <c r="F1183" s="105"/>
      <c r="G1183" s="34"/>
      <c r="H1183" s="99"/>
      <c r="I1183" s="99"/>
      <c r="J1183" s="99"/>
      <c r="K1183" s="99"/>
      <c r="L1183" s="99"/>
      <c r="M1183" s="99"/>
      <c r="N1183" s="99"/>
      <c r="O1183" s="99"/>
      <c r="P1183" s="99"/>
      <c r="Q1183" s="108"/>
      <c r="R1183" s="108"/>
      <c r="S1183" s="100"/>
      <c r="T1183" s="24">
        <f t="shared" si="411"/>
        <v>0</v>
      </c>
      <c r="U1183" s="179" t="str">
        <f t="shared" si="412"/>
        <v/>
      </c>
      <c r="V1183" s="179" t="str">
        <f t="shared" si="413"/>
        <v/>
      </c>
      <c r="W1183" s="179" t="str">
        <f t="shared" si="414"/>
        <v/>
      </c>
      <c r="X1183" s="26"/>
    </row>
    <row r="1184">
      <c r="A1184" s="28"/>
      <c r="B1184" s="28"/>
      <c r="C1184" s="107"/>
      <c r="D1184" s="97"/>
      <c r="E1184" s="105"/>
      <c r="F1184" s="105"/>
      <c r="G1184" s="34"/>
      <c r="H1184" s="99"/>
      <c r="I1184" s="99"/>
      <c r="J1184" s="99"/>
      <c r="K1184" s="99"/>
      <c r="L1184" s="99"/>
      <c r="M1184" s="99"/>
      <c r="N1184" s="99"/>
      <c r="O1184" s="99"/>
      <c r="P1184" s="99"/>
      <c r="Q1184" s="108"/>
      <c r="R1184" s="108"/>
      <c r="S1184" s="100"/>
      <c r="T1184" s="24">
        <f t="shared" si="411"/>
        <v>0</v>
      </c>
      <c r="U1184" s="179" t="str">
        <f t="shared" si="412"/>
        <v/>
      </c>
      <c r="V1184" s="179" t="str">
        <f t="shared" si="413"/>
        <v/>
      </c>
      <c r="W1184" s="179" t="str">
        <f t="shared" si="414"/>
        <v/>
      </c>
      <c r="X1184" s="26"/>
    </row>
    <row r="1185">
      <c r="A1185" s="28"/>
      <c r="B1185" s="28"/>
      <c r="C1185" s="82" t="s">
        <v>560</v>
      </c>
      <c r="D1185" s="83" t="s">
        <v>156</v>
      </c>
      <c r="E1185" s="105">
        <f>(330000*2)</f>
        <v>660000</v>
      </c>
      <c r="F1185" s="105">
        <f>510000*2</f>
        <v>1020000</v>
      </c>
      <c r="G1185" s="34">
        <f t="shared" ref="G1185:G1187" si="422">(F1185-E1185)/E1185</f>
        <v>0.5454545455</v>
      </c>
      <c r="H1185" s="99"/>
      <c r="I1185" s="99"/>
      <c r="J1185" s="99"/>
      <c r="K1185" s="99"/>
      <c r="L1185" s="99"/>
      <c r="M1185" s="99"/>
      <c r="N1185" s="99"/>
      <c r="O1185" s="99"/>
      <c r="P1185" s="99"/>
      <c r="Q1185" s="108"/>
      <c r="R1185" s="108"/>
      <c r="S1185" s="100"/>
      <c r="T1185" s="24">
        <f t="shared" si="411"/>
        <v>-0.5454545455</v>
      </c>
      <c r="U1185" s="179">
        <f t="shared" si="412"/>
        <v>-1</v>
      </c>
      <c r="V1185" s="179" t="str">
        <f t="shared" si="413"/>
        <v/>
      </c>
      <c r="W1185" s="179" t="str">
        <f t="shared" si="414"/>
        <v/>
      </c>
      <c r="X1185" s="26"/>
    </row>
    <row r="1186">
      <c r="A1186" s="28"/>
      <c r="B1186" s="28"/>
      <c r="C1186" s="107"/>
      <c r="D1186" s="83" t="s">
        <v>282</v>
      </c>
      <c r="E1186" s="105">
        <f>309000*2</f>
        <v>618000</v>
      </c>
      <c r="F1186" s="105">
        <f>450000*2</f>
        <v>900000</v>
      </c>
      <c r="G1186" s="34">
        <f t="shared" si="422"/>
        <v>0.4563106796</v>
      </c>
      <c r="H1186" s="99"/>
      <c r="I1186" s="99"/>
      <c r="J1186" s="99"/>
      <c r="K1186" s="99"/>
      <c r="L1186" s="99"/>
      <c r="M1186" s="99"/>
      <c r="N1186" s="99"/>
      <c r="O1186" s="99"/>
      <c r="P1186" s="99"/>
      <c r="Q1186" s="108"/>
      <c r="R1186" s="108"/>
      <c r="S1186" s="100"/>
      <c r="T1186" s="24">
        <f t="shared" si="411"/>
        <v>-0.4563106796</v>
      </c>
      <c r="U1186" s="179">
        <f t="shared" si="412"/>
        <v>-1</v>
      </c>
      <c r="V1186" s="179" t="str">
        <f t="shared" si="413"/>
        <v/>
      </c>
      <c r="W1186" s="179" t="str">
        <f t="shared" si="414"/>
        <v/>
      </c>
      <c r="X1186" s="26"/>
    </row>
    <row r="1187">
      <c r="A1187" s="28"/>
      <c r="B1187" s="28"/>
      <c r="C1187" s="107"/>
      <c r="D1187" s="83" t="s">
        <v>101</v>
      </c>
      <c r="E1187" s="105">
        <f t="shared" ref="E1187:F1187" si="423">E1185+E1186</f>
        <v>1278000</v>
      </c>
      <c r="F1187" s="105">
        <f t="shared" si="423"/>
        <v>1920000</v>
      </c>
      <c r="G1187" s="34">
        <f t="shared" si="422"/>
        <v>0.5023474178</v>
      </c>
      <c r="H1187" s="99"/>
      <c r="I1187" s="99"/>
      <c r="J1187" s="99"/>
      <c r="K1187" s="99"/>
      <c r="L1187" s="99"/>
      <c r="M1187" s="99"/>
      <c r="N1187" s="99"/>
      <c r="O1187" s="99"/>
      <c r="P1187" s="99"/>
      <c r="Q1187" s="108"/>
      <c r="R1187" s="108"/>
      <c r="S1187" s="100"/>
      <c r="T1187" s="24">
        <f t="shared" si="411"/>
        <v>-0.5023474178</v>
      </c>
      <c r="U1187" s="179">
        <f t="shared" si="412"/>
        <v>-1</v>
      </c>
      <c r="V1187" s="179" t="str">
        <f t="shared" si="413"/>
        <v/>
      </c>
      <c r="W1187" s="179" t="str">
        <f t="shared" si="414"/>
        <v/>
      </c>
      <c r="X1187" s="26"/>
    </row>
    <row r="1188">
      <c r="A1188" s="28"/>
      <c r="B1188" s="28"/>
      <c r="C1188" s="107"/>
      <c r="D1188" s="83" t="s">
        <v>148</v>
      </c>
      <c r="E1188" s="105">
        <f>F1187-E1187</f>
        <v>642000</v>
      </c>
      <c r="F1188" s="105"/>
      <c r="G1188" s="34"/>
      <c r="H1188" s="99"/>
      <c r="I1188" s="99"/>
      <c r="J1188" s="99"/>
      <c r="K1188" s="99"/>
      <c r="L1188" s="99"/>
      <c r="M1188" s="99"/>
      <c r="N1188" s="99"/>
      <c r="O1188" s="99"/>
      <c r="P1188" s="99"/>
      <c r="Q1188" s="108"/>
      <c r="R1188" s="108"/>
      <c r="S1188" s="100"/>
      <c r="T1188" s="24">
        <f t="shared" si="411"/>
        <v>0</v>
      </c>
      <c r="U1188" s="179" t="str">
        <f t="shared" si="412"/>
        <v/>
      </c>
      <c r="V1188" s="179" t="str">
        <f t="shared" si="413"/>
        <v/>
      </c>
      <c r="W1188" s="179" t="str">
        <f t="shared" si="414"/>
        <v/>
      </c>
      <c r="X1188" s="26"/>
    </row>
    <row r="1189">
      <c r="A1189" s="28"/>
      <c r="B1189" s="28"/>
      <c r="C1189" s="107"/>
      <c r="D1189" s="97"/>
      <c r="E1189" s="105"/>
      <c r="F1189" s="105"/>
      <c r="G1189" s="34"/>
      <c r="H1189" s="99"/>
      <c r="I1189" s="99"/>
      <c r="J1189" s="99"/>
      <c r="K1189" s="99"/>
      <c r="L1189" s="99"/>
      <c r="M1189" s="99"/>
      <c r="N1189" s="99"/>
      <c r="O1189" s="99"/>
      <c r="P1189" s="99"/>
      <c r="Q1189" s="108"/>
      <c r="R1189" s="108"/>
      <c r="S1189" s="100"/>
      <c r="T1189" s="24">
        <f t="shared" si="411"/>
        <v>0</v>
      </c>
      <c r="U1189" s="179" t="str">
        <f t="shared" si="412"/>
        <v/>
      </c>
      <c r="V1189" s="179" t="str">
        <f t="shared" si="413"/>
        <v/>
      </c>
      <c r="W1189" s="179" t="str">
        <f t="shared" si="414"/>
        <v/>
      </c>
      <c r="X1189" s="26"/>
    </row>
    <row r="1190">
      <c r="A1190" s="28"/>
      <c r="B1190" s="28"/>
      <c r="C1190" s="107"/>
      <c r="D1190" s="97"/>
      <c r="E1190" s="105"/>
      <c r="F1190" s="105"/>
      <c r="G1190" s="34"/>
      <c r="H1190" s="99"/>
      <c r="I1190" s="99"/>
      <c r="J1190" s="99"/>
      <c r="K1190" s="99"/>
      <c r="L1190" s="99"/>
      <c r="M1190" s="99"/>
      <c r="N1190" s="99"/>
      <c r="O1190" s="99"/>
      <c r="P1190" s="99"/>
      <c r="Q1190" s="108"/>
      <c r="R1190" s="108"/>
      <c r="S1190" s="100"/>
      <c r="T1190" s="24">
        <f t="shared" si="411"/>
        <v>0</v>
      </c>
      <c r="U1190" s="179" t="str">
        <f t="shared" si="412"/>
        <v/>
      </c>
      <c r="V1190" s="179" t="str">
        <f t="shared" si="413"/>
        <v/>
      </c>
      <c r="W1190" s="179" t="str">
        <f t="shared" si="414"/>
        <v/>
      </c>
      <c r="X1190" s="26"/>
    </row>
    <row r="1191">
      <c r="A1191" s="28"/>
      <c r="B1191" s="28"/>
      <c r="C1191" s="82" t="s">
        <v>561</v>
      </c>
      <c r="D1191" s="83" t="s">
        <v>562</v>
      </c>
      <c r="E1191" s="201">
        <v>192000.0</v>
      </c>
      <c r="F1191" s="201">
        <v>550000.0</v>
      </c>
      <c r="G1191" s="34">
        <f t="shared" ref="G1191:G1195" si="424">(F1191-E1191)/E1191</f>
        <v>1.864583333</v>
      </c>
      <c r="H1191" s="99"/>
      <c r="I1191" s="99"/>
      <c r="J1191" s="99"/>
      <c r="K1191" s="99"/>
      <c r="L1191" s="99"/>
      <c r="M1191" s="99"/>
      <c r="N1191" s="99"/>
      <c r="O1191" s="99"/>
      <c r="P1191" s="99"/>
      <c r="Q1191" s="108"/>
      <c r="R1191" s="108"/>
      <c r="S1191" s="100"/>
      <c r="T1191" s="24">
        <f t="shared" si="411"/>
        <v>-1.864583333</v>
      </c>
      <c r="U1191" s="179">
        <f t="shared" si="412"/>
        <v>-1</v>
      </c>
      <c r="V1191" s="179" t="str">
        <f t="shared" si="413"/>
        <v/>
      </c>
      <c r="W1191" s="179" t="str">
        <f t="shared" si="414"/>
        <v/>
      </c>
      <c r="X1191" s="26"/>
    </row>
    <row r="1192">
      <c r="A1192" s="28"/>
      <c r="B1192" s="28"/>
      <c r="C1192" s="107"/>
      <c r="D1192" s="83" t="s">
        <v>563</v>
      </c>
      <c r="E1192" s="249">
        <f>146200 *4</f>
        <v>584800</v>
      </c>
      <c r="F1192" s="105">
        <f>320000*4</f>
        <v>1280000</v>
      </c>
      <c r="G1192" s="34">
        <f t="shared" si="424"/>
        <v>1.18878249</v>
      </c>
      <c r="H1192" s="99"/>
      <c r="I1192" s="99"/>
      <c r="J1192" s="99"/>
      <c r="K1192" s="99"/>
      <c r="L1192" s="99"/>
      <c r="M1192" s="99"/>
      <c r="N1192" s="99"/>
      <c r="O1192" s="99"/>
      <c r="P1192" s="99"/>
      <c r="Q1192" s="108"/>
      <c r="R1192" s="108"/>
      <c r="S1192" s="100"/>
      <c r="T1192" s="24">
        <f t="shared" si="411"/>
        <v>-1.18878249</v>
      </c>
      <c r="U1192" s="179">
        <f t="shared" si="412"/>
        <v>-1</v>
      </c>
      <c r="V1192" s="179" t="str">
        <f t="shared" si="413"/>
        <v/>
      </c>
      <c r="W1192" s="179" t="str">
        <f t="shared" si="414"/>
        <v/>
      </c>
      <c r="X1192" s="26"/>
    </row>
    <row r="1193">
      <c r="A1193" s="28"/>
      <c r="B1193" s="28"/>
      <c r="C1193" s="107"/>
      <c r="D1193" s="83" t="s">
        <v>564</v>
      </c>
      <c r="E1193" s="249">
        <f>120000*4</f>
        <v>480000</v>
      </c>
      <c r="F1193" s="105">
        <f>220000*4</f>
        <v>880000</v>
      </c>
      <c r="G1193" s="34">
        <f t="shared" si="424"/>
        <v>0.8333333333</v>
      </c>
      <c r="H1193" s="99"/>
      <c r="I1193" s="99"/>
      <c r="J1193" s="99"/>
      <c r="K1193" s="99"/>
      <c r="L1193" s="99"/>
      <c r="M1193" s="99"/>
      <c r="N1193" s="99"/>
      <c r="O1193" s="99"/>
      <c r="P1193" s="99"/>
      <c r="Q1193" s="108"/>
      <c r="R1193" s="108"/>
      <c r="S1193" s="100"/>
      <c r="T1193" s="24">
        <f t="shared" si="411"/>
        <v>-0.8333333333</v>
      </c>
      <c r="U1193" s="179">
        <f t="shared" si="412"/>
        <v>-1</v>
      </c>
      <c r="V1193" s="179" t="str">
        <f t="shared" si="413"/>
        <v/>
      </c>
      <c r="W1193" s="179" t="str">
        <f t="shared" si="414"/>
        <v/>
      </c>
      <c r="X1193" s="26"/>
    </row>
    <row r="1194">
      <c r="A1194" s="28"/>
      <c r="B1194" s="28"/>
      <c r="C1194" s="107"/>
      <c r="D1194" s="83" t="s">
        <v>565</v>
      </c>
      <c r="E1194" s="201">
        <v>155000.0</v>
      </c>
      <c r="F1194" s="201">
        <v>550000.0</v>
      </c>
      <c r="G1194" s="34">
        <f t="shared" si="424"/>
        <v>2.548387097</v>
      </c>
      <c r="H1194" s="99"/>
      <c r="I1194" s="99"/>
      <c r="J1194" s="99"/>
      <c r="K1194" s="99"/>
      <c r="L1194" s="99"/>
      <c r="M1194" s="99"/>
      <c r="N1194" s="99"/>
      <c r="O1194" s="99"/>
      <c r="P1194" s="99"/>
      <c r="Q1194" s="108"/>
      <c r="R1194" s="108"/>
      <c r="S1194" s="100"/>
      <c r="T1194" s="24">
        <f t="shared" si="411"/>
        <v>-2.548387097</v>
      </c>
      <c r="U1194" s="179">
        <f t="shared" si="412"/>
        <v>-1</v>
      </c>
      <c r="V1194" s="179" t="str">
        <f t="shared" si="413"/>
        <v/>
      </c>
      <c r="W1194" s="179" t="str">
        <f t="shared" si="414"/>
        <v/>
      </c>
      <c r="X1194" s="26"/>
    </row>
    <row r="1195">
      <c r="A1195" s="28"/>
      <c r="B1195" s="28"/>
      <c r="C1195" s="107"/>
      <c r="D1195" s="83" t="s">
        <v>101</v>
      </c>
      <c r="E1195" s="105">
        <f>E1191+E1192+E1193+E1194</f>
        <v>1411800</v>
      </c>
      <c r="F1195" s="105">
        <f>SUM(F1191:F1194)</f>
        <v>3260000</v>
      </c>
      <c r="G1195" s="34">
        <f t="shared" si="424"/>
        <v>1.309108939</v>
      </c>
      <c r="H1195" s="99"/>
      <c r="I1195" s="99"/>
      <c r="J1195" s="99"/>
      <c r="K1195" s="99"/>
      <c r="L1195" s="99"/>
      <c r="M1195" s="99"/>
      <c r="N1195" s="99"/>
      <c r="O1195" s="99"/>
      <c r="P1195" s="99"/>
      <c r="Q1195" s="108"/>
      <c r="R1195" s="108"/>
      <c r="S1195" s="100"/>
      <c r="T1195" s="24">
        <f t="shared" si="411"/>
        <v>-1.309108939</v>
      </c>
      <c r="U1195" s="179">
        <f t="shared" si="412"/>
        <v>-1</v>
      </c>
      <c r="V1195" s="179" t="str">
        <f t="shared" si="413"/>
        <v/>
      </c>
      <c r="W1195" s="179" t="str">
        <f t="shared" si="414"/>
        <v/>
      </c>
      <c r="X1195" s="26"/>
    </row>
    <row r="1196">
      <c r="A1196" s="28"/>
      <c r="B1196" s="28"/>
      <c r="C1196" s="107"/>
      <c r="D1196" s="83" t="s">
        <v>148</v>
      </c>
      <c r="E1196" s="105">
        <f>F1195-E1195</f>
        <v>1848200</v>
      </c>
      <c r="F1196" s="105"/>
      <c r="G1196" s="34"/>
      <c r="H1196" s="99"/>
      <c r="I1196" s="99"/>
      <c r="J1196" s="99"/>
      <c r="K1196" s="99"/>
      <c r="L1196" s="99"/>
      <c r="M1196" s="99"/>
      <c r="N1196" s="99"/>
      <c r="O1196" s="99"/>
      <c r="P1196" s="99"/>
      <c r="Q1196" s="108"/>
      <c r="R1196" s="108"/>
      <c r="S1196" s="100"/>
      <c r="T1196" s="24">
        <f t="shared" si="411"/>
        <v>0</v>
      </c>
      <c r="U1196" s="179" t="str">
        <f t="shared" si="412"/>
        <v/>
      </c>
      <c r="V1196" s="179" t="str">
        <f t="shared" si="413"/>
        <v/>
      </c>
      <c r="W1196" s="179" t="str">
        <f t="shared" si="414"/>
        <v/>
      </c>
      <c r="X1196" s="26"/>
    </row>
    <row r="1197">
      <c r="A1197" s="28"/>
      <c r="B1197" s="28"/>
      <c r="C1197" s="107"/>
      <c r="D1197" s="97"/>
      <c r="E1197" s="105"/>
      <c r="F1197" s="105"/>
      <c r="G1197" s="34"/>
      <c r="H1197" s="99"/>
      <c r="I1197" s="99"/>
      <c r="J1197" s="99"/>
      <c r="K1197" s="99"/>
      <c r="L1197" s="99"/>
      <c r="M1197" s="99"/>
      <c r="N1197" s="99"/>
      <c r="O1197" s="99"/>
      <c r="P1197" s="99"/>
      <c r="Q1197" s="108"/>
      <c r="R1197" s="108"/>
      <c r="S1197" s="100"/>
      <c r="T1197" s="24">
        <f t="shared" si="411"/>
        <v>0</v>
      </c>
      <c r="U1197" s="179" t="str">
        <f t="shared" si="412"/>
        <v/>
      </c>
      <c r="V1197" s="179" t="str">
        <f t="shared" si="413"/>
        <v/>
      </c>
      <c r="W1197" s="179" t="str">
        <f t="shared" si="414"/>
        <v/>
      </c>
      <c r="X1197" s="26"/>
    </row>
    <row r="1198">
      <c r="A1198" s="28"/>
      <c r="B1198" s="28"/>
      <c r="C1198" s="107"/>
      <c r="D1198" s="97"/>
      <c r="E1198" s="105"/>
      <c r="F1198" s="105"/>
      <c r="G1198" s="34"/>
      <c r="H1198" s="99"/>
      <c r="I1198" s="99"/>
      <c r="J1198" s="99"/>
      <c r="K1198" s="99"/>
      <c r="L1198" s="99"/>
      <c r="M1198" s="99"/>
      <c r="N1198" s="99"/>
      <c r="O1198" s="99"/>
      <c r="P1198" s="99"/>
      <c r="Q1198" s="108"/>
      <c r="R1198" s="108"/>
      <c r="S1198" s="100"/>
      <c r="T1198" s="24">
        <f t="shared" si="411"/>
        <v>0</v>
      </c>
      <c r="U1198" s="179" t="str">
        <f t="shared" si="412"/>
        <v/>
      </c>
      <c r="V1198" s="179" t="str">
        <f t="shared" si="413"/>
        <v/>
      </c>
      <c r="W1198" s="179" t="str">
        <f t="shared" si="414"/>
        <v/>
      </c>
      <c r="X1198" s="26"/>
    </row>
    <row r="1199">
      <c r="A1199" s="28"/>
      <c r="B1199" s="28"/>
      <c r="C1199" s="82" t="s">
        <v>566</v>
      </c>
      <c r="D1199" s="83" t="s">
        <v>567</v>
      </c>
      <c r="E1199" s="201">
        <v>145000.0</v>
      </c>
      <c r="F1199" s="201">
        <v>300000.0</v>
      </c>
      <c r="G1199" s="34">
        <f t="shared" ref="G1199:G1209" si="425">(F1199-E1199)/E1199</f>
        <v>1.068965517</v>
      </c>
      <c r="H1199" s="99"/>
      <c r="I1199" s="99"/>
      <c r="J1199" s="99"/>
      <c r="K1199" s="99"/>
      <c r="L1199" s="99"/>
      <c r="M1199" s="99"/>
      <c r="N1199" s="99"/>
      <c r="O1199" s="99"/>
      <c r="P1199" s="99"/>
      <c r="Q1199" s="108"/>
      <c r="R1199" s="108"/>
      <c r="S1199" s="100"/>
      <c r="T1199" s="24">
        <f t="shared" si="411"/>
        <v>-1.068965517</v>
      </c>
      <c r="U1199" s="179">
        <f t="shared" si="412"/>
        <v>-1</v>
      </c>
      <c r="V1199" s="179" t="str">
        <f t="shared" si="413"/>
        <v/>
      </c>
      <c r="W1199" s="179" t="str">
        <f t="shared" si="414"/>
        <v/>
      </c>
      <c r="X1199" s="26"/>
    </row>
    <row r="1200">
      <c r="A1200" s="28"/>
      <c r="B1200" s="28"/>
      <c r="C1200" s="107"/>
      <c r="D1200" s="83" t="s">
        <v>568</v>
      </c>
      <c r="E1200" s="201">
        <f>320000+36000*4+240000+40000</f>
        <v>744000</v>
      </c>
      <c r="F1200" s="105">
        <f>330000*4</f>
        <v>1320000</v>
      </c>
      <c r="G1200" s="34">
        <f t="shared" si="425"/>
        <v>0.7741935484</v>
      </c>
      <c r="H1200" s="99"/>
      <c r="I1200" s="99"/>
      <c r="J1200" s="99"/>
      <c r="K1200" s="99"/>
      <c r="L1200" s="99"/>
      <c r="M1200" s="99"/>
      <c r="N1200" s="99"/>
      <c r="O1200" s="99"/>
      <c r="P1200" s="99"/>
      <c r="Q1200" s="108"/>
      <c r="R1200" s="108"/>
      <c r="S1200" s="100"/>
      <c r="T1200" s="24">
        <f t="shared" si="411"/>
        <v>-0.7741935484</v>
      </c>
      <c r="U1200" s="179">
        <f t="shared" si="412"/>
        <v>-1</v>
      </c>
      <c r="V1200" s="179" t="str">
        <f t="shared" si="413"/>
        <v/>
      </c>
      <c r="W1200" s="179" t="str">
        <f t="shared" si="414"/>
        <v/>
      </c>
      <c r="X1200" s="26"/>
    </row>
    <row r="1201">
      <c r="A1201" s="28"/>
      <c r="B1201" s="28"/>
      <c r="C1201" s="107"/>
      <c r="D1201" s="83" t="s">
        <v>417</v>
      </c>
      <c r="E1201" s="105">
        <f>330000*4</f>
        <v>1320000</v>
      </c>
      <c r="F1201" s="105">
        <f>510000*4</f>
        <v>2040000</v>
      </c>
      <c r="G1201" s="34">
        <f t="shared" si="425"/>
        <v>0.5454545455</v>
      </c>
      <c r="H1201" s="99"/>
      <c r="I1201" s="99"/>
      <c r="J1201" s="99"/>
      <c r="K1201" s="99"/>
      <c r="L1201" s="99"/>
      <c r="M1201" s="99"/>
      <c r="N1201" s="99"/>
      <c r="O1201" s="99"/>
      <c r="P1201" s="99"/>
      <c r="Q1201" s="108"/>
      <c r="R1201" s="108"/>
      <c r="S1201" s="100"/>
      <c r="T1201" s="24">
        <f t="shared" si="411"/>
        <v>-0.5454545455</v>
      </c>
      <c r="U1201" s="179">
        <f t="shared" si="412"/>
        <v>-1</v>
      </c>
      <c r="V1201" s="179" t="str">
        <f t="shared" si="413"/>
        <v/>
      </c>
      <c r="W1201" s="179" t="str">
        <f t="shared" si="414"/>
        <v/>
      </c>
      <c r="X1201" s="26"/>
    </row>
    <row r="1202">
      <c r="A1202" s="28"/>
      <c r="B1202" s="28"/>
      <c r="C1202" s="107"/>
      <c r="D1202" s="83" t="s">
        <v>569</v>
      </c>
      <c r="E1202" s="105">
        <f>130000*4</f>
        <v>520000</v>
      </c>
      <c r="F1202" s="105">
        <f>230000*4</f>
        <v>920000</v>
      </c>
      <c r="G1202" s="34">
        <f t="shared" si="425"/>
        <v>0.7692307692</v>
      </c>
      <c r="H1202" s="99"/>
      <c r="I1202" s="99"/>
      <c r="J1202" s="99"/>
      <c r="K1202" s="99"/>
      <c r="L1202" s="99"/>
      <c r="M1202" s="99"/>
      <c r="N1202" s="99"/>
      <c r="O1202" s="99"/>
      <c r="P1202" s="99"/>
      <c r="Q1202" s="108"/>
      <c r="R1202" s="108"/>
      <c r="S1202" s="100"/>
      <c r="T1202" s="24">
        <f t="shared" si="411"/>
        <v>-0.7692307692</v>
      </c>
      <c r="U1202" s="179">
        <f t="shared" si="412"/>
        <v>-1</v>
      </c>
      <c r="V1202" s="179" t="str">
        <f t="shared" si="413"/>
        <v/>
      </c>
      <c r="W1202" s="179" t="str">
        <f t="shared" si="414"/>
        <v/>
      </c>
      <c r="X1202" s="26"/>
    </row>
    <row r="1203">
      <c r="A1203" s="28"/>
      <c r="B1203" s="28"/>
      <c r="C1203" s="107"/>
      <c r="D1203" s="83" t="s">
        <v>570</v>
      </c>
      <c r="E1203" s="105">
        <f>968000*2</f>
        <v>1936000</v>
      </c>
      <c r="F1203" s="105">
        <f>600000*4</f>
        <v>2400000</v>
      </c>
      <c r="G1203" s="34">
        <f t="shared" si="425"/>
        <v>0.2396694215</v>
      </c>
      <c r="H1203" s="99"/>
      <c r="I1203" s="99"/>
      <c r="J1203" s="99"/>
      <c r="K1203" s="99"/>
      <c r="L1203" s="99"/>
      <c r="M1203" s="99"/>
      <c r="N1203" s="99"/>
      <c r="O1203" s="99"/>
      <c r="P1203" s="99"/>
      <c r="Q1203" s="108"/>
      <c r="R1203" s="108"/>
      <c r="S1203" s="100"/>
      <c r="T1203" s="24">
        <f t="shared" si="411"/>
        <v>-0.2396694215</v>
      </c>
      <c r="U1203" s="179">
        <f t="shared" si="412"/>
        <v>-1</v>
      </c>
      <c r="V1203" s="179" t="str">
        <f t="shared" si="413"/>
        <v/>
      </c>
      <c r="W1203" s="179" t="str">
        <f t="shared" si="414"/>
        <v/>
      </c>
      <c r="X1203" s="26"/>
    </row>
    <row r="1204">
      <c r="A1204" s="28"/>
      <c r="B1204" s="28"/>
      <c r="C1204" s="107"/>
      <c r="D1204" s="250" t="s">
        <v>571</v>
      </c>
      <c r="E1204" s="105">
        <f>145000</f>
        <v>145000</v>
      </c>
      <c r="F1204" s="201">
        <v>300000.0</v>
      </c>
      <c r="G1204" s="34">
        <f t="shared" si="425"/>
        <v>1.068965517</v>
      </c>
      <c r="H1204" s="99"/>
      <c r="I1204" s="99"/>
      <c r="J1204" s="99"/>
      <c r="K1204" s="99"/>
      <c r="L1204" s="99"/>
      <c r="M1204" s="99"/>
      <c r="N1204" s="99"/>
      <c r="O1204" s="99"/>
      <c r="P1204" s="99"/>
      <c r="Q1204" s="108"/>
      <c r="R1204" s="108"/>
      <c r="S1204" s="100"/>
      <c r="T1204" s="24">
        <f t="shared" si="411"/>
        <v>-1.068965517</v>
      </c>
      <c r="U1204" s="179">
        <f t="shared" si="412"/>
        <v>-1</v>
      </c>
      <c r="V1204" s="179" t="str">
        <f t="shared" si="413"/>
        <v/>
      </c>
      <c r="W1204" s="179" t="str">
        <f t="shared" si="414"/>
        <v/>
      </c>
      <c r="X1204" s="26"/>
    </row>
    <row r="1205">
      <c r="A1205" s="28"/>
      <c r="B1205" s="28"/>
      <c r="C1205" s="107"/>
      <c r="D1205" s="83" t="s">
        <v>440</v>
      </c>
      <c r="E1205" s="201">
        <v>190000.0</v>
      </c>
      <c r="F1205" s="201">
        <v>550000.0</v>
      </c>
      <c r="G1205" s="34">
        <f t="shared" si="425"/>
        <v>1.894736842</v>
      </c>
      <c r="H1205" s="99"/>
      <c r="I1205" s="99"/>
      <c r="J1205" s="99"/>
      <c r="K1205" s="99"/>
      <c r="L1205" s="99"/>
      <c r="M1205" s="99"/>
      <c r="N1205" s="99"/>
      <c r="O1205" s="99"/>
      <c r="P1205" s="99"/>
      <c r="Q1205" s="108"/>
      <c r="R1205" s="108"/>
      <c r="S1205" s="100"/>
      <c r="T1205" s="24">
        <f t="shared" si="411"/>
        <v>-1.894736842</v>
      </c>
      <c r="U1205" s="179">
        <f t="shared" si="412"/>
        <v>-1</v>
      </c>
      <c r="V1205" s="179" t="str">
        <f t="shared" si="413"/>
        <v/>
      </c>
      <c r="W1205" s="179" t="str">
        <f t="shared" si="414"/>
        <v/>
      </c>
      <c r="X1205" s="26"/>
    </row>
    <row r="1206">
      <c r="A1206" s="28"/>
      <c r="B1206" s="28"/>
      <c r="C1206" s="107"/>
      <c r="D1206" s="83" t="s">
        <v>572</v>
      </c>
      <c r="E1206" s="201">
        <v>472600.0</v>
      </c>
      <c r="F1206" s="105">
        <f>320000*4</f>
        <v>1280000</v>
      </c>
      <c r="G1206" s="34">
        <f t="shared" si="425"/>
        <v>1.708421498</v>
      </c>
      <c r="H1206" s="99"/>
      <c r="I1206" s="99"/>
      <c r="J1206" s="99"/>
      <c r="K1206" s="99"/>
      <c r="L1206" s="99"/>
      <c r="M1206" s="99"/>
      <c r="N1206" s="99"/>
      <c r="O1206" s="99"/>
      <c r="P1206" s="99"/>
      <c r="Q1206" s="108"/>
      <c r="R1206" s="108"/>
      <c r="S1206" s="100"/>
      <c r="T1206" s="24">
        <f t="shared" si="411"/>
        <v>-1.708421498</v>
      </c>
      <c r="U1206" s="179">
        <f t="shared" si="412"/>
        <v>-1</v>
      </c>
      <c r="V1206" s="179" t="str">
        <f t="shared" si="413"/>
        <v/>
      </c>
      <c r="W1206" s="179" t="str">
        <f t="shared" si="414"/>
        <v/>
      </c>
      <c r="X1206" s="26"/>
    </row>
    <row r="1207">
      <c r="A1207" s="28"/>
      <c r="B1207" s="28"/>
      <c r="C1207" s="107"/>
      <c r="D1207" s="83" t="s">
        <v>573</v>
      </c>
      <c r="E1207" s="105">
        <f>279650*4</f>
        <v>1118600</v>
      </c>
      <c r="F1207" s="105">
        <f>480000*4</f>
        <v>1920000</v>
      </c>
      <c r="G1207" s="34">
        <f t="shared" si="425"/>
        <v>0.7164312534</v>
      </c>
      <c r="H1207" s="99"/>
      <c r="I1207" s="99"/>
      <c r="J1207" s="99"/>
      <c r="K1207" s="99"/>
      <c r="L1207" s="99"/>
      <c r="M1207" s="99"/>
      <c r="N1207" s="99"/>
      <c r="O1207" s="99"/>
      <c r="P1207" s="99"/>
      <c r="Q1207" s="108"/>
      <c r="R1207" s="108"/>
      <c r="S1207" s="100"/>
      <c r="T1207" s="24">
        <f t="shared" si="411"/>
        <v>-0.7164312534</v>
      </c>
      <c r="U1207" s="179">
        <f t="shared" si="412"/>
        <v>-1</v>
      </c>
      <c r="V1207" s="179" t="str">
        <f t="shared" si="413"/>
        <v/>
      </c>
      <c r="W1207" s="179" t="str">
        <f t="shared" si="414"/>
        <v/>
      </c>
      <c r="X1207" s="26"/>
    </row>
    <row r="1208">
      <c r="A1208" s="28"/>
      <c r="B1208" s="28"/>
      <c r="C1208" s="107"/>
      <c r="D1208" s="83" t="s">
        <v>121</v>
      </c>
      <c r="E1208" s="201">
        <v>150000.0</v>
      </c>
      <c r="F1208" s="201">
        <v>550000.0</v>
      </c>
      <c r="G1208" s="34">
        <f t="shared" si="425"/>
        <v>2.666666667</v>
      </c>
      <c r="H1208" s="99"/>
      <c r="I1208" s="99"/>
      <c r="J1208" s="99"/>
      <c r="K1208" s="99"/>
      <c r="L1208" s="99"/>
      <c r="M1208" s="99"/>
      <c r="N1208" s="99"/>
      <c r="O1208" s="99"/>
      <c r="P1208" s="99"/>
      <c r="Q1208" s="108"/>
      <c r="R1208" s="108"/>
      <c r="S1208" s="100"/>
      <c r="T1208" s="24">
        <f t="shared" si="411"/>
        <v>-2.666666667</v>
      </c>
      <c r="U1208" s="179">
        <f t="shared" si="412"/>
        <v>-1</v>
      </c>
      <c r="V1208" s="179" t="str">
        <f t="shared" si="413"/>
        <v/>
      </c>
      <c r="W1208" s="179" t="str">
        <f t="shared" si="414"/>
        <v/>
      </c>
      <c r="X1208" s="26"/>
    </row>
    <row r="1209">
      <c r="A1209" s="28"/>
      <c r="B1209" s="28"/>
      <c r="C1209" s="107"/>
      <c r="D1209" s="83" t="s">
        <v>101</v>
      </c>
      <c r="E1209" s="105">
        <f t="shared" ref="E1209:F1209" si="426">SUM(E1199:E1208)</f>
        <v>6741200</v>
      </c>
      <c r="F1209" s="105">
        <f t="shared" si="426"/>
        <v>11580000</v>
      </c>
      <c r="G1209" s="34">
        <f t="shared" si="425"/>
        <v>0.7177950513</v>
      </c>
      <c r="H1209" s="99"/>
      <c r="I1209" s="99"/>
      <c r="J1209" s="99"/>
      <c r="K1209" s="99"/>
      <c r="L1209" s="99"/>
      <c r="M1209" s="99"/>
      <c r="N1209" s="99"/>
      <c r="O1209" s="99"/>
      <c r="P1209" s="99"/>
      <c r="Q1209" s="108"/>
      <c r="R1209" s="108"/>
      <c r="S1209" s="100"/>
      <c r="T1209" s="24">
        <f t="shared" si="411"/>
        <v>-0.7177950513</v>
      </c>
      <c r="U1209" s="179">
        <f t="shared" si="412"/>
        <v>-1</v>
      </c>
      <c r="V1209" s="179" t="str">
        <f t="shared" si="413"/>
        <v/>
      </c>
      <c r="W1209" s="179" t="str">
        <f t="shared" si="414"/>
        <v/>
      </c>
      <c r="X1209" s="26"/>
    </row>
    <row r="1210">
      <c r="A1210" s="28"/>
      <c r="B1210" s="28"/>
      <c r="C1210" s="107"/>
      <c r="D1210" s="83" t="s">
        <v>148</v>
      </c>
      <c r="E1210" s="105">
        <f>F1209-E1209</f>
        <v>4838800</v>
      </c>
      <c r="F1210" s="105"/>
      <c r="G1210" s="34"/>
      <c r="H1210" s="99"/>
      <c r="I1210" s="99"/>
      <c r="J1210" s="99"/>
      <c r="K1210" s="99"/>
      <c r="L1210" s="99"/>
      <c r="M1210" s="99"/>
      <c r="N1210" s="99"/>
      <c r="O1210" s="99"/>
      <c r="P1210" s="99"/>
      <c r="Q1210" s="108"/>
      <c r="R1210" s="108"/>
      <c r="S1210" s="100"/>
      <c r="T1210" s="24">
        <f t="shared" si="411"/>
        <v>0</v>
      </c>
      <c r="U1210" s="179" t="str">
        <f t="shared" si="412"/>
        <v/>
      </c>
      <c r="V1210" s="179" t="str">
        <f t="shared" si="413"/>
        <v/>
      </c>
      <c r="W1210" s="179" t="str">
        <f t="shared" si="414"/>
        <v/>
      </c>
      <c r="X1210" s="26"/>
    </row>
    <row r="1211">
      <c r="A1211" s="28"/>
      <c r="B1211" s="28"/>
      <c r="C1211" s="107"/>
      <c r="D1211" s="83"/>
      <c r="E1211" s="105"/>
      <c r="F1211" s="105"/>
      <c r="G1211" s="99"/>
      <c r="H1211" s="99"/>
      <c r="I1211" s="99"/>
      <c r="J1211" s="99"/>
      <c r="K1211" s="99"/>
      <c r="L1211" s="99"/>
      <c r="M1211" s="99"/>
      <c r="N1211" s="99"/>
      <c r="O1211" s="99"/>
      <c r="P1211" s="99"/>
      <c r="Q1211" s="108"/>
      <c r="R1211" s="108"/>
      <c r="S1211" s="100"/>
      <c r="T1211" s="24">
        <f t="shared" si="411"/>
        <v>0</v>
      </c>
      <c r="U1211" s="179" t="str">
        <f t="shared" si="412"/>
        <v/>
      </c>
      <c r="V1211" s="179" t="str">
        <f t="shared" si="413"/>
        <v/>
      </c>
      <c r="W1211" s="179" t="str">
        <f t="shared" si="414"/>
        <v/>
      </c>
      <c r="X1211" s="26"/>
    </row>
    <row r="1212" hidden="1">
      <c r="A1212" s="28"/>
      <c r="B1212" s="28"/>
      <c r="C1212" s="82" t="s">
        <v>561</v>
      </c>
      <c r="D1212" s="83" t="s">
        <v>574</v>
      </c>
      <c r="E1212" s="249">
        <v>192000.0</v>
      </c>
      <c r="F1212" s="201">
        <v>400000.0</v>
      </c>
      <c r="G1212" s="34">
        <f t="shared" ref="G1212:G1213" si="427">(F1212-E1212)/E1212</f>
        <v>1.083333333</v>
      </c>
      <c r="H1212" s="99"/>
      <c r="I1212" s="99"/>
      <c r="J1212" s="99"/>
      <c r="K1212" s="99"/>
      <c r="L1212" s="99"/>
      <c r="M1212" s="99"/>
      <c r="N1212" s="99"/>
      <c r="O1212" s="99"/>
      <c r="P1212" s="99"/>
      <c r="Q1212" s="108"/>
      <c r="R1212" s="108"/>
      <c r="S1212" s="100"/>
      <c r="T1212" s="24"/>
      <c r="U1212" s="179"/>
      <c r="V1212" s="179"/>
      <c r="W1212" s="179"/>
      <c r="X1212" s="26"/>
    </row>
    <row r="1213" hidden="1">
      <c r="D1213" s="205" t="s">
        <v>155</v>
      </c>
      <c r="E1213" s="249">
        <f>120000*4</f>
        <v>480000</v>
      </c>
      <c r="F1213" s="105">
        <f>220000*4</f>
        <v>880000</v>
      </c>
      <c r="G1213" s="34">
        <f t="shared" si="427"/>
        <v>0.8333333333</v>
      </c>
    </row>
    <row r="1214" hidden="1">
      <c r="A1214" s="28"/>
      <c r="B1214" s="28"/>
      <c r="C1214" s="82"/>
      <c r="D1214" s="83" t="s">
        <v>575</v>
      </c>
      <c r="E1214" s="249">
        <v>192000.0</v>
      </c>
      <c r="F1214" s="201">
        <v>400000.0</v>
      </c>
      <c r="G1214" s="34"/>
      <c r="H1214" s="99"/>
      <c r="I1214" s="99"/>
      <c r="J1214" s="99"/>
      <c r="K1214" s="99"/>
      <c r="L1214" s="99"/>
      <c r="M1214" s="99"/>
      <c r="N1214" s="99"/>
      <c r="O1214" s="99"/>
      <c r="P1214" s="99"/>
      <c r="Q1214" s="108"/>
      <c r="R1214" s="108"/>
      <c r="S1214" s="100"/>
      <c r="T1214" s="24"/>
      <c r="U1214" s="179"/>
      <c r="V1214" s="179"/>
      <c r="W1214" s="179"/>
      <c r="X1214" s="26"/>
    </row>
    <row r="1215" hidden="1">
      <c r="A1215" s="28"/>
      <c r="B1215" s="28"/>
      <c r="C1215" s="82"/>
      <c r="D1215" s="83" t="s">
        <v>562</v>
      </c>
      <c r="E1215" s="201">
        <v>192000.0</v>
      </c>
      <c r="F1215" s="201">
        <v>400000.0</v>
      </c>
      <c r="G1215" s="34">
        <f t="shared" ref="G1215:G1219" si="428">(F1215-E1215)/E1215</f>
        <v>1.083333333</v>
      </c>
      <c r="H1215" s="99"/>
      <c r="I1215" s="99"/>
      <c r="J1215" s="99"/>
      <c r="K1215" s="99"/>
      <c r="L1215" s="99"/>
      <c r="M1215" s="99"/>
      <c r="N1215" s="99"/>
      <c r="O1215" s="99"/>
      <c r="P1215" s="99"/>
      <c r="Q1215" s="108"/>
      <c r="R1215" s="108"/>
      <c r="S1215" s="100"/>
      <c r="T1215" s="24">
        <f t="shared" ref="T1215:T1254" si="429">P1215-(G1215+S1215)-(P1215*R1215)-(P1215*Q1215)</f>
        <v>-1.083333333</v>
      </c>
      <c r="U1215" s="179">
        <f t="shared" ref="U1215:U1254" si="430">IFERROR((P1215-G1215)/G1215,"")</f>
        <v>-1</v>
      </c>
      <c r="V1215" s="179" t="str">
        <f t="shared" ref="V1215:V1254" si="431">IFERROR((P1215-G1215)/P1215,"")</f>
        <v/>
      </c>
      <c r="W1215" s="179" t="str">
        <f t="shared" ref="W1215:W1254" si="432">IFERROR(T1215/P1215,"")</f>
        <v/>
      </c>
      <c r="X1215" s="26"/>
    </row>
    <row r="1216" hidden="1">
      <c r="A1216" s="28"/>
      <c r="B1216" s="28"/>
      <c r="C1216" s="107"/>
      <c r="D1216" s="83" t="s">
        <v>563</v>
      </c>
      <c r="E1216" s="249">
        <f>146200 *4</f>
        <v>584800</v>
      </c>
      <c r="F1216" s="105">
        <f>320000*4</f>
        <v>1280000</v>
      </c>
      <c r="G1216" s="34">
        <f t="shared" si="428"/>
        <v>1.18878249</v>
      </c>
      <c r="H1216" s="99"/>
      <c r="I1216" s="99"/>
      <c r="J1216" s="99"/>
      <c r="K1216" s="99"/>
      <c r="L1216" s="99"/>
      <c r="M1216" s="99"/>
      <c r="N1216" s="99"/>
      <c r="O1216" s="99"/>
      <c r="P1216" s="99"/>
      <c r="Q1216" s="108"/>
      <c r="R1216" s="108"/>
      <c r="S1216" s="100"/>
      <c r="T1216" s="24">
        <f t="shared" si="429"/>
        <v>-1.18878249</v>
      </c>
      <c r="U1216" s="179">
        <f t="shared" si="430"/>
        <v>-1</v>
      </c>
      <c r="V1216" s="179" t="str">
        <f t="shared" si="431"/>
        <v/>
      </c>
      <c r="W1216" s="179" t="str">
        <f t="shared" si="432"/>
        <v/>
      </c>
      <c r="X1216" s="26"/>
    </row>
    <row r="1217" hidden="1">
      <c r="A1217" s="28"/>
      <c r="B1217" s="28"/>
      <c r="C1217" s="107"/>
      <c r="D1217" s="83" t="s">
        <v>445</v>
      </c>
      <c r="E1217" s="105">
        <f>279650*4</f>
        <v>1118600</v>
      </c>
      <c r="F1217" s="105">
        <f>F1207</f>
        <v>1920000</v>
      </c>
      <c r="G1217" s="34">
        <f t="shared" si="428"/>
        <v>0.7164312534</v>
      </c>
      <c r="H1217" s="99"/>
      <c r="I1217" s="99"/>
      <c r="J1217" s="99"/>
      <c r="K1217" s="99"/>
      <c r="L1217" s="99"/>
      <c r="M1217" s="99"/>
      <c r="N1217" s="99"/>
      <c r="O1217" s="99"/>
      <c r="P1217" s="99"/>
      <c r="Q1217" s="108"/>
      <c r="R1217" s="108"/>
      <c r="S1217" s="100"/>
      <c r="T1217" s="24">
        <f t="shared" si="429"/>
        <v>-0.7164312534</v>
      </c>
      <c r="U1217" s="179">
        <f t="shared" si="430"/>
        <v>-1</v>
      </c>
      <c r="V1217" s="179" t="str">
        <f t="shared" si="431"/>
        <v/>
      </c>
      <c r="W1217" s="179" t="str">
        <f t="shared" si="432"/>
        <v/>
      </c>
      <c r="X1217" s="26"/>
    </row>
    <row r="1218" hidden="1">
      <c r="A1218" s="28"/>
      <c r="B1218" s="28"/>
      <c r="C1218" s="107"/>
      <c r="D1218" s="83" t="s">
        <v>565</v>
      </c>
      <c r="E1218" s="201">
        <v>155000.0</v>
      </c>
      <c r="F1218" s="201">
        <v>400000.0</v>
      </c>
      <c r="G1218" s="34">
        <f t="shared" si="428"/>
        <v>1.580645161</v>
      </c>
      <c r="H1218" s="99"/>
      <c r="I1218" s="99"/>
      <c r="J1218" s="99"/>
      <c r="K1218" s="99"/>
      <c r="L1218" s="99"/>
      <c r="M1218" s="99"/>
      <c r="N1218" s="99"/>
      <c r="O1218" s="99"/>
      <c r="P1218" s="99"/>
      <c r="Q1218" s="108"/>
      <c r="R1218" s="108"/>
      <c r="S1218" s="100"/>
      <c r="T1218" s="24">
        <f t="shared" si="429"/>
        <v>-1.580645161</v>
      </c>
      <c r="U1218" s="179">
        <f t="shared" si="430"/>
        <v>-1</v>
      </c>
      <c r="V1218" s="179" t="str">
        <f t="shared" si="431"/>
        <v/>
      </c>
      <c r="W1218" s="179" t="str">
        <f t="shared" si="432"/>
        <v/>
      </c>
      <c r="X1218" s="26"/>
    </row>
    <row r="1219" hidden="1">
      <c r="A1219" s="28"/>
      <c r="B1219" s="28"/>
      <c r="C1219" s="107"/>
      <c r="D1219" s="83" t="s">
        <v>101</v>
      </c>
      <c r="E1219" s="105">
        <f>E1215+E1216+E1217+E1218</f>
        <v>2050400</v>
      </c>
      <c r="F1219" s="105">
        <f>SUM(F1215:F1218)</f>
        <v>4000000</v>
      </c>
      <c r="G1219" s="34">
        <f t="shared" si="428"/>
        <v>0.9508388607</v>
      </c>
      <c r="H1219" s="99"/>
      <c r="I1219" s="99"/>
      <c r="J1219" s="99"/>
      <c r="K1219" s="99"/>
      <c r="L1219" s="99"/>
      <c r="M1219" s="99"/>
      <c r="N1219" s="99"/>
      <c r="O1219" s="99"/>
      <c r="P1219" s="99"/>
      <c r="Q1219" s="108"/>
      <c r="R1219" s="108"/>
      <c r="S1219" s="100"/>
      <c r="T1219" s="24">
        <f t="shared" si="429"/>
        <v>-0.9508388607</v>
      </c>
      <c r="U1219" s="179">
        <f t="shared" si="430"/>
        <v>-1</v>
      </c>
      <c r="V1219" s="179" t="str">
        <f t="shared" si="431"/>
        <v/>
      </c>
      <c r="W1219" s="179" t="str">
        <f t="shared" si="432"/>
        <v/>
      </c>
      <c r="X1219" s="26"/>
    </row>
    <row r="1220" hidden="1">
      <c r="A1220" s="28"/>
      <c r="B1220" s="28"/>
      <c r="C1220" s="107"/>
      <c r="D1220" s="83" t="s">
        <v>148</v>
      </c>
      <c r="E1220" s="105">
        <f>F1219-E1219</f>
        <v>1949600</v>
      </c>
      <c r="F1220" s="105"/>
      <c r="G1220" s="34"/>
      <c r="H1220" s="99"/>
      <c r="I1220" s="99"/>
      <c r="J1220" s="99"/>
      <c r="K1220" s="99"/>
      <c r="L1220" s="99"/>
      <c r="M1220" s="99"/>
      <c r="N1220" s="99"/>
      <c r="O1220" s="99"/>
      <c r="P1220" s="99"/>
      <c r="Q1220" s="108"/>
      <c r="R1220" s="108"/>
      <c r="S1220" s="100"/>
      <c r="T1220" s="24">
        <f t="shared" si="429"/>
        <v>0</v>
      </c>
      <c r="U1220" s="179" t="str">
        <f t="shared" si="430"/>
        <v/>
      </c>
      <c r="V1220" s="179" t="str">
        <f t="shared" si="431"/>
        <v/>
      </c>
      <c r="W1220" s="179" t="str">
        <f t="shared" si="432"/>
        <v/>
      </c>
      <c r="X1220" s="26"/>
    </row>
    <row r="1221" hidden="1">
      <c r="A1221" s="28"/>
      <c r="B1221" s="28"/>
      <c r="C1221" s="107"/>
      <c r="D1221" s="97"/>
      <c r="E1221" s="105"/>
      <c r="F1221" s="105"/>
      <c r="G1221" s="34"/>
      <c r="H1221" s="99"/>
      <c r="I1221" s="99"/>
      <c r="J1221" s="99"/>
      <c r="K1221" s="99"/>
      <c r="L1221" s="99"/>
      <c r="M1221" s="99"/>
      <c r="N1221" s="99"/>
      <c r="O1221" s="99"/>
      <c r="P1221" s="99"/>
      <c r="Q1221" s="108"/>
      <c r="R1221" s="108"/>
      <c r="S1221" s="100"/>
      <c r="T1221" s="24">
        <f t="shared" si="429"/>
        <v>0</v>
      </c>
      <c r="U1221" s="179" t="str">
        <f t="shared" si="430"/>
        <v/>
      </c>
      <c r="V1221" s="179" t="str">
        <f t="shared" si="431"/>
        <v/>
      </c>
      <c r="W1221" s="179" t="str">
        <f t="shared" si="432"/>
        <v/>
      </c>
      <c r="X1221" s="26"/>
    </row>
    <row r="1222" hidden="1">
      <c r="A1222" s="28"/>
      <c r="B1222" s="28"/>
      <c r="C1222" s="107"/>
      <c r="D1222" s="97"/>
      <c r="E1222" s="105"/>
      <c r="F1222" s="105"/>
      <c r="G1222" s="99"/>
      <c r="H1222" s="99"/>
      <c r="I1222" s="99"/>
      <c r="J1222" s="99"/>
      <c r="K1222" s="99"/>
      <c r="L1222" s="99"/>
      <c r="M1222" s="99"/>
      <c r="N1222" s="99"/>
      <c r="O1222" s="99"/>
      <c r="P1222" s="99"/>
      <c r="Q1222" s="108"/>
      <c r="R1222" s="108"/>
      <c r="S1222" s="100"/>
      <c r="T1222" s="24">
        <f t="shared" si="429"/>
        <v>0</v>
      </c>
      <c r="U1222" s="179" t="str">
        <f t="shared" si="430"/>
        <v/>
      </c>
      <c r="V1222" s="179" t="str">
        <f t="shared" si="431"/>
        <v/>
      </c>
      <c r="W1222" s="179" t="str">
        <f t="shared" si="432"/>
        <v/>
      </c>
      <c r="X1222" s="26"/>
    </row>
    <row r="1223" hidden="1">
      <c r="A1223" s="28"/>
      <c r="B1223" s="28"/>
      <c r="C1223" s="82" t="s">
        <v>576</v>
      </c>
      <c r="D1223" s="83" t="s">
        <v>574</v>
      </c>
      <c r="E1223" s="249"/>
      <c r="F1223" s="201">
        <v>400000.0</v>
      </c>
      <c r="G1223" s="34" t="str">
        <f t="shared" ref="G1223:G1230" si="433">(F1223-E1223)/E1223</f>
        <v>#DIV/0!</v>
      </c>
      <c r="H1223" s="99"/>
      <c r="I1223" s="99"/>
      <c r="J1223" s="99"/>
      <c r="K1223" s="99"/>
      <c r="L1223" s="99"/>
      <c r="M1223" s="99"/>
      <c r="N1223" s="99"/>
      <c r="O1223" s="99"/>
      <c r="P1223" s="99"/>
      <c r="Q1223" s="108"/>
      <c r="R1223" s="108"/>
      <c r="S1223" s="100"/>
      <c r="T1223" s="24" t="str">
        <f t="shared" si="429"/>
        <v>#DIV/0!</v>
      </c>
      <c r="U1223" s="179" t="str">
        <f t="shared" si="430"/>
        <v/>
      </c>
      <c r="V1223" s="179" t="str">
        <f t="shared" si="431"/>
        <v/>
      </c>
      <c r="W1223" s="179" t="str">
        <f t="shared" si="432"/>
        <v/>
      </c>
      <c r="X1223" s="26"/>
    </row>
    <row r="1224" hidden="1">
      <c r="A1224" s="28"/>
      <c r="B1224" s="28"/>
      <c r="C1224" s="107"/>
      <c r="D1224" s="205" t="s">
        <v>577</v>
      </c>
      <c r="E1224" s="249">
        <v>1329200.0</v>
      </c>
      <c r="F1224" s="105">
        <f>E1224*1.5</f>
        <v>1993800</v>
      </c>
      <c r="G1224" s="34">
        <f t="shared" si="433"/>
        <v>0.5</v>
      </c>
      <c r="H1224" s="99"/>
      <c r="I1224" s="99"/>
      <c r="J1224" s="99"/>
      <c r="K1224" s="99"/>
      <c r="L1224" s="99"/>
      <c r="M1224" s="99"/>
      <c r="N1224" s="99"/>
      <c r="O1224" s="99"/>
      <c r="P1224" s="99"/>
      <c r="Q1224" s="108"/>
      <c r="R1224" s="108"/>
      <c r="S1224" s="100"/>
      <c r="T1224" s="24">
        <f t="shared" si="429"/>
        <v>-0.5</v>
      </c>
      <c r="U1224" s="179">
        <f t="shared" si="430"/>
        <v>-1</v>
      </c>
      <c r="V1224" s="179" t="str">
        <f t="shared" si="431"/>
        <v/>
      </c>
      <c r="W1224" s="179" t="str">
        <f t="shared" si="432"/>
        <v/>
      </c>
      <c r="X1224" s="26"/>
    </row>
    <row r="1225" hidden="1">
      <c r="A1225" s="28"/>
      <c r="B1225" s="28"/>
      <c r="C1225" s="107"/>
      <c r="D1225" s="83" t="s">
        <v>575</v>
      </c>
      <c r="E1225" s="249"/>
      <c r="F1225" s="201">
        <v>400000.0</v>
      </c>
      <c r="G1225" s="34" t="str">
        <f t="shared" si="433"/>
        <v>#DIV/0!</v>
      </c>
      <c r="H1225" s="99"/>
      <c r="I1225" s="99"/>
      <c r="J1225" s="99"/>
      <c r="K1225" s="99"/>
      <c r="L1225" s="99"/>
      <c r="M1225" s="99"/>
      <c r="N1225" s="99"/>
      <c r="O1225" s="99"/>
      <c r="P1225" s="99"/>
      <c r="Q1225" s="108"/>
      <c r="R1225" s="108"/>
      <c r="S1225" s="100"/>
      <c r="T1225" s="24" t="str">
        <f t="shared" si="429"/>
        <v>#DIV/0!</v>
      </c>
      <c r="U1225" s="179" t="str">
        <f t="shared" si="430"/>
        <v/>
      </c>
      <c r="V1225" s="179" t="str">
        <f t="shared" si="431"/>
        <v/>
      </c>
      <c r="W1225" s="179" t="str">
        <f t="shared" si="432"/>
        <v/>
      </c>
      <c r="X1225" s="26"/>
    </row>
    <row r="1226" hidden="1">
      <c r="A1226" s="28"/>
      <c r="B1226" s="28"/>
      <c r="C1226" s="107"/>
      <c r="D1226" s="83" t="s">
        <v>562</v>
      </c>
      <c r="E1226" s="201">
        <v>192000.0</v>
      </c>
      <c r="F1226" s="201">
        <v>400000.0</v>
      </c>
      <c r="G1226" s="34">
        <f t="shared" si="433"/>
        <v>1.083333333</v>
      </c>
      <c r="H1226" s="99"/>
      <c r="I1226" s="99"/>
      <c r="J1226" s="99"/>
      <c r="K1226" s="99"/>
      <c r="L1226" s="99"/>
      <c r="M1226" s="99"/>
      <c r="N1226" s="99"/>
      <c r="O1226" s="99"/>
      <c r="P1226" s="99"/>
      <c r="Q1226" s="108"/>
      <c r="R1226" s="108"/>
      <c r="S1226" s="100"/>
      <c r="T1226" s="24">
        <f t="shared" si="429"/>
        <v>-1.083333333</v>
      </c>
      <c r="U1226" s="179">
        <f t="shared" si="430"/>
        <v>-1</v>
      </c>
      <c r="V1226" s="179" t="str">
        <f t="shared" si="431"/>
        <v/>
      </c>
      <c r="W1226" s="179" t="str">
        <f t="shared" si="432"/>
        <v/>
      </c>
      <c r="X1226" s="26"/>
    </row>
    <row r="1227" hidden="1">
      <c r="A1227" s="28"/>
      <c r="B1227" s="28"/>
      <c r="C1227" s="107"/>
      <c r="D1227" s="83" t="s">
        <v>563</v>
      </c>
      <c r="E1227" s="249">
        <f>146200 *4</f>
        <v>584800</v>
      </c>
      <c r="F1227" s="105">
        <f>320000*4</f>
        <v>1280000</v>
      </c>
      <c r="G1227" s="34">
        <f t="shared" si="433"/>
        <v>1.18878249</v>
      </c>
      <c r="H1227" s="99"/>
      <c r="I1227" s="99"/>
      <c r="J1227" s="99"/>
      <c r="K1227" s="99"/>
      <c r="L1227" s="99"/>
      <c r="M1227" s="99"/>
      <c r="N1227" s="99"/>
      <c r="O1227" s="99"/>
      <c r="P1227" s="99"/>
      <c r="Q1227" s="108"/>
      <c r="R1227" s="108"/>
      <c r="S1227" s="100"/>
      <c r="T1227" s="24">
        <f t="shared" si="429"/>
        <v>-1.18878249</v>
      </c>
      <c r="U1227" s="179">
        <f t="shared" si="430"/>
        <v>-1</v>
      </c>
      <c r="V1227" s="179" t="str">
        <f t="shared" si="431"/>
        <v/>
      </c>
      <c r="W1227" s="179" t="str">
        <f t="shared" si="432"/>
        <v/>
      </c>
      <c r="X1227" s="26"/>
    </row>
    <row r="1228" hidden="1">
      <c r="A1228" s="28"/>
      <c r="B1228" s="28"/>
      <c r="C1228" s="107"/>
      <c r="D1228" s="83" t="s">
        <v>445</v>
      </c>
      <c r="E1228" s="105">
        <f>279650*4</f>
        <v>1118600</v>
      </c>
      <c r="F1228" s="105">
        <f>F1217</f>
        <v>1920000</v>
      </c>
      <c r="G1228" s="34">
        <f t="shared" si="433"/>
        <v>0.7164312534</v>
      </c>
      <c r="H1228" s="99"/>
      <c r="I1228" s="99"/>
      <c r="J1228" s="99"/>
      <c r="K1228" s="99"/>
      <c r="L1228" s="99"/>
      <c r="M1228" s="99"/>
      <c r="N1228" s="99"/>
      <c r="O1228" s="99"/>
      <c r="P1228" s="99"/>
      <c r="Q1228" s="108"/>
      <c r="R1228" s="108"/>
      <c r="S1228" s="100"/>
      <c r="T1228" s="24">
        <f t="shared" si="429"/>
        <v>-0.7164312534</v>
      </c>
      <c r="U1228" s="179">
        <f t="shared" si="430"/>
        <v>-1</v>
      </c>
      <c r="V1228" s="179" t="str">
        <f t="shared" si="431"/>
        <v/>
      </c>
      <c r="W1228" s="179" t="str">
        <f t="shared" si="432"/>
        <v/>
      </c>
      <c r="X1228" s="26"/>
    </row>
    <row r="1229" hidden="1">
      <c r="A1229" s="28"/>
      <c r="B1229" s="28"/>
      <c r="C1229" s="107"/>
      <c r="D1229" s="83" t="s">
        <v>565</v>
      </c>
      <c r="E1229" s="201">
        <v>155000.0</v>
      </c>
      <c r="F1229" s="201">
        <v>400000.0</v>
      </c>
      <c r="G1229" s="34">
        <f t="shared" si="433"/>
        <v>1.580645161</v>
      </c>
      <c r="H1229" s="99"/>
      <c r="I1229" s="99"/>
      <c r="J1229" s="99"/>
      <c r="K1229" s="99"/>
      <c r="L1229" s="99"/>
      <c r="M1229" s="99"/>
      <c r="N1229" s="99"/>
      <c r="O1229" s="99"/>
      <c r="P1229" s="99"/>
      <c r="Q1229" s="108"/>
      <c r="R1229" s="108"/>
      <c r="S1229" s="100"/>
      <c r="T1229" s="24">
        <f t="shared" si="429"/>
        <v>-1.580645161</v>
      </c>
      <c r="U1229" s="179">
        <f t="shared" si="430"/>
        <v>-1</v>
      </c>
      <c r="V1229" s="179" t="str">
        <f t="shared" si="431"/>
        <v/>
      </c>
      <c r="W1229" s="179" t="str">
        <f t="shared" si="432"/>
        <v/>
      </c>
      <c r="X1229" s="26"/>
    </row>
    <row r="1230" hidden="1">
      <c r="A1230" s="28"/>
      <c r="B1230" s="28"/>
      <c r="C1230" s="107"/>
      <c r="D1230" s="83" t="s">
        <v>101</v>
      </c>
      <c r="E1230" s="105">
        <f>SUM(E1223:E1229)</f>
        <v>3379600</v>
      </c>
      <c r="F1230" s="105">
        <f>F1223+F1224+F1225+F1226+F1227+F1228+F1229</f>
        <v>6793800</v>
      </c>
      <c r="G1230" s="34">
        <f t="shared" si="433"/>
        <v>1.010237898</v>
      </c>
      <c r="H1230" s="99"/>
      <c r="I1230" s="99"/>
      <c r="J1230" s="99"/>
      <c r="K1230" s="99"/>
      <c r="L1230" s="99"/>
      <c r="M1230" s="99"/>
      <c r="N1230" s="99"/>
      <c r="O1230" s="99"/>
      <c r="P1230" s="99"/>
      <c r="Q1230" s="108"/>
      <c r="R1230" s="108"/>
      <c r="S1230" s="100"/>
      <c r="T1230" s="24">
        <f t="shared" si="429"/>
        <v>-1.010237898</v>
      </c>
      <c r="U1230" s="179">
        <f t="shared" si="430"/>
        <v>-1</v>
      </c>
      <c r="V1230" s="179" t="str">
        <f t="shared" si="431"/>
        <v/>
      </c>
      <c r="W1230" s="179" t="str">
        <f t="shared" si="432"/>
        <v/>
      </c>
      <c r="X1230" s="26"/>
    </row>
    <row r="1231" hidden="1">
      <c r="A1231" s="28"/>
      <c r="B1231" s="28"/>
      <c r="C1231" s="107"/>
      <c r="D1231" s="83" t="s">
        <v>148</v>
      </c>
      <c r="E1231" s="105">
        <f>F1230-E1230</f>
        <v>3414200</v>
      </c>
      <c r="F1231" s="105"/>
      <c r="G1231" s="34"/>
      <c r="H1231" s="99"/>
      <c r="I1231" s="99"/>
      <c r="J1231" s="99"/>
      <c r="K1231" s="99"/>
      <c r="L1231" s="99"/>
      <c r="M1231" s="99"/>
      <c r="N1231" s="99"/>
      <c r="O1231" s="99"/>
      <c r="P1231" s="99"/>
      <c r="Q1231" s="108"/>
      <c r="R1231" s="108"/>
      <c r="S1231" s="100"/>
      <c r="T1231" s="24">
        <f t="shared" si="429"/>
        <v>0</v>
      </c>
      <c r="U1231" s="179" t="str">
        <f t="shared" si="430"/>
        <v/>
      </c>
      <c r="V1231" s="179" t="str">
        <f t="shared" si="431"/>
        <v/>
      </c>
      <c r="W1231" s="179" t="str">
        <f t="shared" si="432"/>
        <v/>
      </c>
      <c r="X1231" s="26"/>
    </row>
    <row r="1232" hidden="1">
      <c r="A1232" s="28"/>
      <c r="B1232" s="28"/>
      <c r="C1232" s="107"/>
      <c r="D1232" s="97"/>
      <c r="E1232" s="105"/>
      <c r="F1232" s="105"/>
      <c r="G1232" s="99"/>
      <c r="H1232" s="99"/>
      <c r="I1232" s="99"/>
      <c r="J1232" s="99"/>
      <c r="K1232" s="99"/>
      <c r="L1232" s="99"/>
      <c r="M1232" s="99"/>
      <c r="N1232" s="99"/>
      <c r="O1232" s="99"/>
      <c r="P1232" s="99"/>
      <c r="Q1232" s="108"/>
      <c r="R1232" s="108"/>
      <c r="S1232" s="100"/>
      <c r="T1232" s="24">
        <f t="shared" si="429"/>
        <v>0</v>
      </c>
      <c r="U1232" s="179" t="str">
        <f t="shared" si="430"/>
        <v/>
      </c>
      <c r="V1232" s="179" t="str">
        <f t="shared" si="431"/>
        <v/>
      </c>
      <c r="W1232" s="179" t="str">
        <f t="shared" si="432"/>
        <v/>
      </c>
      <c r="X1232" s="26"/>
    </row>
    <row r="1233" hidden="1">
      <c r="A1233" s="28"/>
      <c r="B1233" s="28"/>
      <c r="C1233" s="107"/>
      <c r="D1233" s="97"/>
      <c r="E1233" s="105"/>
      <c r="F1233" s="105"/>
      <c r="G1233" s="99"/>
      <c r="H1233" s="99"/>
      <c r="I1233" s="99"/>
      <c r="J1233" s="99"/>
      <c r="K1233" s="99"/>
      <c r="L1233" s="99"/>
      <c r="M1233" s="99"/>
      <c r="N1233" s="99"/>
      <c r="O1233" s="99"/>
      <c r="P1233" s="99"/>
      <c r="Q1233" s="108"/>
      <c r="R1233" s="108"/>
      <c r="S1233" s="100"/>
      <c r="T1233" s="24">
        <f t="shared" si="429"/>
        <v>0</v>
      </c>
      <c r="U1233" s="179" t="str">
        <f t="shared" si="430"/>
        <v/>
      </c>
      <c r="V1233" s="179" t="str">
        <f t="shared" si="431"/>
        <v/>
      </c>
      <c r="W1233" s="179" t="str">
        <f t="shared" si="432"/>
        <v/>
      </c>
      <c r="X1233" s="26"/>
    </row>
    <row r="1234" hidden="1">
      <c r="A1234" s="28"/>
      <c r="B1234" s="28"/>
      <c r="C1234" s="82" t="s">
        <v>578</v>
      </c>
      <c r="D1234" s="238" t="s">
        <v>579</v>
      </c>
      <c r="E1234" s="105">
        <f>390000*3</f>
        <v>1170000</v>
      </c>
      <c r="F1234" s="105">
        <f>610000*3</f>
        <v>1830000</v>
      </c>
      <c r="G1234" s="99"/>
      <c r="H1234" s="99"/>
      <c r="I1234" s="99"/>
      <c r="J1234" s="99"/>
      <c r="K1234" s="99"/>
      <c r="L1234" s="99"/>
      <c r="M1234" s="99"/>
      <c r="N1234" s="99"/>
      <c r="O1234" s="99"/>
      <c r="P1234" s="99"/>
      <c r="Q1234" s="108"/>
      <c r="R1234" s="108"/>
      <c r="S1234" s="100"/>
      <c r="T1234" s="24">
        <f t="shared" si="429"/>
        <v>0</v>
      </c>
      <c r="U1234" s="179" t="str">
        <f t="shared" si="430"/>
        <v/>
      </c>
      <c r="V1234" s="179" t="str">
        <f t="shared" si="431"/>
        <v/>
      </c>
      <c r="W1234" s="179" t="str">
        <f t="shared" si="432"/>
        <v/>
      </c>
      <c r="X1234" s="26"/>
    </row>
    <row r="1235" hidden="1">
      <c r="A1235" s="28"/>
      <c r="B1235" s="28"/>
      <c r="C1235" s="107"/>
      <c r="D1235" s="83" t="s">
        <v>580</v>
      </c>
      <c r="E1235" s="105">
        <f>370000*3</f>
        <v>1110000</v>
      </c>
      <c r="F1235" s="105">
        <f>510000*3</f>
        <v>1530000</v>
      </c>
      <c r="G1235" s="99"/>
      <c r="H1235" s="99"/>
      <c r="I1235" s="99"/>
      <c r="J1235" s="99"/>
      <c r="K1235" s="99"/>
      <c r="L1235" s="99"/>
      <c r="M1235" s="99"/>
      <c r="N1235" s="99"/>
      <c r="O1235" s="99"/>
      <c r="P1235" s="99"/>
      <c r="Q1235" s="108"/>
      <c r="R1235" s="108"/>
      <c r="S1235" s="100"/>
      <c r="T1235" s="24">
        <f t="shared" si="429"/>
        <v>0</v>
      </c>
      <c r="U1235" s="179" t="str">
        <f t="shared" si="430"/>
        <v/>
      </c>
      <c r="V1235" s="179" t="str">
        <f t="shared" si="431"/>
        <v/>
      </c>
      <c r="W1235" s="179" t="str">
        <f t="shared" si="432"/>
        <v/>
      </c>
      <c r="X1235" s="26"/>
    </row>
    <row r="1236" hidden="1">
      <c r="A1236" s="28"/>
      <c r="B1236" s="28"/>
      <c r="C1236" s="107"/>
      <c r="D1236" s="83" t="s">
        <v>581</v>
      </c>
      <c r="E1236" s="105">
        <f>300000*3</f>
        <v>900000</v>
      </c>
      <c r="F1236" s="105">
        <f>450000*3</f>
        <v>1350000</v>
      </c>
      <c r="G1236" s="99"/>
      <c r="H1236" s="99"/>
      <c r="I1236" s="99"/>
      <c r="J1236" s="99"/>
      <c r="K1236" s="99"/>
      <c r="L1236" s="99"/>
      <c r="M1236" s="99"/>
      <c r="N1236" s="99"/>
      <c r="O1236" s="99"/>
      <c r="P1236" s="99"/>
      <c r="Q1236" s="108"/>
      <c r="R1236" s="108"/>
      <c r="S1236" s="100"/>
      <c r="T1236" s="24">
        <f t="shared" si="429"/>
        <v>0</v>
      </c>
      <c r="U1236" s="179" t="str">
        <f t="shared" si="430"/>
        <v/>
      </c>
      <c r="V1236" s="179" t="str">
        <f t="shared" si="431"/>
        <v/>
      </c>
      <c r="W1236" s="179" t="str">
        <f t="shared" si="432"/>
        <v/>
      </c>
      <c r="X1236" s="26"/>
    </row>
    <row r="1237" hidden="1">
      <c r="A1237" s="28"/>
      <c r="B1237" s="28"/>
      <c r="C1237" s="107"/>
      <c r="D1237" s="83" t="s">
        <v>582</v>
      </c>
      <c r="E1237" s="105">
        <f>633000*3</f>
        <v>1899000</v>
      </c>
      <c r="F1237" s="105">
        <f>870000*3</f>
        <v>2610000</v>
      </c>
      <c r="G1237" s="99"/>
      <c r="H1237" s="99"/>
      <c r="I1237" s="99"/>
      <c r="J1237" s="99"/>
      <c r="K1237" s="99"/>
      <c r="L1237" s="99"/>
      <c r="M1237" s="99"/>
      <c r="N1237" s="99"/>
      <c r="O1237" s="99"/>
      <c r="P1237" s="99"/>
      <c r="Q1237" s="108"/>
      <c r="R1237" s="108"/>
      <c r="S1237" s="100"/>
      <c r="T1237" s="24">
        <f t="shared" si="429"/>
        <v>0</v>
      </c>
      <c r="U1237" s="179" t="str">
        <f t="shared" si="430"/>
        <v/>
      </c>
      <c r="V1237" s="179" t="str">
        <f t="shared" si="431"/>
        <v/>
      </c>
      <c r="W1237" s="179" t="str">
        <f t="shared" si="432"/>
        <v/>
      </c>
      <c r="X1237" s="26"/>
    </row>
    <row r="1238" hidden="1">
      <c r="A1238" s="28"/>
      <c r="B1238" s="28"/>
      <c r="C1238" s="107"/>
      <c r="D1238" s="83" t="s">
        <v>101</v>
      </c>
      <c r="E1238" s="105">
        <f>SUM(E1234:E1237)</f>
        <v>5079000</v>
      </c>
      <c r="F1238" s="105">
        <f>F1234+F1235+F1236+F1237</f>
        <v>7320000</v>
      </c>
      <c r="G1238" s="99"/>
      <c r="H1238" s="99"/>
      <c r="I1238" s="99"/>
      <c r="J1238" s="99"/>
      <c r="K1238" s="99"/>
      <c r="L1238" s="99"/>
      <c r="M1238" s="99"/>
      <c r="N1238" s="99"/>
      <c r="O1238" s="99"/>
      <c r="P1238" s="99"/>
      <c r="Q1238" s="108"/>
      <c r="R1238" s="108"/>
      <c r="S1238" s="100"/>
      <c r="T1238" s="24">
        <f t="shared" si="429"/>
        <v>0</v>
      </c>
      <c r="U1238" s="179" t="str">
        <f t="shared" si="430"/>
        <v/>
      </c>
      <c r="V1238" s="179" t="str">
        <f t="shared" si="431"/>
        <v/>
      </c>
      <c r="W1238" s="179" t="str">
        <f t="shared" si="432"/>
        <v/>
      </c>
      <c r="X1238" s="26"/>
    </row>
    <row r="1239" hidden="1">
      <c r="A1239" s="28"/>
      <c r="B1239" s="28"/>
      <c r="C1239" s="107"/>
      <c r="D1239" s="83" t="s">
        <v>148</v>
      </c>
      <c r="E1239" s="105">
        <f>F1238-E1238</f>
        <v>2241000</v>
      </c>
      <c r="F1239" s="105"/>
      <c r="G1239" s="99"/>
      <c r="H1239" s="99"/>
      <c r="I1239" s="99"/>
      <c r="J1239" s="99"/>
      <c r="K1239" s="99"/>
      <c r="L1239" s="99"/>
      <c r="M1239" s="99"/>
      <c r="N1239" s="99"/>
      <c r="O1239" s="99"/>
      <c r="P1239" s="99"/>
      <c r="Q1239" s="108"/>
      <c r="R1239" s="108"/>
      <c r="S1239" s="100"/>
      <c r="T1239" s="24">
        <f t="shared" si="429"/>
        <v>0</v>
      </c>
      <c r="U1239" s="179" t="str">
        <f t="shared" si="430"/>
        <v/>
      </c>
      <c r="V1239" s="179" t="str">
        <f t="shared" si="431"/>
        <v/>
      </c>
      <c r="W1239" s="179" t="str">
        <f t="shared" si="432"/>
        <v/>
      </c>
      <c r="X1239" s="26"/>
    </row>
    <row r="1240" hidden="1">
      <c r="A1240" s="28"/>
      <c r="B1240" s="28"/>
      <c r="C1240" s="107"/>
      <c r="D1240" s="97"/>
      <c r="E1240" s="105"/>
      <c r="F1240" s="105"/>
      <c r="G1240" s="99"/>
      <c r="H1240" s="99"/>
      <c r="I1240" s="99"/>
      <c r="J1240" s="99"/>
      <c r="K1240" s="99"/>
      <c r="L1240" s="99"/>
      <c r="M1240" s="99"/>
      <c r="N1240" s="99"/>
      <c r="O1240" s="99"/>
      <c r="P1240" s="99"/>
      <c r="Q1240" s="108"/>
      <c r="R1240" s="108"/>
      <c r="S1240" s="100"/>
      <c r="T1240" s="24">
        <f t="shared" si="429"/>
        <v>0</v>
      </c>
      <c r="U1240" s="179" t="str">
        <f t="shared" si="430"/>
        <v/>
      </c>
      <c r="V1240" s="179" t="str">
        <f t="shared" si="431"/>
        <v/>
      </c>
      <c r="W1240" s="179" t="str">
        <f t="shared" si="432"/>
        <v/>
      </c>
      <c r="X1240" s="26"/>
    </row>
    <row r="1241" hidden="1">
      <c r="A1241" s="28"/>
      <c r="B1241" s="28"/>
      <c r="C1241" s="107"/>
      <c r="D1241" s="97"/>
      <c r="E1241" s="105"/>
      <c r="F1241" s="105"/>
      <c r="G1241" s="99"/>
      <c r="H1241" s="99"/>
      <c r="I1241" s="99"/>
      <c r="J1241" s="99"/>
      <c r="K1241" s="99"/>
      <c r="L1241" s="99"/>
      <c r="M1241" s="99"/>
      <c r="N1241" s="99"/>
      <c r="O1241" s="99"/>
      <c r="P1241" s="99"/>
      <c r="Q1241" s="108"/>
      <c r="R1241" s="108"/>
      <c r="S1241" s="100"/>
      <c r="T1241" s="24">
        <f t="shared" si="429"/>
        <v>0</v>
      </c>
      <c r="U1241" s="179" t="str">
        <f t="shared" si="430"/>
        <v/>
      </c>
      <c r="V1241" s="179" t="str">
        <f t="shared" si="431"/>
        <v/>
      </c>
      <c r="W1241" s="179" t="str">
        <f t="shared" si="432"/>
        <v/>
      </c>
      <c r="X1241" s="26"/>
    </row>
    <row r="1242" hidden="1">
      <c r="A1242" s="28"/>
      <c r="B1242" s="28"/>
      <c r="C1242" s="107"/>
      <c r="D1242" s="97"/>
      <c r="E1242" s="201">
        <v>390000.0</v>
      </c>
      <c r="F1242" s="201">
        <v>510000.0</v>
      </c>
      <c r="G1242" s="99"/>
      <c r="H1242" s="99"/>
      <c r="I1242" s="99"/>
      <c r="J1242" s="99"/>
      <c r="K1242" s="99"/>
      <c r="L1242" s="99"/>
      <c r="M1242" s="99"/>
      <c r="N1242" s="99"/>
      <c r="O1242" s="99"/>
      <c r="P1242" s="99"/>
      <c r="Q1242" s="108"/>
      <c r="R1242" s="108"/>
      <c r="S1242" s="100"/>
      <c r="T1242" s="24">
        <f t="shared" si="429"/>
        <v>0</v>
      </c>
      <c r="U1242" s="179" t="str">
        <f t="shared" si="430"/>
        <v/>
      </c>
      <c r="V1242" s="179" t="str">
        <f t="shared" si="431"/>
        <v/>
      </c>
      <c r="W1242" s="179" t="str">
        <f t="shared" si="432"/>
        <v/>
      </c>
      <c r="X1242" s="26"/>
    </row>
    <row r="1243" hidden="1">
      <c r="A1243" s="28"/>
      <c r="B1243" s="28"/>
      <c r="C1243" s="107"/>
      <c r="D1243" s="97"/>
      <c r="E1243" s="105">
        <f>F1242-E1242</f>
        <v>120000</v>
      </c>
      <c r="F1243" s="105"/>
      <c r="G1243" s="99"/>
      <c r="H1243" s="99"/>
      <c r="I1243" s="99"/>
      <c r="J1243" s="99"/>
      <c r="K1243" s="99"/>
      <c r="L1243" s="99"/>
      <c r="M1243" s="99"/>
      <c r="N1243" s="99"/>
      <c r="O1243" s="99"/>
      <c r="P1243" s="99"/>
      <c r="Q1243" s="108"/>
      <c r="R1243" s="108"/>
      <c r="S1243" s="100"/>
      <c r="T1243" s="24">
        <f t="shared" si="429"/>
        <v>0</v>
      </c>
      <c r="U1243" s="179" t="str">
        <f t="shared" si="430"/>
        <v/>
      </c>
      <c r="V1243" s="179" t="str">
        <f t="shared" si="431"/>
        <v/>
      </c>
      <c r="W1243" s="179" t="str">
        <f t="shared" si="432"/>
        <v/>
      </c>
      <c r="X1243" s="26"/>
    </row>
    <row r="1244">
      <c r="A1244" s="28"/>
      <c r="B1244" s="28"/>
      <c r="C1244" s="107"/>
      <c r="D1244" s="97"/>
      <c r="E1244" s="105"/>
      <c r="F1244" s="105"/>
      <c r="G1244" s="99"/>
      <c r="H1244" s="99"/>
      <c r="I1244" s="99"/>
      <c r="J1244" s="99"/>
      <c r="K1244" s="99"/>
      <c r="L1244" s="99"/>
      <c r="M1244" s="99"/>
      <c r="N1244" s="99"/>
      <c r="O1244" s="99"/>
      <c r="P1244" s="99"/>
      <c r="Q1244" s="108"/>
      <c r="R1244" s="108"/>
      <c r="S1244" s="100"/>
      <c r="T1244" s="24">
        <f t="shared" si="429"/>
        <v>0</v>
      </c>
      <c r="U1244" s="179" t="str">
        <f t="shared" si="430"/>
        <v/>
      </c>
      <c r="V1244" s="179" t="str">
        <f t="shared" si="431"/>
        <v/>
      </c>
      <c r="W1244" s="179" t="str">
        <f t="shared" si="432"/>
        <v/>
      </c>
      <c r="X1244" s="26"/>
    </row>
    <row r="1245">
      <c r="A1245" s="28"/>
      <c r="B1245" s="28"/>
      <c r="C1245" s="251" t="s">
        <v>583</v>
      </c>
      <c r="D1245" s="252" t="s">
        <v>584</v>
      </c>
      <c r="E1245" s="253">
        <v>290000.0</v>
      </c>
      <c r="F1245" s="253">
        <v>450000.0</v>
      </c>
      <c r="G1245" s="254">
        <f t="shared" ref="G1245:G1248" si="434">F1245-E1245</f>
        <v>160000</v>
      </c>
      <c r="H1245" s="99"/>
      <c r="I1245" s="99"/>
      <c r="J1245" s="99"/>
      <c r="K1245" s="99"/>
      <c r="L1245" s="99"/>
      <c r="M1245" s="99"/>
      <c r="N1245" s="99"/>
      <c r="O1245" s="99"/>
      <c r="P1245" s="99"/>
      <c r="Q1245" s="108"/>
      <c r="R1245" s="108"/>
      <c r="S1245" s="100"/>
      <c r="T1245" s="24">
        <f t="shared" si="429"/>
        <v>-160000</v>
      </c>
      <c r="U1245" s="179">
        <f t="shared" si="430"/>
        <v>-1</v>
      </c>
      <c r="V1245" s="179" t="str">
        <f t="shared" si="431"/>
        <v/>
      </c>
      <c r="W1245" s="179" t="str">
        <f t="shared" si="432"/>
        <v/>
      </c>
      <c r="X1245" s="26"/>
    </row>
    <row r="1246">
      <c r="A1246" s="28"/>
      <c r="B1246" s="28"/>
      <c r="C1246" s="255"/>
      <c r="D1246" s="252" t="s">
        <v>585</v>
      </c>
      <c r="E1246" s="253">
        <v>380000.0</v>
      </c>
      <c r="F1246" s="253">
        <v>540000.0</v>
      </c>
      <c r="G1246" s="254">
        <f t="shared" si="434"/>
        <v>160000</v>
      </c>
      <c r="H1246" s="99"/>
      <c r="I1246" s="99">
        <f>E1246*2</f>
        <v>760000</v>
      </c>
      <c r="J1246" s="99"/>
      <c r="K1246" s="99"/>
      <c r="L1246" s="99"/>
      <c r="M1246" s="99"/>
      <c r="N1246" s="99"/>
      <c r="O1246" s="99"/>
      <c r="P1246" s="99"/>
      <c r="Q1246" s="108"/>
      <c r="R1246" s="108"/>
      <c r="S1246" s="100"/>
      <c r="T1246" s="24">
        <f t="shared" si="429"/>
        <v>-160000</v>
      </c>
      <c r="U1246" s="179">
        <f t="shared" si="430"/>
        <v>-1</v>
      </c>
      <c r="V1246" s="179" t="str">
        <f t="shared" si="431"/>
        <v/>
      </c>
      <c r="W1246" s="179" t="str">
        <f t="shared" si="432"/>
        <v/>
      </c>
      <c r="X1246" s="26"/>
    </row>
    <row r="1247">
      <c r="A1247" s="28"/>
      <c r="B1247" s="28"/>
      <c r="C1247" s="255"/>
      <c r="D1247" s="252" t="s">
        <v>586</v>
      </c>
      <c r="E1247" s="253">
        <v>360000.0</v>
      </c>
      <c r="F1247" s="253">
        <v>500000.0</v>
      </c>
      <c r="G1247" s="254">
        <f t="shared" si="434"/>
        <v>140000</v>
      </c>
      <c r="H1247" s="99"/>
      <c r="I1247" s="99">
        <f>510000*2</f>
        <v>1020000</v>
      </c>
      <c r="J1247" s="99"/>
      <c r="K1247" s="99"/>
      <c r="L1247" s="99"/>
      <c r="M1247" s="99"/>
      <c r="N1247" s="99"/>
      <c r="O1247" s="99"/>
      <c r="P1247" s="99"/>
      <c r="Q1247" s="108"/>
      <c r="R1247" s="108"/>
      <c r="S1247" s="100"/>
      <c r="T1247" s="24">
        <f t="shared" si="429"/>
        <v>-140000</v>
      </c>
      <c r="U1247" s="179">
        <f t="shared" si="430"/>
        <v>-1</v>
      </c>
      <c r="V1247" s="179" t="str">
        <f t="shared" si="431"/>
        <v/>
      </c>
      <c r="W1247" s="179" t="str">
        <f t="shared" si="432"/>
        <v/>
      </c>
      <c r="X1247" s="26"/>
    </row>
    <row r="1248">
      <c r="A1248" s="28"/>
      <c r="B1248" s="28"/>
      <c r="C1248" s="255"/>
      <c r="D1248" s="252" t="s">
        <v>170</v>
      </c>
      <c r="E1248" s="253">
        <v>280000.0</v>
      </c>
      <c r="F1248" s="253">
        <v>450000.0</v>
      </c>
      <c r="G1248" s="254">
        <f t="shared" si="434"/>
        <v>170000</v>
      </c>
      <c r="H1248" s="99"/>
      <c r="I1248" s="99">
        <f>I1247-I1246</f>
        <v>260000</v>
      </c>
      <c r="J1248" s="99"/>
      <c r="K1248" s="99"/>
      <c r="L1248" s="99"/>
      <c r="M1248" s="99"/>
      <c r="N1248" s="99"/>
      <c r="O1248" s="99"/>
      <c r="P1248" s="99"/>
      <c r="Q1248" s="108"/>
      <c r="R1248" s="108"/>
      <c r="S1248" s="100"/>
      <c r="T1248" s="24">
        <f t="shared" si="429"/>
        <v>-170000</v>
      </c>
      <c r="U1248" s="179">
        <f t="shared" si="430"/>
        <v>-1</v>
      </c>
      <c r="V1248" s="179" t="str">
        <f t="shared" si="431"/>
        <v/>
      </c>
      <c r="W1248" s="179" t="str">
        <f t="shared" si="432"/>
        <v/>
      </c>
      <c r="X1248" s="26"/>
    </row>
    <row r="1249">
      <c r="A1249" s="28"/>
      <c r="B1249" s="28"/>
      <c r="C1249" s="107"/>
      <c r="D1249" s="97"/>
      <c r="E1249" s="105"/>
      <c r="F1249" s="105"/>
      <c r="G1249" s="99"/>
      <c r="H1249" s="99"/>
      <c r="I1249" s="99"/>
      <c r="J1249" s="99"/>
      <c r="K1249" s="99"/>
      <c r="L1249" s="99"/>
      <c r="M1249" s="99"/>
      <c r="N1249" s="99"/>
      <c r="O1249" s="99"/>
      <c r="P1249" s="99"/>
      <c r="Q1249" s="108"/>
      <c r="R1249" s="108"/>
      <c r="S1249" s="100"/>
      <c r="T1249" s="24">
        <f t="shared" si="429"/>
        <v>0</v>
      </c>
      <c r="U1249" s="179" t="str">
        <f t="shared" si="430"/>
        <v/>
      </c>
      <c r="V1249" s="179" t="str">
        <f t="shared" si="431"/>
        <v/>
      </c>
      <c r="W1249" s="179" t="str">
        <f t="shared" si="432"/>
        <v/>
      </c>
      <c r="X1249" s="26"/>
    </row>
    <row r="1250">
      <c r="A1250" s="28"/>
      <c r="B1250" s="28"/>
      <c r="C1250" s="107"/>
      <c r="D1250" s="97"/>
      <c r="E1250" s="105"/>
      <c r="F1250" s="105"/>
      <c r="G1250" s="99"/>
      <c r="H1250" s="99"/>
      <c r="I1250" s="99"/>
      <c r="J1250" s="99"/>
      <c r="K1250" s="99"/>
      <c r="L1250" s="99"/>
      <c r="M1250" s="99"/>
      <c r="N1250" s="99"/>
      <c r="O1250" s="99"/>
      <c r="P1250" s="99"/>
      <c r="Q1250" s="108"/>
      <c r="R1250" s="108"/>
      <c r="S1250" s="100"/>
      <c r="T1250" s="24">
        <f t="shared" si="429"/>
        <v>0</v>
      </c>
      <c r="U1250" s="179" t="str">
        <f t="shared" si="430"/>
        <v/>
      </c>
      <c r="V1250" s="179" t="str">
        <f t="shared" si="431"/>
        <v/>
      </c>
      <c r="W1250" s="179" t="str">
        <f t="shared" si="432"/>
        <v/>
      </c>
      <c r="X1250" s="26"/>
    </row>
    <row r="1251">
      <c r="A1251" s="28"/>
      <c r="B1251" s="28"/>
      <c r="C1251" s="107"/>
      <c r="D1251" s="97"/>
      <c r="E1251" s="105"/>
      <c r="F1251" s="105"/>
      <c r="G1251" s="99"/>
      <c r="H1251" s="99"/>
      <c r="I1251" s="99"/>
      <c r="J1251" s="99"/>
      <c r="K1251" s="99"/>
      <c r="L1251" s="99"/>
      <c r="M1251" s="99"/>
      <c r="N1251" s="99"/>
      <c r="O1251" s="99"/>
      <c r="P1251" s="99"/>
      <c r="Q1251" s="108"/>
      <c r="R1251" s="108"/>
      <c r="S1251" s="100"/>
      <c r="T1251" s="24">
        <f t="shared" si="429"/>
        <v>0</v>
      </c>
      <c r="U1251" s="179" t="str">
        <f t="shared" si="430"/>
        <v/>
      </c>
      <c r="V1251" s="179" t="str">
        <f t="shared" si="431"/>
        <v/>
      </c>
      <c r="W1251" s="179" t="str">
        <f t="shared" si="432"/>
        <v/>
      </c>
      <c r="X1251" s="26"/>
    </row>
    <row r="1252">
      <c r="A1252" s="28"/>
      <c r="B1252" s="28"/>
      <c r="C1252" s="82" t="s">
        <v>587</v>
      </c>
      <c r="D1252" s="83" t="s">
        <v>588</v>
      </c>
      <c r="E1252" s="105">
        <f>290000*4</f>
        <v>1160000</v>
      </c>
      <c r="F1252" s="105">
        <f>450000*4</f>
        <v>1800000</v>
      </c>
      <c r="G1252" s="34">
        <f>(F1252-E1252)/E1252</f>
        <v>0.5517241379</v>
      </c>
      <c r="H1252" s="99"/>
      <c r="I1252" s="99"/>
      <c r="J1252" s="99"/>
      <c r="K1252" s="99"/>
      <c r="L1252" s="99"/>
      <c r="M1252" s="99"/>
      <c r="N1252" s="99"/>
      <c r="O1252" s="99"/>
      <c r="P1252" s="99"/>
      <c r="Q1252" s="108"/>
      <c r="R1252" s="108"/>
      <c r="S1252" s="100"/>
      <c r="T1252" s="24">
        <f t="shared" si="429"/>
        <v>-0.5517241379</v>
      </c>
      <c r="U1252" s="179">
        <f t="shared" si="430"/>
        <v>-1</v>
      </c>
      <c r="V1252" s="179" t="str">
        <f t="shared" si="431"/>
        <v/>
      </c>
      <c r="W1252" s="179" t="str">
        <f t="shared" si="432"/>
        <v/>
      </c>
      <c r="X1252" s="26"/>
    </row>
    <row r="1253">
      <c r="A1253" s="28"/>
      <c r="B1253" s="28"/>
      <c r="C1253" s="107"/>
      <c r="D1253" s="97"/>
      <c r="E1253" s="105">
        <f>F1252-E1252</f>
        <v>640000</v>
      </c>
      <c r="F1253" s="105"/>
      <c r="G1253" s="34"/>
      <c r="H1253" s="99"/>
      <c r="I1253" s="99"/>
      <c r="J1253" s="99"/>
      <c r="K1253" s="99"/>
      <c r="L1253" s="99"/>
      <c r="M1253" s="99"/>
      <c r="N1253" s="99"/>
      <c r="O1253" s="99"/>
      <c r="P1253" s="99"/>
      <c r="Q1253" s="108"/>
      <c r="R1253" s="108"/>
      <c r="S1253" s="100"/>
      <c r="T1253" s="24">
        <f t="shared" si="429"/>
        <v>0</v>
      </c>
      <c r="U1253" s="179" t="str">
        <f t="shared" si="430"/>
        <v/>
      </c>
      <c r="V1253" s="179" t="str">
        <f t="shared" si="431"/>
        <v/>
      </c>
      <c r="W1253" s="179" t="str">
        <f t="shared" si="432"/>
        <v/>
      </c>
      <c r="X1253" s="26"/>
    </row>
    <row r="1254">
      <c r="A1254" s="28"/>
      <c r="B1254" s="28"/>
      <c r="C1254" s="107"/>
      <c r="D1254" s="97"/>
      <c r="E1254" s="105"/>
      <c r="F1254" s="105"/>
      <c r="G1254" s="34"/>
      <c r="H1254" s="99"/>
      <c r="I1254" s="99"/>
      <c r="J1254" s="99"/>
      <c r="K1254" s="99"/>
      <c r="L1254" s="99"/>
      <c r="M1254" s="99"/>
      <c r="N1254" s="99"/>
      <c r="O1254" s="99"/>
      <c r="P1254" s="99"/>
      <c r="Q1254" s="108"/>
      <c r="R1254" s="108"/>
      <c r="S1254" s="100"/>
      <c r="T1254" s="24">
        <f t="shared" si="429"/>
        <v>0</v>
      </c>
      <c r="U1254" s="179" t="str">
        <f t="shared" si="430"/>
        <v/>
      </c>
      <c r="V1254" s="179" t="str">
        <f t="shared" si="431"/>
        <v/>
      </c>
      <c r="W1254" s="179" t="str">
        <f t="shared" si="432"/>
        <v/>
      </c>
      <c r="X1254" s="26"/>
    </row>
    <row r="1255">
      <c r="A1255" s="28"/>
      <c r="B1255" s="28"/>
      <c r="C1255" s="107"/>
      <c r="D1255" s="83" t="s">
        <v>589</v>
      </c>
      <c r="E1255" s="201">
        <v>360000.0</v>
      </c>
      <c r="F1255" s="201">
        <v>500000.0</v>
      </c>
      <c r="G1255" s="34">
        <f t="shared" ref="G1255:G1260" si="435">(F1255-E1255)/E1255</f>
        <v>0.3888888889</v>
      </c>
      <c r="H1255" s="99">
        <f t="shared" ref="H1255:H1260" si="436">F1255-E1255</f>
        <v>140000</v>
      </c>
      <c r="I1255" s="99"/>
      <c r="J1255" s="99"/>
      <c r="K1255" s="99"/>
      <c r="L1255" s="99"/>
      <c r="M1255" s="99"/>
      <c r="N1255" s="99"/>
      <c r="O1255" s="99"/>
      <c r="P1255" s="99"/>
      <c r="Q1255" s="108"/>
      <c r="R1255" s="108"/>
      <c r="S1255" s="100"/>
      <c r="T1255" s="24"/>
      <c r="U1255" s="179"/>
      <c r="V1255" s="179"/>
      <c r="W1255" s="179"/>
      <c r="X1255" s="26"/>
    </row>
    <row r="1256">
      <c r="A1256" s="28"/>
      <c r="B1256" s="28"/>
      <c r="C1256" s="107"/>
      <c r="D1256" s="83" t="s">
        <v>590</v>
      </c>
      <c r="E1256" s="201">
        <v>380000.0</v>
      </c>
      <c r="F1256" s="201">
        <v>540000.0</v>
      </c>
      <c r="G1256" s="34">
        <f t="shared" si="435"/>
        <v>0.4210526316</v>
      </c>
      <c r="H1256" s="99">
        <f t="shared" si="436"/>
        <v>160000</v>
      </c>
      <c r="I1256" s="99"/>
      <c r="J1256" s="99"/>
      <c r="K1256" s="99"/>
      <c r="L1256" s="99"/>
      <c r="M1256" s="99"/>
      <c r="N1256" s="99"/>
      <c r="O1256" s="99"/>
      <c r="P1256" s="99"/>
      <c r="Q1256" s="108"/>
      <c r="R1256" s="108"/>
      <c r="S1256" s="100"/>
      <c r="T1256" s="24"/>
      <c r="U1256" s="179"/>
      <c r="V1256" s="179"/>
      <c r="W1256" s="179"/>
      <c r="X1256" s="26"/>
    </row>
    <row r="1257">
      <c r="A1257" s="28"/>
      <c r="B1257" s="28"/>
      <c r="C1257" s="107"/>
      <c r="D1257" s="83" t="s">
        <v>222</v>
      </c>
      <c r="E1257" s="201">
        <v>370000.0</v>
      </c>
      <c r="F1257" s="201">
        <v>520000.0</v>
      </c>
      <c r="G1257" s="34">
        <f t="shared" si="435"/>
        <v>0.4054054054</v>
      </c>
      <c r="H1257" s="99">
        <f t="shared" si="436"/>
        <v>150000</v>
      </c>
      <c r="I1257" s="99"/>
      <c r="J1257" s="99"/>
      <c r="K1257" s="99"/>
      <c r="L1257" s="99"/>
      <c r="M1257" s="99"/>
      <c r="N1257" s="99"/>
      <c r="O1257" s="99"/>
      <c r="P1257" s="99"/>
      <c r="Q1257" s="108"/>
      <c r="R1257" s="108"/>
      <c r="S1257" s="100"/>
      <c r="T1257" s="24"/>
      <c r="U1257" s="179"/>
      <c r="V1257" s="179"/>
      <c r="W1257" s="179"/>
      <c r="X1257" s="26"/>
    </row>
    <row r="1258">
      <c r="A1258" s="28"/>
      <c r="B1258" s="28"/>
      <c r="C1258" s="107"/>
      <c r="D1258" s="83" t="s">
        <v>156</v>
      </c>
      <c r="E1258" s="201">
        <v>330000.0</v>
      </c>
      <c r="F1258" s="201">
        <v>510000.0</v>
      </c>
      <c r="G1258" s="34">
        <f t="shared" si="435"/>
        <v>0.5454545455</v>
      </c>
      <c r="H1258" s="99">
        <f t="shared" si="436"/>
        <v>180000</v>
      </c>
      <c r="I1258" s="99"/>
      <c r="J1258" s="99"/>
      <c r="K1258" s="99"/>
      <c r="L1258" s="99"/>
      <c r="M1258" s="99"/>
      <c r="N1258" s="99"/>
      <c r="O1258" s="99"/>
      <c r="P1258" s="99"/>
      <c r="Q1258" s="108"/>
      <c r="R1258" s="108"/>
      <c r="S1258" s="100"/>
      <c r="T1258" s="24"/>
      <c r="U1258" s="179"/>
      <c r="V1258" s="179"/>
      <c r="W1258" s="179"/>
      <c r="X1258" s="26"/>
    </row>
    <row r="1259">
      <c r="A1259" s="28"/>
      <c r="B1259" s="28"/>
      <c r="C1259" s="107"/>
      <c r="D1259" s="83" t="s">
        <v>591</v>
      </c>
      <c r="E1259" s="201">
        <v>633000.0</v>
      </c>
      <c r="F1259" s="201">
        <v>850000.0</v>
      </c>
      <c r="G1259" s="34">
        <f t="shared" si="435"/>
        <v>0.3428120063</v>
      </c>
      <c r="H1259" s="99">
        <f t="shared" si="436"/>
        <v>217000</v>
      </c>
      <c r="I1259" s="99"/>
      <c r="J1259" s="99"/>
      <c r="K1259" s="99"/>
      <c r="L1259" s="99"/>
      <c r="M1259" s="99"/>
      <c r="N1259" s="99"/>
      <c r="O1259" s="99"/>
      <c r="P1259" s="99"/>
      <c r="Q1259" s="108"/>
      <c r="R1259" s="108"/>
      <c r="S1259" s="100"/>
      <c r="T1259" s="24"/>
      <c r="U1259" s="179"/>
      <c r="V1259" s="179"/>
      <c r="W1259" s="179"/>
      <c r="X1259" s="26"/>
    </row>
    <row r="1260">
      <c r="A1260" s="28"/>
      <c r="B1260" s="28"/>
      <c r="C1260" s="107"/>
      <c r="D1260" s="83" t="s">
        <v>138</v>
      </c>
      <c r="E1260" s="201">
        <v>390000.0</v>
      </c>
      <c r="F1260" s="201">
        <v>510000.0</v>
      </c>
      <c r="G1260" s="34">
        <f t="shared" si="435"/>
        <v>0.3076923077</v>
      </c>
      <c r="H1260" s="99">
        <f t="shared" si="436"/>
        <v>120000</v>
      </c>
      <c r="I1260" s="99"/>
      <c r="J1260" s="99"/>
      <c r="K1260" s="99"/>
      <c r="L1260" s="99"/>
      <c r="M1260" s="99"/>
      <c r="N1260" s="99"/>
      <c r="O1260" s="99"/>
      <c r="P1260" s="99"/>
      <c r="Q1260" s="108"/>
      <c r="R1260" s="108"/>
      <c r="S1260" s="100"/>
      <c r="T1260" s="24"/>
      <c r="U1260" s="179"/>
      <c r="V1260" s="179"/>
      <c r="W1260" s="179"/>
      <c r="X1260" s="26"/>
    </row>
    <row r="1261">
      <c r="A1261" s="28"/>
      <c r="B1261" s="28"/>
      <c r="C1261" s="107"/>
      <c r="D1261" s="97"/>
      <c r="E1261" s="105"/>
      <c r="F1261" s="105"/>
      <c r="G1261" s="34"/>
      <c r="H1261" s="99"/>
      <c r="I1261" s="99"/>
      <c r="J1261" s="99"/>
      <c r="K1261" s="99"/>
      <c r="L1261" s="99"/>
      <c r="M1261" s="99"/>
      <c r="N1261" s="99"/>
      <c r="O1261" s="99"/>
      <c r="P1261" s="99"/>
      <c r="Q1261" s="108"/>
      <c r="R1261" s="108"/>
      <c r="S1261" s="100"/>
      <c r="T1261" s="24">
        <f t="shared" ref="T1261:T1267" si="437">P1261-(G1261+S1261)-(P1261*R1261)-(P1261*Q1261)</f>
        <v>0</v>
      </c>
      <c r="U1261" s="179" t="str">
        <f t="shared" ref="U1261:U1267" si="438">IFERROR((P1261-G1261)/G1261,"")</f>
        <v/>
      </c>
      <c r="V1261" s="179" t="str">
        <f t="shared" ref="V1261:V1267" si="439">IFERROR((P1261-G1261)/P1261,"")</f>
        <v/>
      </c>
      <c r="W1261" s="179" t="str">
        <f t="shared" ref="W1261:W1267" si="440">IFERROR(T1261/P1261,"")</f>
        <v/>
      </c>
      <c r="X1261" s="26"/>
    </row>
    <row r="1262">
      <c r="A1262" s="28"/>
      <c r="B1262" s="28"/>
      <c r="C1262" s="82" t="s">
        <v>592</v>
      </c>
      <c r="D1262" s="83" t="s">
        <v>593</v>
      </c>
      <c r="E1262" s="105">
        <f>310000*2</f>
        <v>620000</v>
      </c>
      <c r="F1262" s="105">
        <f>450000*2</f>
        <v>900000</v>
      </c>
      <c r="G1262" s="34">
        <f t="shared" ref="G1262:G1266" si="441">(F1262-E1262)/E1262</f>
        <v>0.4516129032</v>
      </c>
      <c r="H1262" s="99"/>
      <c r="I1262" s="99"/>
      <c r="J1262" s="99"/>
      <c r="K1262" s="99"/>
      <c r="L1262" s="99"/>
      <c r="M1262" s="99"/>
      <c r="N1262" s="99"/>
      <c r="O1262" s="99"/>
      <c r="P1262" s="99"/>
      <c r="Q1262" s="108"/>
      <c r="R1262" s="108"/>
      <c r="S1262" s="100"/>
      <c r="T1262" s="24">
        <f t="shared" si="437"/>
        <v>-0.4516129032</v>
      </c>
      <c r="U1262" s="179">
        <f t="shared" si="438"/>
        <v>-1</v>
      </c>
      <c r="V1262" s="179" t="str">
        <f t="shared" si="439"/>
        <v/>
      </c>
      <c r="W1262" s="179" t="str">
        <f t="shared" si="440"/>
        <v/>
      </c>
      <c r="X1262" s="26"/>
    </row>
    <row r="1263">
      <c r="A1263" s="28"/>
      <c r="B1263" s="28"/>
      <c r="C1263" s="107"/>
      <c r="D1263" s="83" t="s">
        <v>417</v>
      </c>
      <c r="E1263" s="105">
        <f>(330000*2)</f>
        <v>660000</v>
      </c>
      <c r="F1263" s="105">
        <f>510000*2</f>
        <v>1020000</v>
      </c>
      <c r="G1263" s="34">
        <f t="shared" si="441"/>
        <v>0.5454545455</v>
      </c>
      <c r="H1263" s="99"/>
      <c r="I1263" s="99"/>
      <c r="J1263" s="99"/>
      <c r="K1263" s="99"/>
      <c r="L1263" s="99"/>
      <c r="M1263" s="99"/>
      <c r="N1263" s="99"/>
      <c r="O1263" s="99"/>
      <c r="P1263" s="99"/>
      <c r="Q1263" s="108"/>
      <c r="R1263" s="108"/>
      <c r="S1263" s="100"/>
      <c r="T1263" s="24">
        <f t="shared" si="437"/>
        <v>-0.5454545455</v>
      </c>
      <c r="U1263" s="179">
        <f t="shared" si="438"/>
        <v>-1</v>
      </c>
      <c r="V1263" s="179" t="str">
        <f t="shared" si="439"/>
        <v/>
      </c>
      <c r="W1263" s="179" t="str">
        <f t="shared" si="440"/>
        <v/>
      </c>
      <c r="X1263" s="26"/>
    </row>
    <row r="1264">
      <c r="A1264" s="28"/>
      <c r="B1264" s="28"/>
      <c r="C1264" s="107"/>
      <c r="D1264" s="83" t="s">
        <v>594</v>
      </c>
      <c r="E1264" s="201">
        <v>350000.0</v>
      </c>
      <c r="F1264" s="201">
        <v>580000.0</v>
      </c>
      <c r="G1264" s="34">
        <f t="shared" si="441"/>
        <v>0.6571428571</v>
      </c>
      <c r="H1264" s="99"/>
      <c r="I1264" s="99"/>
      <c r="J1264" s="99"/>
      <c r="K1264" s="99"/>
      <c r="L1264" s="99"/>
      <c r="M1264" s="99"/>
      <c r="N1264" s="99"/>
      <c r="O1264" s="99"/>
      <c r="P1264" s="99"/>
      <c r="Q1264" s="108"/>
      <c r="R1264" s="108"/>
      <c r="S1264" s="100"/>
      <c r="T1264" s="24">
        <f t="shared" si="437"/>
        <v>-0.6571428571</v>
      </c>
      <c r="U1264" s="179">
        <f t="shared" si="438"/>
        <v>-1</v>
      </c>
      <c r="V1264" s="179" t="str">
        <f t="shared" si="439"/>
        <v/>
      </c>
      <c r="W1264" s="179" t="str">
        <f t="shared" si="440"/>
        <v/>
      </c>
      <c r="X1264" s="26"/>
    </row>
    <row r="1265">
      <c r="A1265" s="28"/>
      <c r="B1265" s="28"/>
      <c r="C1265" s="107"/>
      <c r="D1265" s="83" t="s">
        <v>595</v>
      </c>
      <c r="E1265" s="105">
        <f>290000*2</f>
        <v>580000</v>
      </c>
      <c r="F1265" s="105">
        <f>450000*2</f>
        <v>900000</v>
      </c>
      <c r="G1265" s="34">
        <f t="shared" si="441"/>
        <v>0.5517241379</v>
      </c>
      <c r="H1265" s="99"/>
      <c r="I1265" s="99"/>
      <c r="J1265" s="99"/>
      <c r="K1265" s="99"/>
      <c r="L1265" s="99"/>
      <c r="M1265" s="99"/>
      <c r="N1265" s="99"/>
      <c r="O1265" s="99"/>
      <c r="P1265" s="99"/>
      <c r="Q1265" s="108"/>
      <c r="R1265" s="108"/>
      <c r="S1265" s="100"/>
      <c r="T1265" s="24">
        <f t="shared" si="437"/>
        <v>-0.5517241379</v>
      </c>
      <c r="U1265" s="179">
        <f t="shared" si="438"/>
        <v>-1</v>
      </c>
      <c r="V1265" s="179" t="str">
        <f t="shared" si="439"/>
        <v/>
      </c>
      <c r="W1265" s="179" t="str">
        <f t="shared" si="440"/>
        <v/>
      </c>
      <c r="X1265" s="26"/>
    </row>
    <row r="1266">
      <c r="A1266" s="28"/>
      <c r="B1266" s="28"/>
      <c r="C1266" s="107"/>
      <c r="D1266" s="83" t="s">
        <v>101</v>
      </c>
      <c r="E1266" s="105">
        <f t="shared" ref="E1266:F1266" si="442">SUM(E1262:E1265)</f>
        <v>2210000</v>
      </c>
      <c r="F1266" s="105">
        <f t="shared" si="442"/>
        <v>3400000</v>
      </c>
      <c r="G1266" s="34">
        <f t="shared" si="441"/>
        <v>0.5384615385</v>
      </c>
      <c r="H1266" s="99"/>
      <c r="I1266" s="99"/>
      <c r="J1266" s="99"/>
      <c r="K1266" s="99"/>
      <c r="L1266" s="99"/>
      <c r="M1266" s="99"/>
      <c r="N1266" s="99"/>
      <c r="O1266" s="99"/>
      <c r="P1266" s="99"/>
      <c r="Q1266" s="108"/>
      <c r="R1266" s="108"/>
      <c r="S1266" s="100"/>
      <c r="T1266" s="24">
        <f t="shared" si="437"/>
        <v>-0.5384615385</v>
      </c>
      <c r="U1266" s="179">
        <f t="shared" si="438"/>
        <v>-1</v>
      </c>
      <c r="V1266" s="179" t="str">
        <f t="shared" si="439"/>
        <v/>
      </c>
      <c r="W1266" s="179" t="str">
        <f t="shared" si="440"/>
        <v/>
      </c>
      <c r="X1266" s="26"/>
    </row>
    <row r="1267">
      <c r="A1267" s="28"/>
      <c r="B1267" s="28"/>
      <c r="C1267" s="107"/>
      <c r="D1267" s="97"/>
      <c r="E1267" s="105">
        <f>F1266-E1266</f>
        <v>1190000</v>
      </c>
      <c r="F1267" s="105"/>
      <c r="G1267" s="34"/>
      <c r="H1267" s="99"/>
      <c r="I1267" s="99"/>
      <c r="J1267" s="99"/>
      <c r="K1267" s="99"/>
      <c r="L1267" s="99"/>
      <c r="M1267" s="99"/>
      <c r="N1267" s="99"/>
      <c r="O1267" s="99"/>
      <c r="P1267" s="99"/>
      <c r="Q1267" s="108"/>
      <c r="R1267" s="108"/>
      <c r="S1267" s="100"/>
      <c r="T1267" s="24">
        <f t="shared" si="437"/>
        <v>0</v>
      </c>
      <c r="U1267" s="179" t="str">
        <f t="shared" si="438"/>
        <v/>
      </c>
      <c r="V1267" s="179" t="str">
        <f t="shared" si="439"/>
        <v/>
      </c>
      <c r="W1267" s="179" t="str">
        <f t="shared" si="440"/>
        <v/>
      </c>
      <c r="X1267" s="26"/>
    </row>
    <row r="1268">
      <c r="A1268" s="28"/>
      <c r="B1268" s="28"/>
      <c r="C1268" s="82"/>
      <c r="D1268" s="83"/>
      <c r="E1268" s="105"/>
      <c r="F1268" s="105"/>
      <c r="G1268" s="34"/>
      <c r="H1268" s="99"/>
      <c r="I1268" s="99"/>
      <c r="J1268" s="99"/>
      <c r="K1268" s="99"/>
      <c r="L1268" s="99"/>
      <c r="M1268" s="99"/>
      <c r="N1268" s="99"/>
      <c r="O1268" s="99"/>
      <c r="P1268" s="99"/>
      <c r="Q1268" s="108"/>
      <c r="R1268" s="108"/>
      <c r="S1268" s="100"/>
      <c r="T1268" s="24"/>
      <c r="U1268" s="179"/>
      <c r="V1268" s="179"/>
      <c r="W1268" s="179"/>
      <c r="X1268" s="26"/>
    </row>
    <row r="1269">
      <c r="A1269" s="28"/>
      <c r="B1269" s="28"/>
      <c r="C1269" s="82" t="s">
        <v>596</v>
      </c>
      <c r="D1269" s="83" t="s">
        <v>597</v>
      </c>
      <c r="E1269" s="201">
        <v>55000.0</v>
      </c>
      <c r="F1269" s="201">
        <v>200000.0</v>
      </c>
      <c r="G1269" s="34">
        <f t="shared" ref="G1269:G1273" si="443">(F1269-E1269)/E1269</f>
        <v>2.636363636</v>
      </c>
      <c r="H1269" s="99"/>
      <c r="I1269" s="99"/>
      <c r="J1269" s="99"/>
      <c r="K1269" s="99"/>
      <c r="L1269" s="99"/>
      <c r="M1269" s="99"/>
      <c r="N1269" s="99"/>
      <c r="O1269" s="99"/>
      <c r="P1269" s="99"/>
      <c r="Q1269" s="108"/>
      <c r="R1269" s="108"/>
      <c r="S1269" s="100"/>
      <c r="T1269" s="24">
        <f t="shared" ref="T1269:T1297" si="444">P1269-(G1269+S1269)-(P1269*R1269)-(P1269*Q1269)</f>
        <v>-2.636363636</v>
      </c>
      <c r="U1269" s="179">
        <f t="shared" ref="U1269:U1297" si="445">IFERROR((P1269-G1269)/G1269,"")</f>
        <v>-1</v>
      </c>
      <c r="V1269" s="179" t="str">
        <f t="shared" ref="V1269:V1297" si="446">IFERROR((P1269-G1269)/P1269,"")</f>
        <v/>
      </c>
      <c r="W1269" s="179" t="str">
        <f t="shared" ref="W1269:W1297" si="447">IFERROR(T1269/P1269,"")</f>
        <v/>
      </c>
      <c r="X1269" s="26"/>
    </row>
    <row r="1270">
      <c r="A1270" s="28"/>
      <c r="B1270" s="28"/>
      <c r="C1270" s="107"/>
      <c r="D1270" s="83" t="s">
        <v>598</v>
      </c>
      <c r="E1270" s="201">
        <v>260000.0</v>
      </c>
      <c r="F1270" s="105">
        <f>250000*2</f>
        <v>500000</v>
      </c>
      <c r="G1270" s="34">
        <f t="shared" si="443"/>
        <v>0.9230769231</v>
      </c>
      <c r="H1270" s="99"/>
      <c r="I1270" s="99"/>
      <c r="J1270" s="99"/>
      <c r="K1270" s="99"/>
      <c r="L1270" s="99"/>
      <c r="M1270" s="99"/>
      <c r="N1270" s="99"/>
      <c r="O1270" s="99"/>
      <c r="P1270" s="99"/>
      <c r="Q1270" s="108"/>
      <c r="R1270" s="108"/>
      <c r="S1270" s="100"/>
      <c r="T1270" s="24">
        <f t="shared" si="444"/>
        <v>-0.9230769231</v>
      </c>
      <c r="U1270" s="179">
        <f t="shared" si="445"/>
        <v>-1</v>
      </c>
      <c r="V1270" s="179" t="str">
        <f t="shared" si="446"/>
        <v/>
      </c>
      <c r="W1270" s="179" t="str">
        <f t="shared" si="447"/>
        <v/>
      </c>
      <c r="X1270" s="26"/>
    </row>
    <row r="1271">
      <c r="A1271" s="28"/>
      <c r="B1271" s="28"/>
      <c r="C1271" s="107"/>
      <c r="D1271" s="83" t="s">
        <v>599</v>
      </c>
      <c r="E1271" s="105">
        <f>360000*2</f>
        <v>720000</v>
      </c>
      <c r="F1271" s="201">
        <f>(490000*2)</f>
        <v>980000</v>
      </c>
      <c r="G1271" s="34">
        <f t="shared" si="443"/>
        <v>0.3611111111</v>
      </c>
      <c r="H1271" s="99"/>
      <c r="I1271" s="99"/>
      <c r="J1271" s="99"/>
      <c r="K1271" s="99"/>
      <c r="L1271" s="99"/>
      <c r="M1271" s="99"/>
      <c r="N1271" s="99"/>
      <c r="O1271" s="99"/>
      <c r="P1271" s="99"/>
      <c r="Q1271" s="108"/>
      <c r="R1271" s="108"/>
      <c r="S1271" s="100"/>
      <c r="T1271" s="24">
        <f t="shared" si="444"/>
        <v>-0.3611111111</v>
      </c>
      <c r="U1271" s="179">
        <f t="shared" si="445"/>
        <v>-1</v>
      </c>
      <c r="V1271" s="179" t="str">
        <f t="shared" si="446"/>
        <v/>
      </c>
      <c r="W1271" s="179" t="str">
        <f t="shared" si="447"/>
        <v/>
      </c>
      <c r="X1271" s="26"/>
    </row>
    <row r="1272">
      <c r="A1272" s="28"/>
      <c r="B1272" s="28"/>
      <c r="C1272" s="107"/>
      <c r="D1272" s="83" t="s">
        <v>600</v>
      </c>
      <c r="E1272" s="201">
        <v>55000.0</v>
      </c>
      <c r="F1272" s="201">
        <v>200000.0</v>
      </c>
      <c r="G1272" s="34">
        <f t="shared" si="443"/>
        <v>2.636363636</v>
      </c>
      <c r="H1272" s="99"/>
      <c r="I1272" s="99"/>
      <c r="J1272" s="99"/>
      <c r="K1272" s="99"/>
      <c r="L1272" s="99"/>
      <c r="M1272" s="99"/>
      <c r="N1272" s="99"/>
      <c r="O1272" s="99"/>
      <c r="P1272" s="99"/>
      <c r="Q1272" s="108"/>
      <c r="R1272" s="108"/>
      <c r="S1272" s="100"/>
      <c r="T1272" s="24">
        <f t="shared" si="444"/>
        <v>-2.636363636</v>
      </c>
      <c r="U1272" s="179">
        <f t="shared" si="445"/>
        <v>-1</v>
      </c>
      <c r="V1272" s="179" t="str">
        <f t="shared" si="446"/>
        <v/>
      </c>
      <c r="W1272" s="179" t="str">
        <f t="shared" si="447"/>
        <v/>
      </c>
      <c r="X1272" s="26"/>
    </row>
    <row r="1273">
      <c r="A1273" s="28"/>
      <c r="B1273" s="28"/>
      <c r="C1273" s="107"/>
      <c r="D1273" s="83" t="s">
        <v>101</v>
      </c>
      <c r="E1273" s="105">
        <f t="shared" ref="E1273:F1273" si="448">SUM(E1269:E1272)</f>
        <v>1090000</v>
      </c>
      <c r="F1273" s="105">
        <f t="shared" si="448"/>
        <v>1880000</v>
      </c>
      <c r="G1273" s="34">
        <f t="shared" si="443"/>
        <v>0.7247706422</v>
      </c>
      <c r="H1273" s="99"/>
      <c r="I1273" s="99"/>
      <c r="J1273" s="99"/>
      <c r="K1273" s="99"/>
      <c r="L1273" s="99"/>
      <c r="M1273" s="99"/>
      <c r="N1273" s="99"/>
      <c r="O1273" s="99"/>
      <c r="P1273" s="99"/>
      <c r="Q1273" s="108"/>
      <c r="R1273" s="108"/>
      <c r="S1273" s="100"/>
      <c r="T1273" s="24">
        <f t="shared" si="444"/>
        <v>-0.7247706422</v>
      </c>
      <c r="U1273" s="179">
        <f t="shared" si="445"/>
        <v>-1</v>
      </c>
      <c r="V1273" s="179" t="str">
        <f t="shared" si="446"/>
        <v/>
      </c>
      <c r="W1273" s="179" t="str">
        <f t="shared" si="447"/>
        <v/>
      </c>
      <c r="X1273" s="26"/>
    </row>
    <row r="1274">
      <c r="A1274" s="28"/>
      <c r="B1274" s="28"/>
      <c r="C1274" s="107"/>
      <c r="D1274" s="83" t="s">
        <v>148</v>
      </c>
      <c r="E1274" s="105">
        <f>F1273-E1273</f>
        <v>790000</v>
      </c>
      <c r="F1274" s="105"/>
      <c r="G1274" s="34"/>
      <c r="H1274" s="99"/>
      <c r="I1274" s="99"/>
      <c r="J1274" s="99"/>
      <c r="K1274" s="99"/>
      <c r="L1274" s="99"/>
      <c r="M1274" s="99"/>
      <c r="N1274" s="99"/>
      <c r="O1274" s="99"/>
      <c r="P1274" s="99"/>
      <c r="Q1274" s="108"/>
      <c r="R1274" s="108"/>
      <c r="S1274" s="100"/>
      <c r="T1274" s="24">
        <f t="shared" si="444"/>
        <v>0</v>
      </c>
      <c r="U1274" s="179" t="str">
        <f t="shared" si="445"/>
        <v/>
      </c>
      <c r="V1274" s="179" t="str">
        <f t="shared" si="446"/>
        <v/>
      </c>
      <c r="W1274" s="179" t="str">
        <f t="shared" si="447"/>
        <v/>
      </c>
      <c r="X1274" s="26"/>
    </row>
    <row r="1275">
      <c r="A1275" s="28"/>
      <c r="B1275" s="28"/>
      <c r="C1275" s="107"/>
      <c r="D1275" s="97"/>
      <c r="E1275" s="105"/>
      <c r="F1275" s="105"/>
      <c r="G1275" s="34"/>
      <c r="H1275" s="99"/>
      <c r="I1275" s="99"/>
      <c r="J1275" s="99"/>
      <c r="K1275" s="99"/>
      <c r="L1275" s="99"/>
      <c r="M1275" s="99"/>
      <c r="N1275" s="99"/>
      <c r="O1275" s="99"/>
      <c r="P1275" s="99"/>
      <c r="Q1275" s="108"/>
      <c r="R1275" s="108"/>
      <c r="S1275" s="100"/>
      <c r="T1275" s="24">
        <f t="shared" si="444"/>
        <v>0</v>
      </c>
      <c r="U1275" s="179" t="str">
        <f t="shared" si="445"/>
        <v/>
      </c>
      <c r="V1275" s="179" t="str">
        <f t="shared" si="446"/>
        <v/>
      </c>
      <c r="W1275" s="179" t="str">
        <f t="shared" si="447"/>
        <v/>
      </c>
      <c r="X1275" s="26"/>
    </row>
    <row r="1276">
      <c r="A1276" s="28"/>
      <c r="B1276" s="28"/>
      <c r="C1276" s="107"/>
      <c r="D1276" s="256"/>
      <c r="E1276" s="105"/>
      <c r="F1276" s="105"/>
      <c r="G1276" s="34"/>
      <c r="H1276" s="99"/>
      <c r="I1276" s="99"/>
      <c r="J1276" s="99"/>
      <c r="K1276" s="99"/>
      <c r="L1276" s="99"/>
      <c r="M1276" s="99"/>
      <c r="N1276" s="99"/>
      <c r="O1276" s="99"/>
      <c r="P1276" s="99"/>
      <c r="Q1276" s="108"/>
      <c r="R1276" s="108"/>
      <c r="S1276" s="100"/>
      <c r="T1276" s="24">
        <f t="shared" si="444"/>
        <v>0</v>
      </c>
      <c r="U1276" s="179" t="str">
        <f t="shared" si="445"/>
        <v/>
      </c>
      <c r="V1276" s="179" t="str">
        <f t="shared" si="446"/>
        <v/>
      </c>
      <c r="W1276" s="179" t="str">
        <f t="shared" si="447"/>
        <v/>
      </c>
      <c r="X1276" s="26"/>
    </row>
    <row r="1277">
      <c r="A1277" s="28"/>
      <c r="B1277" s="28"/>
      <c r="C1277" s="107"/>
      <c r="D1277" s="97"/>
      <c r="E1277" s="105"/>
      <c r="F1277" s="105"/>
      <c r="G1277" s="34"/>
      <c r="H1277" s="99"/>
      <c r="I1277" s="99"/>
      <c r="J1277" s="99"/>
      <c r="K1277" s="99"/>
      <c r="L1277" s="99"/>
      <c r="M1277" s="99"/>
      <c r="N1277" s="99"/>
      <c r="O1277" s="99"/>
      <c r="P1277" s="99"/>
      <c r="Q1277" s="108"/>
      <c r="R1277" s="108"/>
      <c r="S1277" s="100"/>
      <c r="T1277" s="24">
        <f t="shared" si="444"/>
        <v>0</v>
      </c>
      <c r="U1277" s="179" t="str">
        <f t="shared" si="445"/>
        <v/>
      </c>
      <c r="V1277" s="179" t="str">
        <f t="shared" si="446"/>
        <v/>
      </c>
      <c r="W1277" s="179" t="str">
        <f t="shared" si="447"/>
        <v/>
      </c>
      <c r="X1277" s="26"/>
    </row>
    <row r="1278">
      <c r="A1278" s="28"/>
      <c r="B1278" s="28"/>
      <c r="C1278" s="1" t="s">
        <v>601</v>
      </c>
      <c r="D1278" s="83" t="s">
        <v>602</v>
      </c>
      <c r="E1278" s="105">
        <f>390000*2</f>
        <v>780000</v>
      </c>
      <c r="F1278" s="105">
        <f>610000*2</f>
        <v>1220000</v>
      </c>
      <c r="G1278" s="34">
        <f t="shared" ref="G1278:G1284" si="449">(F1278-E1278)/E1278</f>
        <v>0.5641025641</v>
      </c>
      <c r="H1278" s="99"/>
      <c r="I1278" s="99"/>
      <c r="J1278" s="99"/>
      <c r="K1278" s="99"/>
      <c r="L1278" s="99"/>
      <c r="M1278" s="99"/>
      <c r="N1278" s="99"/>
      <c r="O1278" s="99"/>
      <c r="P1278" s="99"/>
      <c r="Q1278" s="108"/>
      <c r="R1278" s="108"/>
      <c r="S1278" s="100"/>
      <c r="T1278" s="24">
        <f t="shared" si="444"/>
        <v>-0.5641025641</v>
      </c>
      <c r="U1278" s="179">
        <f t="shared" si="445"/>
        <v>-1</v>
      </c>
      <c r="V1278" s="179" t="str">
        <f t="shared" si="446"/>
        <v/>
      </c>
      <c r="W1278" s="179" t="str">
        <f t="shared" si="447"/>
        <v/>
      </c>
      <c r="X1278" s="26"/>
    </row>
    <row r="1279">
      <c r="A1279" s="28"/>
      <c r="B1279" s="28"/>
      <c r="C1279" s="107"/>
      <c r="D1279" s="83" t="s">
        <v>603</v>
      </c>
      <c r="E1279" s="105">
        <f>350000*2</f>
        <v>700000</v>
      </c>
      <c r="F1279" s="105">
        <f>(490000*2)</f>
        <v>980000</v>
      </c>
      <c r="G1279" s="34">
        <f t="shared" si="449"/>
        <v>0.4</v>
      </c>
      <c r="H1279" s="99"/>
      <c r="I1279" s="99"/>
      <c r="J1279" s="99"/>
      <c r="K1279" s="99"/>
      <c r="L1279" s="99"/>
      <c r="M1279" s="99"/>
      <c r="N1279" s="99"/>
      <c r="O1279" s="99"/>
      <c r="P1279" s="99"/>
      <c r="Q1279" s="108"/>
      <c r="R1279" s="108"/>
      <c r="S1279" s="100"/>
      <c r="T1279" s="24">
        <f t="shared" si="444"/>
        <v>-0.4</v>
      </c>
      <c r="U1279" s="179">
        <f t="shared" si="445"/>
        <v>-1</v>
      </c>
      <c r="V1279" s="179" t="str">
        <f t="shared" si="446"/>
        <v/>
      </c>
      <c r="W1279" s="179" t="str">
        <f t="shared" si="447"/>
        <v/>
      </c>
      <c r="X1279" s="26"/>
    </row>
    <row r="1280">
      <c r="A1280" s="28"/>
      <c r="B1280" s="28"/>
      <c r="C1280" s="107"/>
      <c r="D1280" s="83" t="s">
        <v>604</v>
      </c>
      <c r="E1280" s="105">
        <f>380000*2</f>
        <v>760000</v>
      </c>
      <c r="F1280" s="105">
        <f>530000*2</f>
        <v>1060000</v>
      </c>
      <c r="G1280" s="34">
        <f t="shared" si="449"/>
        <v>0.3947368421</v>
      </c>
      <c r="H1280" s="99"/>
      <c r="I1280" s="99"/>
      <c r="J1280" s="99"/>
      <c r="K1280" s="99"/>
      <c r="L1280" s="99"/>
      <c r="M1280" s="99"/>
      <c r="N1280" s="99"/>
      <c r="O1280" s="99"/>
      <c r="P1280" s="99"/>
      <c r="Q1280" s="108"/>
      <c r="R1280" s="108"/>
      <c r="S1280" s="100"/>
      <c r="T1280" s="24">
        <f t="shared" si="444"/>
        <v>-0.3947368421</v>
      </c>
      <c r="U1280" s="179">
        <f t="shared" si="445"/>
        <v>-1</v>
      </c>
      <c r="V1280" s="179" t="str">
        <f t="shared" si="446"/>
        <v/>
      </c>
      <c r="W1280" s="179" t="str">
        <f t="shared" si="447"/>
        <v/>
      </c>
      <c r="X1280" s="26"/>
    </row>
    <row r="1281">
      <c r="A1281" s="28"/>
      <c r="B1281" s="28"/>
      <c r="C1281" s="107"/>
      <c r="D1281" s="83" t="s">
        <v>605</v>
      </c>
      <c r="E1281" s="105">
        <f>390000*2</f>
        <v>780000</v>
      </c>
      <c r="F1281" s="105">
        <f>600000*2</f>
        <v>1200000</v>
      </c>
      <c r="G1281" s="34">
        <f t="shared" si="449"/>
        <v>0.5384615385</v>
      </c>
      <c r="H1281" s="99"/>
      <c r="I1281" s="99"/>
      <c r="J1281" s="99"/>
      <c r="K1281" s="99"/>
      <c r="L1281" s="99"/>
      <c r="M1281" s="99"/>
      <c r="N1281" s="99"/>
      <c r="O1281" s="99"/>
      <c r="P1281" s="99"/>
      <c r="Q1281" s="108"/>
      <c r="R1281" s="108"/>
      <c r="S1281" s="100"/>
      <c r="T1281" s="24">
        <f t="shared" si="444"/>
        <v>-0.5384615385</v>
      </c>
      <c r="U1281" s="179">
        <f t="shared" si="445"/>
        <v>-1</v>
      </c>
      <c r="V1281" s="179" t="str">
        <f t="shared" si="446"/>
        <v/>
      </c>
      <c r="W1281" s="179" t="str">
        <f t="shared" si="447"/>
        <v/>
      </c>
      <c r="X1281" s="26"/>
    </row>
    <row r="1282">
      <c r="A1282" s="28"/>
      <c r="B1282" s="28"/>
      <c r="C1282" s="107"/>
      <c r="D1282" s="83" t="s">
        <v>606</v>
      </c>
      <c r="E1282" s="105">
        <f>300000*2</f>
        <v>600000</v>
      </c>
      <c r="F1282" s="105">
        <f>450000*2</f>
        <v>900000</v>
      </c>
      <c r="G1282" s="34">
        <f t="shared" si="449"/>
        <v>0.5</v>
      </c>
      <c r="H1282" s="99"/>
      <c r="I1282" s="99"/>
      <c r="J1282" s="99"/>
      <c r="K1282" s="99"/>
      <c r="L1282" s="99"/>
      <c r="M1282" s="99"/>
      <c r="N1282" s="99"/>
      <c r="O1282" s="99"/>
      <c r="P1282" s="99"/>
      <c r="Q1282" s="108"/>
      <c r="R1282" s="108"/>
      <c r="S1282" s="100"/>
      <c r="T1282" s="24">
        <f t="shared" si="444"/>
        <v>-0.5</v>
      </c>
      <c r="U1282" s="179">
        <f t="shared" si="445"/>
        <v>-1</v>
      </c>
      <c r="V1282" s="179" t="str">
        <f t="shared" si="446"/>
        <v/>
      </c>
      <c r="W1282" s="179" t="str">
        <f t="shared" si="447"/>
        <v/>
      </c>
      <c r="X1282" s="26"/>
    </row>
    <row r="1283">
      <c r="A1283" s="28"/>
      <c r="B1283" s="28"/>
      <c r="C1283" s="107"/>
      <c r="D1283" s="83" t="s">
        <v>607</v>
      </c>
      <c r="E1283" s="105">
        <f>(130000*2)</f>
        <v>260000</v>
      </c>
      <c r="F1283" s="105">
        <f>250000*2</f>
        <v>500000</v>
      </c>
      <c r="G1283" s="34">
        <f t="shared" si="449"/>
        <v>0.9230769231</v>
      </c>
      <c r="H1283" s="99"/>
      <c r="I1283" s="99"/>
      <c r="J1283" s="99"/>
      <c r="K1283" s="99"/>
      <c r="L1283" s="99"/>
      <c r="M1283" s="99"/>
      <c r="N1283" s="99"/>
      <c r="O1283" s="99"/>
      <c r="P1283" s="99"/>
      <c r="Q1283" s="108"/>
      <c r="R1283" s="108"/>
      <c r="S1283" s="100"/>
      <c r="T1283" s="24">
        <f t="shared" si="444"/>
        <v>-0.9230769231</v>
      </c>
      <c r="U1283" s="179">
        <f t="shared" si="445"/>
        <v>-1</v>
      </c>
      <c r="V1283" s="179" t="str">
        <f t="shared" si="446"/>
        <v/>
      </c>
      <c r="W1283" s="179" t="str">
        <f t="shared" si="447"/>
        <v/>
      </c>
      <c r="X1283" s="26"/>
    </row>
    <row r="1284">
      <c r="A1284" s="28"/>
      <c r="B1284" s="28"/>
      <c r="C1284" s="107"/>
      <c r="D1284" s="83" t="s">
        <v>101</v>
      </c>
      <c r="E1284" s="105">
        <f t="shared" ref="E1284:F1284" si="450">SUM(E1278:E1283)</f>
        <v>3880000</v>
      </c>
      <c r="F1284" s="105">
        <f t="shared" si="450"/>
        <v>5860000</v>
      </c>
      <c r="G1284" s="34">
        <f t="shared" si="449"/>
        <v>0.5103092784</v>
      </c>
      <c r="H1284" s="99"/>
      <c r="I1284" s="99"/>
      <c r="J1284" s="99"/>
      <c r="K1284" s="99"/>
      <c r="L1284" s="99"/>
      <c r="M1284" s="99"/>
      <c r="N1284" s="99"/>
      <c r="O1284" s="99"/>
      <c r="P1284" s="99"/>
      <c r="Q1284" s="108"/>
      <c r="R1284" s="108"/>
      <c r="S1284" s="100"/>
      <c r="T1284" s="24">
        <f t="shared" si="444"/>
        <v>-0.5103092784</v>
      </c>
      <c r="U1284" s="179">
        <f t="shared" si="445"/>
        <v>-1</v>
      </c>
      <c r="V1284" s="179" t="str">
        <f t="shared" si="446"/>
        <v/>
      </c>
      <c r="W1284" s="179" t="str">
        <f t="shared" si="447"/>
        <v/>
      </c>
      <c r="X1284" s="26"/>
    </row>
    <row r="1285">
      <c r="A1285" s="28"/>
      <c r="B1285" s="28"/>
      <c r="C1285" s="107"/>
      <c r="D1285" s="83" t="s">
        <v>148</v>
      </c>
      <c r="E1285" s="105">
        <f>F1284-E1284</f>
        <v>1980000</v>
      </c>
      <c r="F1285" s="105"/>
      <c r="G1285" s="34"/>
      <c r="H1285" s="99"/>
      <c r="I1285" s="99"/>
      <c r="J1285" s="99"/>
      <c r="K1285" s="99"/>
      <c r="L1285" s="99"/>
      <c r="M1285" s="99"/>
      <c r="N1285" s="99"/>
      <c r="O1285" s="99"/>
      <c r="P1285" s="99"/>
      <c r="Q1285" s="108"/>
      <c r="R1285" s="108"/>
      <c r="S1285" s="100"/>
      <c r="T1285" s="24">
        <f t="shared" si="444"/>
        <v>0</v>
      </c>
      <c r="U1285" s="179" t="str">
        <f t="shared" si="445"/>
        <v/>
      </c>
      <c r="V1285" s="179" t="str">
        <f t="shared" si="446"/>
        <v/>
      </c>
      <c r="W1285" s="179" t="str">
        <f t="shared" si="447"/>
        <v/>
      </c>
      <c r="X1285" s="26"/>
    </row>
    <row r="1286">
      <c r="A1286" s="28"/>
      <c r="B1286" s="28"/>
      <c r="C1286" s="107"/>
      <c r="D1286" s="97"/>
      <c r="E1286" s="105"/>
      <c r="F1286" s="105"/>
      <c r="G1286" s="34"/>
      <c r="H1286" s="99"/>
      <c r="I1286" s="99"/>
      <c r="J1286" s="99"/>
      <c r="K1286" s="99"/>
      <c r="L1286" s="99"/>
      <c r="M1286" s="99"/>
      <c r="N1286" s="99"/>
      <c r="O1286" s="99"/>
      <c r="P1286" s="99"/>
      <c r="Q1286" s="108"/>
      <c r="R1286" s="108"/>
      <c r="S1286" s="100"/>
      <c r="T1286" s="24">
        <f t="shared" si="444"/>
        <v>0</v>
      </c>
      <c r="U1286" s="179" t="str">
        <f t="shared" si="445"/>
        <v/>
      </c>
      <c r="V1286" s="179" t="str">
        <f t="shared" si="446"/>
        <v/>
      </c>
      <c r="W1286" s="179" t="str">
        <f t="shared" si="447"/>
        <v/>
      </c>
      <c r="X1286" s="26"/>
    </row>
    <row r="1287">
      <c r="A1287" s="28"/>
      <c r="B1287" s="28"/>
      <c r="C1287" s="107"/>
      <c r="D1287" s="97"/>
      <c r="E1287" s="105"/>
      <c r="F1287" s="105"/>
      <c r="G1287" s="34"/>
      <c r="H1287" s="99"/>
      <c r="I1287" s="99"/>
      <c r="J1287" s="99"/>
      <c r="K1287" s="99"/>
      <c r="L1287" s="99"/>
      <c r="M1287" s="99"/>
      <c r="N1287" s="99"/>
      <c r="O1287" s="99"/>
      <c r="P1287" s="99"/>
      <c r="Q1287" s="108"/>
      <c r="R1287" s="108"/>
      <c r="S1287" s="100"/>
      <c r="T1287" s="24">
        <f t="shared" si="444"/>
        <v>0</v>
      </c>
      <c r="U1287" s="179" t="str">
        <f t="shared" si="445"/>
        <v/>
      </c>
      <c r="V1287" s="179" t="str">
        <f t="shared" si="446"/>
        <v/>
      </c>
      <c r="W1287" s="179" t="str">
        <f t="shared" si="447"/>
        <v/>
      </c>
      <c r="X1287" s="26"/>
    </row>
    <row r="1288">
      <c r="A1288" s="28"/>
      <c r="B1288" s="28"/>
      <c r="C1288" s="1" t="s">
        <v>608</v>
      </c>
      <c r="D1288" s="83" t="s">
        <v>156</v>
      </c>
      <c r="E1288" s="201">
        <v>330000.0</v>
      </c>
      <c r="F1288" s="201">
        <v>510000.0</v>
      </c>
      <c r="G1288" s="34">
        <f t="shared" ref="G1288:G1290" si="451">(F1288-E1288)/E1288</f>
        <v>0.5454545455</v>
      </c>
      <c r="H1288" s="99"/>
      <c r="I1288" s="99"/>
      <c r="J1288" s="99"/>
      <c r="K1288" s="99"/>
      <c r="L1288" s="99"/>
      <c r="M1288" s="99"/>
      <c r="N1288" s="99"/>
      <c r="O1288" s="99"/>
      <c r="P1288" s="99"/>
      <c r="Q1288" s="108"/>
      <c r="R1288" s="108"/>
      <c r="S1288" s="100"/>
      <c r="T1288" s="24">
        <f t="shared" si="444"/>
        <v>-0.5454545455</v>
      </c>
      <c r="U1288" s="179">
        <f t="shared" si="445"/>
        <v>-1</v>
      </c>
      <c r="V1288" s="179" t="str">
        <f t="shared" si="446"/>
        <v/>
      </c>
      <c r="W1288" s="179" t="str">
        <f t="shared" si="447"/>
        <v/>
      </c>
      <c r="X1288" s="26"/>
    </row>
    <row r="1289">
      <c r="A1289" s="28"/>
      <c r="B1289" s="28"/>
      <c r="C1289" s="107"/>
      <c r="D1289" s="83" t="s">
        <v>222</v>
      </c>
      <c r="E1289" s="201">
        <v>350000.0</v>
      </c>
      <c r="F1289" s="201">
        <v>490000.0</v>
      </c>
      <c r="G1289" s="34">
        <f t="shared" si="451"/>
        <v>0.4</v>
      </c>
      <c r="H1289" s="99"/>
      <c r="I1289" s="99"/>
      <c r="J1289" s="99"/>
      <c r="K1289" s="99"/>
      <c r="L1289" s="99"/>
      <c r="M1289" s="99"/>
      <c r="N1289" s="99"/>
      <c r="O1289" s="99"/>
      <c r="P1289" s="99"/>
      <c r="Q1289" s="108"/>
      <c r="R1289" s="108"/>
      <c r="S1289" s="100"/>
      <c r="T1289" s="24">
        <f t="shared" si="444"/>
        <v>-0.4</v>
      </c>
      <c r="U1289" s="179">
        <f t="shared" si="445"/>
        <v>-1</v>
      </c>
      <c r="V1289" s="179" t="str">
        <f t="shared" si="446"/>
        <v/>
      </c>
      <c r="W1289" s="179" t="str">
        <f t="shared" si="447"/>
        <v/>
      </c>
      <c r="X1289" s="26"/>
    </row>
    <row r="1290">
      <c r="A1290" s="28"/>
      <c r="B1290" s="28"/>
      <c r="C1290" s="107"/>
      <c r="D1290" s="83" t="s">
        <v>609</v>
      </c>
      <c r="E1290" s="105">
        <f t="shared" ref="E1290:F1290" si="452">E1288+E1289</f>
        <v>680000</v>
      </c>
      <c r="F1290" s="105">
        <f t="shared" si="452"/>
        <v>1000000</v>
      </c>
      <c r="G1290" s="34">
        <f t="shared" si="451"/>
        <v>0.4705882353</v>
      </c>
      <c r="H1290" s="99"/>
      <c r="I1290" s="99"/>
      <c r="J1290" s="99"/>
      <c r="K1290" s="99"/>
      <c r="L1290" s="99"/>
      <c r="M1290" s="99"/>
      <c r="N1290" s="99"/>
      <c r="O1290" s="99"/>
      <c r="P1290" s="99"/>
      <c r="Q1290" s="108"/>
      <c r="R1290" s="108"/>
      <c r="S1290" s="100"/>
      <c r="T1290" s="24">
        <f t="shared" si="444"/>
        <v>-0.4705882353</v>
      </c>
      <c r="U1290" s="179">
        <f t="shared" si="445"/>
        <v>-1</v>
      </c>
      <c r="V1290" s="179" t="str">
        <f t="shared" si="446"/>
        <v/>
      </c>
      <c r="W1290" s="179" t="str">
        <f t="shared" si="447"/>
        <v/>
      </c>
      <c r="X1290" s="26"/>
    </row>
    <row r="1291">
      <c r="A1291" s="28"/>
      <c r="B1291" s="28"/>
      <c r="C1291" s="107"/>
      <c r="D1291" s="83" t="s">
        <v>148</v>
      </c>
      <c r="E1291" s="105">
        <f>F1290-E1290</f>
        <v>320000</v>
      </c>
      <c r="F1291" s="105"/>
      <c r="G1291" s="34"/>
      <c r="H1291" s="99"/>
      <c r="I1291" s="99"/>
      <c r="J1291" s="99"/>
      <c r="K1291" s="99"/>
      <c r="L1291" s="99"/>
      <c r="M1291" s="99"/>
      <c r="N1291" s="99"/>
      <c r="O1291" s="99"/>
      <c r="P1291" s="99"/>
      <c r="Q1291" s="108"/>
      <c r="R1291" s="108"/>
      <c r="S1291" s="100"/>
      <c r="T1291" s="24">
        <f t="shared" si="444"/>
        <v>0</v>
      </c>
      <c r="U1291" s="179" t="str">
        <f t="shared" si="445"/>
        <v/>
      </c>
      <c r="V1291" s="179" t="str">
        <f t="shared" si="446"/>
        <v/>
      </c>
      <c r="W1291" s="179" t="str">
        <f t="shared" si="447"/>
        <v/>
      </c>
      <c r="X1291" s="26"/>
    </row>
    <row r="1292">
      <c r="A1292" s="28"/>
      <c r="B1292" s="28"/>
      <c r="C1292" s="107"/>
      <c r="D1292" s="97"/>
      <c r="E1292" s="105"/>
      <c r="F1292" s="105"/>
      <c r="G1292" s="34"/>
      <c r="H1292" s="99"/>
      <c r="I1292" s="99"/>
      <c r="J1292" s="99"/>
      <c r="K1292" s="99"/>
      <c r="L1292" s="99"/>
      <c r="M1292" s="99"/>
      <c r="N1292" s="99"/>
      <c r="O1292" s="99"/>
      <c r="P1292" s="99"/>
      <c r="Q1292" s="108"/>
      <c r="R1292" s="108"/>
      <c r="S1292" s="100"/>
      <c r="T1292" s="24">
        <f t="shared" si="444"/>
        <v>0</v>
      </c>
      <c r="U1292" s="179" t="str">
        <f t="shared" si="445"/>
        <v/>
      </c>
      <c r="V1292" s="179" t="str">
        <f t="shared" si="446"/>
        <v/>
      </c>
      <c r="W1292" s="179" t="str">
        <f t="shared" si="447"/>
        <v/>
      </c>
      <c r="X1292" s="26"/>
    </row>
    <row r="1293">
      <c r="A1293" s="28"/>
      <c r="B1293" s="28"/>
      <c r="C1293" s="107"/>
      <c r="D1293" s="97"/>
      <c r="E1293" s="105"/>
      <c r="F1293" s="105"/>
      <c r="G1293" s="34"/>
      <c r="H1293" s="99"/>
      <c r="I1293" s="99"/>
      <c r="J1293" s="99"/>
      <c r="K1293" s="99"/>
      <c r="L1293" s="99"/>
      <c r="M1293" s="99"/>
      <c r="N1293" s="99"/>
      <c r="O1293" s="99"/>
      <c r="P1293" s="99"/>
      <c r="Q1293" s="108"/>
      <c r="R1293" s="108"/>
      <c r="S1293" s="100"/>
      <c r="T1293" s="24">
        <f t="shared" si="444"/>
        <v>0</v>
      </c>
      <c r="U1293" s="179" t="str">
        <f t="shared" si="445"/>
        <v/>
      </c>
      <c r="V1293" s="179" t="str">
        <f t="shared" si="446"/>
        <v/>
      </c>
      <c r="W1293" s="179" t="str">
        <f t="shared" si="447"/>
        <v/>
      </c>
      <c r="X1293" s="26"/>
    </row>
    <row r="1294">
      <c r="A1294" s="28"/>
      <c r="B1294" s="28"/>
      <c r="C1294" s="82" t="s">
        <v>610</v>
      </c>
      <c r="D1294" s="238" t="s">
        <v>155</v>
      </c>
      <c r="E1294" s="105">
        <f>320000+36000*4+40000+240000</f>
        <v>744000</v>
      </c>
      <c r="F1294" s="105">
        <f>330000*4</f>
        <v>1320000</v>
      </c>
      <c r="G1294" s="34">
        <f t="shared" ref="G1294:G1299" si="453">(F1294-E1294)/E1294</f>
        <v>0.7741935484</v>
      </c>
      <c r="H1294" s="99"/>
      <c r="I1294" s="99"/>
      <c r="J1294" s="99"/>
      <c r="K1294" s="99"/>
      <c r="L1294" s="99"/>
      <c r="M1294" s="99"/>
      <c r="N1294" s="99"/>
      <c r="O1294" s="99"/>
      <c r="P1294" s="99"/>
      <c r="Q1294" s="108"/>
      <c r="R1294" s="108"/>
      <c r="S1294" s="100"/>
      <c r="T1294" s="24">
        <f t="shared" si="444"/>
        <v>-0.7741935484</v>
      </c>
      <c r="U1294" s="179">
        <f t="shared" si="445"/>
        <v>-1</v>
      </c>
      <c r="V1294" s="179" t="str">
        <f t="shared" si="446"/>
        <v/>
      </c>
      <c r="W1294" s="179" t="str">
        <f t="shared" si="447"/>
        <v/>
      </c>
      <c r="X1294" s="26"/>
    </row>
    <row r="1295">
      <c r="A1295" s="28"/>
      <c r="B1295" s="28"/>
      <c r="C1295" s="107"/>
      <c r="D1295" s="83" t="s">
        <v>611</v>
      </c>
      <c r="E1295" s="105">
        <f>688000*2</f>
        <v>1376000</v>
      </c>
      <c r="F1295" s="105">
        <f>450000*4</f>
        <v>1800000</v>
      </c>
      <c r="G1295" s="34">
        <f t="shared" si="453"/>
        <v>0.3081395349</v>
      </c>
      <c r="H1295" s="99"/>
      <c r="I1295" s="99"/>
      <c r="J1295" s="99"/>
      <c r="K1295" s="99"/>
      <c r="L1295" s="99"/>
      <c r="M1295" s="99"/>
      <c r="N1295" s="99"/>
      <c r="O1295" s="99"/>
      <c r="P1295" s="99"/>
      <c r="Q1295" s="108"/>
      <c r="R1295" s="108"/>
      <c r="S1295" s="100"/>
      <c r="T1295" s="24">
        <f t="shared" si="444"/>
        <v>-0.3081395349</v>
      </c>
      <c r="U1295" s="179">
        <f t="shared" si="445"/>
        <v>-1</v>
      </c>
      <c r="V1295" s="179" t="str">
        <f t="shared" si="446"/>
        <v/>
      </c>
      <c r="W1295" s="179" t="str">
        <f t="shared" si="447"/>
        <v/>
      </c>
      <c r="X1295" s="26"/>
    </row>
    <row r="1296">
      <c r="A1296" s="28"/>
      <c r="B1296" s="28"/>
      <c r="C1296" s="107"/>
      <c r="D1296" s="83" t="s">
        <v>612</v>
      </c>
      <c r="E1296" s="105">
        <f>420000*4</f>
        <v>1680000</v>
      </c>
      <c r="F1296" s="105">
        <f>550000*4</f>
        <v>2200000</v>
      </c>
      <c r="G1296" s="34">
        <f t="shared" si="453"/>
        <v>0.3095238095</v>
      </c>
      <c r="H1296" s="99"/>
      <c r="I1296" s="99"/>
      <c r="J1296" s="99"/>
      <c r="K1296" s="99"/>
      <c r="L1296" s="99"/>
      <c r="M1296" s="99"/>
      <c r="N1296" s="99"/>
      <c r="O1296" s="99"/>
      <c r="P1296" s="99"/>
      <c r="Q1296" s="108"/>
      <c r="R1296" s="108"/>
      <c r="S1296" s="100"/>
      <c r="T1296" s="24">
        <f t="shared" si="444"/>
        <v>-0.3095238095</v>
      </c>
      <c r="U1296" s="179">
        <f t="shared" si="445"/>
        <v>-1</v>
      </c>
      <c r="V1296" s="179" t="str">
        <f t="shared" si="446"/>
        <v/>
      </c>
      <c r="W1296" s="179" t="str">
        <f t="shared" si="447"/>
        <v/>
      </c>
      <c r="X1296" s="26"/>
    </row>
    <row r="1297">
      <c r="A1297" s="28"/>
      <c r="B1297" s="28"/>
      <c r="C1297" s="107"/>
      <c r="D1297" s="83" t="s">
        <v>476</v>
      </c>
      <c r="E1297" s="105">
        <f>350000*4</f>
        <v>1400000</v>
      </c>
      <c r="F1297" s="105">
        <f>490000*4</f>
        <v>1960000</v>
      </c>
      <c r="G1297" s="34">
        <f t="shared" si="453"/>
        <v>0.4</v>
      </c>
      <c r="H1297" s="99">
        <f t="shared" ref="H1297:H1298" si="454">F1297-E1297</f>
        <v>560000</v>
      </c>
      <c r="I1297" s="99"/>
      <c r="J1297" s="99"/>
      <c r="K1297" s="99"/>
      <c r="L1297" s="99"/>
      <c r="M1297" s="99"/>
      <c r="N1297" s="99"/>
      <c r="O1297" s="99"/>
      <c r="P1297" s="99"/>
      <c r="Q1297" s="108"/>
      <c r="R1297" s="108"/>
      <c r="S1297" s="100"/>
      <c r="T1297" s="24">
        <f t="shared" si="444"/>
        <v>-0.4</v>
      </c>
      <c r="U1297" s="179">
        <f t="shared" si="445"/>
        <v>-1</v>
      </c>
      <c r="V1297" s="179" t="str">
        <f t="shared" si="446"/>
        <v/>
      </c>
      <c r="W1297" s="179" t="str">
        <f t="shared" si="447"/>
        <v/>
      </c>
      <c r="X1297" s="26"/>
    </row>
    <row r="1298">
      <c r="A1298" s="28"/>
      <c r="B1298" s="28"/>
      <c r="C1298" s="107"/>
      <c r="D1298" s="83" t="s">
        <v>364</v>
      </c>
      <c r="E1298" s="201">
        <v>550000.0</v>
      </c>
      <c r="F1298" s="201">
        <v>780000.0</v>
      </c>
      <c r="G1298" s="34">
        <f t="shared" si="453"/>
        <v>0.4181818182</v>
      </c>
      <c r="H1298" s="99">
        <f t="shared" si="454"/>
        <v>230000</v>
      </c>
      <c r="I1298" s="99"/>
      <c r="J1298" s="99"/>
      <c r="K1298" s="99"/>
      <c r="L1298" s="99"/>
      <c r="M1298" s="99"/>
      <c r="N1298" s="99"/>
      <c r="O1298" s="99"/>
      <c r="P1298" s="99"/>
      <c r="Q1298" s="108"/>
      <c r="R1298" s="108"/>
      <c r="S1298" s="100"/>
      <c r="T1298" s="24"/>
      <c r="U1298" s="179"/>
      <c r="V1298" s="179"/>
      <c r="W1298" s="179"/>
      <c r="X1298" s="26"/>
    </row>
    <row r="1299">
      <c r="A1299" s="28"/>
      <c r="B1299" s="28"/>
      <c r="C1299" s="107"/>
      <c r="D1299" s="83" t="s">
        <v>101</v>
      </c>
      <c r="E1299" s="105">
        <f>E1294+E1295+E1296+E1297</f>
        <v>5200000</v>
      </c>
      <c r="F1299" s="105">
        <f>SUM(F1294:F1298)</f>
        <v>8060000</v>
      </c>
      <c r="G1299" s="34">
        <f t="shared" si="453"/>
        <v>0.55</v>
      </c>
      <c r="H1299" s="99"/>
      <c r="I1299" s="99"/>
      <c r="J1299" s="99"/>
      <c r="K1299" s="99"/>
      <c r="L1299" s="99"/>
      <c r="M1299" s="99"/>
      <c r="N1299" s="99"/>
      <c r="O1299" s="99"/>
      <c r="P1299" s="99"/>
      <c r="Q1299" s="108"/>
      <c r="R1299" s="108"/>
      <c r="S1299" s="100"/>
      <c r="T1299" s="24">
        <f t="shared" ref="T1299:T1346" si="455">P1299-(G1299+S1299)-(P1299*R1299)-(P1299*Q1299)</f>
        <v>-0.55</v>
      </c>
      <c r="U1299" s="179">
        <f t="shared" ref="U1299:U1346" si="456">IFERROR((P1299-G1299)/G1299,"")</f>
        <v>-1</v>
      </c>
      <c r="V1299" s="179" t="str">
        <f t="shared" ref="V1299:V1346" si="457">IFERROR((P1299-G1299)/P1299,"")</f>
        <v/>
      </c>
      <c r="W1299" s="179" t="str">
        <f t="shared" ref="W1299:W1346" si="458">IFERROR(T1299/P1299,"")</f>
        <v/>
      </c>
      <c r="X1299" s="26"/>
    </row>
    <row r="1300">
      <c r="A1300" s="28"/>
      <c r="B1300" s="28"/>
      <c r="C1300" s="107"/>
      <c r="D1300" s="83" t="s">
        <v>148</v>
      </c>
      <c r="E1300" s="105">
        <f>F1299-E1299</f>
        <v>2860000</v>
      </c>
      <c r="F1300" s="105"/>
      <c r="G1300" s="34"/>
      <c r="H1300" s="99"/>
      <c r="I1300" s="99"/>
      <c r="J1300" s="99"/>
      <c r="K1300" s="99"/>
      <c r="L1300" s="99"/>
      <c r="M1300" s="99"/>
      <c r="N1300" s="99"/>
      <c r="O1300" s="99"/>
      <c r="P1300" s="99"/>
      <c r="Q1300" s="108"/>
      <c r="R1300" s="108"/>
      <c r="S1300" s="100"/>
      <c r="T1300" s="24">
        <f t="shared" si="455"/>
        <v>0</v>
      </c>
      <c r="U1300" s="179" t="str">
        <f t="shared" si="456"/>
        <v/>
      </c>
      <c r="V1300" s="179" t="str">
        <f t="shared" si="457"/>
        <v/>
      </c>
      <c r="W1300" s="179" t="str">
        <f t="shared" si="458"/>
        <v/>
      </c>
      <c r="X1300" s="26"/>
    </row>
    <row r="1301">
      <c r="A1301" s="28"/>
      <c r="B1301" s="28"/>
      <c r="C1301" s="107"/>
      <c r="D1301" s="97"/>
      <c r="E1301" s="105"/>
      <c r="F1301" s="105"/>
      <c r="G1301" s="34"/>
      <c r="H1301" s="99"/>
      <c r="I1301" s="99"/>
      <c r="J1301" s="99"/>
      <c r="K1301" s="99"/>
      <c r="L1301" s="99"/>
      <c r="M1301" s="99"/>
      <c r="N1301" s="99"/>
      <c r="O1301" s="99"/>
      <c r="P1301" s="99"/>
      <c r="Q1301" s="108"/>
      <c r="R1301" s="108"/>
      <c r="S1301" s="100"/>
      <c r="T1301" s="24">
        <f t="shared" si="455"/>
        <v>0</v>
      </c>
      <c r="U1301" s="179" t="str">
        <f t="shared" si="456"/>
        <v/>
      </c>
      <c r="V1301" s="179" t="str">
        <f t="shared" si="457"/>
        <v/>
      </c>
      <c r="W1301" s="179" t="str">
        <f t="shared" si="458"/>
        <v/>
      </c>
      <c r="X1301" s="26"/>
    </row>
    <row r="1302">
      <c r="A1302" s="28"/>
      <c r="B1302" s="28"/>
      <c r="C1302" s="107"/>
      <c r="D1302" s="97"/>
      <c r="E1302" s="105"/>
      <c r="F1302" s="105"/>
      <c r="G1302" s="34"/>
      <c r="H1302" s="99"/>
      <c r="I1302" s="99"/>
      <c r="J1302" s="99"/>
      <c r="K1302" s="99"/>
      <c r="L1302" s="99"/>
      <c r="M1302" s="99"/>
      <c r="N1302" s="99"/>
      <c r="O1302" s="99"/>
      <c r="P1302" s="99"/>
      <c r="Q1302" s="108"/>
      <c r="R1302" s="108"/>
      <c r="S1302" s="100"/>
      <c r="T1302" s="24">
        <f t="shared" si="455"/>
        <v>0</v>
      </c>
      <c r="U1302" s="179" t="str">
        <f t="shared" si="456"/>
        <v/>
      </c>
      <c r="V1302" s="179" t="str">
        <f t="shared" si="457"/>
        <v/>
      </c>
      <c r="W1302" s="179" t="str">
        <f t="shared" si="458"/>
        <v/>
      </c>
      <c r="X1302" s="26"/>
    </row>
    <row r="1303">
      <c r="A1303" s="28"/>
      <c r="B1303" s="28"/>
      <c r="C1303" s="82" t="s">
        <v>613</v>
      </c>
      <c r="D1303" s="83" t="s">
        <v>614</v>
      </c>
      <c r="E1303" s="105">
        <f>300000*13</f>
        <v>3900000</v>
      </c>
      <c r="F1303" s="105">
        <f>450000*13</f>
        <v>5850000</v>
      </c>
      <c r="G1303" s="34">
        <f>(F1303-E1303)/E1303</f>
        <v>0.5</v>
      </c>
      <c r="H1303" s="99"/>
      <c r="I1303" s="99"/>
      <c r="J1303" s="99"/>
      <c r="K1303" s="99"/>
      <c r="L1303" s="99"/>
      <c r="M1303" s="99"/>
      <c r="N1303" s="99"/>
      <c r="O1303" s="99"/>
      <c r="P1303" s="99"/>
      <c r="Q1303" s="108"/>
      <c r="R1303" s="108"/>
      <c r="S1303" s="100"/>
      <c r="T1303" s="24">
        <f t="shared" si="455"/>
        <v>-0.5</v>
      </c>
      <c r="U1303" s="179">
        <f t="shared" si="456"/>
        <v>-1</v>
      </c>
      <c r="V1303" s="179" t="str">
        <f t="shared" si="457"/>
        <v/>
      </c>
      <c r="W1303" s="179" t="str">
        <f t="shared" si="458"/>
        <v/>
      </c>
      <c r="X1303" s="26"/>
    </row>
    <row r="1304">
      <c r="A1304" s="28"/>
      <c r="B1304" s="28"/>
      <c r="C1304" s="107"/>
      <c r="D1304" s="97"/>
      <c r="E1304" s="105">
        <f>F1303-E1303</f>
        <v>1950000</v>
      </c>
      <c r="F1304" s="105"/>
      <c r="G1304" s="34"/>
      <c r="H1304" s="99"/>
      <c r="I1304" s="99"/>
      <c r="J1304" s="99"/>
      <c r="K1304" s="99"/>
      <c r="L1304" s="99"/>
      <c r="M1304" s="99"/>
      <c r="N1304" s="99"/>
      <c r="O1304" s="99"/>
      <c r="P1304" s="99"/>
      <c r="Q1304" s="108"/>
      <c r="R1304" s="108"/>
      <c r="S1304" s="100"/>
      <c r="T1304" s="24">
        <f t="shared" si="455"/>
        <v>0</v>
      </c>
      <c r="U1304" s="179" t="str">
        <f t="shared" si="456"/>
        <v/>
      </c>
      <c r="V1304" s="179" t="str">
        <f t="shared" si="457"/>
        <v/>
      </c>
      <c r="W1304" s="179" t="str">
        <f t="shared" si="458"/>
        <v/>
      </c>
      <c r="X1304" s="26"/>
    </row>
    <row r="1305">
      <c r="A1305" s="28"/>
      <c r="B1305" s="28"/>
      <c r="C1305" s="107"/>
      <c r="D1305" s="97"/>
      <c r="E1305" s="105"/>
      <c r="F1305" s="105"/>
      <c r="G1305" s="34"/>
      <c r="H1305" s="99"/>
      <c r="I1305" s="99"/>
      <c r="J1305" s="99"/>
      <c r="K1305" s="99"/>
      <c r="L1305" s="99"/>
      <c r="M1305" s="99"/>
      <c r="N1305" s="99"/>
      <c r="O1305" s="99"/>
      <c r="P1305" s="99"/>
      <c r="Q1305" s="108"/>
      <c r="R1305" s="108"/>
      <c r="S1305" s="100"/>
      <c r="T1305" s="24">
        <f t="shared" si="455"/>
        <v>0</v>
      </c>
      <c r="U1305" s="179" t="str">
        <f t="shared" si="456"/>
        <v/>
      </c>
      <c r="V1305" s="179" t="str">
        <f t="shared" si="457"/>
        <v/>
      </c>
      <c r="W1305" s="179" t="str">
        <f t="shared" si="458"/>
        <v/>
      </c>
      <c r="X1305" s="26"/>
    </row>
    <row r="1306">
      <c r="A1306" s="28"/>
      <c r="B1306" s="28"/>
      <c r="C1306" s="107"/>
      <c r="D1306" s="97"/>
      <c r="E1306" s="105"/>
      <c r="F1306" s="105"/>
      <c r="G1306" s="34"/>
      <c r="H1306" s="99"/>
      <c r="I1306" s="99"/>
      <c r="J1306" s="99"/>
      <c r="K1306" s="99"/>
      <c r="L1306" s="99"/>
      <c r="M1306" s="99"/>
      <c r="N1306" s="99"/>
      <c r="O1306" s="99"/>
      <c r="P1306" s="99"/>
      <c r="Q1306" s="108"/>
      <c r="R1306" s="108"/>
      <c r="S1306" s="100"/>
      <c r="T1306" s="24">
        <f t="shared" si="455"/>
        <v>0</v>
      </c>
      <c r="U1306" s="179" t="str">
        <f t="shared" si="456"/>
        <v/>
      </c>
      <c r="V1306" s="179" t="str">
        <f t="shared" si="457"/>
        <v/>
      </c>
      <c r="W1306" s="179" t="str">
        <f t="shared" si="458"/>
        <v/>
      </c>
      <c r="X1306" s="26"/>
    </row>
    <row r="1307">
      <c r="A1307" s="28"/>
      <c r="B1307" s="28"/>
      <c r="C1307" s="82" t="s">
        <v>615</v>
      </c>
      <c r="D1307" s="83" t="s">
        <v>158</v>
      </c>
      <c r="E1307" s="201">
        <f>420000*2</f>
        <v>840000</v>
      </c>
      <c r="F1307" s="105">
        <f>550000*2</f>
        <v>1100000</v>
      </c>
      <c r="G1307" s="34">
        <f t="shared" ref="G1307:G1319" si="459">(F1307-E1307)/E1307</f>
        <v>0.3095238095</v>
      </c>
      <c r="H1307" s="99"/>
      <c r="I1307" s="99"/>
      <c r="J1307" s="99"/>
      <c r="K1307" s="99"/>
      <c r="L1307" s="99"/>
      <c r="M1307" s="99"/>
      <c r="N1307" s="99"/>
      <c r="O1307" s="99"/>
      <c r="P1307" s="99"/>
      <c r="Q1307" s="108"/>
      <c r="R1307" s="108"/>
      <c r="S1307" s="100"/>
      <c r="T1307" s="24">
        <f t="shared" si="455"/>
        <v>-0.3095238095</v>
      </c>
      <c r="U1307" s="179">
        <f t="shared" si="456"/>
        <v>-1</v>
      </c>
      <c r="V1307" s="179" t="str">
        <f t="shared" si="457"/>
        <v/>
      </c>
      <c r="W1307" s="179" t="str">
        <f t="shared" si="458"/>
        <v/>
      </c>
      <c r="X1307" s="26"/>
    </row>
    <row r="1308">
      <c r="A1308" s="28"/>
      <c r="B1308" s="28"/>
      <c r="C1308" s="107"/>
      <c r="D1308" s="83" t="s">
        <v>616</v>
      </c>
      <c r="E1308" s="105">
        <f>968000</f>
        <v>968000</v>
      </c>
      <c r="F1308" s="105">
        <f>600000*2</f>
        <v>1200000</v>
      </c>
      <c r="G1308" s="34">
        <f t="shared" si="459"/>
        <v>0.2396694215</v>
      </c>
      <c r="H1308" s="99"/>
      <c r="I1308" s="99"/>
      <c r="J1308" s="99"/>
      <c r="K1308" s="99"/>
      <c r="L1308" s="99"/>
      <c r="M1308" s="99"/>
      <c r="N1308" s="99"/>
      <c r="O1308" s="99"/>
      <c r="P1308" s="99"/>
      <c r="Q1308" s="108"/>
      <c r="R1308" s="108"/>
      <c r="S1308" s="100"/>
      <c r="T1308" s="24">
        <f t="shared" si="455"/>
        <v>-0.2396694215</v>
      </c>
      <c r="U1308" s="179">
        <f t="shared" si="456"/>
        <v>-1</v>
      </c>
      <c r="V1308" s="179" t="str">
        <f t="shared" si="457"/>
        <v/>
      </c>
      <c r="W1308" s="179" t="str">
        <f t="shared" si="458"/>
        <v/>
      </c>
      <c r="X1308" s="26"/>
    </row>
    <row r="1309">
      <c r="A1309" s="28"/>
      <c r="B1309" s="28"/>
      <c r="C1309" s="107"/>
      <c r="D1309" s="83" t="s">
        <v>156</v>
      </c>
      <c r="E1309" s="201">
        <v>660000.0</v>
      </c>
      <c r="F1309" s="105">
        <f>510000*2</f>
        <v>1020000</v>
      </c>
      <c r="G1309" s="34">
        <f t="shared" si="459"/>
        <v>0.5454545455</v>
      </c>
      <c r="H1309" s="99"/>
      <c r="I1309" s="99"/>
      <c r="J1309" s="99"/>
      <c r="K1309" s="99"/>
      <c r="L1309" s="99"/>
      <c r="M1309" s="99"/>
      <c r="N1309" s="99"/>
      <c r="O1309" s="99"/>
      <c r="P1309" s="99"/>
      <c r="Q1309" s="108"/>
      <c r="R1309" s="108"/>
      <c r="S1309" s="100"/>
      <c r="T1309" s="24">
        <f t="shared" si="455"/>
        <v>-0.5454545455</v>
      </c>
      <c r="U1309" s="179">
        <f t="shared" si="456"/>
        <v>-1</v>
      </c>
      <c r="V1309" s="179" t="str">
        <f t="shared" si="457"/>
        <v/>
      </c>
      <c r="W1309" s="179" t="str">
        <f t="shared" si="458"/>
        <v/>
      </c>
      <c r="X1309" s="26"/>
    </row>
    <row r="1310">
      <c r="A1310" s="28"/>
      <c r="B1310" s="28"/>
      <c r="C1310" s="107"/>
      <c r="D1310" s="83" t="s">
        <v>101</v>
      </c>
      <c r="E1310" s="105">
        <f t="shared" ref="E1310:F1310" si="460">E1307+E1308+E1309</f>
        <v>2468000</v>
      </c>
      <c r="F1310" s="105">
        <f t="shared" si="460"/>
        <v>3320000</v>
      </c>
      <c r="G1310" s="34">
        <f t="shared" si="459"/>
        <v>0.3452188006</v>
      </c>
      <c r="H1310" s="99"/>
      <c r="I1310" s="99"/>
      <c r="J1310" s="99"/>
      <c r="K1310" s="99"/>
      <c r="L1310" s="99"/>
      <c r="M1310" s="99"/>
      <c r="N1310" s="99"/>
      <c r="O1310" s="99"/>
      <c r="P1310" s="99"/>
      <c r="Q1310" s="108"/>
      <c r="R1310" s="108"/>
      <c r="S1310" s="100"/>
      <c r="T1310" s="24">
        <f t="shared" si="455"/>
        <v>-0.3452188006</v>
      </c>
      <c r="U1310" s="179">
        <f t="shared" si="456"/>
        <v>-1</v>
      </c>
      <c r="V1310" s="179" t="str">
        <f t="shared" si="457"/>
        <v/>
      </c>
      <c r="W1310" s="179" t="str">
        <f t="shared" si="458"/>
        <v/>
      </c>
      <c r="X1310" s="26"/>
    </row>
    <row r="1311">
      <c r="A1311" s="28"/>
      <c r="B1311" s="28"/>
      <c r="C1311" s="107"/>
      <c r="D1311" s="83" t="s">
        <v>148</v>
      </c>
      <c r="E1311" s="105">
        <f>F1310-E1310</f>
        <v>852000</v>
      </c>
      <c r="F1311" s="105"/>
      <c r="G1311" s="34">
        <f t="shared" si="459"/>
        <v>-1</v>
      </c>
      <c r="H1311" s="99"/>
      <c r="I1311" s="99"/>
      <c r="J1311" s="99"/>
      <c r="K1311" s="99"/>
      <c r="L1311" s="99"/>
      <c r="M1311" s="99"/>
      <c r="N1311" s="99"/>
      <c r="O1311" s="99"/>
      <c r="P1311" s="99"/>
      <c r="Q1311" s="108"/>
      <c r="R1311" s="108"/>
      <c r="S1311" s="100"/>
      <c r="T1311" s="24">
        <f t="shared" si="455"/>
        <v>1</v>
      </c>
      <c r="U1311" s="179">
        <f t="shared" si="456"/>
        <v>-1</v>
      </c>
      <c r="V1311" s="179" t="str">
        <f t="shared" si="457"/>
        <v/>
      </c>
      <c r="W1311" s="179" t="str">
        <f t="shared" si="458"/>
        <v/>
      </c>
      <c r="X1311" s="26"/>
    </row>
    <row r="1312">
      <c r="A1312" s="28"/>
      <c r="B1312" s="28"/>
      <c r="C1312" s="107"/>
      <c r="D1312" s="97"/>
      <c r="E1312" s="105"/>
      <c r="F1312" s="105"/>
      <c r="G1312" s="34" t="str">
        <f t="shared" si="459"/>
        <v>#DIV/0!</v>
      </c>
      <c r="H1312" s="99"/>
      <c r="I1312" s="99"/>
      <c r="J1312" s="99"/>
      <c r="K1312" s="99"/>
      <c r="L1312" s="99"/>
      <c r="M1312" s="99"/>
      <c r="N1312" s="99"/>
      <c r="O1312" s="99"/>
      <c r="P1312" s="99"/>
      <c r="Q1312" s="108"/>
      <c r="R1312" s="108"/>
      <c r="S1312" s="100"/>
      <c r="T1312" s="24" t="str">
        <f t="shared" si="455"/>
        <v>#DIV/0!</v>
      </c>
      <c r="U1312" s="179" t="str">
        <f t="shared" si="456"/>
        <v/>
      </c>
      <c r="V1312" s="179" t="str">
        <f t="shared" si="457"/>
        <v/>
      </c>
      <c r="W1312" s="179" t="str">
        <f t="shared" si="458"/>
        <v/>
      </c>
      <c r="X1312" s="26"/>
    </row>
    <row r="1313">
      <c r="A1313" s="28"/>
      <c r="B1313" s="28"/>
      <c r="C1313" s="107"/>
      <c r="D1313" s="97"/>
      <c r="E1313" s="105"/>
      <c r="F1313" s="105"/>
      <c r="G1313" s="34" t="str">
        <f t="shared" si="459"/>
        <v>#DIV/0!</v>
      </c>
      <c r="H1313" s="99"/>
      <c r="I1313" s="99"/>
      <c r="J1313" s="99"/>
      <c r="K1313" s="99"/>
      <c r="L1313" s="99"/>
      <c r="M1313" s="99"/>
      <c r="N1313" s="99"/>
      <c r="O1313" s="99"/>
      <c r="P1313" s="99"/>
      <c r="Q1313" s="108"/>
      <c r="R1313" s="108"/>
      <c r="S1313" s="100"/>
      <c r="T1313" s="24" t="str">
        <f t="shared" si="455"/>
        <v>#DIV/0!</v>
      </c>
      <c r="U1313" s="179" t="str">
        <f t="shared" si="456"/>
        <v/>
      </c>
      <c r="V1313" s="179" t="str">
        <f t="shared" si="457"/>
        <v/>
      </c>
      <c r="W1313" s="179" t="str">
        <f t="shared" si="458"/>
        <v/>
      </c>
      <c r="X1313" s="26"/>
    </row>
    <row r="1314">
      <c r="A1314" s="28"/>
      <c r="B1314" s="28"/>
      <c r="C1314" s="82" t="s">
        <v>617</v>
      </c>
      <c r="D1314" s="83" t="s">
        <v>618</v>
      </c>
      <c r="E1314" s="201">
        <v>1190000.0</v>
      </c>
      <c r="F1314" s="105">
        <f t="shared" ref="F1314:F1315" si="461">E1314*1.4</f>
        <v>1666000</v>
      </c>
      <c r="G1314" s="34">
        <f t="shared" si="459"/>
        <v>0.4</v>
      </c>
      <c r="H1314" s="99"/>
      <c r="I1314" s="99"/>
      <c r="J1314" s="99"/>
      <c r="K1314" s="99"/>
      <c r="L1314" s="99"/>
      <c r="M1314" s="99"/>
      <c r="N1314" s="99"/>
      <c r="O1314" s="99"/>
      <c r="P1314" s="99"/>
      <c r="Q1314" s="108"/>
      <c r="R1314" s="108"/>
      <c r="S1314" s="100"/>
      <c r="T1314" s="24">
        <f t="shared" si="455"/>
        <v>-0.4</v>
      </c>
      <c r="U1314" s="179">
        <f t="shared" si="456"/>
        <v>-1</v>
      </c>
      <c r="V1314" s="179" t="str">
        <f t="shared" si="457"/>
        <v/>
      </c>
      <c r="W1314" s="179" t="str">
        <f t="shared" si="458"/>
        <v/>
      </c>
      <c r="X1314" s="26"/>
    </row>
    <row r="1315">
      <c r="A1315" s="28"/>
      <c r="B1315" s="28"/>
      <c r="C1315" s="107"/>
      <c r="D1315" s="83" t="s">
        <v>619</v>
      </c>
      <c r="E1315" s="201">
        <v>1818000.0</v>
      </c>
      <c r="F1315" s="105">
        <f t="shared" si="461"/>
        <v>2545200</v>
      </c>
      <c r="G1315" s="34">
        <f t="shared" si="459"/>
        <v>0.4</v>
      </c>
      <c r="H1315" s="99"/>
      <c r="I1315" s="99"/>
      <c r="J1315" s="99"/>
      <c r="K1315" s="99"/>
      <c r="L1315" s="99"/>
      <c r="M1315" s="99"/>
      <c r="N1315" s="99"/>
      <c r="O1315" s="99"/>
      <c r="P1315" s="99"/>
      <c r="Q1315" s="108"/>
      <c r="R1315" s="108"/>
      <c r="S1315" s="100"/>
      <c r="T1315" s="24">
        <f t="shared" si="455"/>
        <v>-0.4</v>
      </c>
      <c r="U1315" s="179">
        <f t="shared" si="456"/>
        <v>-1</v>
      </c>
      <c r="V1315" s="179" t="str">
        <f t="shared" si="457"/>
        <v/>
      </c>
      <c r="W1315" s="179" t="str">
        <f t="shared" si="458"/>
        <v/>
      </c>
      <c r="X1315" s="26"/>
    </row>
    <row r="1316">
      <c r="A1316" s="28"/>
      <c r="B1316" s="28"/>
      <c r="C1316" s="107"/>
      <c r="D1316" s="83" t="s">
        <v>222</v>
      </c>
      <c r="E1316" s="201">
        <f>350000*2+230000</f>
        <v>930000</v>
      </c>
      <c r="F1316" s="105">
        <f>490000*2+340000</f>
        <v>1320000</v>
      </c>
      <c r="G1316" s="34">
        <f t="shared" si="459"/>
        <v>0.4193548387</v>
      </c>
      <c r="H1316" s="99"/>
      <c r="I1316" s="99"/>
      <c r="J1316" s="99"/>
      <c r="K1316" s="99"/>
      <c r="L1316" s="99"/>
      <c r="M1316" s="99"/>
      <c r="N1316" s="99"/>
      <c r="O1316" s="99"/>
      <c r="P1316" s="99"/>
      <c r="Q1316" s="108"/>
      <c r="R1316" s="108"/>
      <c r="S1316" s="100"/>
      <c r="T1316" s="24">
        <f t="shared" si="455"/>
        <v>-0.4193548387</v>
      </c>
      <c r="U1316" s="179">
        <f t="shared" si="456"/>
        <v>-1</v>
      </c>
      <c r="V1316" s="179" t="str">
        <f t="shared" si="457"/>
        <v/>
      </c>
      <c r="W1316" s="179" t="str">
        <f t="shared" si="458"/>
        <v/>
      </c>
      <c r="X1316" s="26"/>
    </row>
    <row r="1317">
      <c r="A1317" s="28"/>
      <c r="B1317" s="28"/>
      <c r="C1317" s="107"/>
      <c r="D1317" s="83" t="s">
        <v>156</v>
      </c>
      <c r="E1317" s="105">
        <f>330000*2+capri!C7</f>
        <v>910000</v>
      </c>
      <c r="F1317" s="105">
        <f>510000*2+320000</f>
        <v>1340000</v>
      </c>
      <c r="G1317" s="34">
        <f t="shared" si="459"/>
        <v>0.4725274725</v>
      </c>
      <c r="H1317" s="99"/>
      <c r="I1317" s="99"/>
      <c r="J1317" s="99"/>
      <c r="K1317" s="99"/>
      <c r="L1317" s="99"/>
      <c r="M1317" s="99"/>
      <c r="N1317" s="99"/>
      <c r="O1317" s="99"/>
      <c r="P1317" s="99"/>
      <c r="Q1317" s="108"/>
      <c r="R1317" s="108"/>
      <c r="S1317" s="100"/>
      <c r="T1317" s="24">
        <f t="shared" si="455"/>
        <v>-0.4725274725</v>
      </c>
      <c r="U1317" s="179">
        <f t="shared" si="456"/>
        <v>-1</v>
      </c>
      <c r="V1317" s="179" t="str">
        <f t="shared" si="457"/>
        <v/>
      </c>
      <c r="W1317" s="179" t="str">
        <f t="shared" si="458"/>
        <v/>
      </c>
      <c r="X1317" s="26"/>
    </row>
    <row r="1318">
      <c r="A1318" s="28"/>
      <c r="B1318" s="28"/>
      <c r="C1318" s="107"/>
      <c r="D1318" s="83" t="s">
        <v>176</v>
      </c>
      <c r="E1318" s="105">
        <f>600000+38000*4+16000*2</f>
        <v>784000</v>
      </c>
      <c r="F1318" s="201">
        <f>300000*3</f>
        <v>900000</v>
      </c>
      <c r="G1318" s="34">
        <f t="shared" si="459"/>
        <v>0.1479591837</v>
      </c>
      <c r="H1318" s="99"/>
      <c r="I1318" s="99"/>
      <c r="J1318" s="99"/>
      <c r="K1318" s="99"/>
      <c r="L1318" s="99"/>
      <c r="M1318" s="99"/>
      <c r="N1318" s="99"/>
      <c r="O1318" s="99"/>
      <c r="P1318" s="99"/>
      <c r="Q1318" s="108"/>
      <c r="R1318" s="108"/>
      <c r="S1318" s="100"/>
      <c r="T1318" s="24">
        <f t="shared" si="455"/>
        <v>-0.1479591837</v>
      </c>
      <c r="U1318" s="179">
        <f t="shared" si="456"/>
        <v>-1</v>
      </c>
      <c r="V1318" s="179" t="str">
        <f t="shared" si="457"/>
        <v/>
      </c>
      <c r="W1318" s="179" t="str">
        <f t="shared" si="458"/>
        <v/>
      </c>
      <c r="X1318" s="26"/>
    </row>
    <row r="1319">
      <c r="A1319" s="28"/>
      <c r="B1319" s="28"/>
      <c r="C1319" s="107"/>
      <c r="D1319" s="83" t="s">
        <v>101</v>
      </c>
      <c r="E1319" s="105">
        <f t="shared" ref="E1319:F1319" si="462">SUM(E1314:E1318)</f>
        <v>5632000</v>
      </c>
      <c r="F1319" s="105">
        <f t="shared" si="462"/>
        <v>7771200</v>
      </c>
      <c r="G1319" s="34">
        <f t="shared" si="459"/>
        <v>0.3798295455</v>
      </c>
      <c r="H1319" s="99"/>
      <c r="I1319" s="99"/>
      <c r="J1319" s="99"/>
      <c r="K1319" s="99"/>
      <c r="L1319" s="99"/>
      <c r="M1319" s="99"/>
      <c r="N1319" s="99"/>
      <c r="O1319" s="99"/>
      <c r="P1319" s="99"/>
      <c r="Q1319" s="108"/>
      <c r="R1319" s="108"/>
      <c r="S1319" s="100"/>
      <c r="T1319" s="24">
        <f t="shared" si="455"/>
        <v>-0.3798295455</v>
      </c>
      <c r="U1319" s="179">
        <f t="shared" si="456"/>
        <v>-1</v>
      </c>
      <c r="V1319" s="179" t="str">
        <f t="shared" si="457"/>
        <v/>
      </c>
      <c r="W1319" s="179" t="str">
        <f t="shared" si="458"/>
        <v/>
      </c>
      <c r="X1319" s="26"/>
    </row>
    <row r="1320">
      <c r="A1320" s="28"/>
      <c r="B1320" s="28"/>
      <c r="C1320" s="107"/>
      <c r="D1320" s="97"/>
      <c r="E1320" s="105"/>
      <c r="F1320" s="105"/>
      <c r="G1320" s="34"/>
      <c r="H1320" s="99"/>
      <c r="I1320" s="99"/>
      <c r="J1320" s="99"/>
      <c r="K1320" s="99"/>
      <c r="L1320" s="99"/>
      <c r="M1320" s="99"/>
      <c r="N1320" s="99"/>
      <c r="O1320" s="99"/>
      <c r="P1320" s="99"/>
      <c r="Q1320" s="108"/>
      <c r="R1320" s="108"/>
      <c r="S1320" s="100"/>
      <c r="T1320" s="24">
        <f t="shared" si="455"/>
        <v>0</v>
      </c>
      <c r="U1320" s="179" t="str">
        <f t="shared" si="456"/>
        <v/>
      </c>
      <c r="V1320" s="179" t="str">
        <f t="shared" si="457"/>
        <v/>
      </c>
      <c r="W1320" s="179" t="str">
        <f t="shared" si="458"/>
        <v/>
      </c>
      <c r="X1320" s="26"/>
    </row>
    <row r="1321">
      <c r="A1321" s="28"/>
      <c r="B1321" s="28"/>
      <c r="C1321" s="107"/>
      <c r="D1321" s="97"/>
      <c r="E1321" s="105"/>
      <c r="F1321" s="105"/>
      <c r="G1321" s="34"/>
      <c r="H1321" s="99"/>
      <c r="I1321" s="99"/>
      <c r="J1321" s="99"/>
      <c r="K1321" s="99"/>
      <c r="L1321" s="99"/>
      <c r="M1321" s="99"/>
      <c r="N1321" s="99"/>
      <c r="O1321" s="99"/>
      <c r="P1321" s="99"/>
      <c r="Q1321" s="108"/>
      <c r="R1321" s="108"/>
      <c r="S1321" s="100"/>
      <c r="T1321" s="24">
        <f t="shared" si="455"/>
        <v>0</v>
      </c>
      <c r="U1321" s="179" t="str">
        <f t="shared" si="456"/>
        <v/>
      </c>
      <c r="V1321" s="179" t="str">
        <f t="shared" si="457"/>
        <v/>
      </c>
      <c r="W1321" s="179" t="str">
        <f t="shared" si="458"/>
        <v/>
      </c>
      <c r="X1321" s="26"/>
    </row>
    <row r="1322">
      <c r="A1322" s="28"/>
      <c r="B1322" s="28"/>
      <c r="C1322" s="242" t="s">
        <v>620</v>
      </c>
      <c r="D1322" s="83" t="s">
        <v>621</v>
      </c>
      <c r="E1322" s="105">
        <f>380000*2</f>
        <v>760000</v>
      </c>
      <c r="F1322" s="105">
        <f>550000*2</f>
        <v>1100000</v>
      </c>
      <c r="G1322" s="34">
        <f t="shared" ref="G1322:G1324" si="463">(F1322-E1322)/E1322</f>
        <v>0.4473684211</v>
      </c>
      <c r="H1322" s="98">
        <v>1190.0</v>
      </c>
      <c r="I1322" s="99"/>
      <c r="J1322" s="99"/>
      <c r="K1322" s="99"/>
      <c r="L1322" s="99"/>
      <c r="M1322" s="99"/>
      <c r="N1322" s="99"/>
      <c r="O1322" s="99"/>
      <c r="P1322" s="99"/>
      <c r="Q1322" s="108"/>
      <c r="R1322" s="108"/>
      <c r="S1322" s="100"/>
      <c r="T1322" s="24">
        <f t="shared" si="455"/>
        <v>-0.4473684211</v>
      </c>
      <c r="U1322" s="179">
        <f t="shared" si="456"/>
        <v>-1</v>
      </c>
      <c r="V1322" s="179" t="str">
        <f t="shared" si="457"/>
        <v/>
      </c>
      <c r="W1322" s="179" t="str">
        <f t="shared" si="458"/>
        <v/>
      </c>
      <c r="X1322" s="26"/>
    </row>
    <row r="1323">
      <c r="A1323" s="28"/>
      <c r="B1323" s="28"/>
      <c r="C1323" s="107"/>
      <c r="D1323" s="83" t="s">
        <v>622</v>
      </c>
      <c r="E1323" s="105">
        <f>310000</f>
        <v>310000</v>
      </c>
      <c r="F1323" s="105">
        <f>420000</f>
        <v>420000</v>
      </c>
      <c r="G1323" s="34">
        <f t="shared" si="463"/>
        <v>0.3548387097</v>
      </c>
      <c r="H1323" s="98">
        <v>1818.0</v>
      </c>
      <c r="I1323" s="99"/>
      <c r="J1323" s="99"/>
      <c r="K1323" s="99"/>
      <c r="L1323" s="99"/>
      <c r="M1323" s="99"/>
      <c r="N1323" s="99"/>
      <c r="O1323" s="99"/>
      <c r="P1323" s="99"/>
      <c r="Q1323" s="108"/>
      <c r="R1323" s="108"/>
      <c r="S1323" s="100"/>
      <c r="T1323" s="24">
        <f t="shared" si="455"/>
        <v>-0.3548387097</v>
      </c>
      <c r="U1323" s="179">
        <f t="shared" si="456"/>
        <v>-1</v>
      </c>
      <c r="V1323" s="179" t="str">
        <f t="shared" si="457"/>
        <v/>
      </c>
      <c r="W1323" s="179" t="str">
        <f t="shared" si="458"/>
        <v/>
      </c>
      <c r="X1323" s="26"/>
    </row>
    <row r="1324">
      <c r="A1324" s="28"/>
      <c r="B1324" s="28"/>
      <c r="C1324" s="107"/>
      <c r="D1324" s="83" t="s">
        <v>623</v>
      </c>
      <c r="E1324" s="105">
        <f>320000+(36000*2)+30000+20000</f>
        <v>442000</v>
      </c>
      <c r="F1324" s="105">
        <f>325000*2</f>
        <v>650000</v>
      </c>
      <c r="G1324" s="34">
        <f t="shared" si="463"/>
        <v>0.4705882353</v>
      </c>
      <c r="H1324" s="99">
        <f>H1323-H1322</f>
        <v>628</v>
      </c>
      <c r="I1324" s="99"/>
      <c r="J1324" s="99"/>
      <c r="K1324" s="99"/>
      <c r="L1324" s="99"/>
      <c r="M1324" s="99"/>
      <c r="N1324" s="99"/>
      <c r="O1324" s="99"/>
      <c r="P1324" s="99"/>
      <c r="Q1324" s="108"/>
      <c r="R1324" s="108"/>
      <c r="S1324" s="100"/>
      <c r="T1324" s="24">
        <f t="shared" si="455"/>
        <v>-0.4705882353</v>
      </c>
      <c r="U1324" s="179">
        <f t="shared" si="456"/>
        <v>-1</v>
      </c>
      <c r="V1324" s="179" t="str">
        <f t="shared" si="457"/>
        <v/>
      </c>
      <c r="W1324" s="179" t="str">
        <f t="shared" si="458"/>
        <v/>
      </c>
      <c r="X1324" s="26"/>
    </row>
    <row r="1325">
      <c r="A1325" s="28"/>
      <c r="B1325" s="28"/>
      <c r="C1325" s="107"/>
      <c r="D1325" s="83" t="s">
        <v>101</v>
      </c>
      <c r="E1325" s="105">
        <f>E1322+E1323+E1324</f>
        <v>1512000</v>
      </c>
      <c r="F1325" s="105">
        <f>SUM(F1322:F1324)</f>
        <v>2170000</v>
      </c>
      <c r="G1325" s="99"/>
      <c r="H1325" s="99"/>
      <c r="I1325" s="99"/>
      <c r="J1325" s="99"/>
      <c r="K1325" s="99"/>
      <c r="L1325" s="99"/>
      <c r="M1325" s="99"/>
      <c r="N1325" s="99"/>
      <c r="O1325" s="99"/>
      <c r="P1325" s="99"/>
      <c r="Q1325" s="108"/>
      <c r="R1325" s="108"/>
      <c r="S1325" s="100"/>
      <c r="T1325" s="24">
        <f t="shared" si="455"/>
        <v>0</v>
      </c>
      <c r="U1325" s="179" t="str">
        <f t="shared" si="456"/>
        <v/>
      </c>
      <c r="V1325" s="179" t="str">
        <f t="shared" si="457"/>
        <v/>
      </c>
      <c r="W1325" s="179" t="str">
        <f t="shared" si="458"/>
        <v/>
      </c>
      <c r="X1325" s="26"/>
    </row>
    <row r="1326">
      <c r="A1326" s="28"/>
      <c r="B1326" s="28"/>
      <c r="C1326" s="107"/>
      <c r="D1326" s="83" t="s">
        <v>148</v>
      </c>
      <c r="E1326" s="105">
        <f>F1325-E1325</f>
        <v>658000</v>
      </c>
      <c r="F1326" s="105"/>
      <c r="G1326" s="99"/>
      <c r="H1326" s="99"/>
      <c r="I1326" s="99"/>
      <c r="J1326" s="99"/>
      <c r="K1326" s="99"/>
      <c r="L1326" s="99"/>
      <c r="M1326" s="99"/>
      <c r="N1326" s="99"/>
      <c r="O1326" s="99"/>
      <c r="P1326" s="99"/>
      <c r="Q1326" s="108"/>
      <c r="R1326" s="108"/>
      <c r="S1326" s="100"/>
      <c r="T1326" s="24">
        <f t="shared" si="455"/>
        <v>0</v>
      </c>
      <c r="U1326" s="179" t="str">
        <f t="shared" si="456"/>
        <v/>
      </c>
      <c r="V1326" s="179" t="str">
        <f t="shared" si="457"/>
        <v/>
      </c>
      <c r="W1326" s="179" t="str">
        <f t="shared" si="458"/>
        <v/>
      </c>
      <c r="X1326" s="26"/>
    </row>
    <row r="1327">
      <c r="A1327" s="28"/>
      <c r="B1327" s="28"/>
      <c r="C1327" s="107"/>
      <c r="D1327" s="97"/>
      <c r="E1327" s="105"/>
      <c r="F1327" s="105"/>
      <c r="G1327" s="99"/>
      <c r="H1327" s="99"/>
      <c r="I1327" s="99"/>
      <c r="J1327" s="99"/>
      <c r="K1327" s="99"/>
      <c r="L1327" s="99"/>
      <c r="M1327" s="99"/>
      <c r="N1327" s="99"/>
      <c r="O1327" s="99"/>
      <c r="P1327" s="99"/>
      <c r="Q1327" s="108"/>
      <c r="R1327" s="108"/>
      <c r="S1327" s="100"/>
      <c r="T1327" s="24">
        <f t="shared" si="455"/>
        <v>0</v>
      </c>
      <c r="U1327" s="179" t="str">
        <f t="shared" si="456"/>
        <v/>
      </c>
      <c r="V1327" s="179" t="str">
        <f t="shared" si="457"/>
        <v/>
      </c>
      <c r="W1327" s="179" t="str">
        <f t="shared" si="458"/>
        <v/>
      </c>
      <c r="X1327" s="26"/>
    </row>
    <row r="1328">
      <c r="A1328" s="28"/>
      <c r="B1328" s="28"/>
      <c r="C1328" s="82" t="s">
        <v>624</v>
      </c>
      <c r="D1328" s="83" t="s">
        <v>510</v>
      </c>
      <c r="E1328" s="201">
        <v>422000.0</v>
      </c>
      <c r="F1328" s="105">
        <f>325000*2</f>
        <v>650000</v>
      </c>
      <c r="G1328" s="99"/>
      <c r="H1328" s="99"/>
      <c r="I1328" s="99"/>
      <c r="J1328" s="99"/>
      <c r="K1328" s="99"/>
      <c r="L1328" s="99"/>
      <c r="M1328" s="99"/>
      <c r="N1328" s="99"/>
      <c r="O1328" s="99"/>
      <c r="P1328" s="99"/>
      <c r="Q1328" s="108"/>
      <c r="R1328" s="108"/>
      <c r="S1328" s="100"/>
      <c r="T1328" s="24">
        <f t="shared" si="455"/>
        <v>0</v>
      </c>
      <c r="U1328" s="179" t="str">
        <f t="shared" si="456"/>
        <v/>
      </c>
      <c r="V1328" s="179" t="str">
        <f t="shared" si="457"/>
        <v/>
      </c>
      <c r="W1328" s="179" t="str">
        <f t="shared" si="458"/>
        <v/>
      </c>
      <c r="X1328" s="26"/>
    </row>
    <row r="1329">
      <c r="A1329" s="28"/>
      <c r="B1329" s="28"/>
      <c r="C1329" s="107"/>
      <c r="D1329" s="97"/>
      <c r="E1329" s="105"/>
      <c r="F1329" s="105"/>
      <c r="G1329" s="99"/>
      <c r="H1329" s="99"/>
      <c r="I1329" s="99"/>
      <c r="J1329" s="99"/>
      <c r="K1329" s="99"/>
      <c r="L1329" s="99"/>
      <c r="M1329" s="99"/>
      <c r="N1329" s="99"/>
      <c r="O1329" s="99"/>
      <c r="P1329" s="99"/>
      <c r="Q1329" s="108"/>
      <c r="R1329" s="108"/>
      <c r="S1329" s="100"/>
      <c r="T1329" s="24">
        <f t="shared" si="455"/>
        <v>0</v>
      </c>
      <c r="U1329" s="179" t="str">
        <f t="shared" si="456"/>
        <v/>
      </c>
      <c r="V1329" s="179" t="str">
        <f t="shared" si="457"/>
        <v/>
      </c>
      <c r="W1329" s="179" t="str">
        <f t="shared" si="458"/>
        <v/>
      </c>
      <c r="X1329" s="26"/>
    </row>
    <row r="1330">
      <c r="A1330" s="28"/>
      <c r="B1330" s="28"/>
      <c r="C1330" s="107"/>
      <c r="D1330" s="97"/>
      <c r="E1330" s="105"/>
      <c r="F1330" s="105"/>
      <c r="G1330" s="99"/>
      <c r="H1330" s="99"/>
      <c r="I1330" s="99"/>
      <c r="J1330" s="99"/>
      <c r="K1330" s="99"/>
      <c r="L1330" s="99"/>
      <c r="M1330" s="99"/>
      <c r="N1330" s="99"/>
      <c r="O1330" s="99"/>
      <c r="P1330" s="99"/>
      <c r="Q1330" s="108"/>
      <c r="R1330" s="108"/>
      <c r="S1330" s="100"/>
      <c r="T1330" s="24">
        <f t="shared" si="455"/>
        <v>0</v>
      </c>
      <c r="U1330" s="179" t="str">
        <f t="shared" si="456"/>
        <v/>
      </c>
      <c r="V1330" s="179" t="str">
        <f t="shared" si="457"/>
        <v/>
      </c>
      <c r="W1330" s="179" t="str">
        <f t="shared" si="458"/>
        <v/>
      </c>
      <c r="X1330" s="26"/>
    </row>
    <row r="1331">
      <c r="A1331" s="28"/>
      <c r="B1331" s="28"/>
      <c r="C1331" s="82" t="s">
        <v>625</v>
      </c>
      <c r="D1331" s="83" t="s">
        <v>626</v>
      </c>
      <c r="E1331" s="105">
        <f>390000*2</f>
        <v>780000</v>
      </c>
      <c r="F1331" s="105">
        <f>610000*2</f>
        <v>1220000</v>
      </c>
      <c r="G1331" s="99"/>
      <c r="H1331" s="99"/>
      <c r="I1331" s="99"/>
      <c r="J1331" s="99"/>
      <c r="K1331" s="99"/>
      <c r="L1331" s="99"/>
      <c r="M1331" s="99"/>
      <c r="N1331" s="99"/>
      <c r="O1331" s="99"/>
      <c r="P1331" s="99"/>
      <c r="Q1331" s="108"/>
      <c r="R1331" s="108"/>
      <c r="S1331" s="100"/>
      <c r="T1331" s="24">
        <f t="shared" si="455"/>
        <v>0</v>
      </c>
      <c r="U1331" s="179" t="str">
        <f t="shared" si="456"/>
        <v/>
      </c>
      <c r="V1331" s="179" t="str">
        <f t="shared" si="457"/>
        <v/>
      </c>
      <c r="W1331" s="179" t="str">
        <f t="shared" si="458"/>
        <v/>
      </c>
      <c r="X1331" s="26"/>
    </row>
    <row r="1332">
      <c r="A1332" s="28"/>
      <c r="B1332" s="28"/>
      <c r="C1332" s="107"/>
      <c r="D1332" s="83" t="s">
        <v>627</v>
      </c>
      <c r="E1332" s="105">
        <f>(130000*2)</f>
        <v>260000</v>
      </c>
      <c r="F1332" s="105">
        <f>250000*2</f>
        <v>500000</v>
      </c>
      <c r="G1332" s="99"/>
      <c r="H1332" s="99"/>
      <c r="I1332" s="99"/>
      <c r="J1332" s="99"/>
      <c r="K1332" s="99"/>
      <c r="L1332" s="99"/>
      <c r="M1332" s="99"/>
      <c r="N1332" s="99"/>
      <c r="O1332" s="99"/>
      <c r="P1332" s="99"/>
      <c r="Q1332" s="108"/>
      <c r="R1332" s="108"/>
      <c r="S1332" s="100"/>
      <c r="T1332" s="24">
        <f t="shared" si="455"/>
        <v>0</v>
      </c>
      <c r="U1332" s="179" t="str">
        <f t="shared" si="456"/>
        <v/>
      </c>
      <c r="V1332" s="179" t="str">
        <f t="shared" si="457"/>
        <v/>
      </c>
      <c r="W1332" s="179" t="str">
        <f t="shared" si="458"/>
        <v/>
      </c>
      <c r="X1332" s="26"/>
    </row>
    <row r="1333">
      <c r="A1333" s="28"/>
      <c r="B1333" s="28"/>
      <c r="C1333" s="107"/>
      <c r="D1333" s="83" t="s">
        <v>101</v>
      </c>
      <c r="E1333" s="105">
        <f t="shared" ref="E1333:F1333" si="464">SUM(E1331:E1332)</f>
        <v>1040000</v>
      </c>
      <c r="F1333" s="105">
        <f t="shared" si="464"/>
        <v>1720000</v>
      </c>
      <c r="G1333" s="99"/>
      <c r="H1333" s="99"/>
      <c r="I1333" s="99"/>
      <c r="J1333" s="99"/>
      <c r="K1333" s="99"/>
      <c r="L1333" s="99"/>
      <c r="M1333" s="99"/>
      <c r="N1333" s="99"/>
      <c r="O1333" s="99"/>
      <c r="P1333" s="99"/>
      <c r="Q1333" s="108"/>
      <c r="R1333" s="108"/>
      <c r="S1333" s="100"/>
      <c r="T1333" s="24">
        <f t="shared" si="455"/>
        <v>0</v>
      </c>
      <c r="U1333" s="179" t="str">
        <f t="shared" si="456"/>
        <v/>
      </c>
      <c r="V1333" s="179" t="str">
        <f t="shared" si="457"/>
        <v/>
      </c>
      <c r="W1333" s="179" t="str">
        <f t="shared" si="458"/>
        <v/>
      </c>
      <c r="X1333" s="26"/>
    </row>
    <row r="1334">
      <c r="A1334" s="28"/>
      <c r="B1334" s="28"/>
      <c r="C1334" s="107"/>
      <c r="D1334" s="83" t="s">
        <v>148</v>
      </c>
      <c r="E1334" s="105">
        <f>F1334-E1333</f>
        <v>660000</v>
      </c>
      <c r="F1334" s="105">
        <f>F1333-20000</f>
        <v>1700000</v>
      </c>
      <c r="G1334" s="99"/>
      <c r="H1334" s="99"/>
      <c r="I1334" s="99"/>
      <c r="J1334" s="99"/>
      <c r="K1334" s="99"/>
      <c r="L1334" s="99"/>
      <c r="M1334" s="99"/>
      <c r="N1334" s="99"/>
      <c r="O1334" s="99"/>
      <c r="P1334" s="99"/>
      <c r="Q1334" s="108"/>
      <c r="R1334" s="108"/>
      <c r="S1334" s="100"/>
      <c r="T1334" s="24">
        <f t="shared" si="455"/>
        <v>0</v>
      </c>
      <c r="U1334" s="179" t="str">
        <f t="shared" si="456"/>
        <v/>
      </c>
      <c r="V1334" s="179" t="str">
        <f t="shared" si="457"/>
        <v/>
      </c>
      <c r="W1334" s="179" t="str">
        <f t="shared" si="458"/>
        <v/>
      </c>
      <c r="X1334" s="26"/>
    </row>
    <row r="1335">
      <c r="A1335" s="28"/>
      <c r="B1335" s="28"/>
      <c r="C1335" s="107"/>
      <c r="D1335" s="97"/>
      <c r="E1335" s="105"/>
      <c r="F1335" s="105"/>
      <c r="G1335" s="99"/>
      <c r="H1335" s="99"/>
      <c r="I1335" s="99"/>
      <c r="J1335" s="99"/>
      <c r="K1335" s="99"/>
      <c r="L1335" s="99"/>
      <c r="M1335" s="99"/>
      <c r="N1335" s="99"/>
      <c r="O1335" s="99"/>
      <c r="P1335" s="99"/>
      <c r="Q1335" s="108"/>
      <c r="R1335" s="108"/>
      <c r="S1335" s="100"/>
      <c r="T1335" s="24">
        <f t="shared" si="455"/>
        <v>0</v>
      </c>
      <c r="U1335" s="179" t="str">
        <f t="shared" si="456"/>
        <v/>
      </c>
      <c r="V1335" s="179" t="str">
        <f t="shared" si="457"/>
        <v/>
      </c>
      <c r="W1335" s="179" t="str">
        <f t="shared" si="458"/>
        <v/>
      </c>
      <c r="X1335" s="26"/>
    </row>
    <row r="1336">
      <c r="A1336" s="28"/>
      <c r="B1336" s="28"/>
      <c r="C1336" s="107"/>
      <c r="D1336" s="97"/>
      <c r="E1336" s="105"/>
      <c r="F1336" s="105"/>
      <c r="G1336" s="99"/>
      <c r="H1336" s="99"/>
      <c r="I1336" s="99"/>
      <c r="J1336" s="99"/>
      <c r="K1336" s="99"/>
      <c r="L1336" s="99"/>
      <c r="M1336" s="99"/>
      <c r="N1336" s="99"/>
      <c r="O1336" s="99"/>
      <c r="P1336" s="99"/>
      <c r="Q1336" s="108"/>
      <c r="R1336" s="108"/>
      <c r="S1336" s="100"/>
      <c r="T1336" s="24">
        <f t="shared" si="455"/>
        <v>0</v>
      </c>
      <c r="U1336" s="179" t="str">
        <f t="shared" si="456"/>
        <v/>
      </c>
      <c r="V1336" s="179" t="str">
        <f t="shared" si="457"/>
        <v/>
      </c>
      <c r="W1336" s="179" t="str">
        <f t="shared" si="458"/>
        <v/>
      </c>
      <c r="X1336" s="26"/>
    </row>
    <row r="1337">
      <c r="A1337" s="28"/>
      <c r="B1337" s="28"/>
      <c r="C1337" s="82" t="s">
        <v>628</v>
      </c>
      <c r="D1337" s="83" t="s">
        <v>621</v>
      </c>
      <c r="E1337" s="105">
        <f>380000*2</f>
        <v>760000</v>
      </c>
      <c r="F1337" s="105">
        <f>550000*2</f>
        <v>1100000</v>
      </c>
      <c r="G1337" s="34">
        <f t="shared" ref="G1337:G1339" si="465">(F1337-E1337)/E1337</f>
        <v>0.4473684211</v>
      </c>
      <c r="H1337" s="98"/>
      <c r="I1337" s="99"/>
      <c r="J1337" s="99"/>
      <c r="K1337" s="99"/>
      <c r="L1337" s="99"/>
      <c r="M1337" s="99"/>
      <c r="N1337" s="99"/>
      <c r="O1337" s="99"/>
      <c r="P1337" s="99"/>
      <c r="Q1337" s="108"/>
      <c r="R1337" s="108"/>
      <c r="S1337" s="100"/>
      <c r="T1337" s="24">
        <f t="shared" si="455"/>
        <v>-0.4473684211</v>
      </c>
      <c r="U1337" s="179">
        <f t="shared" si="456"/>
        <v>-1</v>
      </c>
      <c r="V1337" s="179" t="str">
        <f t="shared" si="457"/>
        <v/>
      </c>
      <c r="W1337" s="179" t="str">
        <f t="shared" si="458"/>
        <v/>
      </c>
      <c r="X1337" s="26"/>
    </row>
    <row r="1338">
      <c r="A1338" s="28"/>
      <c r="B1338" s="28"/>
      <c r="C1338" s="107"/>
      <c r="D1338" s="83" t="s">
        <v>623</v>
      </c>
      <c r="E1338" s="201">
        <v>422000.0</v>
      </c>
      <c r="F1338" s="105">
        <f>325000*2</f>
        <v>650000</v>
      </c>
      <c r="G1338" s="34">
        <f t="shared" si="465"/>
        <v>0.5402843602</v>
      </c>
      <c r="H1338" s="99"/>
      <c r="I1338" s="99"/>
      <c r="J1338" s="99"/>
      <c r="K1338" s="99"/>
      <c r="L1338" s="99"/>
      <c r="M1338" s="99"/>
      <c r="N1338" s="99"/>
      <c r="O1338" s="99"/>
      <c r="P1338" s="99"/>
      <c r="Q1338" s="108"/>
      <c r="R1338" s="108"/>
      <c r="S1338" s="100"/>
      <c r="T1338" s="24">
        <f t="shared" si="455"/>
        <v>-0.5402843602</v>
      </c>
      <c r="U1338" s="179">
        <f t="shared" si="456"/>
        <v>-1</v>
      </c>
      <c r="V1338" s="179" t="str">
        <f t="shared" si="457"/>
        <v/>
      </c>
      <c r="W1338" s="179" t="str">
        <f t="shared" si="458"/>
        <v/>
      </c>
      <c r="X1338" s="26"/>
    </row>
    <row r="1339">
      <c r="A1339" s="28"/>
      <c r="B1339" s="28"/>
      <c r="C1339" s="107"/>
      <c r="D1339" s="83" t="s">
        <v>101</v>
      </c>
      <c r="E1339" s="105">
        <f t="shared" ref="E1339:F1339" si="466">SUM(E1337:E1338)</f>
        <v>1182000</v>
      </c>
      <c r="F1339" s="105">
        <f t="shared" si="466"/>
        <v>1750000</v>
      </c>
      <c r="G1339" s="34">
        <f t="shared" si="465"/>
        <v>0.4805414552</v>
      </c>
      <c r="H1339" s="99"/>
      <c r="I1339" s="99"/>
      <c r="J1339" s="99"/>
      <c r="K1339" s="99"/>
      <c r="L1339" s="99"/>
      <c r="M1339" s="99"/>
      <c r="N1339" s="99"/>
      <c r="O1339" s="99"/>
      <c r="P1339" s="99"/>
      <c r="Q1339" s="108"/>
      <c r="R1339" s="108"/>
      <c r="S1339" s="100"/>
      <c r="T1339" s="24">
        <f t="shared" si="455"/>
        <v>-0.4805414552</v>
      </c>
      <c r="U1339" s="179">
        <f t="shared" si="456"/>
        <v>-1</v>
      </c>
      <c r="V1339" s="179" t="str">
        <f t="shared" si="457"/>
        <v/>
      </c>
      <c r="W1339" s="179" t="str">
        <f t="shared" si="458"/>
        <v/>
      </c>
      <c r="X1339" s="26"/>
    </row>
    <row r="1340">
      <c r="A1340" s="28"/>
      <c r="B1340" s="28"/>
      <c r="C1340" s="107"/>
      <c r="D1340" s="83" t="s">
        <v>148</v>
      </c>
      <c r="E1340" s="105">
        <f>F1339-E1339</f>
        <v>568000</v>
      </c>
      <c r="F1340" s="105"/>
      <c r="G1340" s="99"/>
      <c r="H1340" s="99"/>
      <c r="I1340" s="99"/>
      <c r="J1340" s="99"/>
      <c r="K1340" s="99"/>
      <c r="L1340" s="99"/>
      <c r="M1340" s="99"/>
      <c r="N1340" s="99"/>
      <c r="O1340" s="99"/>
      <c r="P1340" s="99"/>
      <c r="Q1340" s="108"/>
      <c r="R1340" s="108"/>
      <c r="S1340" s="100"/>
      <c r="T1340" s="24">
        <f t="shared" si="455"/>
        <v>0</v>
      </c>
      <c r="U1340" s="179" t="str">
        <f t="shared" si="456"/>
        <v/>
      </c>
      <c r="V1340" s="179" t="str">
        <f t="shared" si="457"/>
        <v/>
      </c>
      <c r="W1340" s="179" t="str">
        <f t="shared" si="458"/>
        <v/>
      </c>
      <c r="X1340" s="26"/>
    </row>
    <row r="1341">
      <c r="A1341" s="28"/>
      <c r="B1341" s="28"/>
      <c r="C1341" s="107"/>
      <c r="D1341" s="97"/>
      <c r="E1341" s="105"/>
      <c r="F1341" s="105"/>
      <c r="G1341" s="99"/>
      <c r="H1341" s="99"/>
      <c r="I1341" s="99"/>
      <c r="J1341" s="99"/>
      <c r="K1341" s="99"/>
      <c r="L1341" s="99"/>
      <c r="M1341" s="99"/>
      <c r="N1341" s="99"/>
      <c r="O1341" s="99"/>
      <c r="P1341" s="99"/>
      <c r="Q1341" s="108"/>
      <c r="R1341" s="108"/>
      <c r="S1341" s="100"/>
      <c r="T1341" s="24">
        <f t="shared" si="455"/>
        <v>0</v>
      </c>
      <c r="U1341" s="179" t="str">
        <f t="shared" si="456"/>
        <v/>
      </c>
      <c r="V1341" s="179" t="str">
        <f t="shared" si="457"/>
        <v/>
      </c>
      <c r="W1341" s="179" t="str">
        <f t="shared" si="458"/>
        <v/>
      </c>
      <c r="X1341" s="26"/>
    </row>
    <row r="1342">
      <c r="A1342" s="28"/>
      <c r="B1342" s="28"/>
      <c r="C1342" s="82" t="s">
        <v>617</v>
      </c>
      <c r="D1342" s="83"/>
      <c r="E1342" s="201"/>
      <c r="F1342" s="105"/>
      <c r="G1342" s="34"/>
      <c r="H1342" s="99"/>
      <c r="I1342" s="257">
        <v>3758.04</v>
      </c>
      <c r="J1342" s="99"/>
      <c r="K1342" s="99"/>
      <c r="L1342" s="99"/>
      <c r="M1342" s="99"/>
      <c r="N1342" s="99"/>
      <c r="O1342" s="99"/>
      <c r="P1342" s="99"/>
      <c r="Q1342" s="108"/>
      <c r="R1342" s="108"/>
      <c r="S1342" s="100"/>
      <c r="T1342" s="24">
        <f t="shared" si="455"/>
        <v>0</v>
      </c>
      <c r="U1342" s="179" t="str">
        <f t="shared" si="456"/>
        <v/>
      </c>
      <c r="V1342" s="179" t="str">
        <f t="shared" si="457"/>
        <v/>
      </c>
      <c r="W1342" s="179" t="str">
        <f t="shared" si="458"/>
        <v/>
      </c>
      <c r="X1342" s="26"/>
    </row>
    <row r="1343">
      <c r="A1343" s="28"/>
      <c r="B1343" s="28"/>
      <c r="C1343" s="107"/>
      <c r="D1343" s="83" t="s">
        <v>619</v>
      </c>
      <c r="E1343" s="201">
        <v>1818000.0</v>
      </c>
      <c r="F1343" s="105">
        <f>E1343*1.3</f>
        <v>2363400</v>
      </c>
      <c r="G1343" s="34">
        <f t="shared" ref="G1343:G1346" si="467">(F1343-E1343)/E1343</f>
        <v>0.3</v>
      </c>
      <c r="H1343" s="99"/>
      <c r="I1343" s="257">
        <v>2046.07</v>
      </c>
      <c r="J1343" s="99"/>
      <c r="K1343" s="99"/>
      <c r="L1343" s="99"/>
      <c r="M1343" s="99"/>
      <c r="N1343" s="99"/>
      <c r="O1343" s="99"/>
      <c r="P1343" s="99"/>
      <c r="Q1343" s="108"/>
      <c r="R1343" s="108"/>
      <c r="S1343" s="100"/>
      <c r="T1343" s="24">
        <f t="shared" si="455"/>
        <v>-0.3</v>
      </c>
      <c r="U1343" s="179">
        <f t="shared" si="456"/>
        <v>-1</v>
      </c>
      <c r="V1343" s="179" t="str">
        <f t="shared" si="457"/>
        <v/>
      </c>
      <c r="W1343" s="179" t="str">
        <f t="shared" si="458"/>
        <v/>
      </c>
      <c r="X1343" s="26"/>
    </row>
    <row r="1344">
      <c r="A1344" s="28"/>
      <c r="B1344" s="28"/>
      <c r="C1344" s="107"/>
      <c r="D1344" s="83" t="s">
        <v>156</v>
      </c>
      <c r="E1344" s="105">
        <f>330000*2+250000</f>
        <v>910000</v>
      </c>
      <c r="F1344" s="105">
        <f>510000*2+320000</f>
        <v>1340000</v>
      </c>
      <c r="G1344" s="34">
        <f t="shared" si="467"/>
        <v>0.4725274725</v>
      </c>
      <c r="H1344" s="99"/>
      <c r="I1344" s="98">
        <v>2053.75</v>
      </c>
      <c r="J1344" s="99"/>
      <c r="K1344" s="99"/>
      <c r="L1344" s="99"/>
      <c r="M1344" s="99"/>
      <c r="N1344" s="99"/>
      <c r="O1344" s="99"/>
      <c r="P1344" s="99"/>
      <c r="Q1344" s="108"/>
      <c r="R1344" s="108"/>
      <c r="S1344" s="100"/>
      <c r="T1344" s="24">
        <f t="shared" si="455"/>
        <v>-0.4725274725</v>
      </c>
      <c r="U1344" s="179">
        <f t="shared" si="456"/>
        <v>-1</v>
      </c>
      <c r="V1344" s="179" t="str">
        <f t="shared" si="457"/>
        <v/>
      </c>
      <c r="W1344" s="179" t="str">
        <f t="shared" si="458"/>
        <v/>
      </c>
      <c r="X1344" s="26"/>
    </row>
    <row r="1345">
      <c r="A1345" s="28"/>
      <c r="B1345" s="28"/>
      <c r="C1345" s="107"/>
      <c r="D1345" s="83" t="s">
        <v>176</v>
      </c>
      <c r="E1345" s="105">
        <f>320000+36000*4+15000*3+70000</f>
        <v>579000</v>
      </c>
      <c r="F1345" s="201">
        <f>E1345*1.5</f>
        <v>868500</v>
      </c>
      <c r="G1345" s="34">
        <f t="shared" si="467"/>
        <v>0.5</v>
      </c>
      <c r="H1345" s="99"/>
      <c r="I1345" s="99">
        <f>I1342+I1343+I1344</f>
        <v>7857.86</v>
      </c>
      <c r="J1345" s="99"/>
      <c r="K1345" s="99"/>
      <c r="L1345" s="99"/>
      <c r="M1345" s="99"/>
      <c r="N1345" s="99"/>
      <c r="O1345" s="99"/>
      <c r="P1345" s="99"/>
      <c r="Q1345" s="108"/>
      <c r="R1345" s="108"/>
      <c r="S1345" s="100"/>
      <c r="T1345" s="24">
        <f t="shared" si="455"/>
        <v>-0.5</v>
      </c>
      <c r="U1345" s="179">
        <f t="shared" si="456"/>
        <v>-1</v>
      </c>
      <c r="V1345" s="179" t="str">
        <f t="shared" si="457"/>
        <v/>
      </c>
      <c r="W1345" s="179" t="str">
        <f t="shared" si="458"/>
        <v/>
      </c>
      <c r="X1345" s="26"/>
    </row>
    <row r="1346">
      <c r="A1346" s="28"/>
      <c r="B1346" s="28"/>
      <c r="C1346" s="107"/>
      <c r="D1346" s="83" t="s">
        <v>101</v>
      </c>
      <c r="E1346" s="105">
        <f t="shared" ref="E1346:F1346" si="468">SUM(E1342:E1345)</f>
        <v>3307000</v>
      </c>
      <c r="F1346" s="105">
        <f t="shared" si="468"/>
        <v>4571900</v>
      </c>
      <c r="G1346" s="34">
        <f t="shared" si="467"/>
        <v>0.3824916843</v>
      </c>
      <c r="H1346" s="99"/>
      <c r="I1346" s="99"/>
      <c r="J1346" s="99"/>
      <c r="K1346" s="99"/>
      <c r="L1346" s="99"/>
      <c r="M1346" s="99"/>
      <c r="N1346" s="99"/>
      <c r="O1346" s="99"/>
      <c r="P1346" s="99"/>
      <c r="Q1346" s="108"/>
      <c r="R1346" s="108"/>
      <c r="S1346" s="100"/>
      <c r="T1346" s="24">
        <f t="shared" si="455"/>
        <v>-0.3824916843</v>
      </c>
      <c r="U1346" s="179">
        <f t="shared" si="456"/>
        <v>-1</v>
      </c>
      <c r="V1346" s="179" t="str">
        <f t="shared" si="457"/>
        <v/>
      </c>
      <c r="W1346" s="179" t="str">
        <f t="shared" si="458"/>
        <v/>
      </c>
      <c r="X1346" s="26"/>
    </row>
    <row r="1347">
      <c r="A1347" s="28"/>
      <c r="B1347" s="28"/>
      <c r="C1347" s="107"/>
      <c r="D1347" s="97"/>
      <c r="E1347" s="105"/>
      <c r="F1347" s="105"/>
      <c r="G1347" s="34"/>
      <c r="H1347" s="99"/>
      <c r="I1347" s="99"/>
      <c r="J1347" s="99"/>
      <c r="K1347" s="99"/>
      <c r="L1347" s="99"/>
      <c r="M1347" s="99"/>
      <c r="N1347" s="99"/>
      <c r="O1347" s="99"/>
      <c r="P1347" s="99"/>
      <c r="Q1347" s="108"/>
      <c r="R1347" s="108"/>
      <c r="S1347" s="100"/>
      <c r="T1347" s="24"/>
      <c r="U1347" s="179"/>
      <c r="V1347" s="179"/>
      <c r="W1347" s="179"/>
      <c r="X1347" s="26"/>
    </row>
    <row r="1348">
      <c r="A1348" s="28"/>
      <c r="B1348" s="28"/>
      <c r="C1348" s="107"/>
      <c r="D1348" s="83" t="s">
        <v>176</v>
      </c>
      <c r="E1348" s="105">
        <f>320000+36000*4+15000*3+30000+350000</f>
        <v>889000</v>
      </c>
      <c r="F1348" s="201">
        <f>E1348*1.5</f>
        <v>1333500</v>
      </c>
      <c r="G1348" s="34">
        <f>(F1348-E1348)/E1348</f>
        <v>0.5</v>
      </c>
      <c r="H1348" s="99"/>
      <c r="I1348" s="99"/>
      <c r="J1348" s="99"/>
      <c r="K1348" s="99"/>
      <c r="L1348" s="99"/>
      <c r="M1348" s="99"/>
      <c r="N1348" s="99"/>
      <c r="O1348" s="99"/>
      <c r="P1348" s="99"/>
      <c r="Q1348" s="108"/>
      <c r="R1348" s="108"/>
      <c r="S1348" s="100"/>
      <c r="T1348" s="24">
        <f>P1348-(G1348+S1348)-(P1348*R1348)-(P1348*Q1348)</f>
        <v>-0.5</v>
      </c>
      <c r="U1348" s="179">
        <f>IFERROR((P1348-G1348)/G1348,"")</f>
        <v>-1</v>
      </c>
      <c r="V1348" s="179" t="str">
        <f>IFERROR((P1348-G1348)/P1348,"")</f>
        <v/>
      </c>
      <c r="W1348" s="179" t="str">
        <f>IFERROR(T1348/P1348,"")</f>
        <v/>
      </c>
      <c r="X1348" s="26"/>
    </row>
    <row r="1349">
      <c r="A1349" s="28"/>
      <c r="B1349" s="28"/>
      <c r="C1349" s="107"/>
      <c r="D1349" s="97"/>
      <c r="E1349" s="105"/>
      <c r="F1349" s="105"/>
      <c r="G1349" s="34"/>
      <c r="H1349" s="99"/>
      <c r="I1349" s="99"/>
      <c r="J1349" s="99"/>
      <c r="K1349" s="99"/>
      <c r="L1349" s="99"/>
      <c r="M1349" s="99"/>
      <c r="N1349" s="99"/>
      <c r="O1349" s="99"/>
      <c r="P1349" s="99"/>
      <c r="Q1349" s="108"/>
      <c r="R1349" s="108"/>
      <c r="S1349" s="100"/>
      <c r="T1349" s="24"/>
      <c r="U1349" s="179"/>
      <c r="V1349" s="179"/>
      <c r="W1349" s="179"/>
      <c r="X1349" s="26"/>
    </row>
    <row r="1350">
      <c r="A1350" s="28"/>
      <c r="B1350" s="28"/>
      <c r="C1350" s="107"/>
      <c r="D1350" s="97"/>
      <c r="E1350" s="105"/>
      <c r="F1350" s="105"/>
      <c r="G1350" s="34"/>
      <c r="H1350" s="99"/>
      <c r="I1350" s="99"/>
      <c r="J1350" s="99"/>
      <c r="K1350" s="99"/>
      <c r="L1350" s="99"/>
      <c r="M1350" s="99"/>
      <c r="N1350" s="99"/>
      <c r="O1350" s="99"/>
      <c r="P1350" s="99"/>
      <c r="Q1350" s="108"/>
      <c r="R1350" s="108"/>
      <c r="S1350" s="100"/>
      <c r="T1350" s="24">
        <f t="shared" ref="T1350:T1358" si="469">P1350-(G1350+S1350)-(P1350*R1350)-(P1350*Q1350)</f>
        <v>0</v>
      </c>
      <c r="U1350" s="179" t="str">
        <f t="shared" ref="U1350:U1358" si="470">IFERROR((P1350-G1350)/G1350,"")</f>
        <v/>
      </c>
      <c r="V1350" s="179" t="str">
        <f t="shared" ref="V1350:V1358" si="471">IFERROR((P1350-G1350)/P1350,"")</f>
        <v/>
      </c>
      <c r="W1350" s="179" t="str">
        <f t="shared" ref="W1350:W1358" si="472">IFERROR(T1350/P1350,"")</f>
        <v/>
      </c>
      <c r="X1350" s="26"/>
    </row>
    <row r="1351">
      <c r="A1351" s="28"/>
      <c r="B1351" s="28"/>
      <c r="C1351" s="82" t="s">
        <v>629</v>
      </c>
      <c r="D1351" s="83" t="s">
        <v>156</v>
      </c>
      <c r="E1351" s="105">
        <f>330000*10</f>
        <v>3300000</v>
      </c>
      <c r="F1351" s="105">
        <f>510000*10</f>
        <v>5100000</v>
      </c>
      <c r="G1351" s="34">
        <f t="shared" ref="G1351:G1352" si="473">(F1351-E1351)/E1351</f>
        <v>0.5454545455</v>
      </c>
      <c r="H1351" s="99">
        <f t="shared" ref="H1351:H1352" si="474">F1351-E1351</f>
        <v>1800000</v>
      </c>
      <c r="I1351" s="99"/>
      <c r="J1351" s="99"/>
      <c r="K1351" s="99"/>
      <c r="L1351" s="99"/>
      <c r="M1351" s="99"/>
      <c r="N1351" s="99"/>
      <c r="O1351" s="99"/>
      <c r="P1351" s="99"/>
      <c r="Q1351" s="108"/>
      <c r="R1351" s="108"/>
      <c r="S1351" s="100"/>
      <c r="T1351" s="24">
        <f t="shared" si="469"/>
        <v>-0.5454545455</v>
      </c>
      <c r="U1351" s="179">
        <f t="shared" si="470"/>
        <v>-1</v>
      </c>
      <c r="V1351" s="179" t="str">
        <f t="shared" si="471"/>
        <v/>
      </c>
      <c r="W1351" s="179" t="str">
        <f t="shared" si="472"/>
        <v/>
      </c>
      <c r="X1351" s="26"/>
    </row>
    <row r="1352">
      <c r="A1352" s="28"/>
      <c r="B1352" s="28"/>
      <c r="C1352" s="107"/>
      <c r="D1352" s="83" t="s">
        <v>197</v>
      </c>
      <c r="E1352" s="105">
        <f>300000*10</f>
        <v>3000000</v>
      </c>
      <c r="F1352" s="105">
        <f>450000*10</f>
        <v>4500000</v>
      </c>
      <c r="G1352" s="34">
        <f t="shared" si="473"/>
        <v>0.5</v>
      </c>
      <c r="H1352" s="99">
        <f t="shared" si="474"/>
        <v>1500000</v>
      </c>
      <c r="I1352" s="99"/>
      <c r="J1352" s="99"/>
      <c r="K1352" s="99"/>
      <c r="L1352" s="99"/>
      <c r="M1352" s="99"/>
      <c r="N1352" s="99"/>
      <c r="O1352" s="99"/>
      <c r="P1352" s="99"/>
      <c r="Q1352" s="108"/>
      <c r="R1352" s="108"/>
      <c r="S1352" s="100"/>
      <c r="T1352" s="24">
        <f t="shared" si="469"/>
        <v>-0.5</v>
      </c>
      <c r="U1352" s="179">
        <f t="shared" si="470"/>
        <v>-1</v>
      </c>
      <c r="V1352" s="179" t="str">
        <f t="shared" si="471"/>
        <v/>
      </c>
      <c r="W1352" s="179" t="str">
        <f t="shared" si="472"/>
        <v/>
      </c>
      <c r="X1352" s="26"/>
    </row>
    <row r="1353">
      <c r="A1353" s="28"/>
      <c r="B1353" s="28"/>
      <c r="C1353" s="107"/>
      <c r="D1353" s="97"/>
      <c r="E1353" s="105"/>
      <c r="F1353" s="105"/>
      <c r="G1353" s="34"/>
      <c r="H1353" s="99"/>
      <c r="I1353" s="99"/>
      <c r="J1353" s="99"/>
      <c r="K1353" s="99"/>
      <c r="L1353" s="99"/>
      <c r="M1353" s="99"/>
      <c r="N1353" s="99"/>
      <c r="O1353" s="99"/>
      <c r="P1353" s="99"/>
      <c r="Q1353" s="108"/>
      <c r="R1353" s="108"/>
      <c r="S1353" s="100"/>
      <c r="T1353" s="24">
        <f t="shared" si="469"/>
        <v>0</v>
      </c>
      <c r="U1353" s="179" t="str">
        <f t="shared" si="470"/>
        <v/>
      </c>
      <c r="V1353" s="179" t="str">
        <f t="shared" si="471"/>
        <v/>
      </c>
      <c r="W1353" s="179" t="str">
        <f t="shared" si="472"/>
        <v/>
      </c>
      <c r="X1353" s="26"/>
    </row>
    <row r="1354">
      <c r="A1354" s="28"/>
      <c r="B1354" s="28"/>
      <c r="C1354" s="107"/>
      <c r="D1354" s="83" t="s">
        <v>331</v>
      </c>
      <c r="E1354" s="105">
        <f>330000*10</f>
        <v>3300000</v>
      </c>
      <c r="F1354" s="105">
        <f>485000*10</f>
        <v>4850000</v>
      </c>
      <c r="G1354" s="34">
        <f t="shared" ref="G1354:G1355" si="475">(F1354-E1354)/E1354</f>
        <v>0.4696969697</v>
      </c>
      <c r="H1354" s="99">
        <f t="shared" ref="H1354:H1355" si="476">F1354-E1354</f>
        <v>1550000</v>
      </c>
      <c r="I1354" s="99">
        <f>H1351-H1354</f>
        <v>250000</v>
      </c>
      <c r="J1354" s="99"/>
      <c r="K1354" s="99"/>
      <c r="L1354" s="99"/>
      <c r="M1354" s="99"/>
      <c r="N1354" s="99"/>
      <c r="O1354" s="99"/>
      <c r="P1354" s="99"/>
      <c r="Q1354" s="108"/>
      <c r="R1354" s="108"/>
      <c r="S1354" s="100"/>
      <c r="T1354" s="24">
        <f t="shared" si="469"/>
        <v>-0.4696969697</v>
      </c>
      <c r="U1354" s="179">
        <f t="shared" si="470"/>
        <v>-1</v>
      </c>
      <c r="V1354" s="179" t="str">
        <f t="shared" si="471"/>
        <v/>
      </c>
      <c r="W1354" s="179" t="str">
        <f t="shared" si="472"/>
        <v/>
      </c>
      <c r="X1354" s="26"/>
    </row>
    <row r="1355">
      <c r="A1355" s="28"/>
      <c r="B1355" s="28"/>
      <c r="C1355" s="107"/>
      <c r="D1355" s="97"/>
      <c r="E1355" s="105">
        <f>300000*10</f>
        <v>3000000</v>
      </c>
      <c r="F1355" s="105">
        <f>E1355*1.45</f>
        <v>4350000</v>
      </c>
      <c r="G1355" s="34">
        <f t="shared" si="475"/>
        <v>0.45</v>
      </c>
      <c r="H1355" s="99">
        <f t="shared" si="476"/>
        <v>1350000</v>
      </c>
      <c r="I1355" s="99">
        <f>F1352-F1355</f>
        <v>150000</v>
      </c>
      <c r="J1355" s="99"/>
      <c r="K1355" s="99"/>
      <c r="L1355" s="99"/>
      <c r="M1355" s="99"/>
      <c r="N1355" s="99"/>
      <c r="O1355" s="99"/>
      <c r="P1355" s="99"/>
      <c r="Q1355" s="108"/>
      <c r="R1355" s="108"/>
      <c r="S1355" s="100"/>
      <c r="T1355" s="24">
        <f t="shared" si="469"/>
        <v>-0.45</v>
      </c>
      <c r="U1355" s="179">
        <f t="shared" si="470"/>
        <v>-1</v>
      </c>
      <c r="V1355" s="179" t="str">
        <f t="shared" si="471"/>
        <v/>
      </c>
      <c r="W1355" s="179" t="str">
        <f t="shared" si="472"/>
        <v/>
      </c>
      <c r="X1355" s="26"/>
    </row>
    <row r="1356">
      <c r="A1356" s="28"/>
      <c r="B1356" s="28"/>
      <c r="C1356" s="107"/>
      <c r="D1356" s="97"/>
      <c r="E1356" s="105"/>
      <c r="F1356" s="105"/>
      <c r="G1356" s="34"/>
      <c r="H1356" s="99"/>
      <c r="I1356" s="99"/>
      <c r="J1356" s="99"/>
      <c r="K1356" s="99"/>
      <c r="L1356" s="99"/>
      <c r="M1356" s="99"/>
      <c r="N1356" s="99"/>
      <c r="O1356" s="99"/>
      <c r="P1356" s="99"/>
      <c r="Q1356" s="108"/>
      <c r="R1356" s="108"/>
      <c r="S1356" s="100"/>
      <c r="T1356" s="24">
        <f t="shared" si="469"/>
        <v>0</v>
      </c>
      <c r="U1356" s="179" t="str">
        <f t="shared" si="470"/>
        <v/>
      </c>
      <c r="V1356" s="179" t="str">
        <f t="shared" si="471"/>
        <v/>
      </c>
      <c r="W1356" s="179" t="str">
        <f t="shared" si="472"/>
        <v/>
      </c>
      <c r="X1356" s="26"/>
    </row>
    <row r="1357">
      <c r="A1357" s="28"/>
      <c r="B1357" s="28"/>
      <c r="C1357" s="82" t="s">
        <v>617</v>
      </c>
      <c r="D1357" s="83" t="s">
        <v>309</v>
      </c>
      <c r="E1357" s="201">
        <v>2950000.0</v>
      </c>
      <c r="F1357" s="105">
        <f>E1357*1.4</f>
        <v>4130000</v>
      </c>
      <c r="G1357" s="34">
        <f>(F1357-E1357)/E1357</f>
        <v>0.4</v>
      </c>
      <c r="H1357" s="99">
        <f>E1357-F1357</f>
        <v>-1180000</v>
      </c>
      <c r="I1357" s="99"/>
      <c r="J1357" s="99"/>
      <c r="K1357" s="99"/>
      <c r="L1357" s="99"/>
      <c r="M1357" s="99"/>
      <c r="N1357" s="99"/>
      <c r="O1357" s="99"/>
      <c r="P1357" s="99"/>
      <c r="Q1357" s="108"/>
      <c r="R1357" s="108"/>
      <c r="S1357" s="100"/>
      <c r="T1357" s="24">
        <f t="shared" si="469"/>
        <v>-0.4</v>
      </c>
      <c r="U1357" s="179">
        <f t="shared" si="470"/>
        <v>-1</v>
      </c>
      <c r="V1357" s="179" t="str">
        <f t="shared" si="471"/>
        <v/>
      </c>
      <c r="W1357" s="179" t="str">
        <f t="shared" si="472"/>
        <v/>
      </c>
      <c r="X1357" s="26"/>
    </row>
    <row r="1358">
      <c r="A1358" s="28"/>
      <c r="B1358" s="28"/>
      <c r="C1358" s="107"/>
      <c r="D1358" s="83" t="s">
        <v>630</v>
      </c>
      <c r="E1358" s="201">
        <f>130000*6</f>
        <v>780000</v>
      </c>
      <c r="F1358" s="201">
        <f>250000*6</f>
        <v>1500000</v>
      </c>
      <c r="G1358" s="34"/>
      <c r="H1358" s="99"/>
      <c r="I1358" s="99"/>
      <c r="J1358" s="99"/>
      <c r="K1358" s="99"/>
      <c r="L1358" s="99"/>
      <c r="M1358" s="99"/>
      <c r="N1358" s="99"/>
      <c r="O1358" s="99"/>
      <c r="P1358" s="99"/>
      <c r="Q1358" s="108"/>
      <c r="R1358" s="108"/>
      <c r="S1358" s="100"/>
      <c r="T1358" s="24">
        <f t="shared" si="469"/>
        <v>0</v>
      </c>
      <c r="U1358" s="179" t="str">
        <f t="shared" si="470"/>
        <v/>
      </c>
      <c r="V1358" s="179" t="str">
        <f t="shared" si="471"/>
        <v/>
      </c>
      <c r="W1358" s="179" t="str">
        <f t="shared" si="472"/>
        <v/>
      </c>
      <c r="X1358" s="26"/>
    </row>
    <row r="1359">
      <c r="A1359" s="28"/>
      <c r="B1359" s="28"/>
      <c r="C1359" s="107"/>
      <c r="D1359" s="97"/>
      <c r="E1359" s="105">
        <f t="shared" ref="E1359:F1359" si="477">E1357+E1358</f>
        <v>3730000</v>
      </c>
      <c r="F1359" s="105">
        <f t="shared" si="477"/>
        <v>5630000</v>
      </c>
      <c r="G1359" s="34"/>
      <c r="H1359" s="99"/>
      <c r="I1359" s="99"/>
      <c r="J1359" s="99"/>
      <c r="K1359" s="99"/>
      <c r="L1359" s="99"/>
      <c r="M1359" s="99"/>
      <c r="N1359" s="99"/>
      <c r="O1359" s="99"/>
      <c r="P1359" s="99"/>
      <c r="Q1359" s="108"/>
      <c r="R1359" s="108"/>
      <c r="S1359" s="100"/>
      <c r="T1359" s="24"/>
      <c r="U1359" s="179"/>
      <c r="V1359" s="179"/>
      <c r="W1359" s="179"/>
      <c r="X1359" s="26"/>
    </row>
    <row r="1360">
      <c r="A1360" s="28"/>
      <c r="B1360" s="28"/>
      <c r="C1360" s="107"/>
      <c r="D1360" s="97"/>
      <c r="E1360" s="105"/>
      <c r="F1360" s="105"/>
      <c r="G1360" s="34"/>
      <c r="H1360" s="99"/>
      <c r="I1360" s="99"/>
      <c r="J1360" s="99"/>
      <c r="K1360" s="99"/>
      <c r="L1360" s="99"/>
      <c r="M1360" s="99"/>
      <c r="N1360" s="99"/>
      <c r="O1360" s="99"/>
      <c r="P1360" s="99"/>
      <c r="Q1360" s="108"/>
      <c r="R1360" s="108"/>
      <c r="S1360" s="100"/>
      <c r="T1360" s="24">
        <f t="shared" ref="T1360:T1376" si="478">P1360-(G1360+S1360)-(P1360*R1360)-(P1360*Q1360)</f>
        <v>0</v>
      </c>
      <c r="U1360" s="179" t="str">
        <f t="shared" ref="U1360:U1376" si="479">IFERROR((P1360-G1360)/G1360,"")</f>
        <v/>
      </c>
      <c r="V1360" s="179" t="str">
        <f t="shared" ref="V1360:V1376" si="480">IFERROR((P1360-G1360)/P1360,"")</f>
        <v/>
      </c>
      <c r="W1360" s="179" t="str">
        <f t="shared" ref="W1360:W1376" si="481">IFERROR(T1360/P1360,"")</f>
        <v/>
      </c>
      <c r="X1360" s="26"/>
    </row>
    <row r="1361">
      <c r="A1361" s="28"/>
      <c r="B1361" s="28"/>
      <c r="C1361" s="82" t="s">
        <v>631</v>
      </c>
      <c r="D1361" s="83" t="s">
        <v>632</v>
      </c>
      <c r="E1361" s="105">
        <f>350000*6</f>
        <v>2100000</v>
      </c>
      <c r="F1361" s="105">
        <f>490000*6</f>
        <v>2940000</v>
      </c>
      <c r="G1361" s="34">
        <f t="shared" ref="G1361:G1362" si="482">(F1361-E1361)/E1361</f>
        <v>0.4</v>
      </c>
      <c r="H1361" s="99"/>
      <c r="I1361" s="99"/>
      <c r="J1361" s="99"/>
      <c r="K1361" s="99"/>
      <c r="L1361" s="99"/>
      <c r="M1361" s="99"/>
      <c r="N1361" s="99"/>
      <c r="O1361" s="99"/>
      <c r="P1361" s="99"/>
      <c r="Q1361" s="108"/>
      <c r="R1361" s="108"/>
      <c r="S1361" s="100"/>
      <c r="T1361" s="24">
        <f t="shared" si="478"/>
        <v>-0.4</v>
      </c>
      <c r="U1361" s="179">
        <f t="shared" si="479"/>
        <v>-1</v>
      </c>
      <c r="V1361" s="179" t="str">
        <f t="shared" si="480"/>
        <v/>
      </c>
      <c r="W1361" s="179" t="str">
        <f t="shared" si="481"/>
        <v/>
      </c>
      <c r="X1361" s="26"/>
    </row>
    <row r="1362">
      <c r="A1362" s="28"/>
      <c r="B1362" s="28"/>
      <c r="C1362" s="107"/>
      <c r="D1362" s="97"/>
      <c r="E1362" s="105">
        <f>E1361</f>
        <v>2100000</v>
      </c>
      <c r="F1362" s="105">
        <f>F1361-60000</f>
        <v>2880000</v>
      </c>
      <c r="G1362" s="34">
        <f t="shared" si="482"/>
        <v>0.3714285714</v>
      </c>
      <c r="H1362" s="99"/>
      <c r="I1362" s="99"/>
      <c r="J1362" s="99"/>
      <c r="K1362" s="99"/>
      <c r="L1362" s="99"/>
      <c r="M1362" s="99"/>
      <c r="N1362" s="99"/>
      <c r="O1362" s="99"/>
      <c r="P1362" s="99"/>
      <c r="Q1362" s="108"/>
      <c r="R1362" s="108"/>
      <c r="S1362" s="100"/>
      <c r="T1362" s="24">
        <f t="shared" si="478"/>
        <v>-0.3714285714</v>
      </c>
      <c r="U1362" s="179">
        <f t="shared" si="479"/>
        <v>-1</v>
      </c>
      <c r="V1362" s="179" t="str">
        <f t="shared" si="480"/>
        <v/>
      </c>
      <c r="W1362" s="179" t="str">
        <f t="shared" si="481"/>
        <v/>
      </c>
      <c r="X1362" s="26"/>
    </row>
    <row r="1363">
      <c r="A1363" s="28"/>
      <c r="B1363" s="28"/>
      <c r="C1363" s="107"/>
      <c r="D1363" s="97"/>
      <c r="E1363" s="105"/>
      <c r="F1363" s="105"/>
      <c r="G1363" s="34"/>
      <c r="H1363" s="99"/>
      <c r="I1363" s="99"/>
      <c r="J1363" s="99"/>
      <c r="K1363" s="99"/>
      <c r="L1363" s="99"/>
      <c r="M1363" s="99"/>
      <c r="N1363" s="99"/>
      <c r="O1363" s="99"/>
      <c r="P1363" s="99"/>
      <c r="Q1363" s="108"/>
      <c r="R1363" s="108"/>
      <c r="S1363" s="100"/>
      <c r="T1363" s="24">
        <f t="shared" si="478"/>
        <v>0</v>
      </c>
      <c r="U1363" s="179" t="str">
        <f t="shared" si="479"/>
        <v/>
      </c>
      <c r="V1363" s="179" t="str">
        <f t="shared" si="480"/>
        <v/>
      </c>
      <c r="W1363" s="179" t="str">
        <f t="shared" si="481"/>
        <v/>
      </c>
      <c r="X1363" s="26"/>
    </row>
    <row r="1364">
      <c r="A1364" s="28"/>
      <c r="B1364" s="28"/>
      <c r="C1364" s="82" t="s">
        <v>633</v>
      </c>
      <c r="D1364" s="83" t="s">
        <v>267</v>
      </c>
      <c r="E1364" s="105">
        <f>300000*2</f>
        <v>600000</v>
      </c>
      <c r="F1364" s="105">
        <f>450000*2</f>
        <v>900000</v>
      </c>
      <c r="G1364" s="34">
        <f t="shared" ref="G1364:G1366" si="483">(F1364-E1364)/E1364</f>
        <v>0.5</v>
      </c>
      <c r="H1364" s="99"/>
      <c r="I1364" s="99"/>
      <c r="J1364" s="99"/>
      <c r="K1364" s="99"/>
      <c r="L1364" s="99"/>
      <c r="M1364" s="99"/>
      <c r="N1364" s="99"/>
      <c r="O1364" s="99"/>
      <c r="P1364" s="99"/>
      <c r="Q1364" s="108"/>
      <c r="R1364" s="108"/>
      <c r="S1364" s="100"/>
      <c r="T1364" s="24">
        <f t="shared" si="478"/>
        <v>-0.5</v>
      </c>
      <c r="U1364" s="179">
        <f t="shared" si="479"/>
        <v>-1</v>
      </c>
      <c r="V1364" s="179" t="str">
        <f t="shared" si="480"/>
        <v/>
      </c>
      <c r="W1364" s="179" t="str">
        <f t="shared" si="481"/>
        <v/>
      </c>
      <c r="X1364" s="26"/>
    </row>
    <row r="1365">
      <c r="A1365" s="28"/>
      <c r="B1365" s="28"/>
      <c r="C1365" s="107"/>
      <c r="D1365" s="83" t="s">
        <v>155</v>
      </c>
      <c r="E1365" s="201">
        <v>442000.0</v>
      </c>
      <c r="F1365" s="105">
        <f>325000*2</f>
        <v>650000</v>
      </c>
      <c r="G1365" s="34">
        <f t="shared" si="483"/>
        <v>0.4705882353</v>
      </c>
      <c r="H1365" s="99"/>
      <c r="I1365" s="99"/>
      <c r="J1365" s="99"/>
      <c r="K1365" s="99"/>
      <c r="L1365" s="99"/>
      <c r="M1365" s="99"/>
      <c r="N1365" s="99"/>
      <c r="O1365" s="99"/>
      <c r="P1365" s="99"/>
      <c r="Q1365" s="108"/>
      <c r="R1365" s="108"/>
      <c r="S1365" s="100"/>
      <c r="T1365" s="24">
        <f t="shared" si="478"/>
        <v>-0.4705882353</v>
      </c>
      <c r="U1365" s="179">
        <f t="shared" si="479"/>
        <v>-1</v>
      </c>
      <c r="V1365" s="179" t="str">
        <f t="shared" si="480"/>
        <v/>
      </c>
      <c r="W1365" s="179" t="str">
        <f t="shared" si="481"/>
        <v/>
      </c>
      <c r="X1365" s="26"/>
    </row>
    <row r="1366">
      <c r="A1366" s="28"/>
      <c r="B1366" s="28"/>
      <c r="C1366" s="107"/>
      <c r="D1366" s="83" t="s">
        <v>634</v>
      </c>
      <c r="E1366" s="105">
        <f t="shared" ref="E1366:F1366" si="484">E1364+E1365</f>
        <v>1042000</v>
      </c>
      <c r="F1366" s="105">
        <f t="shared" si="484"/>
        <v>1550000</v>
      </c>
      <c r="G1366" s="34">
        <f t="shared" si="483"/>
        <v>0.4875239923</v>
      </c>
      <c r="H1366" s="99"/>
      <c r="I1366" s="99"/>
      <c r="J1366" s="99"/>
      <c r="K1366" s="99"/>
      <c r="L1366" s="99"/>
      <c r="M1366" s="99"/>
      <c r="N1366" s="99"/>
      <c r="O1366" s="99"/>
      <c r="P1366" s="99"/>
      <c r="Q1366" s="108"/>
      <c r="R1366" s="108"/>
      <c r="S1366" s="100"/>
      <c r="T1366" s="24">
        <f t="shared" si="478"/>
        <v>-0.4875239923</v>
      </c>
      <c r="U1366" s="179">
        <f t="shared" si="479"/>
        <v>-1</v>
      </c>
      <c r="V1366" s="179" t="str">
        <f t="shared" si="480"/>
        <v/>
      </c>
      <c r="W1366" s="179" t="str">
        <f t="shared" si="481"/>
        <v/>
      </c>
      <c r="X1366" s="26"/>
    </row>
    <row r="1367">
      <c r="A1367" s="28"/>
      <c r="B1367" s="28"/>
      <c r="C1367" s="107"/>
      <c r="D1367" s="83" t="s">
        <v>635</v>
      </c>
      <c r="E1367" s="105">
        <f>F1366-E1366</f>
        <v>508000</v>
      </c>
      <c r="F1367" s="105"/>
      <c r="G1367" s="34"/>
      <c r="H1367" s="99"/>
      <c r="I1367" s="99"/>
      <c r="J1367" s="99"/>
      <c r="K1367" s="99"/>
      <c r="L1367" s="99"/>
      <c r="M1367" s="99"/>
      <c r="N1367" s="99"/>
      <c r="O1367" s="99"/>
      <c r="P1367" s="99"/>
      <c r="Q1367" s="108"/>
      <c r="R1367" s="108"/>
      <c r="S1367" s="100"/>
      <c r="T1367" s="24">
        <f t="shared" si="478"/>
        <v>0</v>
      </c>
      <c r="U1367" s="179" t="str">
        <f t="shared" si="479"/>
        <v/>
      </c>
      <c r="V1367" s="179" t="str">
        <f t="shared" si="480"/>
        <v/>
      </c>
      <c r="W1367" s="179" t="str">
        <f t="shared" si="481"/>
        <v/>
      </c>
      <c r="X1367" s="26"/>
    </row>
    <row r="1368">
      <c r="A1368" s="28"/>
      <c r="B1368" s="28"/>
      <c r="C1368" s="107"/>
      <c r="D1368" s="97"/>
      <c r="E1368" s="105"/>
      <c r="F1368" s="105"/>
      <c r="G1368" s="34"/>
      <c r="H1368" s="99"/>
      <c r="I1368" s="99"/>
      <c r="J1368" s="99"/>
      <c r="K1368" s="99"/>
      <c r="L1368" s="99"/>
      <c r="M1368" s="99"/>
      <c r="N1368" s="99"/>
      <c r="O1368" s="99"/>
      <c r="P1368" s="99"/>
      <c r="Q1368" s="108"/>
      <c r="R1368" s="108"/>
      <c r="S1368" s="100"/>
      <c r="T1368" s="24">
        <f t="shared" si="478"/>
        <v>0</v>
      </c>
      <c r="U1368" s="179" t="str">
        <f t="shared" si="479"/>
        <v/>
      </c>
      <c r="V1368" s="179" t="str">
        <f t="shared" si="480"/>
        <v/>
      </c>
      <c r="W1368" s="179" t="str">
        <f t="shared" si="481"/>
        <v/>
      </c>
      <c r="X1368" s="26"/>
    </row>
    <row r="1369">
      <c r="A1369" s="28"/>
      <c r="B1369" s="28"/>
      <c r="C1369" s="107"/>
      <c r="D1369" s="97"/>
      <c r="E1369" s="105"/>
      <c r="F1369" s="105"/>
      <c r="G1369" s="34"/>
      <c r="H1369" s="99"/>
      <c r="I1369" s="99"/>
      <c r="J1369" s="99"/>
      <c r="K1369" s="99"/>
      <c r="L1369" s="99"/>
      <c r="M1369" s="99"/>
      <c r="N1369" s="99"/>
      <c r="O1369" s="99"/>
      <c r="P1369" s="99"/>
      <c r="Q1369" s="108"/>
      <c r="R1369" s="108"/>
      <c r="S1369" s="100"/>
      <c r="T1369" s="24">
        <f t="shared" si="478"/>
        <v>0</v>
      </c>
      <c r="U1369" s="179" t="str">
        <f t="shared" si="479"/>
        <v/>
      </c>
      <c r="V1369" s="179" t="str">
        <f t="shared" si="480"/>
        <v/>
      </c>
      <c r="W1369" s="179" t="str">
        <f t="shared" si="481"/>
        <v/>
      </c>
      <c r="X1369" s="26"/>
    </row>
    <row r="1370">
      <c r="A1370" s="28"/>
      <c r="B1370" s="28"/>
      <c r="C1370" s="82" t="s">
        <v>636</v>
      </c>
      <c r="D1370" s="83" t="s">
        <v>155</v>
      </c>
      <c r="E1370" s="105">
        <f>320000+36000*4+40000+240000</f>
        <v>744000</v>
      </c>
      <c r="F1370" s="105">
        <f>330000*4</f>
        <v>1320000</v>
      </c>
      <c r="G1370" s="34">
        <f>(F1370-E1370)/E1370</f>
        <v>0.7741935484</v>
      </c>
      <c r="H1370" s="99"/>
      <c r="I1370" s="99"/>
      <c r="J1370" s="99"/>
      <c r="K1370" s="99"/>
      <c r="L1370" s="99"/>
      <c r="M1370" s="99"/>
      <c r="N1370" s="99"/>
      <c r="O1370" s="99"/>
      <c r="P1370" s="99"/>
      <c r="Q1370" s="108"/>
      <c r="R1370" s="108"/>
      <c r="S1370" s="100"/>
      <c r="T1370" s="24">
        <f t="shared" si="478"/>
        <v>-0.7741935484</v>
      </c>
      <c r="U1370" s="179">
        <f t="shared" si="479"/>
        <v>-1</v>
      </c>
      <c r="V1370" s="179" t="str">
        <f t="shared" si="480"/>
        <v/>
      </c>
      <c r="W1370" s="179" t="str">
        <f t="shared" si="481"/>
        <v/>
      </c>
      <c r="X1370" s="26"/>
    </row>
    <row r="1371">
      <c r="A1371" s="28"/>
      <c r="B1371" s="28"/>
      <c r="C1371" s="107"/>
      <c r="D1371" s="97"/>
      <c r="E1371" s="105"/>
      <c r="F1371" s="105"/>
      <c r="G1371" s="34"/>
      <c r="H1371" s="99"/>
      <c r="I1371" s="99"/>
      <c r="J1371" s="99"/>
      <c r="K1371" s="99"/>
      <c r="L1371" s="99"/>
      <c r="M1371" s="99"/>
      <c r="N1371" s="99"/>
      <c r="O1371" s="99"/>
      <c r="P1371" s="99"/>
      <c r="Q1371" s="108"/>
      <c r="R1371" s="108"/>
      <c r="S1371" s="100"/>
      <c r="T1371" s="24">
        <f t="shared" si="478"/>
        <v>0</v>
      </c>
      <c r="U1371" s="179" t="str">
        <f t="shared" si="479"/>
        <v/>
      </c>
      <c r="V1371" s="179" t="str">
        <f t="shared" si="480"/>
        <v/>
      </c>
      <c r="W1371" s="179" t="str">
        <f t="shared" si="481"/>
        <v/>
      </c>
      <c r="X1371" s="26"/>
    </row>
    <row r="1372">
      <c r="A1372" s="28"/>
      <c r="B1372" s="28"/>
      <c r="C1372" s="82" t="s">
        <v>637</v>
      </c>
      <c r="D1372" s="83" t="s">
        <v>638</v>
      </c>
      <c r="E1372" s="105">
        <f>390000*2</f>
        <v>780000</v>
      </c>
      <c r="F1372" s="201">
        <f>610000*2</f>
        <v>1220000</v>
      </c>
      <c r="G1372" s="34">
        <f t="shared" ref="G1372:G1375" si="485">(F1372-E1372)/E1372</f>
        <v>0.5641025641</v>
      </c>
      <c r="H1372" s="99"/>
      <c r="I1372" s="99"/>
      <c r="J1372" s="99"/>
      <c r="K1372" s="99"/>
      <c r="L1372" s="99"/>
      <c r="M1372" s="99"/>
      <c r="N1372" s="99"/>
      <c r="O1372" s="99"/>
      <c r="P1372" s="99"/>
      <c r="Q1372" s="108"/>
      <c r="R1372" s="108"/>
      <c r="S1372" s="100"/>
      <c r="T1372" s="24">
        <f t="shared" si="478"/>
        <v>-0.5641025641</v>
      </c>
      <c r="U1372" s="179">
        <f t="shared" si="479"/>
        <v>-1</v>
      </c>
      <c r="V1372" s="179" t="str">
        <f t="shared" si="480"/>
        <v/>
      </c>
      <c r="W1372" s="179" t="str">
        <f t="shared" si="481"/>
        <v/>
      </c>
      <c r="X1372" s="26"/>
    </row>
    <row r="1373">
      <c r="A1373" s="28"/>
      <c r="B1373" s="28"/>
      <c r="C1373" s="107"/>
      <c r="D1373" s="83" t="s">
        <v>285</v>
      </c>
      <c r="E1373" s="105">
        <f>(130000*2)</f>
        <v>260000</v>
      </c>
      <c r="F1373" s="105">
        <f>250000*2</f>
        <v>500000</v>
      </c>
      <c r="G1373" s="34">
        <f t="shared" si="485"/>
        <v>0.9230769231</v>
      </c>
      <c r="H1373" s="99"/>
      <c r="I1373" s="99"/>
      <c r="J1373" s="99"/>
      <c r="K1373" s="99"/>
      <c r="L1373" s="99"/>
      <c r="M1373" s="99"/>
      <c r="N1373" s="99"/>
      <c r="O1373" s="99"/>
      <c r="P1373" s="99"/>
      <c r="Q1373" s="108"/>
      <c r="R1373" s="108"/>
      <c r="S1373" s="100"/>
      <c r="T1373" s="24">
        <f t="shared" si="478"/>
        <v>-0.9230769231</v>
      </c>
      <c r="U1373" s="179">
        <f t="shared" si="479"/>
        <v>-1</v>
      </c>
      <c r="V1373" s="179" t="str">
        <f t="shared" si="480"/>
        <v/>
      </c>
      <c r="W1373" s="179" t="str">
        <f t="shared" si="481"/>
        <v/>
      </c>
      <c r="X1373" s="26"/>
    </row>
    <row r="1374">
      <c r="A1374" s="28"/>
      <c r="B1374" s="28"/>
      <c r="C1374" s="107"/>
      <c r="D1374" s="83" t="s">
        <v>325</v>
      </c>
      <c r="E1374" s="105">
        <f>360000*2</f>
        <v>720000</v>
      </c>
      <c r="F1374" s="105">
        <f>500000*2</f>
        <v>1000000</v>
      </c>
      <c r="G1374" s="34">
        <f t="shared" si="485"/>
        <v>0.3888888889</v>
      </c>
      <c r="H1374" s="99"/>
      <c r="I1374" s="99"/>
      <c r="J1374" s="99"/>
      <c r="K1374" s="99"/>
      <c r="L1374" s="99"/>
      <c r="M1374" s="99"/>
      <c r="N1374" s="99"/>
      <c r="O1374" s="99"/>
      <c r="P1374" s="99"/>
      <c r="Q1374" s="108"/>
      <c r="R1374" s="108"/>
      <c r="S1374" s="100"/>
      <c r="T1374" s="24">
        <f t="shared" si="478"/>
        <v>-0.3888888889</v>
      </c>
      <c r="U1374" s="179">
        <f t="shared" si="479"/>
        <v>-1</v>
      </c>
      <c r="V1374" s="179" t="str">
        <f t="shared" si="480"/>
        <v/>
      </c>
      <c r="W1374" s="179" t="str">
        <f t="shared" si="481"/>
        <v/>
      </c>
      <c r="X1374" s="26"/>
    </row>
    <row r="1375">
      <c r="A1375" s="28"/>
      <c r="B1375" s="28"/>
      <c r="C1375" s="107"/>
      <c r="D1375" s="83" t="s">
        <v>101</v>
      </c>
      <c r="E1375" s="105">
        <f t="shared" ref="E1375:F1375" si="486">E1372+E1373+E1374</f>
        <v>1760000</v>
      </c>
      <c r="F1375" s="105">
        <f t="shared" si="486"/>
        <v>2720000</v>
      </c>
      <c r="G1375" s="34">
        <f t="shared" si="485"/>
        <v>0.5454545455</v>
      </c>
      <c r="H1375" s="99"/>
      <c r="I1375" s="99"/>
      <c r="J1375" s="99"/>
      <c r="K1375" s="99"/>
      <c r="L1375" s="99"/>
      <c r="M1375" s="99"/>
      <c r="N1375" s="99"/>
      <c r="O1375" s="99"/>
      <c r="P1375" s="99"/>
      <c r="Q1375" s="108"/>
      <c r="R1375" s="108"/>
      <c r="S1375" s="100"/>
      <c r="T1375" s="24">
        <f t="shared" si="478"/>
        <v>-0.5454545455</v>
      </c>
      <c r="U1375" s="179">
        <f t="shared" si="479"/>
        <v>-1</v>
      </c>
      <c r="V1375" s="179" t="str">
        <f t="shared" si="480"/>
        <v/>
      </c>
      <c r="W1375" s="179" t="str">
        <f t="shared" si="481"/>
        <v/>
      </c>
      <c r="X1375" s="26"/>
    </row>
    <row r="1376">
      <c r="A1376" s="28"/>
      <c r="B1376" s="28"/>
      <c r="C1376" s="107"/>
      <c r="D1376" s="83" t="s">
        <v>148</v>
      </c>
      <c r="E1376" s="105">
        <f>F1375-E1375</f>
        <v>960000</v>
      </c>
      <c r="F1376" s="105"/>
      <c r="G1376" s="34"/>
      <c r="H1376" s="99"/>
      <c r="I1376" s="99"/>
      <c r="J1376" s="99"/>
      <c r="K1376" s="99"/>
      <c r="L1376" s="99"/>
      <c r="M1376" s="99"/>
      <c r="N1376" s="99"/>
      <c r="O1376" s="99"/>
      <c r="P1376" s="99"/>
      <c r="Q1376" s="108"/>
      <c r="R1376" s="108"/>
      <c r="S1376" s="100"/>
      <c r="T1376" s="24">
        <f t="shared" si="478"/>
        <v>0</v>
      </c>
      <c r="U1376" s="179" t="str">
        <f t="shared" si="479"/>
        <v/>
      </c>
      <c r="V1376" s="179" t="str">
        <f t="shared" si="480"/>
        <v/>
      </c>
      <c r="W1376" s="179" t="str">
        <f t="shared" si="481"/>
        <v/>
      </c>
      <c r="X1376" s="26"/>
    </row>
    <row r="1377">
      <c r="A1377" s="28"/>
      <c r="B1377" s="28"/>
      <c r="C1377" s="107"/>
      <c r="D1377" s="97"/>
      <c r="E1377" s="105"/>
      <c r="F1377" s="105"/>
      <c r="G1377" s="34"/>
      <c r="H1377" s="99"/>
      <c r="I1377" s="99"/>
      <c r="J1377" s="99"/>
      <c r="K1377" s="99"/>
      <c r="L1377" s="99"/>
      <c r="M1377" s="99"/>
      <c r="N1377" s="99"/>
      <c r="O1377" s="99"/>
      <c r="P1377" s="99"/>
      <c r="Q1377" s="108"/>
      <c r="R1377" s="108"/>
      <c r="S1377" s="100"/>
      <c r="T1377" s="24"/>
      <c r="U1377" s="179"/>
      <c r="V1377" s="179"/>
      <c r="W1377" s="179"/>
      <c r="X1377" s="26"/>
    </row>
    <row r="1378">
      <c r="A1378" s="28"/>
      <c r="B1378" s="28"/>
      <c r="C1378" s="107"/>
      <c r="D1378" s="97"/>
      <c r="E1378" s="105"/>
      <c r="F1378" s="105"/>
      <c r="G1378" s="34"/>
      <c r="H1378" s="99"/>
      <c r="I1378" s="99"/>
      <c r="J1378" s="99"/>
      <c r="K1378" s="99"/>
      <c r="L1378" s="99"/>
      <c r="M1378" s="99"/>
      <c r="N1378" s="99"/>
      <c r="O1378" s="99"/>
      <c r="P1378" s="99"/>
      <c r="Q1378" s="108"/>
      <c r="R1378" s="108"/>
      <c r="S1378" s="100"/>
      <c r="T1378" s="24">
        <f t="shared" ref="T1378:T1392" si="487">P1378-(G1378+S1378)-(P1378*R1378)-(P1378*Q1378)</f>
        <v>0</v>
      </c>
      <c r="U1378" s="179" t="str">
        <f t="shared" ref="U1378:U1392" si="488">IFERROR((P1378-G1378)/G1378,"")</f>
        <v/>
      </c>
      <c r="V1378" s="179" t="str">
        <f t="shared" ref="V1378:V1392" si="489">IFERROR((P1378-G1378)/P1378,"")</f>
        <v/>
      </c>
      <c r="W1378" s="179" t="str">
        <f t="shared" ref="W1378:W1392" si="490">IFERROR(T1378/P1378,"")</f>
        <v/>
      </c>
      <c r="X1378" s="26"/>
    </row>
    <row r="1379">
      <c r="A1379" s="28"/>
      <c r="B1379" s="28"/>
      <c r="C1379" s="1" t="s">
        <v>639</v>
      </c>
      <c r="D1379" s="238" t="s">
        <v>640</v>
      </c>
      <c r="E1379" s="105">
        <f>380000*2</f>
        <v>760000</v>
      </c>
      <c r="F1379" s="105">
        <f>550000*2</f>
        <v>1100000</v>
      </c>
      <c r="G1379" s="34">
        <f t="shared" ref="G1379:G1384" si="491">(F1379-E1379)/E1379</f>
        <v>0.4473684211</v>
      </c>
      <c r="H1379" s="99"/>
      <c r="I1379" s="99"/>
      <c r="J1379" s="99"/>
      <c r="K1379" s="99"/>
      <c r="L1379" s="99"/>
      <c r="M1379" s="99"/>
      <c r="N1379" s="99"/>
      <c r="O1379" s="99"/>
      <c r="P1379" s="99"/>
      <c r="Q1379" s="108"/>
      <c r="R1379" s="108"/>
      <c r="S1379" s="100"/>
      <c r="T1379" s="24">
        <f t="shared" si="487"/>
        <v>-0.4473684211</v>
      </c>
      <c r="U1379" s="179">
        <f t="shared" si="488"/>
        <v>-1</v>
      </c>
      <c r="V1379" s="179" t="str">
        <f t="shared" si="489"/>
        <v/>
      </c>
      <c r="W1379" s="179" t="str">
        <f t="shared" si="490"/>
        <v/>
      </c>
      <c r="X1379" s="26"/>
    </row>
    <row r="1380">
      <c r="A1380" s="28"/>
      <c r="B1380" s="28"/>
      <c r="C1380" s="107"/>
      <c r="D1380" s="238" t="s">
        <v>641</v>
      </c>
      <c r="E1380" s="105">
        <f>442000</f>
        <v>442000</v>
      </c>
      <c r="F1380" s="105">
        <f>325000*2</f>
        <v>650000</v>
      </c>
      <c r="G1380" s="34">
        <f t="shared" si="491"/>
        <v>0.4705882353</v>
      </c>
      <c r="H1380" s="99"/>
      <c r="I1380" s="99"/>
      <c r="J1380" s="99"/>
      <c r="K1380" s="99"/>
      <c r="L1380" s="99"/>
      <c r="M1380" s="99"/>
      <c r="N1380" s="99"/>
      <c r="O1380" s="99"/>
      <c r="P1380" s="99"/>
      <c r="Q1380" s="108"/>
      <c r="R1380" s="108"/>
      <c r="S1380" s="100"/>
      <c r="T1380" s="24">
        <f t="shared" si="487"/>
        <v>-0.4705882353</v>
      </c>
      <c r="U1380" s="179">
        <f t="shared" si="488"/>
        <v>-1</v>
      </c>
      <c r="V1380" s="179" t="str">
        <f t="shared" si="489"/>
        <v/>
      </c>
      <c r="W1380" s="179" t="str">
        <f t="shared" si="490"/>
        <v/>
      </c>
      <c r="X1380" s="26"/>
    </row>
    <row r="1381">
      <c r="A1381" s="28"/>
      <c r="B1381" s="28"/>
      <c r="C1381" s="107"/>
      <c r="D1381" s="83" t="s">
        <v>492</v>
      </c>
      <c r="E1381" s="105">
        <f>(130000*2)</f>
        <v>260000</v>
      </c>
      <c r="F1381" s="105">
        <f>250000*2</f>
        <v>500000</v>
      </c>
      <c r="G1381" s="34">
        <f t="shared" si="491"/>
        <v>0.9230769231</v>
      </c>
      <c r="H1381" s="99"/>
      <c r="I1381" s="99"/>
      <c r="J1381" s="99"/>
      <c r="K1381" s="99"/>
      <c r="L1381" s="99"/>
      <c r="M1381" s="99"/>
      <c r="N1381" s="99"/>
      <c r="O1381" s="99"/>
      <c r="P1381" s="99"/>
      <c r="Q1381" s="108"/>
      <c r="R1381" s="108"/>
      <c r="S1381" s="100"/>
      <c r="T1381" s="24">
        <f t="shared" si="487"/>
        <v>-0.9230769231</v>
      </c>
      <c r="U1381" s="179">
        <f t="shared" si="488"/>
        <v>-1</v>
      </c>
      <c r="V1381" s="179" t="str">
        <f t="shared" si="489"/>
        <v/>
      </c>
      <c r="W1381" s="179" t="str">
        <f t="shared" si="490"/>
        <v/>
      </c>
      <c r="X1381" s="26"/>
    </row>
    <row r="1382">
      <c r="A1382" s="28"/>
      <c r="B1382" s="28"/>
      <c r="C1382" s="107"/>
      <c r="D1382" s="238" t="s">
        <v>642</v>
      </c>
      <c r="E1382" s="105">
        <f>420000*2</f>
        <v>840000</v>
      </c>
      <c r="F1382" s="105">
        <f>570000*2</f>
        <v>1140000</v>
      </c>
      <c r="G1382" s="34">
        <f t="shared" si="491"/>
        <v>0.3571428571</v>
      </c>
      <c r="H1382" s="99"/>
      <c r="I1382" s="99"/>
      <c r="J1382" s="99"/>
      <c r="K1382" s="99"/>
      <c r="L1382" s="99"/>
      <c r="M1382" s="99"/>
      <c r="N1382" s="99"/>
      <c r="O1382" s="99"/>
      <c r="P1382" s="99"/>
      <c r="Q1382" s="108"/>
      <c r="R1382" s="108"/>
      <c r="S1382" s="100"/>
      <c r="T1382" s="24">
        <f t="shared" si="487"/>
        <v>-0.3571428571</v>
      </c>
      <c r="U1382" s="179">
        <f t="shared" si="488"/>
        <v>-1</v>
      </c>
      <c r="V1382" s="179" t="str">
        <f t="shared" si="489"/>
        <v/>
      </c>
      <c r="W1382" s="179" t="str">
        <f t="shared" si="490"/>
        <v/>
      </c>
      <c r="X1382" s="26"/>
    </row>
    <row r="1383">
      <c r="A1383" s="28"/>
      <c r="B1383" s="28"/>
      <c r="C1383" s="107"/>
      <c r="D1383" s="238" t="s">
        <v>643</v>
      </c>
      <c r="E1383" s="105">
        <f>633000*2</f>
        <v>1266000</v>
      </c>
      <c r="F1383" s="105">
        <f>870000*2</f>
        <v>1740000</v>
      </c>
      <c r="G1383" s="34">
        <f t="shared" si="491"/>
        <v>0.3744075829</v>
      </c>
      <c r="H1383" s="99"/>
      <c r="I1383" s="99"/>
      <c r="J1383" s="99"/>
      <c r="K1383" s="99"/>
      <c r="L1383" s="99"/>
      <c r="M1383" s="99"/>
      <c r="N1383" s="99"/>
      <c r="O1383" s="99"/>
      <c r="P1383" s="99"/>
      <c r="Q1383" s="108"/>
      <c r="R1383" s="108"/>
      <c r="S1383" s="100"/>
      <c r="T1383" s="24">
        <f t="shared" si="487"/>
        <v>-0.3744075829</v>
      </c>
      <c r="U1383" s="179">
        <f t="shared" si="488"/>
        <v>-1</v>
      </c>
      <c r="V1383" s="179" t="str">
        <f t="shared" si="489"/>
        <v/>
      </c>
      <c r="W1383" s="179" t="str">
        <f t="shared" si="490"/>
        <v/>
      </c>
      <c r="X1383" s="26"/>
    </row>
    <row r="1384">
      <c r="A1384" s="28"/>
      <c r="B1384" s="28"/>
      <c r="C1384" s="107"/>
      <c r="D1384" s="83" t="s">
        <v>101</v>
      </c>
      <c r="E1384" s="105">
        <f t="shared" ref="E1384:F1384" si="492">SUM(E1379:E1383)</f>
        <v>3568000</v>
      </c>
      <c r="F1384" s="105">
        <f t="shared" si="492"/>
        <v>5130000</v>
      </c>
      <c r="G1384" s="34">
        <f t="shared" si="491"/>
        <v>0.4377802691</v>
      </c>
      <c r="H1384" s="99"/>
      <c r="I1384" s="99"/>
      <c r="J1384" s="99"/>
      <c r="K1384" s="99"/>
      <c r="L1384" s="99"/>
      <c r="M1384" s="99"/>
      <c r="N1384" s="99"/>
      <c r="O1384" s="99"/>
      <c r="P1384" s="99"/>
      <c r="Q1384" s="108"/>
      <c r="R1384" s="108"/>
      <c r="S1384" s="100"/>
      <c r="T1384" s="24">
        <f t="shared" si="487"/>
        <v>-0.4377802691</v>
      </c>
      <c r="U1384" s="179">
        <f t="shared" si="488"/>
        <v>-1</v>
      </c>
      <c r="V1384" s="179" t="str">
        <f t="shared" si="489"/>
        <v/>
      </c>
      <c r="W1384" s="179" t="str">
        <f t="shared" si="490"/>
        <v/>
      </c>
      <c r="X1384" s="26"/>
    </row>
    <row r="1385">
      <c r="A1385" s="28"/>
      <c r="B1385" s="28"/>
      <c r="C1385" s="107"/>
      <c r="D1385" s="83" t="s">
        <v>148</v>
      </c>
      <c r="E1385" s="105">
        <f>F1384-E1384</f>
        <v>1562000</v>
      </c>
      <c r="F1385" s="105"/>
      <c r="G1385" s="34"/>
      <c r="H1385" s="99"/>
      <c r="I1385" s="99"/>
      <c r="J1385" s="99"/>
      <c r="K1385" s="99"/>
      <c r="L1385" s="99"/>
      <c r="M1385" s="99"/>
      <c r="N1385" s="99"/>
      <c r="O1385" s="99"/>
      <c r="P1385" s="99"/>
      <c r="Q1385" s="108"/>
      <c r="R1385" s="108"/>
      <c r="S1385" s="100"/>
      <c r="T1385" s="24">
        <f t="shared" si="487"/>
        <v>0</v>
      </c>
      <c r="U1385" s="179" t="str">
        <f t="shared" si="488"/>
        <v/>
      </c>
      <c r="V1385" s="179" t="str">
        <f t="shared" si="489"/>
        <v/>
      </c>
      <c r="W1385" s="179" t="str">
        <f t="shared" si="490"/>
        <v/>
      </c>
      <c r="X1385" s="26"/>
    </row>
    <row r="1386">
      <c r="A1386" s="28"/>
      <c r="B1386" s="28"/>
      <c r="C1386" s="107"/>
      <c r="D1386" s="97"/>
      <c r="E1386" s="105"/>
      <c r="F1386" s="105"/>
      <c r="G1386" s="34"/>
      <c r="H1386" s="99"/>
      <c r="I1386" s="99"/>
      <c r="J1386" s="99"/>
      <c r="K1386" s="99"/>
      <c r="L1386" s="99"/>
      <c r="M1386" s="99"/>
      <c r="N1386" s="99"/>
      <c r="O1386" s="99"/>
      <c r="P1386" s="99"/>
      <c r="Q1386" s="108"/>
      <c r="R1386" s="108"/>
      <c r="S1386" s="100"/>
      <c r="T1386" s="24">
        <f t="shared" si="487"/>
        <v>0</v>
      </c>
      <c r="U1386" s="179" t="str">
        <f t="shared" si="488"/>
        <v/>
      </c>
      <c r="V1386" s="179" t="str">
        <f t="shared" si="489"/>
        <v/>
      </c>
      <c r="W1386" s="179" t="str">
        <f t="shared" si="490"/>
        <v/>
      </c>
      <c r="X1386" s="26"/>
    </row>
    <row r="1387">
      <c r="A1387" s="28"/>
      <c r="B1387" s="28"/>
      <c r="C1387" s="107"/>
      <c r="D1387" s="97"/>
      <c r="E1387" s="105"/>
      <c r="F1387" s="105"/>
      <c r="G1387" s="34"/>
      <c r="H1387" s="99"/>
      <c r="I1387" s="99"/>
      <c r="J1387" s="99"/>
      <c r="K1387" s="99"/>
      <c r="L1387" s="99"/>
      <c r="M1387" s="99"/>
      <c r="N1387" s="99"/>
      <c r="O1387" s="99"/>
      <c r="P1387" s="99"/>
      <c r="Q1387" s="108"/>
      <c r="R1387" s="108"/>
      <c r="S1387" s="100"/>
      <c r="T1387" s="24">
        <f t="shared" si="487"/>
        <v>0</v>
      </c>
      <c r="U1387" s="179" t="str">
        <f t="shared" si="488"/>
        <v/>
      </c>
      <c r="V1387" s="179" t="str">
        <f t="shared" si="489"/>
        <v/>
      </c>
      <c r="W1387" s="179" t="str">
        <f t="shared" si="490"/>
        <v/>
      </c>
      <c r="X1387" s="26"/>
    </row>
    <row r="1388">
      <c r="A1388" s="28"/>
      <c r="B1388" s="28"/>
      <c r="C1388" s="107"/>
      <c r="D1388" s="97"/>
      <c r="E1388" s="105"/>
      <c r="F1388" s="105"/>
      <c r="G1388" s="34"/>
      <c r="H1388" s="99"/>
      <c r="I1388" s="99"/>
      <c r="J1388" s="99"/>
      <c r="K1388" s="99"/>
      <c r="L1388" s="99"/>
      <c r="M1388" s="99"/>
      <c r="N1388" s="99"/>
      <c r="O1388" s="99"/>
      <c r="P1388" s="99"/>
      <c r="Q1388" s="108"/>
      <c r="R1388" s="108"/>
      <c r="S1388" s="100"/>
      <c r="T1388" s="24">
        <f t="shared" si="487"/>
        <v>0</v>
      </c>
      <c r="U1388" s="179" t="str">
        <f t="shared" si="488"/>
        <v/>
      </c>
      <c r="V1388" s="179" t="str">
        <f t="shared" si="489"/>
        <v/>
      </c>
      <c r="W1388" s="179" t="str">
        <f t="shared" si="490"/>
        <v/>
      </c>
      <c r="X1388" s="26"/>
    </row>
    <row r="1389">
      <c r="A1389" s="28"/>
      <c r="B1389" s="28"/>
      <c r="C1389" s="82" t="s">
        <v>644</v>
      </c>
      <c r="D1389" s="83" t="s">
        <v>645</v>
      </c>
      <c r="E1389" s="201">
        <f>900000+270000</f>
        <v>1170000</v>
      </c>
      <c r="F1389" s="105">
        <f>310000*24</f>
        <v>7440000</v>
      </c>
      <c r="G1389" s="34">
        <f>(F1389-E1389)/E1389</f>
        <v>5.358974359</v>
      </c>
      <c r="H1389" s="99"/>
      <c r="I1389" s="99"/>
      <c r="J1389" s="99"/>
      <c r="K1389" s="99"/>
      <c r="L1389" s="99"/>
      <c r="M1389" s="99"/>
      <c r="N1389" s="99"/>
      <c r="O1389" s="99"/>
      <c r="P1389" s="99"/>
      <c r="Q1389" s="108"/>
      <c r="R1389" s="108"/>
      <c r="S1389" s="100"/>
      <c r="T1389" s="24">
        <f t="shared" si="487"/>
        <v>-5.358974359</v>
      </c>
      <c r="U1389" s="179">
        <f t="shared" si="488"/>
        <v>-1</v>
      </c>
      <c r="V1389" s="179" t="str">
        <f t="shared" si="489"/>
        <v/>
      </c>
      <c r="W1389" s="179" t="str">
        <f t="shared" si="490"/>
        <v/>
      </c>
      <c r="X1389" s="26"/>
    </row>
    <row r="1390">
      <c r="A1390" s="28"/>
      <c r="B1390" s="28"/>
      <c r="C1390" s="107"/>
      <c r="D1390" s="83" t="s">
        <v>646</v>
      </c>
      <c r="E1390" s="201">
        <f>420000*2+300000</f>
        <v>1140000</v>
      </c>
      <c r="F1390" s="105"/>
      <c r="G1390" s="34"/>
      <c r="H1390" s="99"/>
      <c r="I1390" s="99"/>
      <c r="J1390" s="99"/>
      <c r="K1390" s="99"/>
      <c r="L1390" s="99"/>
      <c r="M1390" s="99"/>
      <c r="N1390" s="99"/>
      <c r="O1390" s="99"/>
      <c r="P1390" s="99"/>
      <c r="Q1390" s="108"/>
      <c r="R1390" s="108"/>
      <c r="S1390" s="100"/>
      <c r="T1390" s="24">
        <f t="shared" si="487"/>
        <v>0</v>
      </c>
      <c r="U1390" s="179" t="str">
        <f t="shared" si="488"/>
        <v/>
      </c>
      <c r="V1390" s="179" t="str">
        <f t="shared" si="489"/>
        <v/>
      </c>
      <c r="W1390" s="179" t="str">
        <f t="shared" si="490"/>
        <v/>
      </c>
      <c r="X1390" s="26"/>
    </row>
    <row r="1391">
      <c r="A1391" s="28"/>
      <c r="B1391" s="28"/>
      <c r="C1391" s="107"/>
      <c r="D1391" s="97"/>
      <c r="E1391" s="105">
        <f>E1389+E1390</f>
        <v>2310000</v>
      </c>
      <c r="F1391" s="201">
        <f>F1389</f>
        <v>7440000</v>
      </c>
      <c r="G1391" s="34">
        <f>(F1391-E1391)/E1391</f>
        <v>2.220779221</v>
      </c>
      <c r="H1391" s="99"/>
      <c r="I1391" s="99"/>
      <c r="J1391" s="99"/>
      <c r="K1391" s="99"/>
      <c r="L1391" s="99"/>
      <c r="M1391" s="99"/>
      <c r="N1391" s="99"/>
      <c r="O1391" s="99"/>
      <c r="P1391" s="99"/>
      <c r="Q1391" s="108"/>
      <c r="R1391" s="108"/>
      <c r="S1391" s="100"/>
      <c r="T1391" s="24">
        <f t="shared" si="487"/>
        <v>-2.220779221</v>
      </c>
      <c r="U1391" s="179">
        <f t="shared" si="488"/>
        <v>-1</v>
      </c>
      <c r="V1391" s="179" t="str">
        <f t="shared" si="489"/>
        <v/>
      </c>
      <c r="W1391" s="179" t="str">
        <f t="shared" si="490"/>
        <v/>
      </c>
      <c r="X1391" s="26"/>
    </row>
    <row r="1392">
      <c r="A1392" s="28"/>
      <c r="B1392" s="28"/>
      <c r="C1392" s="107"/>
      <c r="D1392" s="97"/>
      <c r="E1392" s="105">
        <f>F1389-E1391</f>
        <v>5130000</v>
      </c>
      <c r="F1392" s="105"/>
      <c r="G1392" s="34"/>
      <c r="H1392" s="99"/>
      <c r="I1392" s="99"/>
      <c r="J1392" s="99"/>
      <c r="K1392" s="99"/>
      <c r="L1392" s="99"/>
      <c r="M1392" s="99"/>
      <c r="N1392" s="99"/>
      <c r="O1392" s="99"/>
      <c r="P1392" s="99"/>
      <c r="Q1392" s="108"/>
      <c r="R1392" s="108"/>
      <c r="S1392" s="100"/>
      <c r="T1392" s="24">
        <f t="shared" si="487"/>
        <v>0</v>
      </c>
      <c r="U1392" s="179" t="str">
        <f t="shared" si="488"/>
        <v/>
      </c>
      <c r="V1392" s="179" t="str">
        <f t="shared" si="489"/>
        <v/>
      </c>
      <c r="W1392" s="179" t="str">
        <f t="shared" si="490"/>
        <v/>
      </c>
      <c r="X1392" s="26"/>
    </row>
    <row r="1393">
      <c r="A1393" s="28"/>
      <c r="B1393" s="28"/>
      <c r="C1393" s="82"/>
      <c r="D1393" s="83"/>
      <c r="E1393" s="105"/>
      <c r="F1393" s="105"/>
      <c r="G1393" s="34"/>
      <c r="H1393" s="99"/>
      <c r="I1393" s="99"/>
      <c r="J1393" s="99"/>
      <c r="K1393" s="99"/>
      <c r="L1393" s="99"/>
      <c r="M1393" s="99"/>
      <c r="N1393" s="99"/>
      <c r="O1393" s="99"/>
      <c r="P1393" s="99"/>
      <c r="Q1393" s="108"/>
      <c r="R1393" s="108"/>
      <c r="S1393" s="100"/>
      <c r="T1393" s="24"/>
      <c r="U1393" s="179"/>
      <c r="V1393" s="179"/>
      <c r="W1393" s="179"/>
      <c r="X1393" s="26"/>
    </row>
    <row r="1394">
      <c r="A1394" s="28"/>
      <c r="B1394" s="28"/>
      <c r="C1394" s="82" t="s">
        <v>647</v>
      </c>
      <c r="D1394" s="83" t="s">
        <v>648</v>
      </c>
      <c r="E1394" s="201">
        <v>526400.0</v>
      </c>
      <c r="F1394" s="105">
        <f>480000*2</f>
        <v>960000</v>
      </c>
      <c r="G1394" s="34">
        <f t="shared" ref="G1394:G1398" si="493">(F1394-E1394)/E1394</f>
        <v>0.8237082067</v>
      </c>
      <c r="H1394" s="99"/>
      <c r="I1394" s="99"/>
      <c r="J1394" s="99"/>
      <c r="K1394" s="99"/>
      <c r="L1394" s="99"/>
      <c r="M1394" s="99"/>
      <c r="N1394" s="99"/>
      <c r="O1394" s="99"/>
      <c r="P1394" s="99"/>
      <c r="Q1394" s="108"/>
      <c r="R1394" s="108"/>
      <c r="S1394" s="100"/>
      <c r="T1394" s="24">
        <f t="shared" ref="T1394:T1411" si="494">P1394-(G1394+S1394)-(P1394*R1394)-(P1394*Q1394)</f>
        <v>-0.8237082067</v>
      </c>
      <c r="U1394" s="179">
        <f t="shared" ref="U1394:U1411" si="495">IFERROR((P1394-G1394)/G1394,"")</f>
        <v>-1</v>
      </c>
      <c r="V1394" s="179" t="str">
        <f t="shared" ref="V1394:V1411" si="496">IFERROR((P1394-G1394)/P1394,"")</f>
        <v/>
      </c>
      <c r="W1394" s="179" t="str">
        <f t="shared" ref="W1394:W1411" si="497">IFERROR(T1394/P1394,"")</f>
        <v/>
      </c>
      <c r="X1394" s="26"/>
    </row>
    <row r="1395">
      <c r="A1395" s="28"/>
      <c r="B1395" s="28"/>
      <c r="C1395" s="107"/>
      <c r="D1395" s="83" t="s">
        <v>649</v>
      </c>
      <c r="E1395" s="201">
        <v>447200.0</v>
      </c>
      <c r="F1395" s="105">
        <f>400000*2</f>
        <v>800000</v>
      </c>
      <c r="G1395" s="34">
        <f t="shared" si="493"/>
        <v>0.7889087657</v>
      </c>
      <c r="H1395" s="99"/>
      <c r="I1395" s="99"/>
      <c r="J1395" s="99"/>
      <c r="K1395" s="99"/>
      <c r="L1395" s="99"/>
      <c r="M1395" s="99"/>
      <c r="N1395" s="99"/>
      <c r="O1395" s="99"/>
      <c r="P1395" s="99"/>
      <c r="Q1395" s="108"/>
      <c r="R1395" s="108"/>
      <c r="S1395" s="100"/>
      <c r="T1395" s="24">
        <f t="shared" si="494"/>
        <v>-0.7889087657</v>
      </c>
      <c r="U1395" s="179">
        <f t="shared" si="495"/>
        <v>-1</v>
      </c>
      <c r="V1395" s="179" t="str">
        <f t="shared" si="496"/>
        <v/>
      </c>
      <c r="W1395" s="179" t="str">
        <f t="shared" si="497"/>
        <v/>
      </c>
      <c r="X1395" s="26"/>
    </row>
    <row r="1396">
      <c r="A1396" s="28"/>
      <c r="B1396" s="28"/>
      <c r="C1396" s="107"/>
      <c r="D1396" s="83" t="s">
        <v>650</v>
      </c>
      <c r="E1396" s="105">
        <f>420000*2</f>
        <v>840000</v>
      </c>
      <c r="F1396" s="105">
        <f>550000*2</f>
        <v>1100000</v>
      </c>
      <c r="G1396" s="34">
        <f t="shared" si="493"/>
        <v>0.3095238095</v>
      </c>
      <c r="H1396" s="99"/>
      <c r="I1396" s="99"/>
      <c r="J1396" s="99"/>
      <c r="K1396" s="99"/>
      <c r="L1396" s="99"/>
      <c r="M1396" s="99"/>
      <c r="N1396" s="99"/>
      <c r="O1396" s="99"/>
      <c r="P1396" s="99"/>
      <c r="Q1396" s="108"/>
      <c r="R1396" s="108"/>
      <c r="S1396" s="100"/>
      <c r="T1396" s="24">
        <f t="shared" si="494"/>
        <v>-0.3095238095</v>
      </c>
      <c r="U1396" s="179">
        <f t="shared" si="495"/>
        <v>-1</v>
      </c>
      <c r="V1396" s="179" t="str">
        <f t="shared" si="496"/>
        <v/>
      </c>
      <c r="W1396" s="179" t="str">
        <f t="shared" si="497"/>
        <v/>
      </c>
      <c r="X1396" s="26"/>
    </row>
    <row r="1397">
      <c r="A1397" s="28"/>
      <c r="B1397" s="28"/>
      <c r="C1397" s="107"/>
      <c r="D1397" s="83" t="s">
        <v>651</v>
      </c>
      <c r="E1397" s="105">
        <f>(330000*2)</f>
        <v>660000</v>
      </c>
      <c r="F1397" s="105">
        <f>510000*2</f>
        <v>1020000</v>
      </c>
      <c r="G1397" s="34">
        <f t="shared" si="493"/>
        <v>0.5454545455</v>
      </c>
      <c r="H1397" s="99"/>
      <c r="I1397" s="99"/>
      <c r="J1397" s="99"/>
      <c r="K1397" s="99"/>
      <c r="L1397" s="99"/>
      <c r="M1397" s="99"/>
      <c r="N1397" s="99"/>
      <c r="O1397" s="99"/>
      <c r="P1397" s="99"/>
      <c r="Q1397" s="108"/>
      <c r="R1397" s="108"/>
      <c r="S1397" s="100"/>
      <c r="T1397" s="24">
        <f t="shared" si="494"/>
        <v>-0.5454545455</v>
      </c>
      <c r="U1397" s="179">
        <f t="shared" si="495"/>
        <v>-1</v>
      </c>
      <c r="V1397" s="179" t="str">
        <f t="shared" si="496"/>
        <v/>
      </c>
      <c r="W1397" s="179" t="str">
        <f t="shared" si="497"/>
        <v/>
      </c>
      <c r="X1397" s="26"/>
    </row>
    <row r="1398">
      <c r="A1398" s="28"/>
      <c r="B1398" s="28"/>
      <c r="C1398" s="107"/>
      <c r="D1398" s="83" t="s">
        <v>101</v>
      </c>
      <c r="E1398" s="105">
        <f>E1394+E1395+E1396+E1397</f>
        <v>2473600</v>
      </c>
      <c r="F1398" s="105">
        <f>SUM(F1394:F1397)</f>
        <v>3880000</v>
      </c>
      <c r="G1398" s="34">
        <f t="shared" si="493"/>
        <v>0.5685640362</v>
      </c>
      <c r="H1398" s="99"/>
      <c r="I1398" s="99"/>
      <c r="J1398" s="99"/>
      <c r="K1398" s="99"/>
      <c r="L1398" s="99"/>
      <c r="M1398" s="99"/>
      <c r="N1398" s="99"/>
      <c r="O1398" s="99"/>
      <c r="P1398" s="99"/>
      <c r="Q1398" s="108"/>
      <c r="R1398" s="108"/>
      <c r="S1398" s="100"/>
      <c r="T1398" s="24">
        <f t="shared" si="494"/>
        <v>-0.5685640362</v>
      </c>
      <c r="U1398" s="179">
        <f t="shared" si="495"/>
        <v>-1</v>
      </c>
      <c r="V1398" s="179" t="str">
        <f t="shared" si="496"/>
        <v/>
      </c>
      <c r="W1398" s="179" t="str">
        <f t="shared" si="497"/>
        <v/>
      </c>
      <c r="X1398" s="26"/>
    </row>
    <row r="1399">
      <c r="A1399" s="28"/>
      <c r="B1399" s="28"/>
      <c r="C1399" s="107"/>
      <c r="D1399" s="83" t="s">
        <v>148</v>
      </c>
      <c r="E1399" s="105">
        <f>F1398-E1398</f>
        <v>1406400</v>
      </c>
      <c r="F1399" s="105"/>
      <c r="G1399" s="34"/>
      <c r="H1399" s="99"/>
      <c r="I1399" s="99"/>
      <c r="J1399" s="99"/>
      <c r="K1399" s="99"/>
      <c r="L1399" s="99"/>
      <c r="M1399" s="99"/>
      <c r="N1399" s="99"/>
      <c r="O1399" s="99"/>
      <c r="P1399" s="99"/>
      <c r="Q1399" s="108"/>
      <c r="R1399" s="108"/>
      <c r="S1399" s="100"/>
      <c r="T1399" s="24">
        <f t="shared" si="494"/>
        <v>0</v>
      </c>
      <c r="U1399" s="179" t="str">
        <f t="shared" si="495"/>
        <v/>
      </c>
      <c r="V1399" s="179" t="str">
        <f t="shared" si="496"/>
        <v/>
      </c>
      <c r="W1399" s="179" t="str">
        <f t="shared" si="497"/>
        <v/>
      </c>
      <c r="X1399" s="26"/>
    </row>
    <row r="1400">
      <c r="A1400" s="28"/>
      <c r="B1400" s="28"/>
      <c r="C1400" s="107"/>
      <c r="D1400" s="97"/>
      <c r="E1400" s="105"/>
      <c r="F1400" s="105"/>
      <c r="G1400" s="34"/>
      <c r="H1400" s="99"/>
      <c r="I1400" s="99"/>
      <c r="J1400" s="99"/>
      <c r="K1400" s="99"/>
      <c r="L1400" s="99"/>
      <c r="M1400" s="99"/>
      <c r="N1400" s="99"/>
      <c r="O1400" s="99"/>
      <c r="P1400" s="99"/>
      <c r="Q1400" s="108"/>
      <c r="R1400" s="108"/>
      <c r="S1400" s="100"/>
      <c r="T1400" s="24">
        <f t="shared" si="494"/>
        <v>0</v>
      </c>
      <c r="U1400" s="179" t="str">
        <f t="shared" si="495"/>
        <v/>
      </c>
      <c r="V1400" s="179" t="str">
        <f t="shared" si="496"/>
        <v/>
      </c>
      <c r="W1400" s="179" t="str">
        <f t="shared" si="497"/>
        <v/>
      </c>
      <c r="X1400" s="26"/>
    </row>
    <row r="1401">
      <c r="A1401" s="28"/>
      <c r="B1401" s="28"/>
      <c r="C1401" s="107"/>
      <c r="D1401" s="97"/>
      <c r="E1401" s="105"/>
      <c r="F1401" s="105"/>
      <c r="G1401" s="34"/>
      <c r="H1401" s="99"/>
      <c r="I1401" s="99"/>
      <c r="J1401" s="99"/>
      <c r="K1401" s="99"/>
      <c r="L1401" s="99"/>
      <c r="M1401" s="99"/>
      <c r="N1401" s="99"/>
      <c r="O1401" s="99"/>
      <c r="P1401" s="99"/>
      <c r="Q1401" s="108"/>
      <c r="R1401" s="108"/>
      <c r="S1401" s="100"/>
      <c r="T1401" s="24">
        <f t="shared" si="494"/>
        <v>0</v>
      </c>
      <c r="U1401" s="179" t="str">
        <f t="shared" si="495"/>
        <v/>
      </c>
      <c r="V1401" s="179" t="str">
        <f t="shared" si="496"/>
        <v/>
      </c>
      <c r="W1401" s="179" t="str">
        <f t="shared" si="497"/>
        <v/>
      </c>
      <c r="X1401" s="26"/>
    </row>
    <row r="1402">
      <c r="A1402" s="28"/>
      <c r="B1402" s="28"/>
      <c r="C1402" s="1" t="s">
        <v>639</v>
      </c>
      <c r="D1402" s="238" t="s">
        <v>652</v>
      </c>
      <c r="E1402" s="105">
        <f>290000*2</f>
        <v>580000</v>
      </c>
      <c r="F1402" s="105">
        <f>450000*2</f>
        <v>900000</v>
      </c>
      <c r="G1402" s="34">
        <f t="shared" ref="G1402:G1406" si="498">(F1402-E1402)/E1402</f>
        <v>0.5517241379</v>
      </c>
      <c r="H1402" s="99"/>
      <c r="I1402" s="99"/>
      <c r="J1402" s="99"/>
      <c r="K1402" s="99"/>
      <c r="L1402" s="99"/>
      <c r="M1402" s="99"/>
      <c r="N1402" s="99"/>
      <c r="O1402" s="99"/>
      <c r="P1402" s="99"/>
      <c r="Q1402" s="108"/>
      <c r="R1402" s="108"/>
      <c r="S1402" s="100"/>
      <c r="T1402" s="24">
        <f t="shared" si="494"/>
        <v>-0.5517241379</v>
      </c>
      <c r="U1402" s="179">
        <f t="shared" si="495"/>
        <v>-1</v>
      </c>
      <c r="V1402" s="179" t="str">
        <f t="shared" si="496"/>
        <v/>
      </c>
      <c r="W1402" s="179" t="str">
        <f t="shared" si="497"/>
        <v/>
      </c>
      <c r="X1402" s="26"/>
    </row>
    <row r="1403">
      <c r="A1403" s="28"/>
      <c r="B1403" s="28"/>
      <c r="C1403" s="107"/>
      <c r="D1403" s="238" t="s">
        <v>641</v>
      </c>
      <c r="E1403" s="105">
        <f>446000</f>
        <v>446000</v>
      </c>
      <c r="F1403" s="105">
        <f>325000*2</f>
        <v>650000</v>
      </c>
      <c r="G1403" s="34">
        <f t="shared" si="498"/>
        <v>0.4573991031</v>
      </c>
      <c r="H1403" s="99"/>
      <c r="I1403" s="99"/>
      <c r="J1403" s="99"/>
      <c r="K1403" s="99"/>
      <c r="L1403" s="99"/>
      <c r="M1403" s="99"/>
      <c r="N1403" s="99"/>
      <c r="O1403" s="99"/>
      <c r="P1403" s="99"/>
      <c r="Q1403" s="108"/>
      <c r="R1403" s="108"/>
      <c r="S1403" s="100"/>
      <c r="T1403" s="24">
        <f t="shared" si="494"/>
        <v>-0.4573991031</v>
      </c>
      <c r="U1403" s="179">
        <f t="shared" si="495"/>
        <v>-1</v>
      </c>
      <c r="V1403" s="179" t="str">
        <f t="shared" si="496"/>
        <v/>
      </c>
      <c r="W1403" s="179" t="str">
        <f t="shared" si="497"/>
        <v/>
      </c>
      <c r="X1403" s="26"/>
    </row>
    <row r="1404">
      <c r="A1404" s="28"/>
      <c r="B1404" s="28"/>
      <c r="C1404" s="107"/>
      <c r="D1404" s="238" t="s">
        <v>642</v>
      </c>
      <c r="E1404" s="105">
        <f>420000*2</f>
        <v>840000</v>
      </c>
      <c r="F1404" s="105">
        <f>570000*2</f>
        <v>1140000</v>
      </c>
      <c r="G1404" s="34">
        <f t="shared" si="498"/>
        <v>0.3571428571</v>
      </c>
      <c r="H1404" s="99"/>
      <c r="I1404" s="99"/>
      <c r="J1404" s="99"/>
      <c r="K1404" s="99"/>
      <c r="L1404" s="99"/>
      <c r="M1404" s="99"/>
      <c r="N1404" s="99"/>
      <c r="O1404" s="99"/>
      <c r="P1404" s="99"/>
      <c r="Q1404" s="108"/>
      <c r="R1404" s="108"/>
      <c r="S1404" s="100"/>
      <c r="T1404" s="24">
        <f t="shared" si="494"/>
        <v>-0.3571428571</v>
      </c>
      <c r="U1404" s="179">
        <f t="shared" si="495"/>
        <v>-1</v>
      </c>
      <c r="V1404" s="179" t="str">
        <f t="shared" si="496"/>
        <v/>
      </c>
      <c r="W1404" s="179" t="str">
        <f t="shared" si="497"/>
        <v/>
      </c>
      <c r="X1404" s="26"/>
    </row>
    <row r="1405">
      <c r="A1405" s="28"/>
      <c r="B1405" s="28"/>
      <c r="C1405" s="107"/>
      <c r="D1405" s="238" t="s">
        <v>222</v>
      </c>
      <c r="E1405" s="105">
        <f>370000*2</f>
        <v>740000</v>
      </c>
      <c r="F1405" s="105">
        <f>(490000*2)</f>
        <v>980000</v>
      </c>
      <c r="G1405" s="34">
        <f t="shared" si="498"/>
        <v>0.3243243243</v>
      </c>
      <c r="H1405" s="99"/>
      <c r="I1405" s="99"/>
      <c r="J1405" s="99"/>
      <c r="K1405" s="99"/>
      <c r="L1405" s="99"/>
      <c r="M1405" s="99"/>
      <c r="N1405" s="99"/>
      <c r="O1405" s="99"/>
      <c r="P1405" s="99"/>
      <c r="Q1405" s="108"/>
      <c r="R1405" s="108"/>
      <c r="S1405" s="100"/>
      <c r="T1405" s="24">
        <f t="shared" si="494"/>
        <v>-0.3243243243</v>
      </c>
      <c r="U1405" s="179">
        <f t="shared" si="495"/>
        <v>-1</v>
      </c>
      <c r="V1405" s="179" t="str">
        <f t="shared" si="496"/>
        <v/>
      </c>
      <c r="W1405" s="179" t="str">
        <f t="shared" si="497"/>
        <v/>
      </c>
      <c r="X1405" s="26"/>
    </row>
    <row r="1406">
      <c r="A1406" s="28"/>
      <c r="B1406" s="28"/>
      <c r="C1406" s="107"/>
      <c r="D1406" s="83" t="s">
        <v>101</v>
      </c>
      <c r="E1406" s="105">
        <f t="shared" ref="E1406:F1406" si="499">E1402+E1403+E1404+E1405</f>
        <v>2606000</v>
      </c>
      <c r="F1406" s="105">
        <f t="shared" si="499"/>
        <v>3670000</v>
      </c>
      <c r="G1406" s="34">
        <f t="shared" si="498"/>
        <v>0.4082885649</v>
      </c>
      <c r="H1406" s="99"/>
      <c r="I1406" s="99"/>
      <c r="J1406" s="99"/>
      <c r="K1406" s="99"/>
      <c r="L1406" s="99"/>
      <c r="M1406" s="99"/>
      <c r="N1406" s="99"/>
      <c r="O1406" s="99"/>
      <c r="P1406" s="99"/>
      <c r="Q1406" s="108"/>
      <c r="R1406" s="108"/>
      <c r="S1406" s="100"/>
      <c r="T1406" s="24">
        <f t="shared" si="494"/>
        <v>-0.4082885649</v>
      </c>
      <c r="U1406" s="179">
        <f t="shared" si="495"/>
        <v>-1</v>
      </c>
      <c r="V1406" s="179" t="str">
        <f t="shared" si="496"/>
        <v/>
      </c>
      <c r="W1406" s="179" t="str">
        <f t="shared" si="497"/>
        <v/>
      </c>
      <c r="X1406" s="26"/>
    </row>
    <row r="1407">
      <c r="A1407" s="28"/>
      <c r="B1407" s="28"/>
      <c r="C1407" s="107"/>
      <c r="D1407" s="83" t="s">
        <v>148</v>
      </c>
      <c r="E1407" s="105">
        <f>F1406-E1406</f>
        <v>1064000</v>
      </c>
      <c r="F1407" s="105"/>
      <c r="G1407" s="34"/>
      <c r="H1407" s="99"/>
      <c r="I1407" s="99"/>
      <c r="J1407" s="99"/>
      <c r="K1407" s="99"/>
      <c r="L1407" s="99"/>
      <c r="M1407" s="99"/>
      <c r="N1407" s="99"/>
      <c r="O1407" s="99"/>
      <c r="P1407" s="99"/>
      <c r="Q1407" s="108"/>
      <c r="R1407" s="108"/>
      <c r="S1407" s="100"/>
      <c r="T1407" s="24">
        <f t="shared" si="494"/>
        <v>0</v>
      </c>
      <c r="U1407" s="179" t="str">
        <f t="shared" si="495"/>
        <v/>
      </c>
      <c r="V1407" s="179" t="str">
        <f t="shared" si="496"/>
        <v/>
      </c>
      <c r="W1407" s="179" t="str">
        <f t="shared" si="497"/>
        <v/>
      </c>
      <c r="X1407" s="26"/>
    </row>
    <row r="1408">
      <c r="A1408" s="28"/>
      <c r="B1408" s="28"/>
      <c r="C1408" s="107"/>
      <c r="D1408" s="97"/>
      <c r="E1408" s="105"/>
      <c r="F1408" s="105"/>
      <c r="G1408" s="34"/>
      <c r="H1408" s="99"/>
      <c r="I1408" s="99"/>
      <c r="J1408" s="99"/>
      <c r="K1408" s="99"/>
      <c r="L1408" s="99"/>
      <c r="M1408" s="99"/>
      <c r="N1408" s="99"/>
      <c r="O1408" s="99"/>
      <c r="P1408" s="99"/>
      <c r="Q1408" s="108"/>
      <c r="R1408" s="108"/>
      <c r="S1408" s="100"/>
      <c r="T1408" s="24">
        <f t="shared" si="494"/>
        <v>0</v>
      </c>
      <c r="U1408" s="179" t="str">
        <f t="shared" si="495"/>
        <v/>
      </c>
      <c r="V1408" s="179" t="str">
        <f t="shared" si="496"/>
        <v/>
      </c>
      <c r="W1408" s="179" t="str">
        <f t="shared" si="497"/>
        <v/>
      </c>
      <c r="X1408" s="26"/>
    </row>
    <row r="1409">
      <c r="A1409" s="28"/>
      <c r="B1409" s="28"/>
      <c r="C1409" s="107"/>
      <c r="D1409" s="97"/>
      <c r="E1409" s="105"/>
      <c r="F1409" s="105"/>
      <c r="G1409" s="34"/>
      <c r="H1409" s="98"/>
      <c r="I1409" s="99"/>
      <c r="J1409" s="99"/>
      <c r="K1409" s="99"/>
      <c r="L1409" s="99"/>
      <c r="M1409" s="99"/>
      <c r="N1409" s="99"/>
      <c r="O1409" s="99"/>
      <c r="P1409" s="99"/>
      <c r="Q1409" s="108"/>
      <c r="R1409" s="108"/>
      <c r="S1409" s="100"/>
      <c r="T1409" s="24">
        <f t="shared" si="494"/>
        <v>0</v>
      </c>
      <c r="U1409" s="179" t="str">
        <f t="shared" si="495"/>
        <v/>
      </c>
      <c r="V1409" s="179" t="str">
        <f t="shared" si="496"/>
        <v/>
      </c>
      <c r="W1409" s="179" t="str">
        <f t="shared" si="497"/>
        <v/>
      </c>
      <c r="X1409" s="26"/>
    </row>
    <row r="1410">
      <c r="A1410" s="28"/>
      <c r="B1410" s="28"/>
      <c r="C1410" s="82" t="s">
        <v>653</v>
      </c>
      <c r="D1410" s="83" t="s">
        <v>156</v>
      </c>
      <c r="E1410" s="105">
        <f>390000*9+330000*3+250000</f>
        <v>4750000</v>
      </c>
      <c r="F1410" s="105">
        <f>610000*9+510000*4+320000</f>
        <v>7850000</v>
      </c>
      <c r="G1410" s="34">
        <f t="shared" ref="G1410:G1412" si="500">(F1410-E1410)/E1410</f>
        <v>0.6526315789</v>
      </c>
      <c r="H1410" s="98">
        <f t="shared" ref="H1410:H1412" si="501">F1410-E1410</f>
        <v>3100000</v>
      </c>
      <c r="I1410" s="258" t="s">
        <v>654</v>
      </c>
      <c r="J1410" s="99"/>
      <c r="K1410" s="99"/>
      <c r="L1410" s="99"/>
      <c r="M1410" s="99"/>
      <c r="N1410" s="99"/>
      <c r="O1410" s="99"/>
      <c r="P1410" s="99"/>
      <c r="Q1410" s="108"/>
      <c r="R1410" s="108"/>
      <c r="S1410" s="100"/>
      <c r="T1410" s="24">
        <f t="shared" si="494"/>
        <v>-0.6526315789</v>
      </c>
      <c r="U1410" s="179">
        <f t="shared" si="495"/>
        <v>-1</v>
      </c>
      <c r="V1410" s="179" t="str">
        <f t="shared" si="496"/>
        <v/>
      </c>
      <c r="W1410" s="179" t="str">
        <f t="shared" si="497"/>
        <v/>
      </c>
      <c r="X1410" s="26"/>
    </row>
    <row r="1411">
      <c r="A1411" s="28"/>
      <c r="B1411" s="28"/>
      <c r="C1411" s="107"/>
      <c r="D1411" s="83" t="s">
        <v>655</v>
      </c>
      <c r="E1411" s="105">
        <f>600000+36000*9+4*15000+140000+360000</f>
        <v>1484000</v>
      </c>
      <c r="F1411" s="105">
        <f>300000*14</f>
        <v>4200000</v>
      </c>
      <c r="G1411" s="34">
        <f t="shared" si="500"/>
        <v>1.830188679</v>
      </c>
      <c r="H1411" s="98">
        <f t="shared" si="501"/>
        <v>2716000</v>
      </c>
      <c r="I1411" s="99"/>
      <c r="J1411" s="99"/>
      <c r="K1411" s="99"/>
      <c r="L1411" s="99"/>
      <c r="M1411" s="99"/>
      <c r="N1411" s="99"/>
      <c r="O1411" s="99"/>
      <c r="P1411" s="99"/>
      <c r="Q1411" s="108"/>
      <c r="R1411" s="108"/>
      <c r="S1411" s="100"/>
      <c r="T1411" s="24">
        <f t="shared" si="494"/>
        <v>-1.830188679</v>
      </c>
      <c r="U1411" s="179">
        <f t="shared" si="495"/>
        <v>-1</v>
      </c>
      <c r="V1411" s="179" t="str">
        <f t="shared" si="496"/>
        <v/>
      </c>
      <c r="W1411" s="179" t="str">
        <f t="shared" si="497"/>
        <v/>
      </c>
      <c r="X1411" s="26"/>
    </row>
    <row r="1412">
      <c r="A1412" s="28"/>
      <c r="B1412" s="28"/>
      <c r="C1412" s="107"/>
      <c r="D1412" s="83"/>
      <c r="E1412" s="105">
        <f t="shared" ref="E1412:F1412" si="502">E1410+E1411</f>
        <v>6234000</v>
      </c>
      <c r="F1412" s="105">
        <f t="shared" si="502"/>
        <v>12050000</v>
      </c>
      <c r="G1412" s="34">
        <f t="shared" si="500"/>
        <v>0.9329483478</v>
      </c>
      <c r="H1412" s="98">
        <f t="shared" si="501"/>
        <v>5816000</v>
      </c>
      <c r="I1412" s="99"/>
      <c r="J1412" s="99"/>
      <c r="K1412" s="99"/>
      <c r="L1412" s="99"/>
      <c r="M1412" s="99"/>
      <c r="N1412" s="99"/>
      <c r="O1412" s="99"/>
      <c r="P1412" s="99"/>
      <c r="Q1412" s="108"/>
      <c r="R1412" s="108"/>
      <c r="S1412" s="100"/>
      <c r="T1412" s="24"/>
      <c r="U1412" s="179"/>
      <c r="V1412" s="179"/>
      <c r="W1412" s="179"/>
      <c r="X1412" s="26"/>
    </row>
    <row r="1413">
      <c r="A1413" s="28"/>
      <c r="B1413" s="28"/>
      <c r="C1413" s="82"/>
      <c r="D1413" s="83" t="s">
        <v>148</v>
      </c>
      <c r="E1413" s="105">
        <f>F1412-E1412</f>
        <v>5816000</v>
      </c>
      <c r="F1413" s="259"/>
      <c r="G1413" s="34"/>
      <c r="H1413" s="99"/>
      <c r="I1413" s="99"/>
      <c r="J1413" s="99"/>
      <c r="K1413" s="99"/>
      <c r="L1413" s="99"/>
      <c r="M1413" s="99"/>
      <c r="N1413" s="99"/>
      <c r="O1413" s="99"/>
      <c r="P1413" s="99"/>
      <c r="Q1413" s="108"/>
      <c r="R1413" s="108"/>
      <c r="S1413" s="100"/>
      <c r="T1413" s="24"/>
      <c r="U1413" s="179"/>
      <c r="V1413" s="179"/>
      <c r="W1413" s="179"/>
      <c r="X1413" s="26"/>
    </row>
    <row r="1414">
      <c r="A1414" s="28"/>
      <c r="B1414" s="28"/>
      <c r="C1414" s="82"/>
      <c r="D1414" s="83"/>
      <c r="E1414" s="105"/>
      <c r="F1414" s="259"/>
      <c r="G1414" s="34"/>
      <c r="H1414" s="99"/>
      <c r="I1414" s="99"/>
      <c r="J1414" s="99"/>
      <c r="K1414" s="99"/>
      <c r="L1414" s="99"/>
      <c r="M1414" s="99"/>
      <c r="N1414" s="99"/>
      <c r="O1414" s="99"/>
      <c r="P1414" s="99"/>
      <c r="Q1414" s="108"/>
      <c r="R1414" s="108"/>
      <c r="S1414" s="100"/>
      <c r="T1414" s="24"/>
      <c r="U1414" s="179"/>
      <c r="V1414" s="179"/>
      <c r="W1414" s="179"/>
      <c r="X1414" s="26"/>
    </row>
    <row r="1415">
      <c r="A1415" s="28"/>
      <c r="B1415" s="28"/>
      <c r="C1415" s="82" t="s">
        <v>656</v>
      </c>
      <c r="D1415" s="83" t="s">
        <v>156</v>
      </c>
      <c r="E1415" s="105">
        <f t="shared" ref="E1415:E1416" si="503">E1410</f>
        <v>4750000</v>
      </c>
      <c r="F1415" s="105">
        <f>610000*9+510000*3+320000</f>
        <v>7340000</v>
      </c>
      <c r="G1415" s="34">
        <f t="shared" ref="G1415:G1416" si="504">(F1415-E1415)/E1415</f>
        <v>0.5452631579</v>
      </c>
      <c r="H1415" s="99">
        <f t="shared" ref="H1415:H1416" si="505">F1415-E1415</f>
        <v>2590000</v>
      </c>
      <c r="I1415" s="99"/>
      <c r="J1415" s="99"/>
      <c r="K1415" s="99"/>
      <c r="L1415" s="99"/>
      <c r="M1415" s="99"/>
      <c r="N1415" s="99"/>
      <c r="O1415" s="99"/>
      <c r="P1415" s="99"/>
      <c r="Q1415" s="108"/>
      <c r="R1415" s="108"/>
      <c r="S1415" s="100"/>
      <c r="T1415" s="24">
        <f t="shared" ref="T1415:T1416" si="506">P1415-(G1415+S1415)-(P1415*R1415)-(P1415*Q1415)</f>
        <v>-0.5452631579</v>
      </c>
      <c r="U1415" s="179">
        <f t="shared" ref="U1415:U1416" si="507">IFERROR((P1415-G1415)/G1415,"")</f>
        <v>-1</v>
      </c>
      <c r="V1415" s="179" t="str">
        <f t="shared" ref="V1415:V1416" si="508">IFERROR((P1415-G1415)/P1415,"")</f>
        <v/>
      </c>
      <c r="W1415" s="179" t="str">
        <f t="shared" ref="W1415:W1416" si="509">IFERROR(T1415/P1415,"")</f>
        <v/>
      </c>
      <c r="X1415" s="26"/>
    </row>
    <row r="1416">
      <c r="A1416" s="28"/>
      <c r="B1416" s="28"/>
      <c r="C1416" s="107"/>
      <c r="D1416" s="83" t="s">
        <v>657</v>
      </c>
      <c r="E1416" s="105">
        <f t="shared" si="503"/>
        <v>1484000</v>
      </c>
      <c r="F1416" s="105">
        <f>250000*14</f>
        <v>3500000</v>
      </c>
      <c r="G1416" s="34">
        <f t="shared" si="504"/>
        <v>1.358490566</v>
      </c>
      <c r="H1416" s="99">
        <f t="shared" si="505"/>
        <v>2016000</v>
      </c>
      <c r="I1416" s="99"/>
      <c r="J1416" s="99"/>
      <c r="K1416" s="99"/>
      <c r="L1416" s="99"/>
      <c r="M1416" s="99"/>
      <c r="N1416" s="99"/>
      <c r="O1416" s="99"/>
      <c r="P1416" s="99"/>
      <c r="Q1416" s="108"/>
      <c r="R1416" s="108"/>
      <c r="S1416" s="100"/>
      <c r="T1416" s="24">
        <f t="shared" si="506"/>
        <v>-1.358490566</v>
      </c>
      <c r="U1416" s="179">
        <f t="shared" si="507"/>
        <v>-1</v>
      </c>
      <c r="V1416" s="179" t="str">
        <f t="shared" si="508"/>
        <v/>
      </c>
      <c r="W1416" s="179" t="str">
        <f t="shared" si="509"/>
        <v/>
      </c>
      <c r="X1416" s="26"/>
    </row>
    <row r="1417">
      <c r="A1417" s="28"/>
      <c r="B1417" s="28"/>
      <c r="C1417" s="28"/>
      <c r="D1417" s="83" t="s">
        <v>101</v>
      </c>
      <c r="E1417" s="105">
        <f t="shared" ref="E1417:F1417" si="510">E1415+E1416</f>
        <v>6234000</v>
      </c>
      <c r="F1417" s="105">
        <f t="shared" si="510"/>
        <v>10840000</v>
      </c>
      <c r="G1417" s="34"/>
      <c r="H1417" s="99">
        <f>H1415+H1416</f>
        <v>4606000</v>
      </c>
      <c r="I1417" s="99"/>
      <c r="J1417" s="99"/>
      <c r="K1417" s="99"/>
      <c r="L1417" s="99"/>
      <c r="M1417" s="99"/>
      <c r="N1417" s="99"/>
      <c r="O1417" s="99"/>
      <c r="P1417" s="99"/>
      <c r="Q1417" s="108"/>
      <c r="R1417" s="108"/>
      <c r="S1417" s="100"/>
      <c r="T1417" s="24"/>
      <c r="U1417" s="179"/>
      <c r="V1417" s="179"/>
      <c r="W1417" s="179"/>
      <c r="X1417" s="26"/>
    </row>
    <row r="1418">
      <c r="A1418" s="28"/>
      <c r="B1418" s="28"/>
      <c r="C1418" s="28"/>
      <c r="D1418" s="83" t="s">
        <v>148</v>
      </c>
      <c r="E1418" s="105">
        <f>F1417-E1417</f>
        <v>4606000</v>
      </c>
      <c r="F1418" s="105"/>
      <c r="G1418" s="34"/>
      <c r="H1418" s="99"/>
      <c r="I1418" s="99"/>
      <c r="J1418" s="99"/>
      <c r="K1418" s="99"/>
      <c r="L1418" s="99"/>
      <c r="M1418" s="99"/>
      <c r="N1418" s="99"/>
      <c r="O1418" s="99"/>
      <c r="P1418" s="99"/>
      <c r="Q1418" s="108"/>
      <c r="R1418" s="108"/>
      <c r="S1418" s="100"/>
      <c r="T1418" s="24"/>
      <c r="U1418" s="179"/>
      <c r="V1418" s="179"/>
      <c r="W1418" s="179"/>
      <c r="X1418" s="26"/>
    </row>
    <row r="1419">
      <c r="A1419" s="28"/>
      <c r="B1419" s="28"/>
      <c r="C1419" s="28"/>
      <c r="D1419" s="97"/>
      <c r="E1419" s="105"/>
      <c r="F1419" s="105"/>
      <c r="G1419" s="34"/>
      <c r="H1419" s="99"/>
      <c r="I1419" s="99"/>
      <c r="J1419" s="99"/>
      <c r="K1419" s="99"/>
      <c r="L1419" s="99"/>
      <c r="M1419" s="99"/>
      <c r="N1419" s="99"/>
      <c r="O1419" s="99"/>
      <c r="P1419" s="99"/>
      <c r="Q1419" s="108"/>
      <c r="R1419" s="108"/>
      <c r="S1419" s="100"/>
      <c r="T1419" s="24"/>
      <c r="U1419" s="179"/>
      <c r="V1419" s="179"/>
      <c r="W1419" s="179"/>
      <c r="X1419" s="26"/>
    </row>
    <row r="1420">
      <c r="A1420" s="28"/>
      <c r="B1420" s="28"/>
      <c r="C1420" s="1" t="s">
        <v>658</v>
      </c>
      <c r="D1420" s="83" t="s">
        <v>510</v>
      </c>
      <c r="E1420" s="105">
        <f>400000+36000*4+40000</f>
        <v>584000</v>
      </c>
      <c r="F1420" s="105">
        <f>330000*4</f>
        <v>1320000</v>
      </c>
      <c r="G1420" s="34">
        <f t="shared" ref="G1420:G1422" si="511">(F1420-E1420)/E1420</f>
        <v>1.260273973</v>
      </c>
      <c r="H1420" s="99"/>
      <c r="I1420" s="99"/>
      <c r="J1420" s="99"/>
      <c r="K1420" s="99"/>
      <c r="L1420" s="99"/>
      <c r="M1420" s="99"/>
      <c r="N1420" s="99"/>
      <c r="O1420" s="99"/>
      <c r="P1420" s="99"/>
      <c r="Q1420" s="108"/>
      <c r="R1420" s="108"/>
      <c r="S1420" s="100"/>
      <c r="T1420" s="24">
        <f t="shared" ref="T1420:T1502" si="512">P1420-(G1420+S1420)-(P1420*R1420)-(P1420*Q1420)</f>
        <v>-1.260273973</v>
      </c>
      <c r="U1420" s="179">
        <f t="shared" ref="U1420:U1502" si="513">IFERROR((P1420-G1420)/G1420,"")</f>
        <v>-1</v>
      </c>
      <c r="V1420" s="179" t="str">
        <f t="shared" ref="V1420:V1502" si="514">IFERROR((P1420-G1420)/P1420,"")</f>
        <v/>
      </c>
      <c r="W1420" s="179" t="str">
        <f t="shared" ref="W1420:W1502" si="515">IFERROR(T1420/P1420,"")</f>
        <v/>
      </c>
      <c r="X1420" s="26"/>
    </row>
    <row r="1421">
      <c r="A1421" s="28"/>
      <c r="B1421" s="28"/>
      <c r="C1421" s="107"/>
      <c r="D1421" s="83" t="s">
        <v>267</v>
      </c>
      <c r="E1421" s="105">
        <f>300000*4</f>
        <v>1200000</v>
      </c>
      <c r="F1421" s="105">
        <f>450000*4</f>
        <v>1800000</v>
      </c>
      <c r="G1421" s="34">
        <f t="shared" si="511"/>
        <v>0.5</v>
      </c>
      <c r="H1421" s="99"/>
      <c r="I1421" s="99"/>
      <c r="J1421" s="99"/>
      <c r="K1421" s="99"/>
      <c r="L1421" s="99"/>
      <c r="M1421" s="99"/>
      <c r="N1421" s="99"/>
      <c r="O1421" s="99"/>
      <c r="P1421" s="99"/>
      <c r="Q1421" s="108"/>
      <c r="R1421" s="108"/>
      <c r="S1421" s="100"/>
      <c r="T1421" s="24">
        <f t="shared" si="512"/>
        <v>-0.5</v>
      </c>
      <c r="U1421" s="179">
        <f t="shared" si="513"/>
        <v>-1</v>
      </c>
      <c r="V1421" s="179" t="str">
        <f t="shared" si="514"/>
        <v/>
      </c>
      <c r="W1421" s="179" t="str">
        <f t="shared" si="515"/>
        <v/>
      </c>
      <c r="X1421" s="26"/>
    </row>
    <row r="1422">
      <c r="A1422" s="28"/>
      <c r="B1422" s="28"/>
      <c r="C1422" s="107"/>
      <c r="D1422" s="83" t="s">
        <v>101</v>
      </c>
      <c r="E1422" s="105">
        <f t="shared" ref="E1422:F1422" si="516">E1420+E1421</f>
        <v>1784000</v>
      </c>
      <c r="F1422" s="105">
        <f t="shared" si="516"/>
        <v>3120000</v>
      </c>
      <c r="G1422" s="34">
        <f t="shared" si="511"/>
        <v>0.7488789238</v>
      </c>
      <c r="H1422" s="99"/>
      <c r="I1422" s="99"/>
      <c r="J1422" s="99"/>
      <c r="K1422" s="99"/>
      <c r="L1422" s="99"/>
      <c r="M1422" s="99"/>
      <c r="N1422" s="99"/>
      <c r="O1422" s="99"/>
      <c r="P1422" s="99"/>
      <c r="Q1422" s="108"/>
      <c r="R1422" s="108"/>
      <c r="S1422" s="100"/>
      <c r="T1422" s="24">
        <f t="shared" si="512"/>
        <v>-0.7488789238</v>
      </c>
      <c r="U1422" s="179">
        <f t="shared" si="513"/>
        <v>-1</v>
      </c>
      <c r="V1422" s="179" t="str">
        <f t="shared" si="514"/>
        <v/>
      </c>
      <c r="W1422" s="179" t="str">
        <f t="shared" si="515"/>
        <v/>
      </c>
      <c r="X1422" s="26"/>
    </row>
    <row r="1423">
      <c r="A1423" s="28"/>
      <c r="B1423" s="28"/>
      <c r="C1423" s="107"/>
      <c r="D1423" s="83" t="s">
        <v>148</v>
      </c>
      <c r="E1423" s="105">
        <f>F1422-E1422</f>
        <v>1336000</v>
      </c>
      <c r="F1423" s="105"/>
      <c r="G1423" s="34"/>
      <c r="H1423" s="99"/>
      <c r="I1423" s="99"/>
      <c r="J1423" s="99"/>
      <c r="K1423" s="99"/>
      <c r="L1423" s="99"/>
      <c r="M1423" s="99"/>
      <c r="N1423" s="99"/>
      <c r="O1423" s="99"/>
      <c r="P1423" s="99"/>
      <c r="Q1423" s="108"/>
      <c r="R1423" s="108"/>
      <c r="S1423" s="100"/>
      <c r="T1423" s="24">
        <f t="shared" si="512"/>
        <v>0</v>
      </c>
      <c r="U1423" s="179" t="str">
        <f t="shared" si="513"/>
        <v/>
      </c>
      <c r="V1423" s="179" t="str">
        <f t="shared" si="514"/>
        <v/>
      </c>
      <c r="W1423" s="179" t="str">
        <f t="shared" si="515"/>
        <v/>
      </c>
      <c r="X1423" s="26"/>
    </row>
    <row r="1424">
      <c r="A1424" s="28"/>
      <c r="B1424" s="28"/>
      <c r="C1424" s="107"/>
      <c r="D1424" s="97"/>
      <c r="E1424" s="105"/>
      <c r="F1424" s="105"/>
      <c r="G1424" s="34"/>
      <c r="H1424" s="99"/>
      <c r="I1424" s="99"/>
      <c r="J1424" s="99"/>
      <c r="K1424" s="99"/>
      <c r="L1424" s="99"/>
      <c r="M1424" s="99"/>
      <c r="N1424" s="99"/>
      <c r="O1424" s="99"/>
      <c r="P1424" s="99"/>
      <c r="Q1424" s="108"/>
      <c r="R1424" s="108"/>
      <c r="S1424" s="100"/>
      <c r="T1424" s="24">
        <f t="shared" si="512"/>
        <v>0</v>
      </c>
      <c r="U1424" s="179" t="str">
        <f t="shared" si="513"/>
        <v/>
      </c>
      <c r="V1424" s="179" t="str">
        <f t="shared" si="514"/>
        <v/>
      </c>
      <c r="W1424" s="179" t="str">
        <f t="shared" si="515"/>
        <v/>
      </c>
      <c r="X1424" s="26"/>
    </row>
    <row r="1425">
      <c r="A1425" s="28"/>
      <c r="B1425" s="28"/>
      <c r="C1425" s="107"/>
      <c r="D1425" s="97"/>
      <c r="E1425" s="260">
        <v>3257200.0</v>
      </c>
      <c r="F1425" s="105">
        <f>E1425*1.5</f>
        <v>4885800</v>
      </c>
      <c r="G1425" s="34">
        <f>(F1425-E1425)/E1425</f>
        <v>0.5</v>
      </c>
      <c r="H1425" s="99"/>
      <c r="I1425" s="99"/>
      <c r="J1425" s="99"/>
      <c r="K1425" s="99"/>
      <c r="L1425" s="99"/>
      <c r="M1425" s="99"/>
      <c r="N1425" s="99"/>
      <c r="O1425" s="99"/>
      <c r="P1425" s="99"/>
      <c r="Q1425" s="108"/>
      <c r="R1425" s="108"/>
      <c r="S1425" s="100"/>
      <c r="T1425" s="24">
        <f t="shared" si="512"/>
        <v>-0.5</v>
      </c>
      <c r="U1425" s="179">
        <f t="shared" si="513"/>
        <v>-1</v>
      </c>
      <c r="V1425" s="179" t="str">
        <f t="shared" si="514"/>
        <v/>
      </c>
      <c r="W1425" s="179" t="str">
        <f t="shared" si="515"/>
        <v/>
      </c>
      <c r="X1425" s="26"/>
    </row>
    <row r="1426">
      <c r="A1426" s="28"/>
      <c r="B1426" s="28"/>
      <c r="C1426" s="107"/>
      <c r="D1426" s="97"/>
      <c r="E1426" s="105"/>
      <c r="F1426" s="105"/>
      <c r="G1426" s="34"/>
      <c r="H1426" s="99"/>
      <c r="I1426" s="99"/>
      <c r="J1426" s="99"/>
      <c r="K1426" s="99"/>
      <c r="L1426" s="99"/>
      <c r="M1426" s="99"/>
      <c r="N1426" s="99"/>
      <c r="O1426" s="99"/>
      <c r="P1426" s="99"/>
      <c r="Q1426" s="108"/>
      <c r="R1426" s="108"/>
      <c r="S1426" s="100"/>
      <c r="T1426" s="24">
        <f t="shared" si="512"/>
        <v>0</v>
      </c>
      <c r="U1426" s="179" t="str">
        <f t="shared" si="513"/>
        <v/>
      </c>
      <c r="V1426" s="179" t="str">
        <f t="shared" si="514"/>
        <v/>
      </c>
      <c r="W1426" s="179" t="str">
        <f t="shared" si="515"/>
        <v/>
      </c>
      <c r="X1426" s="26"/>
    </row>
    <row r="1427">
      <c r="A1427" s="28"/>
      <c r="B1427" s="28"/>
      <c r="C1427" s="82" t="s">
        <v>659</v>
      </c>
      <c r="D1427" s="83" t="s">
        <v>660</v>
      </c>
      <c r="E1427" s="105">
        <f>320000+36000*2+20000</f>
        <v>412000</v>
      </c>
      <c r="F1427" s="105">
        <f>325000*2</f>
        <v>650000</v>
      </c>
      <c r="G1427" s="34">
        <f t="shared" ref="G1427:G1429" si="517">(F1427-E1427)/E1427</f>
        <v>0.5776699029</v>
      </c>
      <c r="H1427" s="99"/>
      <c r="I1427" s="99"/>
      <c r="J1427" s="99"/>
      <c r="K1427" s="99"/>
      <c r="L1427" s="99"/>
      <c r="M1427" s="99"/>
      <c r="N1427" s="99"/>
      <c r="O1427" s="99"/>
      <c r="P1427" s="99"/>
      <c r="Q1427" s="108"/>
      <c r="R1427" s="108"/>
      <c r="S1427" s="100"/>
      <c r="T1427" s="24">
        <f t="shared" si="512"/>
        <v>-0.5776699029</v>
      </c>
      <c r="U1427" s="179">
        <f t="shared" si="513"/>
        <v>-1</v>
      </c>
      <c r="V1427" s="179" t="str">
        <f t="shared" si="514"/>
        <v/>
      </c>
      <c r="W1427" s="179" t="str">
        <f t="shared" si="515"/>
        <v/>
      </c>
      <c r="X1427" s="26"/>
    </row>
    <row r="1428">
      <c r="A1428" s="28"/>
      <c r="B1428" s="28"/>
      <c r="C1428" s="107"/>
      <c r="D1428" s="83" t="s">
        <v>661</v>
      </c>
      <c r="E1428" s="201">
        <v>120000.0</v>
      </c>
      <c r="F1428" s="105">
        <f>200000</f>
        <v>200000</v>
      </c>
      <c r="G1428" s="34">
        <f t="shared" si="517"/>
        <v>0.6666666667</v>
      </c>
      <c r="H1428" s="99"/>
      <c r="I1428" s="99"/>
      <c r="J1428" s="99"/>
      <c r="K1428" s="99"/>
      <c r="L1428" s="99"/>
      <c r="M1428" s="99"/>
      <c r="N1428" s="99"/>
      <c r="O1428" s="99"/>
      <c r="P1428" s="99"/>
      <c r="Q1428" s="108"/>
      <c r="R1428" s="108"/>
      <c r="S1428" s="100"/>
      <c r="T1428" s="24">
        <f t="shared" si="512"/>
        <v>-0.6666666667</v>
      </c>
      <c r="U1428" s="179">
        <f t="shared" si="513"/>
        <v>-1</v>
      </c>
      <c r="V1428" s="179" t="str">
        <f t="shared" si="514"/>
        <v/>
      </c>
      <c r="W1428" s="179" t="str">
        <f t="shared" si="515"/>
        <v/>
      </c>
      <c r="X1428" s="26"/>
    </row>
    <row r="1429">
      <c r="A1429" s="28"/>
      <c r="B1429" s="28"/>
      <c r="C1429" s="107"/>
      <c r="D1429" s="83" t="s">
        <v>287</v>
      </c>
      <c r="E1429" s="105">
        <f t="shared" ref="E1429:F1429" si="518">E1427+E1428</f>
        <v>532000</v>
      </c>
      <c r="F1429" s="105">
        <f t="shared" si="518"/>
        <v>850000</v>
      </c>
      <c r="G1429" s="34">
        <f t="shared" si="517"/>
        <v>0.5977443609</v>
      </c>
      <c r="H1429" s="99"/>
      <c r="I1429" s="99"/>
      <c r="J1429" s="99"/>
      <c r="K1429" s="99"/>
      <c r="L1429" s="99"/>
      <c r="M1429" s="99"/>
      <c r="N1429" s="99"/>
      <c r="O1429" s="99"/>
      <c r="P1429" s="99"/>
      <c r="Q1429" s="108"/>
      <c r="R1429" s="108"/>
      <c r="S1429" s="100"/>
      <c r="T1429" s="24">
        <f t="shared" si="512"/>
        <v>-0.5977443609</v>
      </c>
      <c r="U1429" s="179">
        <f t="shared" si="513"/>
        <v>-1</v>
      </c>
      <c r="V1429" s="179" t="str">
        <f t="shared" si="514"/>
        <v/>
      </c>
      <c r="W1429" s="179" t="str">
        <f t="shared" si="515"/>
        <v/>
      </c>
      <c r="X1429" s="26"/>
    </row>
    <row r="1430">
      <c r="A1430" s="28"/>
      <c r="B1430" s="28"/>
      <c r="C1430" s="107"/>
      <c r="D1430" s="83" t="s">
        <v>148</v>
      </c>
      <c r="E1430" s="105">
        <f>F1429-E1429</f>
        <v>318000</v>
      </c>
      <c r="F1430" s="105"/>
      <c r="G1430" s="34"/>
      <c r="H1430" s="99"/>
      <c r="I1430" s="99"/>
      <c r="J1430" s="99"/>
      <c r="K1430" s="99"/>
      <c r="L1430" s="99"/>
      <c r="M1430" s="99"/>
      <c r="N1430" s="99"/>
      <c r="O1430" s="99"/>
      <c r="P1430" s="99"/>
      <c r="Q1430" s="108"/>
      <c r="R1430" s="108"/>
      <c r="S1430" s="100"/>
      <c r="T1430" s="24">
        <f t="shared" si="512"/>
        <v>0</v>
      </c>
      <c r="U1430" s="179" t="str">
        <f t="shared" si="513"/>
        <v/>
      </c>
      <c r="V1430" s="179" t="str">
        <f t="shared" si="514"/>
        <v/>
      </c>
      <c r="W1430" s="179" t="str">
        <f t="shared" si="515"/>
        <v/>
      </c>
      <c r="X1430" s="26"/>
    </row>
    <row r="1431">
      <c r="A1431" s="28"/>
      <c r="B1431" s="28"/>
      <c r="C1431" s="107"/>
      <c r="D1431" s="97"/>
      <c r="E1431" s="105"/>
      <c r="F1431" s="105"/>
      <c r="G1431" s="34"/>
      <c r="H1431" s="99"/>
      <c r="I1431" s="99"/>
      <c r="J1431" s="99"/>
      <c r="K1431" s="99"/>
      <c r="L1431" s="99"/>
      <c r="M1431" s="99"/>
      <c r="N1431" s="99"/>
      <c r="O1431" s="99"/>
      <c r="P1431" s="99"/>
      <c r="Q1431" s="108"/>
      <c r="R1431" s="108"/>
      <c r="S1431" s="100"/>
      <c r="T1431" s="24">
        <f t="shared" si="512"/>
        <v>0</v>
      </c>
      <c r="U1431" s="179" t="str">
        <f t="shared" si="513"/>
        <v/>
      </c>
      <c r="V1431" s="179" t="str">
        <f t="shared" si="514"/>
        <v/>
      </c>
      <c r="W1431" s="179" t="str">
        <f t="shared" si="515"/>
        <v/>
      </c>
      <c r="X1431" s="26"/>
    </row>
    <row r="1432">
      <c r="A1432" s="28"/>
      <c r="B1432" s="28"/>
      <c r="C1432" s="107"/>
      <c r="D1432" s="97"/>
      <c r="E1432" s="105"/>
      <c r="F1432" s="105"/>
      <c r="G1432" s="34"/>
      <c r="H1432" s="99"/>
      <c r="I1432" s="99"/>
      <c r="J1432" s="99"/>
      <c r="K1432" s="99"/>
      <c r="L1432" s="99"/>
      <c r="M1432" s="99"/>
      <c r="N1432" s="99"/>
      <c r="O1432" s="99"/>
      <c r="P1432" s="99"/>
      <c r="Q1432" s="108"/>
      <c r="R1432" s="108"/>
      <c r="S1432" s="100"/>
      <c r="T1432" s="24">
        <f t="shared" si="512"/>
        <v>0</v>
      </c>
      <c r="U1432" s="179" t="str">
        <f t="shared" si="513"/>
        <v/>
      </c>
      <c r="V1432" s="179" t="str">
        <f t="shared" si="514"/>
        <v/>
      </c>
      <c r="W1432" s="179" t="str">
        <f t="shared" si="515"/>
        <v/>
      </c>
      <c r="X1432" s="26"/>
    </row>
    <row r="1433">
      <c r="A1433" s="28"/>
      <c r="B1433" s="28"/>
      <c r="C1433" s="1" t="s">
        <v>662</v>
      </c>
      <c r="D1433" s="83" t="s">
        <v>663</v>
      </c>
      <c r="E1433" s="105">
        <f>320000+36000*3+15000+40000+240000</f>
        <v>723000</v>
      </c>
      <c r="F1433" s="105">
        <f>330000*3</f>
        <v>990000</v>
      </c>
      <c r="G1433" s="34">
        <f>(F1433-E1433)/E1433</f>
        <v>0.3692946058</v>
      </c>
      <c r="H1433" s="99"/>
      <c r="I1433" s="99"/>
      <c r="J1433" s="99"/>
      <c r="K1433" s="99"/>
      <c r="L1433" s="99"/>
      <c r="M1433" s="99"/>
      <c r="N1433" s="99"/>
      <c r="O1433" s="99"/>
      <c r="P1433" s="99"/>
      <c r="Q1433" s="108"/>
      <c r="R1433" s="108"/>
      <c r="S1433" s="100"/>
      <c r="T1433" s="24">
        <f t="shared" si="512"/>
        <v>-0.3692946058</v>
      </c>
      <c r="U1433" s="179">
        <f t="shared" si="513"/>
        <v>-1</v>
      </c>
      <c r="V1433" s="179" t="str">
        <f t="shared" si="514"/>
        <v/>
      </c>
      <c r="W1433" s="179" t="str">
        <f t="shared" si="515"/>
        <v/>
      </c>
      <c r="X1433" s="26"/>
    </row>
    <row r="1434">
      <c r="A1434" s="28"/>
      <c r="B1434" s="28"/>
      <c r="C1434" s="107"/>
      <c r="D1434" s="83" t="s">
        <v>664</v>
      </c>
      <c r="E1434" s="201"/>
      <c r="F1434" s="105"/>
      <c r="G1434" s="34"/>
      <c r="H1434" s="99"/>
      <c r="I1434" s="99"/>
      <c r="J1434" s="99"/>
      <c r="K1434" s="99"/>
      <c r="L1434" s="99"/>
      <c r="M1434" s="99"/>
      <c r="N1434" s="99"/>
      <c r="O1434" s="99"/>
      <c r="P1434" s="99"/>
      <c r="Q1434" s="108"/>
      <c r="R1434" s="108"/>
      <c r="S1434" s="100"/>
      <c r="T1434" s="24">
        <f t="shared" si="512"/>
        <v>0</v>
      </c>
      <c r="U1434" s="179" t="str">
        <f t="shared" si="513"/>
        <v/>
      </c>
      <c r="V1434" s="179" t="str">
        <f t="shared" si="514"/>
        <v/>
      </c>
      <c r="W1434" s="179" t="str">
        <f t="shared" si="515"/>
        <v/>
      </c>
      <c r="X1434" s="26"/>
    </row>
    <row r="1435">
      <c r="A1435" s="28"/>
      <c r="B1435" s="28"/>
      <c r="C1435" s="107"/>
      <c r="D1435" s="83" t="s">
        <v>101</v>
      </c>
      <c r="E1435" s="105">
        <f>E1433+E1434</f>
        <v>723000</v>
      </c>
      <c r="F1435" s="105"/>
      <c r="G1435" s="34"/>
      <c r="H1435" s="99"/>
      <c r="I1435" s="99"/>
      <c r="J1435" s="99"/>
      <c r="K1435" s="99"/>
      <c r="L1435" s="99"/>
      <c r="M1435" s="99"/>
      <c r="N1435" s="99"/>
      <c r="O1435" s="99"/>
      <c r="P1435" s="99"/>
      <c r="Q1435" s="108"/>
      <c r="R1435" s="108"/>
      <c r="S1435" s="100"/>
      <c r="T1435" s="24">
        <f t="shared" si="512"/>
        <v>0</v>
      </c>
      <c r="U1435" s="179" t="str">
        <f t="shared" si="513"/>
        <v/>
      </c>
      <c r="V1435" s="179" t="str">
        <f t="shared" si="514"/>
        <v/>
      </c>
      <c r="W1435" s="179" t="str">
        <f t="shared" si="515"/>
        <v/>
      </c>
      <c r="X1435" s="26"/>
    </row>
    <row r="1436">
      <c r="A1436" s="28"/>
      <c r="B1436" s="28"/>
      <c r="C1436" s="107"/>
      <c r="D1436" s="83" t="s">
        <v>148</v>
      </c>
      <c r="E1436" s="105">
        <f>F1433-E1435</f>
        <v>267000</v>
      </c>
      <c r="F1436" s="105"/>
      <c r="G1436" s="34"/>
      <c r="H1436" s="99"/>
      <c r="I1436" s="99"/>
      <c r="J1436" s="99"/>
      <c r="K1436" s="99"/>
      <c r="L1436" s="99"/>
      <c r="M1436" s="99"/>
      <c r="N1436" s="99"/>
      <c r="O1436" s="99"/>
      <c r="P1436" s="99"/>
      <c r="Q1436" s="108"/>
      <c r="R1436" s="108"/>
      <c r="S1436" s="100"/>
      <c r="T1436" s="24">
        <f t="shared" si="512"/>
        <v>0</v>
      </c>
      <c r="U1436" s="179" t="str">
        <f t="shared" si="513"/>
        <v/>
      </c>
      <c r="V1436" s="179" t="str">
        <f t="shared" si="514"/>
        <v/>
      </c>
      <c r="W1436" s="179" t="str">
        <f t="shared" si="515"/>
        <v/>
      </c>
      <c r="X1436" s="26"/>
    </row>
    <row r="1437">
      <c r="A1437" s="28"/>
      <c r="B1437" s="28"/>
      <c r="C1437" s="107"/>
      <c r="D1437" s="97"/>
      <c r="E1437" s="105"/>
      <c r="F1437" s="201"/>
      <c r="G1437" s="34"/>
      <c r="H1437" s="99"/>
      <c r="I1437" s="99"/>
      <c r="J1437" s="99"/>
      <c r="K1437" s="99"/>
      <c r="L1437" s="99"/>
      <c r="M1437" s="99"/>
      <c r="N1437" s="99"/>
      <c r="O1437" s="99"/>
      <c r="P1437" s="99"/>
      <c r="Q1437" s="108"/>
      <c r="R1437" s="108"/>
      <c r="S1437" s="100"/>
      <c r="T1437" s="24">
        <f t="shared" si="512"/>
        <v>0</v>
      </c>
      <c r="U1437" s="179" t="str">
        <f t="shared" si="513"/>
        <v/>
      </c>
      <c r="V1437" s="179" t="str">
        <f t="shared" si="514"/>
        <v/>
      </c>
      <c r="W1437" s="179" t="str">
        <f t="shared" si="515"/>
        <v/>
      </c>
      <c r="X1437" s="26"/>
    </row>
    <row r="1438">
      <c r="A1438" s="28"/>
      <c r="B1438" s="28"/>
      <c r="C1438" s="82" t="s">
        <v>665</v>
      </c>
      <c r="D1438" s="83" t="s">
        <v>666</v>
      </c>
      <c r="E1438" s="201">
        <f>55000*2</f>
        <v>110000</v>
      </c>
      <c r="F1438" s="201">
        <f>200000*2</f>
        <v>400000</v>
      </c>
      <c r="G1438" s="34">
        <f t="shared" ref="G1438:G1440" si="519">(F1438-E1438)/E1438</f>
        <v>2.636363636</v>
      </c>
      <c r="H1438" s="99"/>
      <c r="I1438" s="99"/>
      <c r="J1438" s="99"/>
      <c r="K1438" s="99"/>
      <c r="L1438" s="99"/>
      <c r="M1438" s="99"/>
      <c r="N1438" s="99"/>
      <c r="O1438" s="99"/>
      <c r="P1438" s="99"/>
      <c r="Q1438" s="108"/>
      <c r="R1438" s="108"/>
      <c r="S1438" s="100"/>
      <c r="T1438" s="24">
        <f t="shared" si="512"/>
        <v>-2.636363636</v>
      </c>
      <c r="U1438" s="179">
        <f t="shared" si="513"/>
        <v>-1</v>
      </c>
      <c r="V1438" s="179" t="str">
        <f t="shared" si="514"/>
        <v/>
      </c>
      <c r="W1438" s="179" t="str">
        <f t="shared" si="515"/>
        <v/>
      </c>
      <c r="X1438" s="26"/>
    </row>
    <row r="1439">
      <c r="A1439" s="28"/>
      <c r="B1439" s="28"/>
      <c r="C1439" s="107"/>
      <c r="D1439" s="83" t="s">
        <v>222</v>
      </c>
      <c r="E1439" s="201">
        <v>370000.0</v>
      </c>
      <c r="F1439" s="201">
        <v>490000.0</v>
      </c>
      <c r="G1439" s="34">
        <f t="shared" si="519"/>
        <v>0.3243243243</v>
      </c>
      <c r="H1439" s="99"/>
      <c r="I1439" s="99"/>
      <c r="J1439" s="99"/>
      <c r="K1439" s="99"/>
      <c r="L1439" s="99"/>
      <c r="M1439" s="99"/>
      <c r="N1439" s="99"/>
      <c r="O1439" s="99"/>
      <c r="P1439" s="99"/>
      <c r="Q1439" s="108"/>
      <c r="R1439" s="108"/>
      <c r="S1439" s="100"/>
      <c r="T1439" s="24">
        <f t="shared" si="512"/>
        <v>-0.3243243243</v>
      </c>
      <c r="U1439" s="179">
        <f t="shared" si="513"/>
        <v>-1</v>
      </c>
      <c r="V1439" s="179" t="str">
        <f t="shared" si="514"/>
        <v/>
      </c>
      <c r="W1439" s="179" t="str">
        <f t="shared" si="515"/>
        <v/>
      </c>
      <c r="X1439" s="26"/>
    </row>
    <row r="1440">
      <c r="A1440" s="28"/>
      <c r="B1440" s="28"/>
      <c r="C1440" s="107"/>
      <c r="D1440" s="83" t="s">
        <v>101</v>
      </c>
      <c r="E1440" s="105">
        <f t="shared" ref="E1440:F1440" si="520">E1438+E1439</f>
        <v>480000</v>
      </c>
      <c r="F1440" s="105">
        <f t="shared" si="520"/>
        <v>890000</v>
      </c>
      <c r="G1440" s="34">
        <f t="shared" si="519"/>
        <v>0.8541666667</v>
      </c>
      <c r="H1440" s="99"/>
      <c r="I1440" s="99"/>
      <c r="J1440" s="99"/>
      <c r="K1440" s="99"/>
      <c r="L1440" s="99"/>
      <c r="M1440" s="99"/>
      <c r="N1440" s="99"/>
      <c r="O1440" s="99"/>
      <c r="P1440" s="99"/>
      <c r="Q1440" s="108"/>
      <c r="R1440" s="108"/>
      <c r="S1440" s="100"/>
      <c r="T1440" s="24">
        <f t="shared" si="512"/>
        <v>-0.8541666667</v>
      </c>
      <c r="U1440" s="179">
        <f t="shared" si="513"/>
        <v>-1</v>
      </c>
      <c r="V1440" s="179" t="str">
        <f t="shared" si="514"/>
        <v/>
      </c>
      <c r="W1440" s="179" t="str">
        <f t="shared" si="515"/>
        <v/>
      </c>
      <c r="X1440" s="26"/>
    </row>
    <row r="1441">
      <c r="A1441" s="28"/>
      <c r="B1441" s="28"/>
      <c r="C1441" s="107"/>
      <c r="D1441" s="97"/>
      <c r="E1441" s="105"/>
      <c r="F1441" s="105"/>
      <c r="G1441" s="34"/>
      <c r="H1441" s="99"/>
      <c r="I1441" s="99"/>
      <c r="J1441" s="99"/>
      <c r="K1441" s="99"/>
      <c r="L1441" s="99"/>
      <c r="M1441" s="99"/>
      <c r="N1441" s="99"/>
      <c r="O1441" s="99"/>
      <c r="P1441" s="99"/>
      <c r="Q1441" s="108"/>
      <c r="R1441" s="108"/>
      <c r="S1441" s="100"/>
      <c r="T1441" s="24">
        <f t="shared" si="512"/>
        <v>0</v>
      </c>
      <c r="U1441" s="179" t="str">
        <f t="shared" si="513"/>
        <v/>
      </c>
      <c r="V1441" s="179" t="str">
        <f t="shared" si="514"/>
        <v/>
      </c>
      <c r="W1441" s="179" t="str">
        <f t="shared" si="515"/>
        <v/>
      </c>
      <c r="X1441" s="26"/>
    </row>
    <row r="1442">
      <c r="A1442" s="28"/>
      <c r="B1442" s="28"/>
      <c r="C1442" s="107"/>
      <c r="D1442" s="97"/>
      <c r="E1442" s="105"/>
      <c r="F1442" s="105"/>
      <c r="G1442" s="34"/>
      <c r="H1442" s="99"/>
      <c r="I1442" s="99"/>
      <c r="J1442" s="99"/>
      <c r="K1442" s="99"/>
      <c r="L1442" s="99"/>
      <c r="M1442" s="99"/>
      <c r="N1442" s="99"/>
      <c r="O1442" s="99"/>
      <c r="P1442" s="99"/>
      <c r="Q1442" s="108"/>
      <c r="R1442" s="108"/>
      <c r="S1442" s="100"/>
      <c r="T1442" s="24">
        <f t="shared" si="512"/>
        <v>0</v>
      </c>
      <c r="U1442" s="179" t="str">
        <f t="shared" si="513"/>
        <v/>
      </c>
      <c r="V1442" s="179" t="str">
        <f t="shared" si="514"/>
        <v/>
      </c>
      <c r="W1442" s="179" t="str">
        <f t="shared" si="515"/>
        <v/>
      </c>
      <c r="X1442" s="26"/>
    </row>
    <row r="1443">
      <c r="A1443" s="28"/>
      <c r="B1443" s="28"/>
      <c r="C1443" s="242" t="s">
        <v>667</v>
      </c>
      <c r="D1443" s="83" t="s">
        <v>668</v>
      </c>
      <c r="E1443" s="201">
        <f>320000+(36000*2)+30000+20000</f>
        <v>442000</v>
      </c>
      <c r="F1443" s="105">
        <f>325000*2</f>
        <v>650000</v>
      </c>
      <c r="G1443" s="34">
        <f t="shared" ref="G1443:G1445" si="521">(F1443-E1443)/E1443</f>
        <v>0.4705882353</v>
      </c>
      <c r="H1443" s="99"/>
      <c r="I1443" s="99"/>
      <c r="J1443" s="99"/>
      <c r="K1443" s="99"/>
      <c r="L1443" s="99"/>
      <c r="M1443" s="99"/>
      <c r="N1443" s="99"/>
      <c r="O1443" s="99"/>
      <c r="P1443" s="99"/>
      <c r="Q1443" s="108"/>
      <c r="R1443" s="108"/>
      <c r="S1443" s="100"/>
      <c r="T1443" s="24">
        <f t="shared" si="512"/>
        <v>-0.4705882353</v>
      </c>
      <c r="U1443" s="179">
        <f t="shared" si="513"/>
        <v>-1</v>
      </c>
      <c r="V1443" s="179" t="str">
        <f t="shared" si="514"/>
        <v/>
      </c>
      <c r="W1443" s="179" t="str">
        <f t="shared" si="515"/>
        <v/>
      </c>
      <c r="X1443" s="26"/>
    </row>
    <row r="1444">
      <c r="A1444" s="28"/>
      <c r="B1444" s="28"/>
      <c r="C1444" s="107"/>
      <c r="D1444" s="83" t="s">
        <v>325</v>
      </c>
      <c r="E1444" s="105">
        <f>360000*2</f>
        <v>720000</v>
      </c>
      <c r="F1444" s="105">
        <f>500000*2</f>
        <v>1000000</v>
      </c>
      <c r="G1444" s="34">
        <f t="shared" si="521"/>
        <v>0.3888888889</v>
      </c>
      <c r="H1444" s="99"/>
      <c r="I1444" s="99"/>
      <c r="J1444" s="99"/>
      <c r="K1444" s="99"/>
      <c r="L1444" s="99"/>
      <c r="M1444" s="99"/>
      <c r="N1444" s="99"/>
      <c r="O1444" s="99"/>
      <c r="P1444" s="99"/>
      <c r="Q1444" s="108"/>
      <c r="R1444" s="108"/>
      <c r="S1444" s="100"/>
      <c r="T1444" s="24">
        <f t="shared" si="512"/>
        <v>-0.3888888889</v>
      </c>
      <c r="U1444" s="179">
        <f t="shared" si="513"/>
        <v>-1</v>
      </c>
      <c r="V1444" s="179" t="str">
        <f t="shared" si="514"/>
        <v/>
      </c>
      <c r="W1444" s="179" t="str">
        <f t="shared" si="515"/>
        <v/>
      </c>
      <c r="X1444" s="26"/>
    </row>
    <row r="1445">
      <c r="A1445" s="28"/>
      <c r="B1445" s="28"/>
      <c r="C1445" s="107"/>
      <c r="D1445" s="83" t="s">
        <v>101</v>
      </c>
      <c r="E1445" s="105">
        <f t="shared" ref="E1445:F1445" si="522">E1443+E1444</f>
        <v>1162000</v>
      </c>
      <c r="F1445" s="105">
        <f t="shared" si="522"/>
        <v>1650000</v>
      </c>
      <c r="G1445" s="34">
        <f t="shared" si="521"/>
        <v>0.4199655766</v>
      </c>
      <c r="H1445" s="99"/>
      <c r="I1445" s="99"/>
      <c r="J1445" s="99"/>
      <c r="K1445" s="99"/>
      <c r="L1445" s="99"/>
      <c r="M1445" s="99"/>
      <c r="N1445" s="99"/>
      <c r="O1445" s="99"/>
      <c r="P1445" s="99"/>
      <c r="Q1445" s="108"/>
      <c r="R1445" s="108"/>
      <c r="S1445" s="100"/>
      <c r="T1445" s="24">
        <f t="shared" si="512"/>
        <v>-0.4199655766</v>
      </c>
      <c r="U1445" s="179">
        <f t="shared" si="513"/>
        <v>-1</v>
      </c>
      <c r="V1445" s="179" t="str">
        <f t="shared" si="514"/>
        <v/>
      </c>
      <c r="W1445" s="179" t="str">
        <f t="shared" si="515"/>
        <v/>
      </c>
      <c r="X1445" s="26"/>
    </row>
    <row r="1446">
      <c r="A1446" s="28"/>
      <c r="B1446" s="28"/>
      <c r="C1446" s="107"/>
      <c r="D1446" s="83" t="s">
        <v>148</v>
      </c>
      <c r="E1446" s="105">
        <f>F1445-E1445</f>
        <v>488000</v>
      </c>
      <c r="F1446" s="105"/>
      <c r="G1446" s="34"/>
      <c r="H1446" s="99"/>
      <c r="I1446" s="99"/>
      <c r="J1446" s="99"/>
      <c r="K1446" s="99"/>
      <c r="L1446" s="99"/>
      <c r="M1446" s="99"/>
      <c r="N1446" s="99"/>
      <c r="O1446" s="99"/>
      <c r="P1446" s="99"/>
      <c r="Q1446" s="108"/>
      <c r="R1446" s="108"/>
      <c r="S1446" s="100"/>
      <c r="T1446" s="24">
        <f t="shared" si="512"/>
        <v>0</v>
      </c>
      <c r="U1446" s="179" t="str">
        <f t="shared" si="513"/>
        <v/>
      </c>
      <c r="V1446" s="179" t="str">
        <f t="shared" si="514"/>
        <v/>
      </c>
      <c r="W1446" s="179" t="str">
        <f t="shared" si="515"/>
        <v/>
      </c>
      <c r="X1446" s="26"/>
    </row>
    <row r="1447">
      <c r="A1447" s="28"/>
      <c r="B1447" s="28"/>
      <c r="C1447" s="107"/>
      <c r="D1447" s="97"/>
      <c r="E1447" s="105"/>
      <c r="F1447" s="105"/>
      <c r="G1447" s="34"/>
      <c r="H1447" s="99"/>
      <c r="I1447" s="99"/>
      <c r="J1447" s="99"/>
      <c r="K1447" s="99"/>
      <c r="L1447" s="99"/>
      <c r="M1447" s="99"/>
      <c r="N1447" s="99"/>
      <c r="O1447" s="99"/>
      <c r="P1447" s="99"/>
      <c r="Q1447" s="108"/>
      <c r="R1447" s="108"/>
      <c r="S1447" s="100"/>
      <c r="T1447" s="24">
        <f t="shared" si="512"/>
        <v>0</v>
      </c>
      <c r="U1447" s="179" t="str">
        <f t="shared" si="513"/>
        <v/>
      </c>
      <c r="V1447" s="179" t="str">
        <f t="shared" si="514"/>
        <v/>
      </c>
      <c r="W1447" s="179" t="str">
        <f t="shared" si="515"/>
        <v/>
      </c>
      <c r="X1447" s="26"/>
    </row>
    <row r="1448">
      <c r="A1448" s="28"/>
      <c r="B1448" s="28"/>
      <c r="C1448" s="107"/>
      <c r="D1448" s="97"/>
      <c r="E1448" s="105"/>
      <c r="F1448" s="105"/>
      <c r="G1448" s="34"/>
      <c r="H1448" s="99"/>
      <c r="I1448" s="99"/>
      <c r="J1448" s="99"/>
      <c r="K1448" s="99"/>
      <c r="L1448" s="99"/>
      <c r="M1448" s="99"/>
      <c r="N1448" s="99"/>
      <c r="O1448" s="99"/>
      <c r="P1448" s="99"/>
      <c r="Q1448" s="108"/>
      <c r="R1448" s="108"/>
      <c r="S1448" s="100"/>
      <c r="T1448" s="24">
        <f t="shared" si="512"/>
        <v>0</v>
      </c>
      <c r="U1448" s="179" t="str">
        <f t="shared" si="513"/>
        <v/>
      </c>
      <c r="V1448" s="179" t="str">
        <f t="shared" si="514"/>
        <v/>
      </c>
      <c r="W1448" s="179" t="str">
        <f t="shared" si="515"/>
        <v/>
      </c>
      <c r="X1448" s="26"/>
    </row>
    <row r="1449">
      <c r="A1449" s="28"/>
      <c r="B1449" s="28"/>
      <c r="C1449" s="82" t="s">
        <v>669</v>
      </c>
      <c r="D1449" s="83" t="s">
        <v>138</v>
      </c>
      <c r="E1449" s="105">
        <f>390000*2</f>
        <v>780000</v>
      </c>
      <c r="F1449" s="105">
        <f>520000*2</f>
        <v>1040000</v>
      </c>
      <c r="G1449" s="34">
        <f>(F1449-E1449)/E1449</f>
        <v>0.3333333333</v>
      </c>
      <c r="H1449" s="99"/>
      <c r="I1449" s="98">
        <v>390000.0</v>
      </c>
      <c r="J1449" s="99">
        <f>I1449*1.4</f>
        <v>546000</v>
      </c>
      <c r="K1449" s="99"/>
      <c r="L1449" s="99"/>
      <c r="M1449" s="99"/>
      <c r="N1449" s="99"/>
      <c r="O1449" s="99"/>
      <c r="P1449" s="99"/>
      <c r="Q1449" s="108"/>
      <c r="R1449" s="108"/>
      <c r="S1449" s="100"/>
      <c r="T1449" s="24">
        <f t="shared" si="512"/>
        <v>-0.3333333333</v>
      </c>
      <c r="U1449" s="179">
        <f t="shared" si="513"/>
        <v>-1</v>
      </c>
      <c r="V1449" s="179" t="str">
        <f t="shared" si="514"/>
        <v/>
      </c>
      <c r="W1449" s="179" t="str">
        <f t="shared" si="515"/>
        <v/>
      </c>
      <c r="X1449" s="26"/>
    </row>
    <row r="1450">
      <c r="A1450" s="28"/>
      <c r="B1450" s="28"/>
      <c r="C1450" s="107"/>
      <c r="D1450" s="83" t="s">
        <v>148</v>
      </c>
      <c r="E1450" s="105">
        <f>F1449-E1449</f>
        <v>260000</v>
      </c>
      <c r="F1450" s="105"/>
      <c r="G1450" s="34"/>
      <c r="H1450" s="99"/>
      <c r="I1450" s="99">
        <f>J1449-I1449</f>
        <v>156000</v>
      </c>
      <c r="J1450" s="99"/>
      <c r="K1450" s="99"/>
      <c r="L1450" s="99"/>
      <c r="M1450" s="99"/>
      <c r="N1450" s="99"/>
      <c r="O1450" s="99"/>
      <c r="P1450" s="99"/>
      <c r="Q1450" s="108"/>
      <c r="R1450" s="108"/>
      <c r="S1450" s="100"/>
      <c r="T1450" s="24">
        <f t="shared" si="512"/>
        <v>0</v>
      </c>
      <c r="U1450" s="179" t="str">
        <f t="shared" si="513"/>
        <v/>
      </c>
      <c r="V1450" s="179" t="str">
        <f t="shared" si="514"/>
        <v/>
      </c>
      <c r="W1450" s="179" t="str">
        <f t="shared" si="515"/>
        <v/>
      </c>
      <c r="X1450" s="26"/>
    </row>
    <row r="1451">
      <c r="A1451" s="28"/>
      <c r="B1451" s="28"/>
      <c r="C1451" s="107"/>
      <c r="D1451" s="97"/>
      <c r="E1451" s="201"/>
      <c r="F1451" s="201"/>
      <c r="G1451" s="34"/>
      <c r="H1451" s="99"/>
      <c r="I1451" s="99"/>
      <c r="J1451" s="99"/>
      <c r="K1451" s="99"/>
      <c r="L1451" s="99"/>
      <c r="M1451" s="99"/>
      <c r="N1451" s="99"/>
      <c r="O1451" s="99"/>
      <c r="P1451" s="99"/>
      <c r="Q1451" s="108"/>
      <c r="R1451" s="108"/>
      <c r="S1451" s="100"/>
      <c r="T1451" s="24">
        <f t="shared" si="512"/>
        <v>0</v>
      </c>
      <c r="U1451" s="179" t="str">
        <f t="shared" si="513"/>
        <v/>
      </c>
      <c r="V1451" s="179" t="str">
        <f t="shared" si="514"/>
        <v/>
      </c>
      <c r="W1451" s="179" t="str">
        <f t="shared" si="515"/>
        <v/>
      </c>
      <c r="X1451" s="26"/>
    </row>
    <row r="1452">
      <c r="A1452" s="28"/>
      <c r="B1452" s="28"/>
      <c r="C1452" s="82" t="s">
        <v>670</v>
      </c>
      <c r="D1452" s="83" t="s">
        <v>158</v>
      </c>
      <c r="E1452" s="201">
        <v>420000.0</v>
      </c>
      <c r="F1452" s="201">
        <v>570000.0</v>
      </c>
      <c r="G1452" s="34">
        <f t="shared" ref="G1452:G1454" si="523">(F1452-E1452)/E1452</f>
        <v>0.3571428571</v>
      </c>
      <c r="H1452" s="99">
        <f t="shared" ref="H1452:H1453" si="524">F1452-E1452</f>
        <v>150000</v>
      </c>
      <c r="I1452" s="98" t="s">
        <v>222</v>
      </c>
      <c r="J1452" s="98">
        <v>370000.0</v>
      </c>
      <c r="K1452" s="98"/>
      <c r="L1452" s="99"/>
      <c r="M1452" s="99"/>
      <c r="N1452" s="99"/>
      <c r="O1452" s="99"/>
      <c r="P1452" s="99"/>
      <c r="Q1452" s="108"/>
      <c r="R1452" s="108"/>
      <c r="S1452" s="100"/>
      <c r="T1452" s="24">
        <f t="shared" si="512"/>
        <v>-0.3571428571</v>
      </c>
      <c r="U1452" s="179">
        <f t="shared" si="513"/>
        <v>-1</v>
      </c>
      <c r="V1452" s="179" t="str">
        <f t="shared" si="514"/>
        <v/>
      </c>
      <c r="W1452" s="179" t="str">
        <f t="shared" si="515"/>
        <v/>
      </c>
      <c r="X1452" s="26"/>
    </row>
    <row r="1453">
      <c r="A1453" s="28"/>
      <c r="B1453" s="28"/>
      <c r="C1453" s="107"/>
      <c r="D1453" s="83" t="s">
        <v>392</v>
      </c>
      <c r="E1453" s="201">
        <v>390000.0</v>
      </c>
      <c r="F1453" s="201">
        <v>610000.0</v>
      </c>
      <c r="G1453" s="34">
        <f t="shared" si="523"/>
        <v>0.5641025641</v>
      </c>
      <c r="H1453" s="99">
        <f t="shared" si="524"/>
        <v>220000</v>
      </c>
      <c r="I1453" s="99"/>
      <c r="J1453" s="99"/>
      <c r="K1453" s="99"/>
      <c r="L1453" s="99"/>
      <c r="M1453" s="99"/>
      <c r="N1453" s="99"/>
      <c r="O1453" s="99"/>
      <c r="P1453" s="99"/>
      <c r="Q1453" s="108"/>
      <c r="R1453" s="108"/>
      <c r="S1453" s="100"/>
      <c r="T1453" s="24">
        <f t="shared" si="512"/>
        <v>-0.5641025641</v>
      </c>
      <c r="U1453" s="179">
        <f t="shared" si="513"/>
        <v>-1</v>
      </c>
      <c r="V1453" s="179" t="str">
        <f t="shared" si="514"/>
        <v/>
      </c>
      <c r="W1453" s="179" t="str">
        <f t="shared" si="515"/>
        <v/>
      </c>
      <c r="X1453" s="26"/>
    </row>
    <row r="1454">
      <c r="A1454" s="28"/>
      <c r="B1454" s="28"/>
      <c r="C1454" s="107"/>
      <c r="D1454" s="83" t="s">
        <v>101</v>
      </c>
      <c r="E1454" s="105">
        <f t="shared" ref="E1454:F1454" si="525">E1452+E1453</f>
        <v>810000</v>
      </c>
      <c r="F1454" s="105">
        <f t="shared" si="525"/>
        <v>1180000</v>
      </c>
      <c r="G1454" s="34">
        <f t="shared" si="523"/>
        <v>0.4567901235</v>
      </c>
      <c r="H1454" s="99"/>
      <c r="I1454" s="99"/>
      <c r="J1454" s="99"/>
      <c r="K1454" s="99"/>
      <c r="L1454" s="99"/>
      <c r="M1454" s="99"/>
      <c r="N1454" s="99"/>
      <c r="O1454" s="99"/>
      <c r="P1454" s="99"/>
      <c r="Q1454" s="108"/>
      <c r="R1454" s="108"/>
      <c r="S1454" s="100"/>
      <c r="T1454" s="24">
        <f t="shared" si="512"/>
        <v>-0.4567901235</v>
      </c>
      <c r="U1454" s="179">
        <f t="shared" si="513"/>
        <v>-1</v>
      </c>
      <c r="V1454" s="179" t="str">
        <f t="shared" si="514"/>
        <v/>
      </c>
      <c r="W1454" s="179" t="str">
        <f t="shared" si="515"/>
        <v/>
      </c>
      <c r="X1454" s="26"/>
    </row>
    <row r="1455">
      <c r="A1455" s="28"/>
      <c r="B1455" s="28"/>
      <c r="C1455" s="107"/>
      <c r="D1455" s="83" t="s">
        <v>148</v>
      </c>
      <c r="E1455" s="105">
        <f>F1454-E1454</f>
        <v>370000</v>
      </c>
      <c r="F1455" s="105"/>
      <c r="G1455" s="34"/>
      <c r="H1455" s="99"/>
      <c r="I1455" s="99"/>
      <c r="J1455" s="99"/>
      <c r="K1455" s="99"/>
      <c r="L1455" s="99"/>
      <c r="M1455" s="99"/>
      <c r="N1455" s="99"/>
      <c r="O1455" s="99"/>
      <c r="P1455" s="99"/>
      <c r="Q1455" s="108"/>
      <c r="R1455" s="108"/>
      <c r="S1455" s="100"/>
      <c r="T1455" s="24">
        <f t="shared" si="512"/>
        <v>0</v>
      </c>
      <c r="U1455" s="179" t="str">
        <f t="shared" si="513"/>
        <v/>
      </c>
      <c r="V1455" s="179" t="str">
        <f t="shared" si="514"/>
        <v/>
      </c>
      <c r="W1455" s="179" t="str">
        <f t="shared" si="515"/>
        <v/>
      </c>
      <c r="X1455" s="26"/>
    </row>
    <row r="1456">
      <c r="A1456" s="28"/>
      <c r="B1456" s="28"/>
      <c r="C1456" s="107"/>
      <c r="D1456" s="97"/>
      <c r="E1456" s="105"/>
      <c r="F1456" s="105"/>
      <c r="G1456" s="34"/>
      <c r="H1456" s="99"/>
      <c r="I1456" s="99"/>
      <c r="J1456" s="99"/>
      <c r="K1456" s="99"/>
      <c r="L1456" s="99"/>
      <c r="M1456" s="99"/>
      <c r="N1456" s="99"/>
      <c r="O1456" s="99"/>
      <c r="P1456" s="99"/>
      <c r="Q1456" s="108"/>
      <c r="R1456" s="108"/>
      <c r="S1456" s="100"/>
      <c r="T1456" s="24">
        <f t="shared" si="512"/>
        <v>0</v>
      </c>
      <c r="U1456" s="179" t="str">
        <f t="shared" si="513"/>
        <v/>
      </c>
      <c r="V1456" s="179" t="str">
        <f t="shared" si="514"/>
        <v/>
      </c>
      <c r="W1456" s="179" t="str">
        <f t="shared" si="515"/>
        <v/>
      </c>
      <c r="X1456" s="26"/>
    </row>
    <row r="1457">
      <c r="A1457" s="28"/>
      <c r="B1457" s="28"/>
      <c r="C1457" s="107"/>
      <c r="D1457" s="97"/>
      <c r="E1457" s="105"/>
      <c r="F1457" s="105"/>
      <c r="G1457" s="34"/>
      <c r="H1457" s="99"/>
      <c r="I1457" s="99"/>
      <c r="J1457" s="99"/>
      <c r="K1457" s="99"/>
      <c r="L1457" s="99"/>
      <c r="M1457" s="99"/>
      <c r="N1457" s="99"/>
      <c r="O1457" s="99"/>
      <c r="P1457" s="99"/>
      <c r="Q1457" s="108"/>
      <c r="R1457" s="108"/>
      <c r="S1457" s="100"/>
      <c r="T1457" s="24">
        <f t="shared" si="512"/>
        <v>0</v>
      </c>
      <c r="U1457" s="179" t="str">
        <f t="shared" si="513"/>
        <v/>
      </c>
      <c r="V1457" s="179" t="str">
        <f t="shared" si="514"/>
        <v/>
      </c>
      <c r="W1457" s="179" t="str">
        <f t="shared" si="515"/>
        <v/>
      </c>
      <c r="X1457" s="26"/>
    </row>
    <row r="1458">
      <c r="A1458" s="28"/>
      <c r="B1458" s="28"/>
      <c r="C1458" s="82" t="s">
        <v>671</v>
      </c>
      <c r="D1458" s="242" t="s">
        <v>672</v>
      </c>
      <c r="E1458" s="105">
        <f>380000*2</f>
        <v>760000</v>
      </c>
      <c r="F1458" s="105">
        <f>520000*2</f>
        <v>1040000</v>
      </c>
      <c r="G1458" s="34">
        <f t="shared" ref="G1458:G1463" si="526">(F1458-E1458)/E1458</f>
        <v>0.3684210526</v>
      </c>
      <c r="H1458" s="99"/>
      <c r="I1458" s="99"/>
      <c r="J1458" s="99"/>
      <c r="K1458" s="99"/>
      <c r="L1458" s="99"/>
      <c r="M1458" s="99"/>
      <c r="N1458" s="99"/>
      <c r="O1458" s="99"/>
      <c r="P1458" s="99"/>
      <c r="Q1458" s="108"/>
      <c r="R1458" s="108"/>
      <c r="S1458" s="100"/>
      <c r="T1458" s="24">
        <f t="shared" si="512"/>
        <v>-0.3684210526</v>
      </c>
      <c r="U1458" s="179">
        <f t="shared" si="513"/>
        <v>-1</v>
      </c>
      <c r="V1458" s="179" t="str">
        <f t="shared" si="514"/>
        <v/>
      </c>
      <c r="W1458" s="179" t="str">
        <f t="shared" si="515"/>
        <v/>
      </c>
      <c r="X1458" s="26"/>
    </row>
    <row r="1459">
      <c r="A1459" s="28"/>
      <c r="B1459" s="28"/>
      <c r="C1459" s="107"/>
      <c r="D1459" s="83" t="s">
        <v>673</v>
      </c>
      <c r="E1459" s="105">
        <f>360000*2</f>
        <v>720000</v>
      </c>
      <c r="F1459" s="105">
        <f>500000*2</f>
        <v>1000000</v>
      </c>
      <c r="G1459" s="34">
        <f t="shared" si="526"/>
        <v>0.3888888889</v>
      </c>
      <c r="H1459" s="99"/>
      <c r="I1459" s="99"/>
      <c r="J1459" s="99"/>
      <c r="K1459" s="99"/>
      <c r="L1459" s="99"/>
      <c r="M1459" s="99"/>
      <c r="N1459" s="99"/>
      <c r="O1459" s="99"/>
      <c r="P1459" s="99"/>
      <c r="Q1459" s="108"/>
      <c r="R1459" s="108"/>
      <c r="S1459" s="100"/>
      <c r="T1459" s="24">
        <f t="shared" si="512"/>
        <v>-0.3888888889</v>
      </c>
      <c r="U1459" s="179">
        <f t="shared" si="513"/>
        <v>-1</v>
      </c>
      <c r="V1459" s="179" t="str">
        <f t="shared" si="514"/>
        <v/>
      </c>
      <c r="W1459" s="179" t="str">
        <f t="shared" si="515"/>
        <v/>
      </c>
      <c r="X1459" s="26"/>
    </row>
    <row r="1460">
      <c r="A1460" s="28"/>
      <c r="B1460" s="28"/>
      <c r="C1460" s="107"/>
      <c r="D1460" s="83" t="s">
        <v>674</v>
      </c>
      <c r="E1460" s="105">
        <f>320000+(36000*2)+30000+20000</f>
        <v>442000</v>
      </c>
      <c r="F1460" s="105">
        <f>325000*2</f>
        <v>650000</v>
      </c>
      <c r="G1460" s="34">
        <f t="shared" si="526"/>
        <v>0.4705882353</v>
      </c>
      <c r="H1460" s="99"/>
      <c r="I1460" s="99"/>
      <c r="J1460" s="99"/>
      <c r="K1460" s="99"/>
      <c r="L1460" s="99"/>
      <c r="M1460" s="99"/>
      <c r="N1460" s="99"/>
      <c r="O1460" s="99"/>
      <c r="P1460" s="99"/>
      <c r="Q1460" s="108"/>
      <c r="R1460" s="108"/>
      <c r="S1460" s="100"/>
      <c r="T1460" s="24">
        <f t="shared" si="512"/>
        <v>-0.4705882353</v>
      </c>
      <c r="U1460" s="179">
        <f t="shared" si="513"/>
        <v>-1</v>
      </c>
      <c r="V1460" s="179" t="str">
        <f t="shared" si="514"/>
        <v/>
      </c>
      <c r="W1460" s="179" t="str">
        <f t="shared" si="515"/>
        <v/>
      </c>
      <c r="X1460" s="26"/>
    </row>
    <row r="1461">
      <c r="A1461" s="28"/>
      <c r="B1461" s="28"/>
      <c r="C1461" s="107"/>
      <c r="D1461" s="83" t="s">
        <v>675</v>
      </c>
      <c r="E1461" s="105">
        <f>420000*2</f>
        <v>840000</v>
      </c>
      <c r="F1461" s="105">
        <f>570000*2</f>
        <v>1140000</v>
      </c>
      <c r="G1461" s="34">
        <f t="shared" si="526"/>
        <v>0.3571428571</v>
      </c>
      <c r="H1461" s="99"/>
      <c r="I1461" s="99"/>
      <c r="J1461" s="99"/>
      <c r="K1461" s="99"/>
      <c r="L1461" s="99"/>
      <c r="M1461" s="99"/>
      <c r="N1461" s="99"/>
      <c r="O1461" s="99"/>
      <c r="P1461" s="99"/>
      <c r="Q1461" s="108"/>
      <c r="R1461" s="108"/>
      <c r="S1461" s="100"/>
      <c r="T1461" s="24">
        <f t="shared" si="512"/>
        <v>-0.3571428571</v>
      </c>
      <c r="U1461" s="179">
        <f t="shared" si="513"/>
        <v>-1</v>
      </c>
      <c r="V1461" s="179" t="str">
        <f t="shared" si="514"/>
        <v/>
      </c>
      <c r="W1461" s="179" t="str">
        <f t="shared" si="515"/>
        <v/>
      </c>
      <c r="X1461" s="26"/>
    </row>
    <row r="1462">
      <c r="A1462" s="28"/>
      <c r="B1462" s="28"/>
      <c r="C1462" s="107"/>
      <c r="D1462" s="83" t="s">
        <v>676</v>
      </c>
      <c r="E1462" s="105">
        <f>343200*2</f>
        <v>686400</v>
      </c>
      <c r="F1462" s="105">
        <f>600000*2</f>
        <v>1200000</v>
      </c>
      <c r="G1462" s="34">
        <f t="shared" si="526"/>
        <v>0.7482517483</v>
      </c>
      <c r="H1462" s="99"/>
      <c r="I1462" s="99"/>
      <c r="J1462" s="99"/>
      <c r="K1462" s="99"/>
      <c r="L1462" s="99"/>
      <c r="M1462" s="99"/>
      <c r="N1462" s="99"/>
      <c r="O1462" s="99"/>
      <c r="P1462" s="99"/>
      <c r="Q1462" s="108"/>
      <c r="R1462" s="108"/>
      <c r="S1462" s="100"/>
      <c r="T1462" s="24">
        <f t="shared" si="512"/>
        <v>-0.7482517483</v>
      </c>
      <c r="U1462" s="179">
        <f t="shared" si="513"/>
        <v>-1</v>
      </c>
      <c r="V1462" s="179" t="str">
        <f t="shared" si="514"/>
        <v/>
      </c>
      <c r="W1462" s="179" t="str">
        <f t="shared" si="515"/>
        <v/>
      </c>
      <c r="X1462" s="26"/>
    </row>
    <row r="1463">
      <c r="A1463" s="28"/>
      <c r="B1463" s="28"/>
      <c r="C1463" s="107"/>
      <c r="D1463" s="83" t="s">
        <v>101</v>
      </c>
      <c r="E1463" s="105">
        <f t="shared" ref="E1463:F1463" si="527">SUM(E1458:E1462)</f>
        <v>3448400</v>
      </c>
      <c r="F1463" s="105">
        <f t="shared" si="527"/>
        <v>5030000</v>
      </c>
      <c r="G1463" s="34">
        <f t="shared" si="526"/>
        <v>0.4586474887</v>
      </c>
      <c r="H1463" s="99"/>
      <c r="I1463" s="99"/>
      <c r="J1463" s="99"/>
      <c r="K1463" s="99"/>
      <c r="L1463" s="99"/>
      <c r="M1463" s="99"/>
      <c r="N1463" s="99"/>
      <c r="O1463" s="99"/>
      <c r="P1463" s="99"/>
      <c r="Q1463" s="108"/>
      <c r="R1463" s="108"/>
      <c r="S1463" s="100"/>
      <c r="T1463" s="24">
        <f t="shared" si="512"/>
        <v>-0.4586474887</v>
      </c>
      <c r="U1463" s="179">
        <f t="shared" si="513"/>
        <v>-1</v>
      </c>
      <c r="V1463" s="179" t="str">
        <f t="shared" si="514"/>
        <v/>
      </c>
      <c r="W1463" s="179" t="str">
        <f t="shared" si="515"/>
        <v/>
      </c>
      <c r="X1463" s="26"/>
    </row>
    <row r="1464">
      <c r="A1464" s="28"/>
      <c r="B1464" s="28"/>
      <c r="C1464" s="107"/>
      <c r="D1464" s="83" t="s">
        <v>148</v>
      </c>
      <c r="E1464" s="105">
        <f>F1463-E1463</f>
        <v>1581600</v>
      </c>
      <c r="F1464" s="105"/>
      <c r="G1464" s="34"/>
      <c r="H1464" s="99"/>
      <c r="I1464" s="99"/>
      <c r="J1464" s="99"/>
      <c r="K1464" s="99"/>
      <c r="L1464" s="99"/>
      <c r="M1464" s="99"/>
      <c r="N1464" s="99"/>
      <c r="O1464" s="99"/>
      <c r="P1464" s="99"/>
      <c r="Q1464" s="108"/>
      <c r="R1464" s="108"/>
      <c r="S1464" s="100"/>
      <c r="T1464" s="24">
        <f t="shared" si="512"/>
        <v>0</v>
      </c>
      <c r="U1464" s="179" t="str">
        <f t="shared" si="513"/>
        <v/>
      </c>
      <c r="V1464" s="179" t="str">
        <f t="shared" si="514"/>
        <v/>
      </c>
      <c r="W1464" s="179" t="str">
        <f t="shared" si="515"/>
        <v/>
      </c>
      <c r="X1464" s="26"/>
    </row>
    <row r="1465">
      <c r="A1465" s="28"/>
      <c r="B1465" s="28"/>
      <c r="C1465" s="107"/>
      <c r="D1465" s="97"/>
      <c r="E1465" s="105"/>
      <c r="F1465" s="105"/>
      <c r="G1465" s="34"/>
      <c r="H1465" s="99"/>
      <c r="I1465" s="99"/>
      <c r="J1465" s="99"/>
      <c r="K1465" s="99"/>
      <c r="L1465" s="99"/>
      <c r="M1465" s="99"/>
      <c r="N1465" s="99"/>
      <c r="O1465" s="99"/>
      <c r="P1465" s="99"/>
      <c r="Q1465" s="108"/>
      <c r="R1465" s="108"/>
      <c r="S1465" s="100"/>
      <c r="T1465" s="24">
        <f t="shared" si="512"/>
        <v>0</v>
      </c>
      <c r="U1465" s="179" t="str">
        <f t="shared" si="513"/>
        <v/>
      </c>
      <c r="V1465" s="179" t="str">
        <f t="shared" si="514"/>
        <v/>
      </c>
      <c r="W1465" s="179" t="str">
        <f t="shared" si="515"/>
        <v/>
      </c>
      <c r="X1465" s="26"/>
    </row>
    <row r="1466">
      <c r="A1466" s="28"/>
      <c r="B1466" s="28"/>
      <c r="C1466" s="107"/>
      <c r="D1466" s="97"/>
      <c r="E1466" s="105"/>
      <c r="F1466" s="105"/>
      <c r="G1466" s="34"/>
      <c r="H1466" s="99"/>
      <c r="I1466" s="99"/>
      <c r="J1466" s="99"/>
      <c r="K1466" s="99"/>
      <c r="L1466" s="99"/>
      <c r="M1466" s="99"/>
      <c r="N1466" s="99"/>
      <c r="O1466" s="99"/>
      <c r="P1466" s="99"/>
      <c r="Q1466" s="108"/>
      <c r="R1466" s="108"/>
      <c r="S1466" s="100"/>
      <c r="T1466" s="24">
        <f t="shared" si="512"/>
        <v>0</v>
      </c>
      <c r="U1466" s="179" t="str">
        <f t="shared" si="513"/>
        <v/>
      </c>
      <c r="V1466" s="179" t="str">
        <f t="shared" si="514"/>
        <v/>
      </c>
      <c r="W1466" s="179" t="str">
        <f t="shared" si="515"/>
        <v/>
      </c>
      <c r="X1466" s="26"/>
    </row>
    <row r="1467">
      <c r="A1467" s="28"/>
      <c r="B1467" s="28"/>
      <c r="C1467" s="107"/>
      <c r="D1467" s="97"/>
      <c r="E1467" s="105"/>
      <c r="F1467" s="105"/>
      <c r="G1467" s="34"/>
      <c r="H1467" s="99"/>
      <c r="I1467" s="99"/>
      <c r="J1467" s="99"/>
      <c r="K1467" s="99"/>
      <c r="L1467" s="99"/>
      <c r="M1467" s="99"/>
      <c r="N1467" s="99"/>
      <c r="O1467" s="99"/>
      <c r="P1467" s="99"/>
      <c r="Q1467" s="108"/>
      <c r="R1467" s="108"/>
      <c r="S1467" s="100"/>
      <c r="T1467" s="24">
        <f t="shared" si="512"/>
        <v>0</v>
      </c>
      <c r="U1467" s="179" t="str">
        <f t="shared" si="513"/>
        <v/>
      </c>
      <c r="V1467" s="179" t="str">
        <f t="shared" si="514"/>
        <v/>
      </c>
      <c r="W1467" s="179" t="str">
        <f t="shared" si="515"/>
        <v/>
      </c>
      <c r="X1467" s="26"/>
    </row>
    <row r="1468">
      <c r="A1468" s="28"/>
      <c r="B1468" s="28"/>
      <c r="C1468" s="82" t="s">
        <v>677</v>
      </c>
      <c r="D1468" s="83" t="s">
        <v>678</v>
      </c>
      <c r="E1468" s="105">
        <f>428000*4+180000</f>
        <v>1892000</v>
      </c>
      <c r="F1468" s="201">
        <v>2650000.0</v>
      </c>
      <c r="G1468" s="34">
        <f>(F1468-E1468)/E1468</f>
        <v>0.4006342495</v>
      </c>
      <c r="H1468" s="99"/>
      <c r="I1468" s="99"/>
      <c r="J1468" s="99"/>
      <c r="K1468" s="99"/>
      <c r="L1468" s="99"/>
      <c r="M1468" s="99"/>
      <c r="N1468" s="99"/>
      <c r="O1468" s="99"/>
      <c r="P1468" s="99"/>
      <c r="Q1468" s="108"/>
      <c r="R1468" s="108"/>
      <c r="S1468" s="100"/>
      <c r="T1468" s="24">
        <f t="shared" si="512"/>
        <v>-0.4006342495</v>
      </c>
      <c r="U1468" s="179">
        <f t="shared" si="513"/>
        <v>-1</v>
      </c>
      <c r="V1468" s="179" t="str">
        <f t="shared" si="514"/>
        <v/>
      </c>
      <c r="W1468" s="179" t="str">
        <f t="shared" si="515"/>
        <v/>
      </c>
      <c r="X1468" s="26"/>
    </row>
    <row r="1469">
      <c r="A1469" s="28"/>
      <c r="B1469" s="28"/>
      <c r="C1469" s="107"/>
      <c r="D1469" s="83" t="s">
        <v>214</v>
      </c>
      <c r="E1469" s="105">
        <f>F1468-E1468</f>
        <v>758000</v>
      </c>
      <c r="F1469" s="105"/>
      <c r="G1469" s="34"/>
      <c r="H1469" s="99"/>
      <c r="I1469" s="99"/>
      <c r="J1469" s="99"/>
      <c r="K1469" s="99"/>
      <c r="L1469" s="99"/>
      <c r="M1469" s="99"/>
      <c r="N1469" s="99"/>
      <c r="O1469" s="99"/>
      <c r="P1469" s="99"/>
      <c r="Q1469" s="108"/>
      <c r="R1469" s="108"/>
      <c r="S1469" s="100"/>
      <c r="T1469" s="24">
        <f t="shared" si="512"/>
        <v>0</v>
      </c>
      <c r="U1469" s="179" t="str">
        <f t="shared" si="513"/>
        <v/>
      </c>
      <c r="V1469" s="179" t="str">
        <f t="shared" si="514"/>
        <v/>
      </c>
      <c r="W1469" s="179" t="str">
        <f t="shared" si="515"/>
        <v/>
      </c>
      <c r="X1469" s="26"/>
    </row>
    <row r="1470">
      <c r="A1470" s="28"/>
      <c r="B1470" s="28"/>
      <c r="C1470" s="107"/>
      <c r="D1470" s="97"/>
      <c r="E1470" s="105"/>
      <c r="F1470" s="105"/>
      <c r="G1470" s="261" t="s">
        <v>679</v>
      </c>
      <c r="H1470" s="99"/>
      <c r="I1470" s="99"/>
      <c r="J1470" s="99"/>
      <c r="K1470" s="99"/>
      <c r="L1470" s="99"/>
      <c r="M1470" s="99"/>
      <c r="N1470" s="99"/>
      <c r="O1470" s="99"/>
      <c r="P1470" s="99"/>
      <c r="Q1470" s="108"/>
      <c r="R1470" s="108"/>
      <c r="S1470" s="100"/>
      <c r="T1470" s="24" t="str">
        <f t="shared" si="512"/>
        <v>#VALUE!</v>
      </c>
      <c r="U1470" s="179" t="str">
        <f t="shared" si="513"/>
        <v/>
      </c>
      <c r="V1470" s="179" t="str">
        <f t="shared" si="514"/>
        <v/>
      </c>
      <c r="W1470" s="179" t="str">
        <f t="shared" si="515"/>
        <v/>
      </c>
      <c r="X1470" s="26"/>
    </row>
    <row r="1471">
      <c r="A1471" s="28"/>
      <c r="B1471" s="28"/>
      <c r="C1471" s="107"/>
      <c r="D1471" s="97"/>
      <c r="E1471" s="105"/>
      <c r="F1471" s="105"/>
      <c r="G1471" s="261" t="s">
        <v>679</v>
      </c>
      <c r="H1471" s="99"/>
      <c r="I1471" s="99"/>
      <c r="J1471" s="99"/>
      <c r="K1471" s="99"/>
      <c r="L1471" s="99"/>
      <c r="M1471" s="99"/>
      <c r="N1471" s="99"/>
      <c r="O1471" s="99"/>
      <c r="P1471" s="99"/>
      <c r="Q1471" s="108"/>
      <c r="R1471" s="108"/>
      <c r="S1471" s="100"/>
      <c r="T1471" s="24" t="str">
        <f t="shared" si="512"/>
        <v>#VALUE!</v>
      </c>
      <c r="U1471" s="179" t="str">
        <f t="shared" si="513"/>
        <v/>
      </c>
      <c r="V1471" s="179" t="str">
        <f t="shared" si="514"/>
        <v/>
      </c>
      <c r="W1471" s="179" t="str">
        <f t="shared" si="515"/>
        <v/>
      </c>
      <c r="X1471" s="26"/>
    </row>
    <row r="1472">
      <c r="A1472" s="28"/>
      <c r="B1472" s="28"/>
      <c r="C1472" s="82" t="s">
        <v>680</v>
      </c>
      <c r="D1472" s="83" t="s">
        <v>325</v>
      </c>
      <c r="E1472" s="105">
        <f>360000*2</f>
        <v>720000</v>
      </c>
      <c r="F1472" s="105">
        <f>500000*2</f>
        <v>1000000</v>
      </c>
      <c r="G1472" s="34">
        <f t="shared" ref="G1472:G1474" si="528">(F1472-E1472)/E1472</f>
        <v>0.3888888889</v>
      </c>
      <c r="H1472" s="99"/>
      <c r="I1472" s="99"/>
      <c r="J1472" s="99"/>
      <c r="K1472" s="99"/>
      <c r="L1472" s="99"/>
      <c r="M1472" s="99"/>
      <c r="N1472" s="99"/>
      <c r="O1472" s="99"/>
      <c r="P1472" s="99"/>
      <c r="Q1472" s="108"/>
      <c r="R1472" s="108"/>
      <c r="S1472" s="100"/>
      <c r="T1472" s="24">
        <f t="shared" si="512"/>
        <v>-0.3888888889</v>
      </c>
      <c r="U1472" s="179">
        <f t="shared" si="513"/>
        <v>-1</v>
      </c>
      <c r="V1472" s="179" t="str">
        <f t="shared" si="514"/>
        <v/>
      </c>
      <c r="W1472" s="179" t="str">
        <f t="shared" si="515"/>
        <v/>
      </c>
      <c r="X1472" s="26"/>
    </row>
    <row r="1473">
      <c r="A1473" s="28"/>
      <c r="B1473" s="28"/>
      <c r="C1473" s="107"/>
      <c r="D1473" s="83" t="s">
        <v>267</v>
      </c>
      <c r="E1473" s="105"/>
      <c r="F1473" s="105"/>
      <c r="G1473" s="34" t="str">
        <f t="shared" si="528"/>
        <v>#DIV/0!</v>
      </c>
      <c r="H1473" s="99"/>
      <c r="I1473" s="99"/>
      <c r="J1473" s="99"/>
      <c r="K1473" s="99"/>
      <c r="L1473" s="99"/>
      <c r="M1473" s="99"/>
      <c r="N1473" s="99"/>
      <c r="O1473" s="99"/>
      <c r="P1473" s="99"/>
      <c r="Q1473" s="108"/>
      <c r="R1473" s="108"/>
      <c r="S1473" s="100"/>
      <c r="T1473" s="24" t="str">
        <f t="shared" si="512"/>
        <v>#DIV/0!</v>
      </c>
      <c r="U1473" s="179" t="str">
        <f t="shared" si="513"/>
        <v/>
      </c>
      <c r="V1473" s="179" t="str">
        <f t="shared" si="514"/>
        <v/>
      </c>
      <c r="W1473" s="179" t="str">
        <f t="shared" si="515"/>
        <v/>
      </c>
      <c r="X1473" s="26"/>
    </row>
    <row r="1474">
      <c r="A1474" s="28"/>
      <c r="B1474" s="28"/>
      <c r="C1474" s="107"/>
      <c r="D1474" s="83" t="s">
        <v>101</v>
      </c>
      <c r="E1474" s="105">
        <f t="shared" ref="E1474:F1474" si="529">SUM(E1472:E1473)</f>
        <v>720000</v>
      </c>
      <c r="F1474" s="105">
        <f t="shared" si="529"/>
        <v>1000000</v>
      </c>
      <c r="G1474" s="34">
        <f t="shared" si="528"/>
        <v>0.3888888889</v>
      </c>
      <c r="H1474" s="99"/>
      <c r="I1474" s="99"/>
      <c r="J1474" s="99"/>
      <c r="K1474" s="99"/>
      <c r="L1474" s="99"/>
      <c r="M1474" s="99"/>
      <c r="N1474" s="99"/>
      <c r="O1474" s="99"/>
      <c r="P1474" s="99"/>
      <c r="Q1474" s="108"/>
      <c r="R1474" s="108"/>
      <c r="S1474" s="100"/>
      <c r="T1474" s="24">
        <f t="shared" si="512"/>
        <v>-0.3888888889</v>
      </c>
      <c r="U1474" s="179">
        <f t="shared" si="513"/>
        <v>-1</v>
      </c>
      <c r="V1474" s="179" t="str">
        <f t="shared" si="514"/>
        <v/>
      </c>
      <c r="W1474" s="179" t="str">
        <f t="shared" si="515"/>
        <v/>
      </c>
      <c r="X1474" s="26"/>
    </row>
    <row r="1475">
      <c r="A1475" s="28"/>
      <c r="B1475" s="28"/>
      <c r="C1475" s="107"/>
      <c r="D1475" s="83" t="s">
        <v>148</v>
      </c>
      <c r="E1475" s="105">
        <f>F1474-E1474</f>
        <v>280000</v>
      </c>
      <c r="F1475" s="105"/>
      <c r="G1475" s="34"/>
      <c r="H1475" s="99"/>
      <c r="I1475" s="99"/>
      <c r="J1475" s="99"/>
      <c r="K1475" s="99"/>
      <c r="L1475" s="99"/>
      <c r="M1475" s="99"/>
      <c r="N1475" s="99"/>
      <c r="O1475" s="99"/>
      <c r="P1475" s="99"/>
      <c r="Q1475" s="108"/>
      <c r="R1475" s="108"/>
      <c r="S1475" s="100"/>
      <c r="T1475" s="24">
        <f t="shared" si="512"/>
        <v>0</v>
      </c>
      <c r="U1475" s="179" t="str">
        <f t="shared" si="513"/>
        <v/>
      </c>
      <c r="V1475" s="179" t="str">
        <f t="shared" si="514"/>
        <v/>
      </c>
      <c r="W1475" s="179" t="str">
        <f t="shared" si="515"/>
        <v/>
      </c>
      <c r="X1475" s="26"/>
    </row>
    <row r="1476">
      <c r="A1476" s="28"/>
      <c r="B1476" s="28"/>
      <c r="C1476" s="107"/>
      <c r="D1476" s="97"/>
      <c r="E1476" s="105"/>
      <c r="F1476" s="105"/>
      <c r="G1476" s="34"/>
      <c r="H1476" s="99"/>
      <c r="I1476" s="99"/>
      <c r="J1476" s="99"/>
      <c r="K1476" s="99"/>
      <c r="L1476" s="99"/>
      <c r="M1476" s="99"/>
      <c r="N1476" s="99"/>
      <c r="O1476" s="99"/>
      <c r="P1476" s="99"/>
      <c r="Q1476" s="108"/>
      <c r="R1476" s="108"/>
      <c r="S1476" s="100"/>
      <c r="T1476" s="24">
        <f t="shared" si="512"/>
        <v>0</v>
      </c>
      <c r="U1476" s="179" t="str">
        <f t="shared" si="513"/>
        <v/>
      </c>
      <c r="V1476" s="179" t="str">
        <f t="shared" si="514"/>
        <v/>
      </c>
      <c r="W1476" s="179" t="str">
        <f t="shared" si="515"/>
        <v/>
      </c>
      <c r="X1476" s="26"/>
    </row>
    <row r="1477">
      <c r="A1477" s="28"/>
      <c r="B1477" s="28"/>
      <c r="C1477" s="107"/>
      <c r="D1477" s="97"/>
      <c r="E1477" s="105"/>
      <c r="F1477" s="105"/>
      <c r="G1477" s="34"/>
      <c r="H1477" s="99"/>
      <c r="I1477" s="99"/>
      <c r="J1477" s="99"/>
      <c r="K1477" s="99"/>
      <c r="L1477" s="99"/>
      <c r="M1477" s="99"/>
      <c r="N1477" s="99"/>
      <c r="O1477" s="99"/>
      <c r="P1477" s="99"/>
      <c r="Q1477" s="108"/>
      <c r="R1477" s="108"/>
      <c r="S1477" s="100"/>
      <c r="T1477" s="24">
        <f t="shared" si="512"/>
        <v>0</v>
      </c>
      <c r="U1477" s="179" t="str">
        <f t="shared" si="513"/>
        <v/>
      </c>
      <c r="V1477" s="179" t="str">
        <f t="shared" si="514"/>
        <v/>
      </c>
      <c r="W1477" s="179" t="str">
        <f t="shared" si="515"/>
        <v/>
      </c>
      <c r="X1477" s="26"/>
    </row>
    <row r="1478">
      <c r="A1478" s="28"/>
      <c r="B1478" s="28"/>
      <c r="C1478" s="82" t="s">
        <v>681</v>
      </c>
      <c r="D1478" s="83" t="s">
        <v>309</v>
      </c>
      <c r="E1478" s="201">
        <v>2940000.0</v>
      </c>
      <c r="F1478" s="105">
        <f t="shared" ref="F1478:F1479" si="530">E1478*1.5</f>
        <v>4410000</v>
      </c>
      <c r="G1478" s="34">
        <f t="shared" ref="G1478:G1480" si="531">(F1478-E1478)/E1478</f>
        <v>0.5</v>
      </c>
      <c r="H1478" s="99"/>
      <c r="I1478" s="99"/>
      <c r="J1478" s="99"/>
      <c r="K1478" s="99"/>
      <c r="L1478" s="99"/>
      <c r="M1478" s="99"/>
      <c r="N1478" s="99"/>
      <c r="O1478" s="99"/>
      <c r="P1478" s="99"/>
      <c r="Q1478" s="108"/>
      <c r="R1478" s="108"/>
      <c r="S1478" s="100"/>
      <c r="T1478" s="24">
        <f t="shared" si="512"/>
        <v>-0.5</v>
      </c>
      <c r="U1478" s="179">
        <f t="shared" si="513"/>
        <v>-1</v>
      </c>
      <c r="V1478" s="179" t="str">
        <f t="shared" si="514"/>
        <v/>
      </c>
      <c r="W1478" s="179" t="str">
        <f t="shared" si="515"/>
        <v/>
      </c>
      <c r="X1478" s="26"/>
    </row>
    <row r="1479">
      <c r="A1479" s="28"/>
      <c r="B1479" s="28"/>
      <c r="C1479" s="107"/>
      <c r="D1479" s="83" t="s">
        <v>682</v>
      </c>
      <c r="E1479" s="105">
        <f>450000*4</f>
        <v>1800000</v>
      </c>
      <c r="F1479" s="105">
        <f t="shared" si="530"/>
        <v>2700000</v>
      </c>
      <c r="G1479" s="34">
        <f t="shared" si="531"/>
        <v>0.5</v>
      </c>
      <c r="H1479" s="98" t="s">
        <v>683</v>
      </c>
      <c r="I1479" s="99"/>
      <c r="J1479" s="99"/>
      <c r="K1479" s="99"/>
      <c r="L1479" s="99"/>
      <c r="M1479" s="99"/>
      <c r="N1479" s="99"/>
      <c r="O1479" s="99"/>
      <c r="P1479" s="99"/>
      <c r="Q1479" s="108"/>
      <c r="R1479" s="108"/>
      <c r="S1479" s="100"/>
      <c r="T1479" s="24">
        <f t="shared" si="512"/>
        <v>-0.5</v>
      </c>
      <c r="U1479" s="179">
        <f t="shared" si="513"/>
        <v>-1</v>
      </c>
      <c r="V1479" s="179" t="str">
        <f t="shared" si="514"/>
        <v/>
      </c>
      <c r="W1479" s="179" t="str">
        <f t="shared" si="515"/>
        <v/>
      </c>
      <c r="X1479" s="26"/>
    </row>
    <row r="1480">
      <c r="A1480" s="28"/>
      <c r="B1480" s="28"/>
      <c r="C1480" s="107"/>
      <c r="D1480" s="83" t="s">
        <v>101</v>
      </c>
      <c r="E1480" s="105">
        <f>E1479+E1478</f>
        <v>4740000</v>
      </c>
      <c r="F1480" s="105">
        <f>F1478+F1479</f>
        <v>7110000</v>
      </c>
      <c r="G1480" s="34">
        <f t="shared" si="531"/>
        <v>0.5</v>
      </c>
      <c r="H1480" s="98">
        <v>6399000.0</v>
      </c>
      <c r="I1480" s="99"/>
      <c r="J1480" s="99"/>
      <c r="K1480" s="99"/>
      <c r="L1480" s="99"/>
      <c r="M1480" s="99"/>
      <c r="N1480" s="99"/>
      <c r="O1480" s="99"/>
      <c r="P1480" s="99"/>
      <c r="Q1480" s="108"/>
      <c r="R1480" s="108"/>
      <c r="S1480" s="100"/>
      <c r="T1480" s="24">
        <f t="shared" si="512"/>
        <v>-0.5</v>
      </c>
      <c r="U1480" s="179">
        <f t="shared" si="513"/>
        <v>-1</v>
      </c>
      <c r="V1480" s="179" t="str">
        <f t="shared" si="514"/>
        <v/>
      </c>
      <c r="W1480" s="179" t="str">
        <f t="shared" si="515"/>
        <v/>
      </c>
      <c r="X1480" s="26"/>
    </row>
    <row r="1481">
      <c r="A1481" s="28"/>
      <c r="B1481" s="28"/>
      <c r="C1481" s="107"/>
      <c r="D1481" s="83" t="s">
        <v>148</v>
      </c>
      <c r="E1481" s="105">
        <f>F1480-E1480</f>
        <v>2370000</v>
      </c>
      <c r="F1481" s="105"/>
      <c r="G1481" s="34"/>
      <c r="H1481" s="99">
        <f>H1480-E1480</f>
        <v>1659000</v>
      </c>
      <c r="I1481" s="99"/>
      <c r="J1481" s="99"/>
      <c r="K1481" s="99"/>
      <c r="L1481" s="99"/>
      <c r="M1481" s="99"/>
      <c r="N1481" s="99"/>
      <c r="O1481" s="99"/>
      <c r="P1481" s="99"/>
      <c r="Q1481" s="108"/>
      <c r="R1481" s="108"/>
      <c r="S1481" s="100"/>
      <c r="T1481" s="24">
        <f t="shared" si="512"/>
        <v>0</v>
      </c>
      <c r="U1481" s="179" t="str">
        <f t="shared" si="513"/>
        <v/>
      </c>
      <c r="V1481" s="179" t="str">
        <f t="shared" si="514"/>
        <v/>
      </c>
      <c r="W1481" s="179" t="str">
        <f t="shared" si="515"/>
        <v/>
      </c>
      <c r="X1481" s="26"/>
    </row>
    <row r="1482">
      <c r="A1482" s="28"/>
      <c r="B1482" s="28"/>
      <c r="C1482" s="107"/>
      <c r="D1482" s="97"/>
      <c r="E1482" s="105"/>
      <c r="F1482" s="105"/>
      <c r="G1482" s="34"/>
      <c r="H1482" s="99"/>
      <c r="I1482" s="99"/>
      <c r="J1482" s="99"/>
      <c r="K1482" s="99"/>
      <c r="L1482" s="99"/>
      <c r="M1482" s="99"/>
      <c r="N1482" s="99"/>
      <c r="O1482" s="99"/>
      <c r="P1482" s="99"/>
      <c r="Q1482" s="108"/>
      <c r="R1482" s="108"/>
      <c r="S1482" s="100"/>
      <c r="T1482" s="24">
        <f t="shared" si="512"/>
        <v>0</v>
      </c>
      <c r="U1482" s="179" t="str">
        <f t="shared" si="513"/>
        <v/>
      </c>
      <c r="V1482" s="179" t="str">
        <f t="shared" si="514"/>
        <v/>
      </c>
      <c r="W1482" s="179" t="str">
        <f t="shared" si="515"/>
        <v/>
      </c>
      <c r="X1482" s="26"/>
    </row>
    <row r="1483">
      <c r="A1483" s="28"/>
      <c r="B1483" s="28"/>
      <c r="C1483" s="107"/>
      <c r="D1483" s="97"/>
      <c r="E1483" s="105"/>
      <c r="F1483" s="105"/>
      <c r="G1483" s="34"/>
      <c r="H1483" s="99"/>
      <c r="I1483" s="99"/>
      <c r="J1483" s="99"/>
      <c r="K1483" s="99"/>
      <c r="L1483" s="99"/>
      <c r="M1483" s="99"/>
      <c r="N1483" s="99"/>
      <c r="O1483" s="99"/>
      <c r="P1483" s="99"/>
      <c r="Q1483" s="108"/>
      <c r="R1483" s="108"/>
      <c r="S1483" s="100"/>
      <c r="T1483" s="24">
        <f t="shared" si="512"/>
        <v>0</v>
      </c>
      <c r="U1483" s="179" t="str">
        <f t="shared" si="513"/>
        <v/>
      </c>
      <c r="V1483" s="179" t="str">
        <f t="shared" si="514"/>
        <v/>
      </c>
      <c r="W1483" s="179" t="str">
        <f t="shared" si="515"/>
        <v/>
      </c>
      <c r="X1483" s="26"/>
    </row>
    <row r="1484">
      <c r="A1484" s="28"/>
      <c r="B1484" s="28"/>
      <c r="C1484" s="107"/>
      <c r="D1484" s="97"/>
      <c r="E1484" s="105"/>
      <c r="F1484" s="105"/>
      <c r="G1484" s="34"/>
      <c r="H1484" s="99"/>
      <c r="I1484" s="99"/>
      <c r="J1484" s="99"/>
      <c r="K1484" s="99"/>
      <c r="L1484" s="99"/>
      <c r="M1484" s="99"/>
      <c r="N1484" s="99"/>
      <c r="O1484" s="99"/>
      <c r="P1484" s="99"/>
      <c r="Q1484" s="108"/>
      <c r="R1484" s="108"/>
      <c r="S1484" s="100"/>
      <c r="T1484" s="24">
        <f t="shared" si="512"/>
        <v>0</v>
      </c>
      <c r="U1484" s="179" t="str">
        <f t="shared" si="513"/>
        <v/>
      </c>
      <c r="V1484" s="179" t="str">
        <f t="shared" si="514"/>
        <v/>
      </c>
      <c r="W1484" s="179" t="str">
        <f t="shared" si="515"/>
        <v/>
      </c>
      <c r="X1484" s="26"/>
    </row>
    <row r="1485">
      <c r="A1485" s="28"/>
      <c r="B1485" s="28"/>
      <c r="C1485" s="107"/>
      <c r="D1485" s="97"/>
      <c r="E1485" s="105"/>
      <c r="F1485" s="105"/>
      <c r="G1485" s="34"/>
      <c r="H1485" s="99"/>
      <c r="I1485" s="99"/>
      <c r="J1485" s="99"/>
      <c r="K1485" s="99"/>
      <c r="L1485" s="99"/>
      <c r="M1485" s="99"/>
      <c r="N1485" s="99"/>
      <c r="O1485" s="99"/>
      <c r="P1485" s="99"/>
      <c r="Q1485" s="108"/>
      <c r="R1485" s="108"/>
      <c r="S1485" s="100"/>
      <c r="T1485" s="24">
        <f t="shared" si="512"/>
        <v>0</v>
      </c>
      <c r="U1485" s="179" t="str">
        <f t="shared" si="513"/>
        <v/>
      </c>
      <c r="V1485" s="179" t="str">
        <f t="shared" si="514"/>
        <v/>
      </c>
      <c r="W1485" s="179" t="str">
        <f t="shared" si="515"/>
        <v/>
      </c>
      <c r="X1485" s="26"/>
    </row>
    <row r="1486">
      <c r="A1486" s="28"/>
      <c r="B1486" s="28"/>
      <c r="C1486" s="1" t="s">
        <v>684</v>
      </c>
      <c r="D1486" s="83" t="s">
        <v>685</v>
      </c>
      <c r="E1486" s="105">
        <f>320000+38000*2+20000+240000</f>
        <v>656000</v>
      </c>
      <c r="F1486" s="201">
        <v>850000.0</v>
      </c>
      <c r="G1486" s="34">
        <f t="shared" ref="G1486:G1488" si="532">(F1486-E1486)/E1486</f>
        <v>0.2957317073</v>
      </c>
      <c r="H1486" s="99"/>
      <c r="I1486" s="99"/>
      <c r="J1486" s="99"/>
      <c r="K1486" s="99"/>
      <c r="L1486" s="99"/>
      <c r="M1486" s="99"/>
      <c r="N1486" s="99"/>
      <c r="O1486" s="99"/>
      <c r="P1486" s="99"/>
      <c r="Q1486" s="108"/>
      <c r="R1486" s="108"/>
      <c r="S1486" s="100"/>
      <c r="T1486" s="24">
        <f t="shared" si="512"/>
        <v>-0.2957317073</v>
      </c>
      <c r="U1486" s="179">
        <f t="shared" si="513"/>
        <v>-1</v>
      </c>
      <c r="V1486" s="179" t="str">
        <f t="shared" si="514"/>
        <v/>
      </c>
      <c r="W1486" s="179" t="str">
        <f t="shared" si="515"/>
        <v/>
      </c>
      <c r="X1486" s="26"/>
    </row>
    <row r="1487">
      <c r="A1487" s="28"/>
      <c r="B1487" s="28"/>
      <c r="C1487" s="107"/>
      <c r="D1487" s="83" t="s">
        <v>156</v>
      </c>
      <c r="E1487" s="105">
        <f>390000*2</f>
        <v>780000</v>
      </c>
      <c r="F1487" s="105">
        <f>610000*2</f>
        <v>1220000</v>
      </c>
      <c r="G1487" s="34">
        <f t="shared" si="532"/>
        <v>0.5641025641</v>
      </c>
      <c r="H1487" s="99"/>
      <c r="I1487" s="99"/>
      <c r="J1487" s="99"/>
      <c r="K1487" s="99"/>
      <c r="L1487" s="99"/>
      <c r="M1487" s="99"/>
      <c r="N1487" s="99"/>
      <c r="O1487" s="99"/>
      <c r="P1487" s="99"/>
      <c r="Q1487" s="108"/>
      <c r="R1487" s="108"/>
      <c r="S1487" s="100"/>
      <c r="T1487" s="24">
        <f t="shared" si="512"/>
        <v>-0.5641025641</v>
      </c>
      <c r="U1487" s="179">
        <f t="shared" si="513"/>
        <v>-1</v>
      </c>
      <c r="V1487" s="179" t="str">
        <f t="shared" si="514"/>
        <v/>
      </c>
      <c r="W1487" s="179" t="str">
        <f t="shared" si="515"/>
        <v/>
      </c>
      <c r="X1487" s="26"/>
    </row>
    <row r="1488">
      <c r="A1488" s="28"/>
      <c r="B1488" s="28"/>
      <c r="C1488" s="107"/>
      <c r="D1488" s="83" t="s">
        <v>101</v>
      </c>
      <c r="E1488" s="105">
        <f t="shared" ref="E1488:F1488" si="533">E1486+E1487</f>
        <v>1436000</v>
      </c>
      <c r="F1488" s="105">
        <f t="shared" si="533"/>
        <v>2070000</v>
      </c>
      <c r="G1488" s="34">
        <f t="shared" si="532"/>
        <v>0.4415041783</v>
      </c>
      <c r="H1488" s="99"/>
      <c r="I1488" s="99"/>
      <c r="J1488" s="99"/>
      <c r="K1488" s="99"/>
      <c r="L1488" s="99"/>
      <c r="M1488" s="99"/>
      <c r="N1488" s="99"/>
      <c r="O1488" s="99"/>
      <c r="P1488" s="99"/>
      <c r="Q1488" s="108"/>
      <c r="R1488" s="108"/>
      <c r="S1488" s="100"/>
      <c r="T1488" s="24">
        <f t="shared" si="512"/>
        <v>-0.4415041783</v>
      </c>
      <c r="U1488" s="179">
        <f t="shared" si="513"/>
        <v>-1</v>
      </c>
      <c r="V1488" s="179" t="str">
        <f t="shared" si="514"/>
        <v/>
      </c>
      <c r="W1488" s="179" t="str">
        <f t="shared" si="515"/>
        <v/>
      </c>
      <c r="X1488" s="26"/>
    </row>
    <row r="1489">
      <c r="A1489" s="28"/>
      <c r="B1489" s="28"/>
      <c r="C1489" s="107"/>
      <c r="D1489" s="83" t="s">
        <v>148</v>
      </c>
      <c r="E1489" s="105">
        <f>F1488-E1488</f>
        <v>634000</v>
      </c>
      <c r="F1489" s="105"/>
      <c r="G1489" s="34"/>
      <c r="H1489" s="99"/>
      <c r="I1489" s="99"/>
      <c r="J1489" s="99"/>
      <c r="K1489" s="99"/>
      <c r="L1489" s="99"/>
      <c r="M1489" s="99"/>
      <c r="N1489" s="99"/>
      <c r="O1489" s="99"/>
      <c r="P1489" s="99"/>
      <c r="Q1489" s="108"/>
      <c r="R1489" s="108"/>
      <c r="S1489" s="100"/>
      <c r="T1489" s="24">
        <f t="shared" si="512"/>
        <v>0</v>
      </c>
      <c r="U1489" s="179" t="str">
        <f t="shared" si="513"/>
        <v/>
      </c>
      <c r="V1489" s="179" t="str">
        <f t="shared" si="514"/>
        <v/>
      </c>
      <c r="W1489" s="179" t="str">
        <f t="shared" si="515"/>
        <v/>
      </c>
      <c r="X1489" s="26"/>
    </row>
    <row r="1490">
      <c r="A1490" s="28"/>
      <c r="B1490" s="28"/>
      <c r="C1490" s="107"/>
      <c r="D1490" s="97"/>
      <c r="E1490" s="105"/>
      <c r="F1490" s="105"/>
      <c r="G1490" s="34"/>
      <c r="H1490" s="99"/>
      <c r="I1490" s="99"/>
      <c r="J1490" s="99"/>
      <c r="K1490" s="99"/>
      <c r="L1490" s="99"/>
      <c r="M1490" s="99"/>
      <c r="N1490" s="99"/>
      <c r="O1490" s="99"/>
      <c r="P1490" s="99"/>
      <c r="Q1490" s="108"/>
      <c r="R1490" s="108"/>
      <c r="S1490" s="100"/>
      <c r="T1490" s="24">
        <f t="shared" si="512"/>
        <v>0</v>
      </c>
      <c r="U1490" s="179" t="str">
        <f t="shared" si="513"/>
        <v/>
      </c>
      <c r="V1490" s="179" t="str">
        <f t="shared" si="514"/>
        <v/>
      </c>
      <c r="W1490" s="179" t="str">
        <f t="shared" si="515"/>
        <v/>
      </c>
      <c r="X1490" s="26"/>
    </row>
    <row r="1491">
      <c r="A1491" s="28"/>
      <c r="B1491" s="28"/>
      <c r="C1491" s="107"/>
      <c r="D1491" s="97"/>
      <c r="E1491" s="105"/>
      <c r="F1491" s="105"/>
      <c r="G1491" s="34"/>
      <c r="H1491" s="99"/>
      <c r="I1491" s="99"/>
      <c r="J1491" s="99"/>
      <c r="K1491" s="99"/>
      <c r="L1491" s="99"/>
      <c r="M1491" s="99"/>
      <c r="N1491" s="99"/>
      <c r="O1491" s="99"/>
      <c r="P1491" s="99"/>
      <c r="Q1491" s="108"/>
      <c r="R1491" s="108"/>
      <c r="S1491" s="100"/>
      <c r="T1491" s="24">
        <f t="shared" si="512"/>
        <v>0</v>
      </c>
      <c r="U1491" s="179" t="str">
        <f t="shared" si="513"/>
        <v/>
      </c>
      <c r="V1491" s="179" t="str">
        <f t="shared" si="514"/>
        <v/>
      </c>
      <c r="W1491" s="179" t="str">
        <f t="shared" si="515"/>
        <v/>
      </c>
      <c r="X1491" s="26"/>
    </row>
    <row r="1492">
      <c r="A1492" s="28"/>
      <c r="B1492" s="28"/>
      <c r="C1492" s="82" t="s">
        <v>686</v>
      </c>
      <c r="D1492" s="83" t="s">
        <v>284</v>
      </c>
      <c r="E1492" s="105">
        <f>633000*2</f>
        <v>1266000</v>
      </c>
      <c r="F1492" s="105">
        <f>870000*2</f>
        <v>1740000</v>
      </c>
      <c r="G1492" s="34">
        <f t="shared" ref="G1492:G1495" si="534">(F1492-E1492)/E1492</f>
        <v>0.3744075829</v>
      </c>
      <c r="H1492" s="99"/>
      <c r="I1492" s="99"/>
      <c r="J1492" s="99"/>
      <c r="K1492" s="99"/>
      <c r="L1492" s="99"/>
      <c r="M1492" s="99"/>
      <c r="N1492" s="99"/>
      <c r="O1492" s="99"/>
      <c r="P1492" s="99"/>
      <c r="Q1492" s="108"/>
      <c r="R1492" s="108"/>
      <c r="S1492" s="100"/>
      <c r="T1492" s="24">
        <f t="shared" si="512"/>
        <v>-0.3744075829</v>
      </c>
      <c r="U1492" s="179">
        <f t="shared" si="513"/>
        <v>-1</v>
      </c>
      <c r="V1492" s="179" t="str">
        <f t="shared" si="514"/>
        <v/>
      </c>
      <c r="W1492" s="179" t="str">
        <f t="shared" si="515"/>
        <v/>
      </c>
      <c r="X1492" s="26"/>
    </row>
    <row r="1493">
      <c r="A1493" s="28"/>
      <c r="B1493" s="28"/>
      <c r="C1493" s="107"/>
      <c r="D1493" s="83" t="s">
        <v>687</v>
      </c>
      <c r="E1493" s="105">
        <f>300000*2</f>
        <v>600000</v>
      </c>
      <c r="F1493" s="105">
        <f>460000*2</f>
        <v>920000</v>
      </c>
      <c r="G1493" s="34">
        <f t="shared" si="534"/>
        <v>0.5333333333</v>
      </c>
      <c r="H1493" s="99"/>
      <c r="I1493" s="99"/>
      <c r="J1493" s="99"/>
      <c r="K1493" s="99"/>
      <c r="L1493" s="99"/>
      <c r="M1493" s="99"/>
      <c r="N1493" s="99"/>
      <c r="O1493" s="99"/>
      <c r="P1493" s="99"/>
      <c r="Q1493" s="108"/>
      <c r="R1493" s="108"/>
      <c r="S1493" s="100"/>
      <c r="T1493" s="24">
        <f t="shared" si="512"/>
        <v>-0.5333333333</v>
      </c>
      <c r="U1493" s="179">
        <f t="shared" si="513"/>
        <v>-1</v>
      </c>
      <c r="V1493" s="179" t="str">
        <f t="shared" si="514"/>
        <v/>
      </c>
      <c r="W1493" s="179" t="str">
        <f t="shared" si="515"/>
        <v/>
      </c>
      <c r="X1493" s="26"/>
    </row>
    <row r="1494">
      <c r="A1494" s="28"/>
      <c r="B1494" s="28"/>
      <c r="C1494" s="107"/>
      <c r="D1494" s="83" t="s">
        <v>158</v>
      </c>
      <c r="E1494" s="105">
        <f>420000*2</f>
        <v>840000</v>
      </c>
      <c r="F1494" s="105">
        <f>570000*2</f>
        <v>1140000</v>
      </c>
      <c r="G1494" s="34">
        <f t="shared" si="534"/>
        <v>0.3571428571</v>
      </c>
      <c r="H1494" s="99"/>
      <c r="I1494" s="99"/>
      <c r="J1494" s="99"/>
      <c r="K1494" s="99"/>
      <c r="L1494" s="99"/>
      <c r="M1494" s="99"/>
      <c r="N1494" s="99"/>
      <c r="O1494" s="99"/>
      <c r="P1494" s="99"/>
      <c r="Q1494" s="108"/>
      <c r="R1494" s="108"/>
      <c r="S1494" s="100"/>
      <c r="T1494" s="24">
        <f t="shared" si="512"/>
        <v>-0.3571428571</v>
      </c>
      <c r="U1494" s="179">
        <f t="shared" si="513"/>
        <v>-1</v>
      </c>
      <c r="V1494" s="179" t="str">
        <f t="shared" si="514"/>
        <v/>
      </c>
      <c r="W1494" s="179" t="str">
        <f t="shared" si="515"/>
        <v/>
      </c>
      <c r="X1494" s="26"/>
    </row>
    <row r="1495">
      <c r="A1495" s="28"/>
      <c r="B1495" s="28"/>
      <c r="C1495" s="107"/>
      <c r="D1495" s="83" t="s">
        <v>101</v>
      </c>
      <c r="E1495" s="105">
        <f t="shared" ref="E1495:F1495" si="535">SUM(E1492:E1494)</f>
        <v>2706000</v>
      </c>
      <c r="F1495" s="105">
        <f t="shared" si="535"/>
        <v>3800000</v>
      </c>
      <c r="G1495" s="34">
        <f t="shared" si="534"/>
        <v>0.4042867701</v>
      </c>
      <c r="H1495" s="99"/>
      <c r="I1495" s="99"/>
      <c r="J1495" s="99"/>
      <c r="K1495" s="99"/>
      <c r="L1495" s="99"/>
      <c r="M1495" s="99"/>
      <c r="N1495" s="99"/>
      <c r="O1495" s="99"/>
      <c r="P1495" s="99"/>
      <c r="Q1495" s="108"/>
      <c r="R1495" s="108"/>
      <c r="S1495" s="100"/>
      <c r="T1495" s="24">
        <f t="shared" si="512"/>
        <v>-0.4042867701</v>
      </c>
      <c r="U1495" s="179">
        <f t="shared" si="513"/>
        <v>-1</v>
      </c>
      <c r="V1495" s="179" t="str">
        <f t="shared" si="514"/>
        <v/>
      </c>
      <c r="W1495" s="179" t="str">
        <f t="shared" si="515"/>
        <v/>
      </c>
      <c r="X1495" s="26"/>
    </row>
    <row r="1496">
      <c r="A1496" s="28"/>
      <c r="B1496" s="28"/>
      <c r="C1496" s="107"/>
      <c r="D1496" s="83" t="s">
        <v>148</v>
      </c>
      <c r="E1496" s="105">
        <f>F1495-E1495</f>
        <v>1094000</v>
      </c>
      <c r="F1496" s="105"/>
      <c r="G1496" s="34"/>
      <c r="H1496" s="99"/>
      <c r="I1496" s="99"/>
      <c r="J1496" s="99"/>
      <c r="K1496" s="99"/>
      <c r="L1496" s="99"/>
      <c r="M1496" s="99"/>
      <c r="N1496" s="99"/>
      <c r="O1496" s="99"/>
      <c r="P1496" s="99"/>
      <c r="Q1496" s="108"/>
      <c r="R1496" s="108"/>
      <c r="S1496" s="100"/>
      <c r="T1496" s="24">
        <f t="shared" si="512"/>
        <v>0</v>
      </c>
      <c r="U1496" s="179" t="str">
        <f t="shared" si="513"/>
        <v/>
      </c>
      <c r="V1496" s="179" t="str">
        <f t="shared" si="514"/>
        <v/>
      </c>
      <c r="W1496" s="179" t="str">
        <f t="shared" si="515"/>
        <v/>
      </c>
      <c r="X1496" s="26"/>
    </row>
    <row r="1497">
      <c r="A1497" s="28"/>
      <c r="B1497" s="28"/>
      <c r="C1497" s="107"/>
      <c r="D1497" s="97"/>
      <c r="E1497" s="105"/>
      <c r="F1497" s="105"/>
      <c r="G1497" s="34"/>
      <c r="H1497" s="99"/>
      <c r="I1497" s="99"/>
      <c r="J1497" s="99"/>
      <c r="K1497" s="99"/>
      <c r="L1497" s="99"/>
      <c r="M1497" s="99"/>
      <c r="N1497" s="99"/>
      <c r="O1497" s="99"/>
      <c r="P1497" s="99"/>
      <c r="Q1497" s="108"/>
      <c r="R1497" s="108"/>
      <c r="S1497" s="100"/>
      <c r="T1497" s="24">
        <f t="shared" si="512"/>
        <v>0</v>
      </c>
      <c r="U1497" s="179" t="str">
        <f t="shared" si="513"/>
        <v/>
      </c>
      <c r="V1497" s="179" t="str">
        <f t="shared" si="514"/>
        <v/>
      </c>
      <c r="W1497" s="179" t="str">
        <f t="shared" si="515"/>
        <v/>
      </c>
      <c r="X1497" s="26"/>
    </row>
    <row r="1498">
      <c r="A1498" s="28"/>
      <c r="B1498" s="28"/>
      <c r="C1498" s="107"/>
      <c r="D1498" s="97"/>
      <c r="E1498" s="105"/>
      <c r="F1498" s="105"/>
      <c r="G1498" s="34"/>
      <c r="H1498" s="99"/>
      <c r="I1498" s="99"/>
      <c r="J1498" s="99"/>
      <c r="K1498" s="99"/>
      <c r="L1498" s="99"/>
      <c r="M1498" s="99"/>
      <c r="N1498" s="99"/>
      <c r="O1498" s="99"/>
      <c r="P1498" s="99"/>
      <c r="Q1498" s="108"/>
      <c r="R1498" s="108"/>
      <c r="S1498" s="100"/>
      <c r="T1498" s="24">
        <f t="shared" si="512"/>
        <v>0</v>
      </c>
      <c r="U1498" s="179" t="str">
        <f t="shared" si="513"/>
        <v/>
      </c>
      <c r="V1498" s="179" t="str">
        <f t="shared" si="514"/>
        <v/>
      </c>
      <c r="W1498" s="179" t="str">
        <f t="shared" si="515"/>
        <v/>
      </c>
      <c r="X1498" s="26"/>
    </row>
    <row r="1499">
      <c r="A1499" s="28"/>
      <c r="B1499" s="28"/>
      <c r="C1499" s="82" t="s">
        <v>688</v>
      </c>
      <c r="D1499" s="83" t="s">
        <v>663</v>
      </c>
      <c r="E1499" s="105">
        <f>320000+38000*2+16000+30000+30000</f>
        <v>472000</v>
      </c>
      <c r="F1499" s="105">
        <f>300000*3</f>
        <v>900000</v>
      </c>
      <c r="G1499" s="34">
        <f t="shared" ref="G1499:G1501" si="536">(F1499-E1499)/E1499</f>
        <v>0.906779661</v>
      </c>
      <c r="H1499" s="99"/>
      <c r="I1499" s="99"/>
      <c r="J1499" s="99"/>
      <c r="K1499" s="99"/>
      <c r="L1499" s="99"/>
      <c r="M1499" s="99"/>
      <c r="N1499" s="99"/>
      <c r="O1499" s="99"/>
      <c r="P1499" s="99"/>
      <c r="Q1499" s="108"/>
      <c r="R1499" s="108"/>
      <c r="S1499" s="100"/>
      <c r="T1499" s="24">
        <f t="shared" si="512"/>
        <v>-0.906779661</v>
      </c>
      <c r="U1499" s="179">
        <f t="shared" si="513"/>
        <v>-1</v>
      </c>
      <c r="V1499" s="179" t="str">
        <f t="shared" si="514"/>
        <v/>
      </c>
      <c r="W1499" s="179" t="str">
        <f t="shared" si="515"/>
        <v/>
      </c>
      <c r="X1499" s="26"/>
    </row>
    <row r="1500">
      <c r="A1500" s="28"/>
      <c r="B1500" s="28"/>
      <c r="C1500" s="107"/>
      <c r="D1500" s="83" t="s">
        <v>156</v>
      </c>
      <c r="E1500" s="105">
        <f>330000*3</f>
        <v>990000</v>
      </c>
      <c r="F1500" s="105">
        <f>510000*3</f>
        <v>1530000</v>
      </c>
      <c r="G1500" s="34">
        <f t="shared" si="536"/>
        <v>0.5454545455</v>
      </c>
      <c r="H1500" s="99"/>
      <c r="I1500" s="99"/>
      <c r="J1500" s="99"/>
      <c r="K1500" s="99"/>
      <c r="L1500" s="99"/>
      <c r="M1500" s="99"/>
      <c r="N1500" s="99"/>
      <c r="O1500" s="99"/>
      <c r="P1500" s="99"/>
      <c r="Q1500" s="108"/>
      <c r="R1500" s="108"/>
      <c r="S1500" s="100"/>
      <c r="T1500" s="24">
        <f t="shared" si="512"/>
        <v>-0.5454545455</v>
      </c>
      <c r="U1500" s="179">
        <f t="shared" si="513"/>
        <v>-1</v>
      </c>
      <c r="V1500" s="179" t="str">
        <f t="shared" si="514"/>
        <v/>
      </c>
      <c r="W1500" s="179" t="str">
        <f t="shared" si="515"/>
        <v/>
      </c>
      <c r="X1500" s="26"/>
    </row>
    <row r="1501">
      <c r="A1501" s="28"/>
      <c r="B1501" s="28"/>
      <c r="C1501" s="107"/>
      <c r="D1501" s="83" t="s">
        <v>101</v>
      </c>
      <c r="E1501" s="105">
        <f t="shared" ref="E1501:F1501" si="537">SUM(E1499:E1500)</f>
        <v>1462000</v>
      </c>
      <c r="F1501" s="105">
        <f t="shared" si="537"/>
        <v>2430000</v>
      </c>
      <c r="G1501" s="34">
        <f t="shared" si="536"/>
        <v>0.6621067031</v>
      </c>
      <c r="H1501" s="99"/>
      <c r="I1501" s="99"/>
      <c r="J1501" s="99"/>
      <c r="K1501" s="99"/>
      <c r="L1501" s="99"/>
      <c r="M1501" s="99"/>
      <c r="N1501" s="99"/>
      <c r="O1501" s="99"/>
      <c r="P1501" s="99"/>
      <c r="Q1501" s="108"/>
      <c r="R1501" s="108"/>
      <c r="S1501" s="100"/>
      <c r="T1501" s="24">
        <f t="shared" si="512"/>
        <v>-0.6621067031</v>
      </c>
      <c r="U1501" s="179">
        <f t="shared" si="513"/>
        <v>-1</v>
      </c>
      <c r="V1501" s="179" t="str">
        <f t="shared" si="514"/>
        <v/>
      </c>
      <c r="W1501" s="179" t="str">
        <f t="shared" si="515"/>
        <v/>
      </c>
      <c r="X1501" s="26"/>
    </row>
    <row r="1502">
      <c r="A1502" s="28"/>
      <c r="B1502" s="28"/>
      <c r="C1502" s="107"/>
      <c r="D1502" s="83" t="s">
        <v>148</v>
      </c>
      <c r="E1502" s="105">
        <f>F1501-E1501</f>
        <v>968000</v>
      </c>
      <c r="F1502" s="105"/>
      <c r="G1502" s="34"/>
      <c r="H1502" s="99"/>
      <c r="I1502" s="99"/>
      <c r="J1502" s="99"/>
      <c r="K1502" s="99"/>
      <c r="L1502" s="99"/>
      <c r="M1502" s="99"/>
      <c r="N1502" s="99"/>
      <c r="O1502" s="99"/>
      <c r="P1502" s="99"/>
      <c r="Q1502" s="108"/>
      <c r="R1502" s="108"/>
      <c r="S1502" s="100"/>
      <c r="T1502" s="24">
        <f t="shared" si="512"/>
        <v>0</v>
      </c>
      <c r="U1502" s="179" t="str">
        <f t="shared" si="513"/>
        <v/>
      </c>
      <c r="V1502" s="179" t="str">
        <f t="shared" si="514"/>
        <v/>
      </c>
      <c r="W1502" s="179" t="str">
        <f t="shared" si="515"/>
        <v/>
      </c>
      <c r="X1502" s="26"/>
    </row>
    <row r="1503">
      <c r="A1503" s="28"/>
      <c r="B1503" s="28"/>
      <c r="C1503" s="28"/>
      <c r="D1503" s="96"/>
      <c r="E1503" s="105"/>
      <c r="F1503" s="105"/>
      <c r="G1503" s="34"/>
      <c r="H1503" s="206"/>
      <c r="I1503" s="206"/>
      <c r="J1503" s="206"/>
      <c r="K1503" s="206"/>
      <c r="L1503" s="206"/>
      <c r="M1503" s="206"/>
      <c r="N1503" s="206"/>
      <c r="O1503" s="206"/>
      <c r="P1503" s="206"/>
      <c r="Q1503" s="262"/>
      <c r="R1503" s="262"/>
      <c r="S1503" s="207"/>
      <c r="T1503" s="263"/>
      <c r="U1503" s="26"/>
      <c r="V1503" s="26"/>
      <c r="W1503" s="26"/>
      <c r="X1503" s="26"/>
    </row>
    <row r="1504">
      <c r="A1504" s="28"/>
      <c r="B1504" s="28"/>
      <c r="C1504" s="28"/>
      <c r="D1504" s="96"/>
      <c r="E1504" s="105"/>
      <c r="F1504" s="105"/>
      <c r="G1504" s="34"/>
      <c r="H1504" s="206"/>
      <c r="I1504" s="206"/>
      <c r="J1504" s="206"/>
      <c r="K1504" s="206"/>
      <c r="L1504" s="206"/>
      <c r="M1504" s="206"/>
      <c r="N1504" s="206"/>
      <c r="O1504" s="206"/>
      <c r="P1504" s="206"/>
      <c r="Q1504" s="262"/>
      <c r="R1504" s="262"/>
      <c r="S1504" s="207"/>
      <c r="T1504" s="263"/>
      <c r="U1504" s="26"/>
      <c r="V1504" s="26"/>
      <c r="W1504" s="26"/>
      <c r="X1504" s="26"/>
    </row>
    <row r="1505">
      <c r="A1505" s="28"/>
      <c r="B1505" s="28"/>
      <c r="C1505" s="81" t="s">
        <v>689</v>
      </c>
      <c r="D1505" s="246" t="s">
        <v>663</v>
      </c>
      <c r="E1505" s="201">
        <f>320000+38000+30000+10000</f>
        <v>398000</v>
      </c>
      <c r="F1505" s="201">
        <v>500000.0</v>
      </c>
      <c r="G1505" s="34">
        <f t="shared" ref="G1505:G1508" si="538">(F1505-E1505)/E1505</f>
        <v>0.256281407</v>
      </c>
      <c r="H1505" s="206"/>
      <c r="I1505" s="206"/>
      <c r="J1505" s="206"/>
      <c r="K1505" s="206"/>
      <c r="L1505" s="206"/>
      <c r="M1505" s="206"/>
      <c r="N1505" s="206"/>
      <c r="O1505" s="206"/>
      <c r="P1505" s="206"/>
      <c r="Q1505" s="262"/>
      <c r="R1505" s="262"/>
      <c r="S1505" s="207"/>
      <c r="T1505" s="263"/>
      <c r="U1505" s="26"/>
      <c r="V1505" s="26"/>
      <c r="W1505" s="26"/>
      <c r="X1505" s="26"/>
    </row>
    <row r="1506">
      <c r="A1506" s="28"/>
      <c r="B1506" s="28"/>
      <c r="C1506" s="28"/>
      <c r="D1506" s="246" t="s">
        <v>284</v>
      </c>
      <c r="E1506" s="201">
        <v>633000.0</v>
      </c>
      <c r="F1506" s="201">
        <v>870000.0</v>
      </c>
      <c r="G1506" s="34">
        <f t="shared" si="538"/>
        <v>0.3744075829</v>
      </c>
      <c r="H1506" s="206"/>
      <c r="I1506" s="206"/>
      <c r="J1506" s="206"/>
      <c r="K1506" s="206"/>
      <c r="L1506" s="206"/>
      <c r="M1506" s="206"/>
      <c r="N1506" s="206"/>
      <c r="O1506" s="206"/>
      <c r="P1506" s="206"/>
      <c r="Q1506" s="262"/>
      <c r="R1506" s="262"/>
      <c r="S1506" s="207"/>
      <c r="T1506" s="263"/>
      <c r="U1506" s="26"/>
      <c r="V1506" s="26"/>
      <c r="W1506" s="26"/>
      <c r="X1506" s="26"/>
    </row>
    <row r="1507">
      <c r="A1507" s="28"/>
      <c r="B1507" s="28"/>
      <c r="C1507" s="28"/>
      <c r="D1507" s="246" t="s">
        <v>325</v>
      </c>
      <c r="E1507" s="201">
        <v>360000.0</v>
      </c>
      <c r="F1507" s="201">
        <v>500000.0</v>
      </c>
      <c r="G1507" s="34">
        <f t="shared" si="538"/>
        <v>0.3888888889</v>
      </c>
      <c r="H1507" s="206"/>
      <c r="I1507" s="206"/>
      <c r="J1507" s="206"/>
      <c r="K1507" s="206"/>
      <c r="L1507" s="206"/>
      <c r="M1507" s="206"/>
      <c r="N1507" s="206"/>
      <c r="O1507" s="206"/>
      <c r="P1507" s="206"/>
      <c r="Q1507" s="262"/>
      <c r="R1507" s="262"/>
      <c r="S1507" s="207"/>
      <c r="T1507" s="263"/>
      <c r="U1507" s="26"/>
      <c r="V1507" s="26"/>
      <c r="W1507" s="26"/>
      <c r="X1507" s="26"/>
    </row>
    <row r="1508">
      <c r="A1508" s="28"/>
      <c r="B1508" s="28"/>
      <c r="C1508" s="28"/>
      <c r="D1508" s="246" t="s">
        <v>101</v>
      </c>
      <c r="E1508" s="105">
        <f t="shared" ref="E1508:F1508" si="539">SUM(E1505:E1507)</f>
        <v>1391000</v>
      </c>
      <c r="F1508" s="105">
        <f t="shared" si="539"/>
        <v>1870000</v>
      </c>
      <c r="G1508" s="34">
        <f t="shared" si="538"/>
        <v>0.344356578</v>
      </c>
      <c r="H1508" s="206"/>
      <c r="I1508" s="206"/>
      <c r="J1508" s="206"/>
      <c r="K1508" s="206"/>
      <c r="L1508" s="206"/>
      <c r="M1508" s="206"/>
      <c r="N1508" s="206"/>
      <c r="O1508" s="206"/>
      <c r="P1508" s="206"/>
      <c r="Q1508" s="262"/>
      <c r="R1508" s="262"/>
      <c r="S1508" s="207"/>
      <c r="T1508" s="263"/>
      <c r="U1508" s="26"/>
      <c r="V1508" s="26"/>
      <c r="W1508" s="26"/>
      <c r="X1508" s="26"/>
    </row>
    <row r="1509">
      <c r="A1509" s="28"/>
      <c r="B1509" s="28"/>
      <c r="C1509" s="28"/>
      <c r="D1509" s="246" t="s">
        <v>148</v>
      </c>
      <c r="E1509" s="105">
        <f>F1508-E1508</f>
        <v>479000</v>
      </c>
      <c r="F1509" s="105"/>
      <c r="G1509" s="34"/>
      <c r="H1509" s="206"/>
      <c r="I1509" s="206"/>
      <c r="J1509" s="206"/>
      <c r="K1509" s="206"/>
      <c r="L1509" s="206"/>
      <c r="M1509" s="206"/>
      <c r="N1509" s="206"/>
      <c r="O1509" s="206"/>
      <c r="P1509" s="206"/>
      <c r="Q1509" s="262"/>
      <c r="R1509" s="262"/>
      <c r="S1509" s="207"/>
      <c r="T1509" s="263"/>
      <c r="U1509" s="26"/>
      <c r="V1509" s="26"/>
      <c r="W1509" s="26"/>
      <c r="X1509" s="26"/>
    </row>
    <row r="1510">
      <c r="A1510" s="28"/>
      <c r="B1510" s="28"/>
      <c r="C1510" s="28"/>
      <c r="D1510" s="96"/>
      <c r="E1510" s="105"/>
      <c r="F1510" s="105"/>
      <c r="G1510" s="34"/>
      <c r="H1510" s="206"/>
      <c r="I1510" s="206"/>
      <c r="J1510" s="206"/>
      <c r="K1510" s="206"/>
      <c r="L1510" s="206"/>
      <c r="M1510" s="206"/>
      <c r="N1510" s="206"/>
      <c r="O1510" s="206"/>
      <c r="P1510" s="206"/>
      <c r="Q1510" s="262"/>
      <c r="R1510" s="262"/>
      <c r="S1510" s="207"/>
      <c r="T1510" s="263"/>
      <c r="U1510" s="26"/>
      <c r="V1510" s="26"/>
      <c r="W1510" s="26"/>
      <c r="X1510" s="26"/>
    </row>
    <row r="1511">
      <c r="A1511" s="28"/>
      <c r="B1511" s="28"/>
      <c r="C1511" s="28"/>
      <c r="D1511" s="96"/>
      <c r="E1511" s="105"/>
      <c r="F1511" s="105"/>
      <c r="G1511" s="34"/>
      <c r="H1511" s="206"/>
      <c r="I1511" s="206"/>
      <c r="J1511" s="206"/>
      <c r="K1511" s="206"/>
      <c r="L1511" s="206"/>
      <c r="M1511" s="206"/>
      <c r="N1511" s="206"/>
      <c r="O1511" s="206"/>
      <c r="P1511" s="206"/>
      <c r="Q1511" s="262"/>
      <c r="R1511" s="262"/>
      <c r="S1511" s="207"/>
      <c r="T1511" s="263"/>
      <c r="U1511" s="26"/>
      <c r="V1511" s="26"/>
      <c r="W1511" s="26"/>
      <c r="X1511" s="26"/>
    </row>
    <row r="1512">
      <c r="A1512" s="28"/>
      <c r="B1512" s="28"/>
      <c r="C1512" s="81" t="s">
        <v>690</v>
      </c>
      <c r="D1512" s="246" t="s">
        <v>538</v>
      </c>
      <c r="E1512" s="105">
        <f>330000*3</f>
        <v>990000</v>
      </c>
      <c r="F1512" s="105">
        <f>510000*3</f>
        <v>1530000</v>
      </c>
      <c r="G1512" s="34">
        <f t="shared" ref="G1512:G1515" si="540">(F1512-E1512)/E1512</f>
        <v>0.5454545455</v>
      </c>
      <c r="H1512" s="206"/>
      <c r="I1512" s="206"/>
      <c r="J1512" s="206"/>
      <c r="K1512" s="206"/>
      <c r="L1512" s="206"/>
      <c r="M1512" s="206"/>
      <c r="N1512" s="206"/>
      <c r="O1512" s="206"/>
      <c r="P1512" s="206"/>
      <c r="Q1512" s="262"/>
      <c r="R1512" s="262"/>
      <c r="S1512" s="207"/>
      <c r="T1512" s="263"/>
      <c r="U1512" s="26"/>
      <c r="V1512" s="26"/>
      <c r="W1512" s="26"/>
      <c r="X1512" s="26"/>
    </row>
    <row r="1513">
      <c r="A1513" s="28"/>
      <c r="B1513" s="28"/>
      <c r="C1513" s="28"/>
      <c r="D1513" s="246" t="s">
        <v>158</v>
      </c>
      <c r="E1513" s="105">
        <f>420000*3</f>
        <v>1260000</v>
      </c>
      <c r="F1513" s="105">
        <f>550000*3</f>
        <v>1650000</v>
      </c>
      <c r="G1513" s="34">
        <f t="shared" si="540"/>
        <v>0.3095238095</v>
      </c>
      <c r="H1513" s="206"/>
      <c r="I1513" s="206"/>
      <c r="J1513" s="206"/>
      <c r="K1513" s="206"/>
      <c r="L1513" s="206"/>
      <c r="M1513" s="206"/>
      <c r="N1513" s="206"/>
      <c r="O1513" s="206"/>
      <c r="P1513" s="206"/>
      <c r="Q1513" s="262"/>
      <c r="R1513" s="262"/>
      <c r="S1513" s="207"/>
      <c r="T1513" s="263"/>
      <c r="U1513" s="26"/>
      <c r="V1513" s="26"/>
      <c r="W1513" s="26"/>
      <c r="X1513" s="26"/>
    </row>
    <row r="1514">
      <c r="A1514" s="28"/>
      <c r="B1514" s="28"/>
      <c r="C1514" s="28"/>
      <c r="D1514" s="246" t="s">
        <v>691</v>
      </c>
      <c r="E1514" s="105">
        <f>370000*3</f>
        <v>1110000</v>
      </c>
      <c r="F1514" s="105">
        <f>520000*3</f>
        <v>1560000</v>
      </c>
      <c r="G1514" s="34">
        <f t="shared" si="540"/>
        <v>0.4054054054</v>
      </c>
      <c r="H1514" s="206"/>
      <c r="I1514" s="206"/>
      <c r="J1514" s="206"/>
      <c r="K1514" s="206"/>
      <c r="L1514" s="206"/>
      <c r="M1514" s="206"/>
      <c r="N1514" s="206"/>
      <c r="O1514" s="206"/>
      <c r="P1514" s="206"/>
      <c r="Q1514" s="262"/>
      <c r="R1514" s="262"/>
      <c r="S1514" s="207"/>
      <c r="T1514" s="263"/>
      <c r="U1514" s="26"/>
      <c r="V1514" s="26"/>
      <c r="W1514" s="26"/>
      <c r="X1514" s="26"/>
    </row>
    <row r="1515">
      <c r="A1515" s="28"/>
      <c r="B1515" s="28"/>
      <c r="C1515" s="28"/>
      <c r="D1515" s="246" t="s">
        <v>101</v>
      </c>
      <c r="E1515" s="105">
        <f>E1512+E1513+E1514</f>
        <v>3360000</v>
      </c>
      <c r="F1515" s="105">
        <f>SUM(F1512:F1514)</f>
        <v>4740000</v>
      </c>
      <c r="G1515" s="34">
        <f t="shared" si="540"/>
        <v>0.4107142857</v>
      </c>
      <c r="H1515" s="206"/>
      <c r="I1515" s="206"/>
      <c r="J1515" s="206"/>
      <c r="K1515" s="206"/>
      <c r="L1515" s="206"/>
      <c r="M1515" s="206"/>
      <c r="N1515" s="206"/>
      <c r="O1515" s="206"/>
      <c r="P1515" s="206"/>
      <c r="Q1515" s="262"/>
      <c r="R1515" s="262"/>
      <c r="S1515" s="207"/>
      <c r="T1515" s="263"/>
      <c r="U1515" s="26"/>
      <c r="V1515" s="26"/>
      <c r="W1515" s="26"/>
      <c r="X1515" s="26"/>
    </row>
    <row r="1516">
      <c r="A1516" s="28"/>
      <c r="B1516" s="28"/>
      <c r="C1516" s="28"/>
      <c r="D1516" s="246" t="s">
        <v>148</v>
      </c>
      <c r="E1516" s="105">
        <f>F1515-E1515</f>
        <v>1380000</v>
      </c>
      <c r="F1516" s="105"/>
      <c r="G1516" s="34"/>
      <c r="H1516" s="206"/>
      <c r="I1516" s="206"/>
      <c r="J1516" s="206"/>
      <c r="K1516" s="206"/>
      <c r="L1516" s="206"/>
      <c r="M1516" s="206"/>
      <c r="N1516" s="206"/>
      <c r="O1516" s="206"/>
      <c r="P1516" s="206"/>
      <c r="Q1516" s="262"/>
      <c r="R1516" s="262"/>
      <c r="S1516" s="207"/>
      <c r="T1516" s="263"/>
      <c r="U1516" s="26"/>
      <c r="V1516" s="26"/>
      <c r="W1516" s="26"/>
      <c r="X1516" s="26"/>
    </row>
    <row r="1517">
      <c r="A1517" s="28"/>
      <c r="B1517" s="28"/>
      <c r="C1517" s="28"/>
      <c r="D1517" s="246"/>
      <c r="E1517" s="105"/>
      <c r="F1517" s="105"/>
      <c r="G1517" s="34"/>
      <c r="H1517" s="206"/>
      <c r="I1517" s="206"/>
      <c r="J1517" s="206"/>
      <c r="K1517" s="206"/>
      <c r="L1517" s="206"/>
      <c r="M1517" s="206"/>
      <c r="N1517" s="206"/>
      <c r="O1517" s="206"/>
      <c r="P1517" s="206"/>
      <c r="Q1517" s="262"/>
      <c r="R1517" s="262"/>
      <c r="S1517" s="207"/>
      <c r="T1517" s="263"/>
      <c r="U1517" s="26"/>
      <c r="V1517" s="26"/>
      <c r="W1517" s="26"/>
      <c r="X1517" s="26"/>
    </row>
    <row r="1518">
      <c r="A1518" s="28"/>
      <c r="B1518" s="28"/>
      <c r="C1518" s="81" t="s">
        <v>692</v>
      </c>
      <c r="D1518" s="246" t="s">
        <v>668</v>
      </c>
      <c r="E1518" s="105">
        <f>320000+38000+30000+10000</f>
        <v>398000</v>
      </c>
      <c r="F1518" s="201">
        <v>500000.0</v>
      </c>
      <c r="G1518" s="34">
        <f t="shared" ref="G1518:G1525" si="541">(F1518-E1518)/E1518</f>
        <v>0.256281407</v>
      </c>
      <c r="H1518" s="206"/>
      <c r="I1518" s="206"/>
      <c r="J1518" s="206"/>
      <c r="K1518" s="206"/>
      <c r="L1518" s="206"/>
      <c r="M1518" s="206"/>
      <c r="N1518" s="206"/>
      <c r="O1518" s="206"/>
      <c r="P1518" s="206"/>
      <c r="Q1518" s="262"/>
      <c r="R1518" s="262"/>
      <c r="S1518" s="207"/>
      <c r="T1518" s="263"/>
      <c r="U1518" s="26"/>
      <c r="V1518" s="26"/>
      <c r="W1518" s="26"/>
      <c r="X1518" s="26"/>
    </row>
    <row r="1519">
      <c r="A1519" s="28"/>
      <c r="B1519" s="28"/>
      <c r="C1519" s="28"/>
      <c r="D1519" s="246" t="s">
        <v>221</v>
      </c>
      <c r="E1519" s="201">
        <v>118000.0</v>
      </c>
      <c r="F1519" s="201">
        <v>230000.0</v>
      </c>
      <c r="G1519" s="34">
        <f t="shared" si="541"/>
        <v>0.9491525424</v>
      </c>
      <c r="H1519" s="206"/>
      <c r="I1519" s="206"/>
      <c r="J1519" s="206"/>
      <c r="K1519" s="206"/>
      <c r="L1519" s="206"/>
      <c r="M1519" s="206"/>
      <c r="N1519" s="206"/>
      <c r="O1519" s="206"/>
      <c r="P1519" s="206"/>
      <c r="Q1519" s="262"/>
      <c r="R1519" s="262"/>
      <c r="S1519" s="207"/>
      <c r="T1519" s="263"/>
      <c r="U1519" s="26"/>
      <c r="V1519" s="26"/>
      <c r="W1519" s="26"/>
      <c r="X1519" s="26"/>
    </row>
    <row r="1520">
      <c r="A1520" s="28"/>
      <c r="B1520" s="28"/>
      <c r="C1520" s="28"/>
      <c r="D1520" s="246" t="s">
        <v>589</v>
      </c>
      <c r="E1520" s="201">
        <v>360000.0</v>
      </c>
      <c r="F1520" s="201">
        <v>500000.0</v>
      </c>
      <c r="G1520" s="34">
        <f t="shared" si="541"/>
        <v>0.3888888889</v>
      </c>
      <c r="H1520" s="206"/>
      <c r="I1520" s="206"/>
      <c r="J1520" s="206"/>
      <c r="K1520" s="206"/>
      <c r="L1520" s="206"/>
      <c r="M1520" s="206"/>
      <c r="N1520" s="206"/>
      <c r="O1520" s="206"/>
      <c r="P1520" s="206"/>
      <c r="Q1520" s="262"/>
      <c r="R1520" s="262"/>
      <c r="S1520" s="207"/>
      <c r="T1520" s="263"/>
      <c r="U1520" s="26"/>
      <c r="V1520" s="26"/>
      <c r="W1520" s="26"/>
      <c r="X1520" s="26"/>
    </row>
    <row r="1521">
      <c r="A1521" s="28"/>
      <c r="B1521" s="28"/>
      <c r="C1521" s="28"/>
      <c r="D1521" s="246" t="s">
        <v>156</v>
      </c>
      <c r="E1521" s="201">
        <v>330000.0</v>
      </c>
      <c r="F1521" s="201">
        <v>510000.0</v>
      </c>
      <c r="G1521" s="34">
        <f t="shared" si="541"/>
        <v>0.5454545455</v>
      </c>
      <c r="H1521" s="206"/>
      <c r="I1521" s="206"/>
      <c r="J1521" s="206"/>
      <c r="K1521" s="206"/>
      <c r="L1521" s="206"/>
      <c r="M1521" s="206"/>
      <c r="N1521" s="206"/>
      <c r="O1521" s="206"/>
      <c r="P1521" s="206"/>
      <c r="Q1521" s="262"/>
      <c r="R1521" s="262"/>
      <c r="S1521" s="207"/>
      <c r="T1521" s="263"/>
      <c r="U1521" s="26"/>
      <c r="V1521" s="26"/>
      <c r="W1521" s="26"/>
      <c r="X1521" s="26"/>
    </row>
    <row r="1522">
      <c r="A1522" s="28"/>
      <c r="B1522" s="28"/>
      <c r="C1522" s="28"/>
      <c r="D1522" s="246" t="s">
        <v>693</v>
      </c>
      <c r="E1522" s="201">
        <v>290000.0</v>
      </c>
      <c r="F1522" s="201">
        <v>390000.0</v>
      </c>
      <c r="G1522" s="34">
        <f t="shared" si="541"/>
        <v>0.3448275862</v>
      </c>
      <c r="H1522" s="206"/>
      <c r="I1522" s="206"/>
      <c r="J1522" s="206"/>
      <c r="K1522" s="206"/>
      <c r="L1522" s="206"/>
      <c r="M1522" s="206"/>
      <c r="N1522" s="206"/>
      <c r="O1522" s="206"/>
      <c r="P1522" s="206"/>
      <c r="Q1522" s="262"/>
      <c r="R1522" s="262"/>
      <c r="S1522" s="207"/>
      <c r="T1522" s="263"/>
      <c r="U1522" s="26"/>
      <c r="V1522" s="26"/>
      <c r="W1522" s="26"/>
      <c r="X1522" s="26"/>
    </row>
    <row r="1523">
      <c r="A1523" s="28"/>
      <c r="B1523" s="28"/>
      <c r="C1523" s="28"/>
      <c r="D1523" s="246" t="s">
        <v>222</v>
      </c>
      <c r="E1523" s="201">
        <v>370000.0</v>
      </c>
      <c r="F1523" s="201">
        <v>520000.0</v>
      </c>
      <c r="G1523" s="34">
        <f t="shared" si="541"/>
        <v>0.4054054054</v>
      </c>
      <c r="H1523" s="206"/>
      <c r="I1523" s="206"/>
      <c r="J1523" s="206"/>
      <c r="K1523" s="206"/>
      <c r="L1523" s="206"/>
      <c r="M1523" s="206"/>
      <c r="N1523" s="206"/>
      <c r="O1523" s="206"/>
      <c r="P1523" s="206"/>
      <c r="Q1523" s="262"/>
      <c r="R1523" s="262"/>
      <c r="S1523" s="207"/>
      <c r="T1523" s="263"/>
      <c r="U1523" s="26"/>
      <c r="V1523" s="26"/>
      <c r="W1523" s="26"/>
      <c r="X1523" s="26"/>
    </row>
    <row r="1524">
      <c r="A1524" s="28"/>
      <c r="B1524" s="28"/>
      <c r="C1524" s="28"/>
      <c r="D1524" s="246" t="s">
        <v>282</v>
      </c>
      <c r="E1524" s="201">
        <v>309000.0</v>
      </c>
      <c r="F1524" s="201">
        <v>450000.0</v>
      </c>
      <c r="G1524" s="34">
        <f t="shared" si="541"/>
        <v>0.4563106796</v>
      </c>
      <c r="H1524" s="206"/>
      <c r="I1524" s="206"/>
      <c r="J1524" s="206"/>
      <c r="K1524" s="206"/>
      <c r="L1524" s="206"/>
      <c r="M1524" s="206"/>
      <c r="N1524" s="206"/>
      <c r="O1524" s="206"/>
      <c r="P1524" s="206"/>
      <c r="Q1524" s="262"/>
      <c r="R1524" s="262"/>
      <c r="S1524" s="207"/>
      <c r="T1524" s="263"/>
      <c r="U1524" s="26"/>
      <c r="V1524" s="26"/>
      <c r="W1524" s="26"/>
      <c r="X1524" s="26"/>
    </row>
    <row r="1525">
      <c r="A1525" s="28"/>
      <c r="B1525" s="28"/>
      <c r="C1525" s="28"/>
      <c r="D1525" s="246" t="s">
        <v>101</v>
      </c>
      <c r="E1525" s="105">
        <f>E1518+E1519+E1520+E1521+E1522+E1523+E1524</f>
        <v>2175000</v>
      </c>
      <c r="F1525" s="105">
        <f>E1525*1.4</f>
        <v>3045000</v>
      </c>
      <c r="G1525" s="34">
        <f t="shared" si="541"/>
        <v>0.4</v>
      </c>
      <c r="H1525" s="206"/>
      <c r="I1525" s="206"/>
      <c r="J1525" s="206"/>
      <c r="K1525" s="206"/>
      <c r="L1525" s="206"/>
      <c r="M1525" s="206"/>
      <c r="N1525" s="206"/>
      <c r="O1525" s="206"/>
      <c r="P1525" s="206"/>
      <c r="Q1525" s="262"/>
      <c r="R1525" s="262"/>
      <c r="S1525" s="207"/>
      <c r="T1525" s="263"/>
      <c r="U1525" s="26"/>
      <c r="V1525" s="26"/>
      <c r="W1525" s="26"/>
      <c r="X1525" s="26"/>
    </row>
    <row r="1526">
      <c r="A1526" s="28"/>
      <c r="B1526" s="28"/>
      <c r="C1526" s="28"/>
      <c r="D1526" s="246" t="s">
        <v>148</v>
      </c>
      <c r="E1526" s="105">
        <f>F1525-E1525</f>
        <v>870000</v>
      </c>
      <c r="F1526" s="105"/>
      <c r="G1526" s="34"/>
      <c r="H1526" s="206"/>
      <c r="I1526" s="206"/>
      <c r="J1526" s="206"/>
      <c r="K1526" s="206"/>
      <c r="L1526" s="206"/>
      <c r="M1526" s="206"/>
      <c r="N1526" s="206"/>
      <c r="O1526" s="206"/>
      <c r="P1526" s="206"/>
      <c r="Q1526" s="262"/>
      <c r="R1526" s="262"/>
      <c r="S1526" s="207"/>
      <c r="T1526" s="263"/>
      <c r="U1526" s="26"/>
      <c r="V1526" s="26"/>
      <c r="W1526" s="26"/>
      <c r="X1526" s="26"/>
    </row>
    <row r="1527">
      <c r="A1527" s="28"/>
      <c r="B1527" s="28"/>
      <c r="C1527" s="28"/>
      <c r="D1527" s="96"/>
      <c r="E1527" s="105"/>
      <c r="F1527" s="105"/>
      <c r="G1527" s="34"/>
      <c r="H1527" s="206"/>
      <c r="I1527" s="206"/>
      <c r="J1527" s="206"/>
      <c r="K1527" s="206"/>
      <c r="L1527" s="206"/>
      <c r="M1527" s="206"/>
      <c r="N1527" s="206"/>
      <c r="O1527" s="206"/>
      <c r="P1527" s="206"/>
      <c r="Q1527" s="262"/>
      <c r="R1527" s="262"/>
      <c r="S1527" s="207"/>
      <c r="T1527" s="263"/>
      <c r="U1527" s="26"/>
      <c r="V1527" s="26"/>
      <c r="W1527" s="26"/>
      <c r="X1527" s="26"/>
    </row>
    <row r="1528">
      <c r="A1528" s="28"/>
      <c r="B1528" s="28"/>
      <c r="C1528" s="28"/>
      <c r="D1528" s="96"/>
      <c r="E1528" s="105"/>
      <c r="F1528" s="105"/>
      <c r="G1528" s="34"/>
      <c r="H1528" s="206"/>
      <c r="I1528" s="206"/>
      <c r="J1528" s="206"/>
      <c r="K1528" s="206"/>
      <c r="L1528" s="206"/>
      <c r="M1528" s="206"/>
      <c r="N1528" s="206"/>
      <c r="O1528" s="206"/>
      <c r="P1528" s="206"/>
      <c r="Q1528" s="262"/>
      <c r="R1528" s="262"/>
      <c r="S1528" s="207"/>
      <c r="T1528" s="263"/>
      <c r="U1528" s="26"/>
      <c r="V1528" s="26"/>
      <c r="W1528" s="26"/>
      <c r="X1528" s="26"/>
    </row>
    <row r="1529">
      <c r="A1529" s="28"/>
      <c r="B1529" s="28"/>
      <c r="C1529" s="81" t="s">
        <v>694</v>
      </c>
      <c r="D1529" s="246" t="s">
        <v>523</v>
      </c>
      <c r="E1529" s="105">
        <f>330000*9</f>
        <v>2970000</v>
      </c>
      <c r="F1529" s="105">
        <f>510000*10-300000</f>
        <v>4800000</v>
      </c>
      <c r="G1529" s="34">
        <f>(F1529-E1529)/E1529</f>
        <v>0.6161616162</v>
      </c>
      <c r="H1529" s="206"/>
      <c r="I1529" s="206"/>
      <c r="J1529" s="206"/>
      <c r="K1529" s="206"/>
      <c r="L1529" s="206"/>
      <c r="M1529" s="206"/>
      <c r="N1529" s="206"/>
      <c r="O1529" s="206"/>
      <c r="P1529" s="206"/>
      <c r="Q1529" s="262"/>
      <c r="R1529" s="262"/>
      <c r="S1529" s="207"/>
      <c r="T1529" s="263"/>
      <c r="U1529" s="26"/>
      <c r="V1529" s="26"/>
      <c r="W1529" s="26"/>
      <c r="X1529" s="26"/>
    </row>
    <row r="1530">
      <c r="A1530" s="28"/>
      <c r="B1530" s="28"/>
      <c r="C1530" s="28"/>
      <c r="D1530" s="246" t="s">
        <v>148</v>
      </c>
      <c r="E1530" s="105">
        <f>F1529-E1529</f>
        <v>1830000</v>
      </c>
      <c r="F1530" s="105"/>
      <c r="G1530" s="34"/>
      <c r="H1530" s="206"/>
      <c r="I1530" s="206"/>
      <c r="J1530" s="206"/>
      <c r="K1530" s="206"/>
      <c r="L1530" s="206"/>
      <c r="M1530" s="206"/>
      <c r="N1530" s="206"/>
      <c r="O1530" s="206"/>
      <c r="P1530" s="206"/>
      <c r="Q1530" s="262"/>
      <c r="R1530" s="262"/>
      <c r="S1530" s="207"/>
      <c r="T1530" s="263"/>
      <c r="U1530" s="26"/>
      <c r="V1530" s="26"/>
      <c r="W1530" s="26"/>
      <c r="X1530" s="26"/>
    </row>
    <row r="1531">
      <c r="A1531" s="28"/>
      <c r="B1531" s="28"/>
      <c r="C1531" s="28"/>
      <c r="D1531" s="96"/>
      <c r="E1531" s="105"/>
      <c r="F1531" s="105"/>
      <c r="G1531" s="34"/>
      <c r="H1531" s="206"/>
      <c r="I1531" s="206"/>
      <c r="J1531" s="206"/>
      <c r="K1531" s="206"/>
      <c r="L1531" s="206"/>
      <c r="M1531" s="206"/>
      <c r="N1531" s="206"/>
      <c r="O1531" s="206"/>
      <c r="P1531" s="206"/>
      <c r="Q1531" s="262"/>
      <c r="R1531" s="262"/>
      <c r="S1531" s="207"/>
      <c r="T1531" s="263"/>
      <c r="U1531" s="26"/>
      <c r="V1531" s="26"/>
      <c r="W1531" s="26"/>
      <c r="X1531" s="26"/>
    </row>
    <row r="1532">
      <c r="A1532" s="28"/>
      <c r="B1532" s="28"/>
      <c r="C1532" s="28"/>
      <c r="D1532" s="96"/>
      <c r="E1532" s="105"/>
      <c r="F1532" s="105"/>
      <c r="G1532" s="34"/>
      <c r="H1532" s="206"/>
      <c r="I1532" s="206"/>
      <c r="J1532" s="206"/>
      <c r="K1532" s="206"/>
      <c r="L1532" s="206"/>
      <c r="M1532" s="206"/>
      <c r="N1532" s="206"/>
      <c r="O1532" s="206"/>
      <c r="P1532" s="206"/>
      <c r="Q1532" s="262"/>
      <c r="R1532" s="262"/>
      <c r="S1532" s="207"/>
      <c r="T1532" s="263"/>
      <c r="U1532" s="26"/>
      <c r="V1532" s="26"/>
      <c r="W1532" s="26"/>
      <c r="X1532" s="26"/>
    </row>
    <row r="1533">
      <c r="A1533" s="28"/>
      <c r="B1533" s="28"/>
      <c r="C1533" s="28"/>
      <c r="D1533" s="96"/>
      <c r="E1533" s="105"/>
      <c r="F1533" s="105"/>
      <c r="G1533" s="34"/>
      <c r="H1533" s="206"/>
      <c r="I1533" s="206"/>
      <c r="J1533" s="206"/>
      <c r="K1533" s="206"/>
      <c r="L1533" s="206"/>
      <c r="M1533" s="206"/>
      <c r="N1533" s="206"/>
      <c r="O1533" s="206"/>
      <c r="P1533" s="206"/>
      <c r="Q1533" s="262"/>
      <c r="R1533" s="262"/>
      <c r="S1533" s="207"/>
      <c r="T1533" s="263"/>
      <c r="U1533" s="26"/>
      <c r="V1533" s="26"/>
      <c r="W1533" s="26"/>
      <c r="X1533" s="26"/>
    </row>
    <row r="1534">
      <c r="A1534" s="28"/>
      <c r="B1534" s="28"/>
      <c r="C1534" s="28"/>
      <c r="D1534" s="96"/>
      <c r="E1534" s="105"/>
      <c r="F1534" s="105"/>
      <c r="G1534" s="34"/>
      <c r="H1534" s="206"/>
      <c r="I1534" s="206"/>
      <c r="J1534" s="206"/>
      <c r="K1534" s="206"/>
      <c r="L1534" s="206"/>
      <c r="M1534" s="206"/>
      <c r="N1534" s="206"/>
      <c r="O1534" s="206"/>
      <c r="P1534" s="206"/>
      <c r="Q1534" s="262"/>
      <c r="R1534" s="262"/>
      <c r="S1534" s="207"/>
      <c r="T1534" s="263"/>
      <c r="U1534" s="26"/>
      <c r="V1534" s="26"/>
      <c r="W1534" s="26"/>
      <c r="X1534" s="26"/>
    </row>
    <row r="1535">
      <c r="A1535" s="28"/>
      <c r="B1535" s="28"/>
      <c r="C1535" s="28"/>
      <c r="D1535" s="246" t="s">
        <v>695</v>
      </c>
      <c r="E1535" s="201">
        <f>320000+38000+30000+10000</f>
        <v>398000</v>
      </c>
      <c r="F1535" s="201">
        <v>500000.0</v>
      </c>
      <c r="G1535" s="34">
        <f t="shared" ref="G1535:G1536" si="542">(F1535-E1535)/E1535</f>
        <v>0.256281407</v>
      </c>
      <c r="H1535" s="206"/>
      <c r="I1535" s="206"/>
      <c r="J1535" s="206"/>
      <c r="K1535" s="206"/>
      <c r="L1535" s="206"/>
      <c r="M1535" s="206"/>
      <c r="N1535" s="206"/>
      <c r="O1535" s="206"/>
      <c r="P1535" s="206"/>
      <c r="Q1535" s="262"/>
      <c r="R1535" s="262"/>
      <c r="S1535" s="207"/>
      <c r="T1535" s="263"/>
      <c r="U1535" s="26"/>
      <c r="V1535" s="26"/>
      <c r="W1535" s="26"/>
      <c r="X1535" s="26"/>
    </row>
    <row r="1536">
      <c r="A1536" s="28"/>
      <c r="B1536" s="28"/>
      <c r="C1536" s="28"/>
      <c r="D1536" s="246" t="s">
        <v>696</v>
      </c>
      <c r="E1536" s="105">
        <f>320000+10000</f>
        <v>330000</v>
      </c>
      <c r="F1536" s="201">
        <v>432000.0</v>
      </c>
      <c r="G1536" s="34">
        <f t="shared" si="542"/>
        <v>0.3090909091</v>
      </c>
      <c r="H1536" s="206"/>
      <c r="I1536" s="206"/>
      <c r="J1536" s="206"/>
      <c r="K1536" s="206"/>
      <c r="L1536" s="206"/>
      <c r="M1536" s="206"/>
      <c r="N1536" s="206"/>
      <c r="O1536" s="206"/>
      <c r="P1536" s="206"/>
      <c r="Q1536" s="262"/>
      <c r="R1536" s="262"/>
      <c r="S1536" s="207"/>
      <c r="T1536" s="263"/>
      <c r="U1536" s="26"/>
      <c r="V1536" s="26"/>
      <c r="W1536" s="26"/>
      <c r="X1536" s="26"/>
    </row>
    <row r="1537">
      <c r="A1537" s="28"/>
      <c r="B1537" s="28"/>
      <c r="C1537" s="28"/>
      <c r="D1537" s="246" t="s">
        <v>696</v>
      </c>
      <c r="E1537" s="105"/>
      <c r="F1537" s="105"/>
      <c r="G1537" s="34"/>
      <c r="H1537" s="206"/>
      <c r="I1537" s="206"/>
      <c r="J1537" s="206"/>
      <c r="K1537" s="206"/>
      <c r="L1537" s="206"/>
      <c r="M1537" s="206"/>
      <c r="N1537" s="206"/>
      <c r="O1537" s="206"/>
      <c r="P1537" s="206"/>
      <c r="Q1537" s="262"/>
      <c r="R1537" s="262"/>
      <c r="S1537" s="207"/>
      <c r="T1537" s="263"/>
      <c r="U1537" s="26"/>
      <c r="V1537" s="26"/>
      <c r="W1537" s="26"/>
      <c r="X1537" s="26"/>
    </row>
    <row r="1538">
      <c r="A1538" s="28"/>
      <c r="B1538" s="28"/>
      <c r="C1538" s="28"/>
      <c r="D1538" s="96"/>
      <c r="E1538" s="105"/>
      <c r="F1538" s="105"/>
      <c r="G1538" s="34"/>
      <c r="H1538" s="206"/>
      <c r="I1538" s="206"/>
      <c r="J1538" s="206"/>
      <c r="K1538" s="206"/>
      <c r="L1538" s="206"/>
      <c r="M1538" s="206"/>
      <c r="N1538" s="206"/>
      <c r="O1538" s="206"/>
      <c r="P1538" s="206"/>
      <c r="Q1538" s="262"/>
      <c r="R1538" s="262"/>
      <c r="S1538" s="207"/>
      <c r="T1538" s="263"/>
      <c r="U1538" s="26"/>
      <c r="V1538" s="26"/>
      <c r="W1538" s="26"/>
      <c r="X1538" s="26"/>
    </row>
    <row r="1539">
      <c r="A1539" s="28"/>
      <c r="B1539" s="28"/>
      <c r="C1539" s="28"/>
      <c r="D1539" s="96"/>
      <c r="E1539" s="105"/>
      <c r="F1539" s="105"/>
      <c r="G1539" s="34"/>
      <c r="H1539" s="206"/>
      <c r="I1539" s="206"/>
      <c r="J1539" s="206"/>
      <c r="K1539" s="206"/>
      <c r="L1539" s="206"/>
      <c r="M1539" s="206"/>
      <c r="N1539" s="206"/>
      <c r="O1539" s="206"/>
      <c r="P1539" s="206"/>
      <c r="Q1539" s="262"/>
      <c r="R1539" s="262"/>
      <c r="S1539" s="207"/>
      <c r="T1539" s="263"/>
      <c r="U1539" s="26"/>
      <c r="V1539" s="26"/>
      <c r="W1539" s="26"/>
      <c r="X1539" s="26"/>
    </row>
    <row r="1540">
      <c r="A1540" s="28"/>
      <c r="B1540" s="28"/>
      <c r="C1540" s="28"/>
      <c r="D1540" s="96"/>
      <c r="E1540" s="105"/>
      <c r="F1540" s="105"/>
      <c r="G1540" s="34"/>
      <c r="H1540" s="206"/>
      <c r="I1540" s="206"/>
      <c r="J1540" s="206"/>
      <c r="K1540" s="206"/>
      <c r="L1540" s="206"/>
      <c r="M1540" s="206"/>
      <c r="N1540" s="206"/>
      <c r="O1540" s="206"/>
      <c r="P1540" s="206"/>
      <c r="Q1540" s="262"/>
      <c r="R1540" s="262"/>
      <c r="S1540" s="207"/>
      <c r="T1540" s="263"/>
      <c r="U1540" s="26"/>
      <c r="V1540" s="26"/>
      <c r="W1540" s="26"/>
      <c r="X1540" s="26"/>
    </row>
    <row r="1541">
      <c r="A1541" s="28"/>
      <c r="B1541" s="28"/>
      <c r="C1541" s="81" t="s">
        <v>697</v>
      </c>
      <c r="D1541" s="238" t="s">
        <v>698</v>
      </c>
      <c r="E1541" s="105">
        <f>225000*2+150000</f>
        <v>600000</v>
      </c>
      <c r="F1541" s="105">
        <f>(320000*2)+320000</f>
        <v>960000</v>
      </c>
      <c r="G1541" s="34">
        <f t="shared" ref="G1541:G1545" si="543">(F1541-E1541)/E1541</f>
        <v>0.6</v>
      </c>
      <c r="H1541" s="206"/>
      <c r="I1541" s="206"/>
      <c r="J1541" s="206"/>
      <c r="K1541" s="206"/>
      <c r="L1541" s="206"/>
      <c r="M1541" s="206"/>
      <c r="N1541" s="206"/>
      <c r="O1541" s="206"/>
      <c r="P1541" s="206"/>
      <c r="Q1541" s="262"/>
      <c r="R1541" s="262"/>
      <c r="S1541" s="207"/>
      <c r="T1541" s="263"/>
      <c r="U1541" s="26"/>
      <c r="V1541" s="26"/>
      <c r="W1541" s="26"/>
      <c r="X1541" s="26"/>
    </row>
    <row r="1542">
      <c r="A1542" s="28"/>
      <c r="B1542" s="28"/>
      <c r="C1542" s="28"/>
      <c r="D1542" s="238" t="s">
        <v>699</v>
      </c>
      <c r="E1542" s="105">
        <f>(450000+31500+5000)*2</f>
        <v>973000</v>
      </c>
      <c r="F1542" s="105">
        <f>(600000*2)+(31500+5000)*2</f>
        <v>1273000</v>
      </c>
      <c r="G1542" s="34">
        <f t="shared" si="543"/>
        <v>0.3083247688</v>
      </c>
      <c r="H1542" s="206"/>
      <c r="I1542" s="206"/>
      <c r="J1542" s="206"/>
      <c r="K1542" s="206"/>
      <c r="L1542" s="206"/>
      <c r="M1542" s="206"/>
      <c r="N1542" s="206"/>
      <c r="O1542" s="206"/>
      <c r="P1542" s="206"/>
      <c r="Q1542" s="262"/>
      <c r="R1542" s="262"/>
      <c r="S1542" s="207"/>
      <c r="T1542" s="263"/>
      <c r="U1542" s="26"/>
      <c r="V1542" s="26"/>
      <c r="W1542" s="26"/>
      <c r="X1542" s="26"/>
    </row>
    <row r="1543">
      <c r="A1543" s="28"/>
      <c r="B1543" s="28"/>
      <c r="C1543" s="28"/>
      <c r="D1543" s="238" t="s">
        <v>700</v>
      </c>
      <c r="E1543" s="105">
        <f>380000*2</f>
        <v>760000</v>
      </c>
      <c r="F1543" s="105">
        <f>550000*2</f>
        <v>1100000</v>
      </c>
      <c r="G1543" s="34">
        <f t="shared" si="543"/>
        <v>0.4473684211</v>
      </c>
      <c r="H1543" s="206"/>
      <c r="I1543" s="206"/>
      <c r="J1543" s="206"/>
      <c r="K1543" s="206"/>
      <c r="L1543" s="206"/>
      <c r="M1543" s="206"/>
      <c r="N1543" s="206"/>
      <c r="O1543" s="206"/>
      <c r="P1543" s="206"/>
      <c r="Q1543" s="262"/>
      <c r="R1543" s="262"/>
      <c r="S1543" s="207"/>
      <c r="T1543" s="263"/>
      <c r="U1543" s="26"/>
      <c r="V1543" s="26"/>
      <c r="W1543" s="26"/>
      <c r="X1543" s="26"/>
    </row>
    <row r="1544">
      <c r="A1544" s="28"/>
      <c r="B1544" s="28"/>
      <c r="C1544" s="28"/>
      <c r="D1544" s="238" t="s">
        <v>701</v>
      </c>
      <c r="E1544" s="105">
        <f>(330000*2)</f>
        <v>660000</v>
      </c>
      <c r="F1544" s="105">
        <f>510000*2</f>
        <v>1020000</v>
      </c>
      <c r="G1544" s="34">
        <f t="shared" si="543"/>
        <v>0.5454545455</v>
      </c>
      <c r="H1544" s="206"/>
      <c r="I1544" s="206"/>
      <c r="J1544" s="206"/>
      <c r="K1544" s="206"/>
      <c r="L1544" s="206"/>
      <c r="M1544" s="206"/>
      <c r="N1544" s="206"/>
      <c r="O1544" s="206"/>
      <c r="P1544" s="206"/>
      <c r="Q1544" s="262"/>
      <c r="R1544" s="262"/>
      <c r="S1544" s="207"/>
      <c r="T1544" s="263"/>
      <c r="U1544" s="26"/>
      <c r="V1544" s="26"/>
      <c r="W1544" s="26"/>
      <c r="X1544" s="26"/>
    </row>
    <row r="1545">
      <c r="A1545" s="28"/>
      <c r="B1545" s="28"/>
      <c r="C1545" s="28"/>
      <c r="D1545" s="246" t="s">
        <v>214</v>
      </c>
      <c r="E1545" s="105">
        <f t="shared" ref="E1545:F1545" si="544">SUM(E1541:E1544)</f>
        <v>2993000</v>
      </c>
      <c r="F1545" s="105">
        <f t="shared" si="544"/>
        <v>4353000</v>
      </c>
      <c r="G1545" s="34">
        <f t="shared" si="543"/>
        <v>0.454393585</v>
      </c>
      <c r="H1545" s="206"/>
      <c r="I1545" s="206"/>
      <c r="J1545" s="206"/>
      <c r="K1545" s="206"/>
      <c r="L1545" s="206"/>
      <c r="M1545" s="206"/>
      <c r="N1545" s="206"/>
      <c r="O1545" s="206"/>
      <c r="P1545" s="206"/>
      <c r="Q1545" s="262"/>
      <c r="R1545" s="262"/>
      <c r="S1545" s="207"/>
      <c r="T1545" s="263"/>
      <c r="U1545" s="26"/>
      <c r="V1545" s="26"/>
      <c r="W1545" s="26"/>
      <c r="X1545" s="26"/>
    </row>
    <row r="1546">
      <c r="A1546" s="28"/>
      <c r="B1546" s="28"/>
      <c r="C1546" s="28"/>
      <c r="D1546" s="246" t="s">
        <v>215</v>
      </c>
      <c r="E1546" s="105">
        <f>F1545-E1545</f>
        <v>1360000</v>
      </c>
      <c r="F1546" s="105"/>
      <c r="G1546" s="34"/>
      <c r="H1546" s="206"/>
      <c r="I1546" s="206"/>
      <c r="J1546" s="206"/>
      <c r="K1546" s="206"/>
      <c r="L1546" s="206"/>
      <c r="M1546" s="206"/>
      <c r="N1546" s="206"/>
      <c r="O1546" s="206"/>
      <c r="P1546" s="206"/>
      <c r="Q1546" s="262"/>
      <c r="R1546" s="262"/>
      <c r="S1546" s="207"/>
      <c r="T1546" s="263"/>
      <c r="U1546" s="26"/>
      <c r="V1546" s="26"/>
      <c r="W1546" s="26"/>
      <c r="X1546" s="26"/>
    </row>
    <row r="1547">
      <c r="A1547" s="28"/>
      <c r="B1547" s="28"/>
      <c r="C1547" s="28"/>
      <c r="D1547" s="96"/>
      <c r="E1547" s="105"/>
      <c r="F1547" s="105"/>
      <c r="G1547" s="34"/>
      <c r="H1547" s="206"/>
      <c r="I1547" s="206"/>
      <c r="J1547" s="206"/>
      <c r="K1547" s="206"/>
      <c r="L1547" s="206"/>
      <c r="M1547" s="206"/>
      <c r="N1547" s="206"/>
      <c r="O1547" s="206"/>
      <c r="P1547" s="206"/>
      <c r="Q1547" s="262"/>
      <c r="R1547" s="262"/>
      <c r="S1547" s="207"/>
      <c r="T1547" s="263"/>
      <c r="U1547" s="26"/>
      <c r="V1547" s="26"/>
      <c r="W1547" s="26"/>
      <c r="X1547" s="26"/>
    </row>
    <row r="1548">
      <c r="A1548" s="28"/>
      <c r="B1548" s="28"/>
      <c r="C1548" s="81" t="s">
        <v>702</v>
      </c>
      <c r="D1548" s="246" t="s">
        <v>312</v>
      </c>
      <c r="E1548" s="105">
        <f>(330000*2)</f>
        <v>660000</v>
      </c>
      <c r="F1548" s="105">
        <f>510000*2</f>
        <v>1020000</v>
      </c>
      <c r="G1548" s="34">
        <f t="shared" ref="G1548:G1551" si="545">(F1548-E1548)/E1548</f>
        <v>0.5454545455</v>
      </c>
      <c r="H1548" s="206"/>
      <c r="I1548" s="206"/>
      <c r="J1548" s="206"/>
      <c r="K1548" s="206"/>
      <c r="L1548" s="206"/>
      <c r="M1548" s="206"/>
      <c r="N1548" s="206"/>
      <c r="O1548" s="206"/>
      <c r="P1548" s="206"/>
      <c r="Q1548" s="262"/>
      <c r="R1548" s="262"/>
      <c r="S1548" s="207"/>
      <c r="T1548" s="263"/>
      <c r="U1548" s="26"/>
      <c r="V1548" s="26"/>
      <c r="W1548" s="26"/>
      <c r="X1548" s="26"/>
    </row>
    <row r="1549">
      <c r="A1549" s="28"/>
      <c r="B1549" s="28"/>
      <c r="C1549" s="28"/>
      <c r="D1549" s="246" t="s">
        <v>663</v>
      </c>
      <c r="E1549" s="201">
        <v>446000.0</v>
      </c>
      <c r="F1549" s="105">
        <f>325000*2</f>
        <v>650000</v>
      </c>
      <c r="G1549" s="34">
        <f t="shared" si="545"/>
        <v>0.4573991031</v>
      </c>
      <c r="H1549" s="206">
        <f>E1549*1.4</f>
        <v>624400</v>
      </c>
      <c r="I1549" s="206"/>
      <c r="J1549" s="206"/>
      <c r="K1549" s="206"/>
      <c r="L1549" s="206"/>
      <c r="M1549" s="206"/>
      <c r="N1549" s="206"/>
      <c r="O1549" s="206"/>
      <c r="P1549" s="206"/>
      <c r="Q1549" s="262"/>
      <c r="R1549" s="262"/>
      <c r="S1549" s="207"/>
      <c r="T1549" s="263"/>
      <c r="U1549" s="26"/>
      <c r="V1549" s="26"/>
      <c r="W1549" s="26"/>
      <c r="X1549" s="26"/>
    </row>
    <row r="1550">
      <c r="A1550" s="28"/>
      <c r="B1550" s="28"/>
      <c r="C1550" s="28"/>
      <c r="D1550" s="246" t="s">
        <v>273</v>
      </c>
      <c r="E1550" s="201">
        <v>230000.0</v>
      </c>
      <c r="F1550" s="105">
        <f>250000*2</f>
        <v>500000</v>
      </c>
      <c r="G1550" s="34">
        <f t="shared" si="545"/>
        <v>1.173913043</v>
      </c>
      <c r="H1550" s="206"/>
      <c r="I1550" s="206"/>
      <c r="J1550" s="206"/>
      <c r="K1550" s="206"/>
      <c r="L1550" s="206"/>
      <c r="M1550" s="206"/>
      <c r="N1550" s="206"/>
      <c r="O1550" s="206"/>
      <c r="P1550" s="206"/>
      <c r="Q1550" s="262"/>
      <c r="R1550" s="262"/>
      <c r="S1550" s="207"/>
      <c r="T1550" s="263"/>
      <c r="U1550" s="26"/>
      <c r="V1550" s="26"/>
      <c r="W1550" s="26"/>
      <c r="X1550" s="26"/>
    </row>
    <row r="1551">
      <c r="A1551" s="28"/>
      <c r="B1551" s="28"/>
      <c r="C1551" s="28"/>
      <c r="D1551" s="246" t="s">
        <v>101</v>
      </c>
      <c r="E1551" s="105">
        <f t="shared" ref="E1551:F1551" si="546">E1548+E1549+E1550</f>
        <v>1336000</v>
      </c>
      <c r="F1551" s="105">
        <f t="shared" si="546"/>
        <v>2170000</v>
      </c>
      <c r="G1551" s="34">
        <f t="shared" si="545"/>
        <v>0.624251497</v>
      </c>
      <c r="H1551" s="206"/>
      <c r="I1551" s="206"/>
      <c r="J1551" s="206"/>
      <c r="K1551" s="206"/>
      <c r="L1551" s="206"/>
      <c r="M1551" s="206"/>
      <c r="N1551" s="206"/>
      <c r="O1551" s="206"/>
      <c r="P1551" s="206"/>
      <c r="Q1551" s="262"/>
      <c r="R1551" s="262"/>
      <c r="S1551" s="207"/>
      <c r="T1551" s="263"/>
      <c r="U1551" s="26"/>
      <c r="V1551" s="26"/>
      <c r="W1551" s="26"/>
      <c r="X1551" s="26"/>
    </row>
    <row r="1552">
      <c r="A1552" s="28"/>
      <c r="B1552" s="28"/>
      <c r="C1552" s="28"/>
      <c r="D1552" s="246" t="s">
        <v>148</v>
      </c>
      <c r="E1552" s="105">
        <f>F1551-E1551</f>
        <v>834000</v>
      </c>
      <c r="F1552" s="105"/>
      <c r="G1552" s="34"/>
      <c r="H1552" s="206"/>
      <c r="I1552" s="206"/>
      <c r="J1552" s="206"/>
      <c r="K1552" s="206"/>
      <c r="L1552" s="206"/>
      <c r="M1552" s="206"/>
      <c r="N1552" s="206"/>
      <c r="O1552" s="206"/>
      <c r="P1552" s="206"/>
      <c r="Q1552" s="262"/>
      <c r="R1552" s="262"/>
      <c r="S1552" s="207"/>
      <c r="T1552" s="263"/>
      <c r="U1552" s="26"/>
      <c r="V1552" s="26"/>
      <c r="W1552" s="26"/>
      <c r="X1552" s="26"/>
    </row>
    <row r="1553">
      <c r="A1553" s="28"/>
      <c r="B1553" s="28"/>
      <c r="C1553" s="28"/>
      <c r="D1553" s="96"/>
      <c r="E1553" s="105"/>
      <c r="F1553" s="105"/>
      <c r="G1553" s="34"/>
      <c r="H1553" s="206"/>
      <c r="I1553" s="206"/>
      <c r="J1553" s="206"/>
      <c r="K1553" s="206"/>
      <c r="L1553" s="206"/>
      <c r="M1553" s="206"/>
      <c r="N1553" s="206"/>
      <c r="O1553" s="206"/>
      <c r="P1553" s="206"/>
      <c r="Q1553" s="262"/>
      <c r="R1553" s="262"/>
      <c r="S1553" s="207"/>
      <c r="T1553" s="263"/>
      <c r="U1553" s="26"/>
      <c r="V1553" s="26"/>
      <c r="W1553" s="26"/>
      <c r="X1553" s="26"/>
    </row>
    <row r="1554">
      <c r="A1554" s="28"/>
      <c r="B1554" s="28"/>
      <c r="C1554" s="28"/>
      <c r="D1554" s="96"/>
      <c r="E1554" s="105"/>
      <c r="F1554" s="105"/>
      <c r="G1554" s="34"/>
      <c r="H1554" s="206"/>
      <c r="I1554" s="206"/>
      <c r="J1554" s="206"/>
      <c r="K1554" s="206"/>
      <c r="L1554" s="206"/>
      <c r="M1554" s="206"/>
      <c r="N1554" s="206"/>
      <c r="O1554" s="206"/>
      <c r="P1554" s="206"/>
      <c r="Q1554" s="262"/>
      <c r="R1554" s="262"/>
      <c r="S1554" s="207"/>
      <c r="T1554" s="263"/>
      <c r="U1554" s="26"/>
      <c r="V1554" s="26"/>
      <c r="W1554" s="26"/>
      <c r="X1554" s="26"/>
    </row>
    <row r="1555">
      <c r="A1555" s="28"/>
      <c r="B1555" s="28"/>
      <c r="C1555" s="1" t="s">
        <v>703</v>
      </c>
      <c r="D1555" s="238" t="s">
        <v>704</v>
      </c>
      <c r="E1555" s="105">
        <f>(330000*2)</f>
        <v>660000</v>
      </c>
      <c r="F1555" s="105">
        <f t="shared" ref="F1555:F1556" si="547">510000*2</f>
        <v>1020000</v>
      </c>
      <c r="G1555" s="34">
        <f t="shared" ref="G1555:G1558" si="548">(F1555-E1555)/E1555</f>
        <v>0.5454545455</v>
      </c>
      <c r="H1555" s="206"/>
      <c r="I1555" s="206"/>
      <c r="J1555" s="206"/>
      <c r="K1555" s="206"/>
      <c r="L1555" s="206"/>
      <c r="M1555" s="206"/>
      <c r="N1555" s="206"/>
      <c r="O1555" s="206"/>
      <c r="P1555" s="206"/>
      <c r="Q1555" s="262"/>
      <c r="R1555" s="262"/>
      <c r="S1555" s="207"/>
      <c r="T1555" s="263"/>
      <c r="U1555" s="26"/>
      <c r="V1555" s="26"/>
      <c r="W1555" s="26"/>
      <c r="X1555" s="26"/>
    </row>
    <row r="1556">
      <c r="A1556" s="28"/>
      <c r="B1556" s="28"/>
      <c r="C1556" s="28"/>
      <c r="D1556" s="238" t="s">
        <v>705</v>
      </c>
      <c r="E1556" s="105">
        <f>380000*2</f>
        <v>760000</v>
      </c>
      <c r="F1556" s="105">
        <f t="shared" si="547"/>
        <v>1020000</v>
      </c>
      <c r="G1556" s="34">
        <f t="shared" si="548"/>
        <v>0.3421052632</v>
      </c>
      <c r="H1556" s="206"/>
      <c r="I1556" s="206"/>
      <c r="J1556" s="206"/>
      <c r="K1556" s="206"/>
      <c r="L1556" s="206"/>
      <c r="M1556" s="206"/>
      <c r="N1556" s="206"/>
      <c r="O1556" s="206"/>
      <c r="P1556" s="206"/>
      <c r="Q1556" s="262"/>
      <c r="R1556" s="262"/>
      <c r="S1556" s="207"/>
      <c r="T1556" s="263"/>
      <c r="U1556" s="26"/>
      <c r="V1556" s="26"/>
      <c r="W1556" s="26"/>
      <c r="X1556" s="26"/>
    </row>
    <row r="1557">
      <c r="A1557" s="28"/>
      <c r="B1557" s="28"/>
      <c r="C1557" s="28"/>
      <c r="D1557" s="246" t="s">
        <v>706</v>
      </c>
      <c r="E1557" s="105">
        <f>309000*2</f>
        <v>618000</v>
      </c>
      <c r="F1557" s="105">
        <f>450000*2</f>
        <v>900000</v>
      </c>
      <c r="G1557" s="34">
        <f t="shared" si="548"/>
        <v>0.4563106796</v>
      </c>
      <c r="H1557" s="206"/>
      <c r="I1557" s="206"/>
      <c r="J1557" s="206"/>
      <c r="K1557" s="206"/>
      <c r="L1557" s="206"/>
      <c r="M1557" s="206"/>
      <c r="N1557" s="206"/>
      <c r="O1557" s="206"/>
      <c r="P1557" s="206"/>
      <c r="Q1557" s="262"/>
      <c r="R1557" s="262"/>
      <c r="S1557" s="207"/>
      <c r="T1557" s="263"/>
      <c r="U1557" s="26"/>
      <c r="V1557" s="26"/>
      <c r="W1557" s="26"/>
      <c r="X1557" s="26"/>
    </row>
    <row r="1558">
      <c r="A1558" s="28"/>
      <c r="B1558" s="28"/>
      <c r="C1558" s="28"/>
      <c r="D1558" s="246" t="s">
        <v>101</v>
      </c>
      <c r="E1558" s="105">
        <f>E1555+E1556+E1557</f>
        <v>2038000</v>
      </c>
      <c r="F1558" s="105">
        <f>SUM(F1555:F1557)</f>
        <v>2940000</v>
      </c>
      <c r="G1558" s="34">
        <f t="shared" si="548"/>
        <v>0.4425907753</v>
      </c>
      <c r="H1558" s="206"/>
      <c r="I1558" s="206"/>
      <c r="J1558" s="206"/>
      <c r="K1558" s="206"/>
      <c r="L1558" s="206"/>
      <c r="M1558" s="206"/>
      <c r="N1558" s="206"/>
      <c r="O1558" s="206"/>
      <c r="P1558" s="206"/>
      <c r="Q1558" s="262"/>
      <c r="R1558" s="262"/>
      <c r="S1558" s="207"/>
      <c r="T1558" s="263"/>
      <c r="U1558" s="26"/>
      <c r="V1558" s="26"/>
      <c r="W1558" s="26"/>
      <c r="X1558" s="26"/>
    </row>
    <row r="1559">
      <c r="A1559" s="28"/>
      <c r="B1559" s="28"/>
      <c r="C1559" s="28"/>
      <c r="D1559" s="246" t="s">
        <v>148</v>
      </c>
      <c r="E1559" s="105">
        <f>F1558-E1558</f>
        <v>902000</v>
      </c>
      <c r="F1559" s="105"/>
      <c r="G1559" s="34"/>
      <c r="H1559" s="206"/>
      <c r="I1559" s="206"/>
      <c r="J1559" s="206"/>
      <c r="K1559" s="206"/>
      <c r="L1559" s="206"/>
      <c r="M1559" s="206"/>
      <c r="N1559" s="206"/>
      <c r="O1559" s="206"/>
      <c r="P1559" s="206"/>
      <c r="Q1559" s="262"/>
      <c r="R1559" s="262"/>
      <c r="S1559" s="207"/>
      <c r="T1559" s="263"/>
      <c r="U1559" s="26"/>
      <c r="V1559" s="26"/>
      <c r="W1559" s="26"/>
      <c r="X1559" s="26"/>
    </row>
    <row r="1560">
      <c r="A1560" s="28"/>
      <c r="B1560" s="28"/>
      <c r="C1560" s="28"/>
      <c r="D1560" s="96"/>
      <c r="E1560" s="105"/>
      <c r="F1560" s="105"/>
      <c r="G1560" s="206"/>
      <c r="H1560" s="206"/>
      <c r="I1560" s="206"/>
      <c r="J1560" s="206"/>
      <c r="K1560" s="206"/>
      <c r="L1560" s="206"/>
      <c r="M1560" s="206"/>
      <c r="N1560" s="206"/>
      <c r="O1560" s="206"/>
      <c r="P1560" s="206"/>
      <c r="Q1560" s="262"/>
      <c r="R1560" s="262"/>
      <c r="S1560" s="207"/>
      <c r="T1560" s="263"/>
      <c r="U1560" s="26"/>
      <c r="V1560" s="26"/>
      <c r="W1560" s="26"/>
      <c r="X1560" s="26"/>
    </row>
    <row r="1561">
      <c r="A1561" s="28"/>
      <c r="B1561" s="28"/>
      <c r="C1561" s="28"/>
      <c r="D1561" s="96"/>
      <c r="E1561" s="105"/>
      <c r="F1561" s="105"/>
      <c r="G1561" s="206"/>
      <c r="H1561" s="206"/>
      <c r="I1561" s="206"/>
      <c r="J1561" s="206"/>
      <c r="K1561" s="206"/>
      <c r="L1561" s="206"/>
      <c r="M1561" s="206"/>
      <c r="N1561" s="206"/>
      <c r="O1561" s="206"/>
      <c r="P1561" s="206"/>
      <c r="Q1561" s="262"/>
      <c r="R1561" s="262"/>
      <c r="S1561" s="207"/>
      <c r="T1561" s="263"/>
      <c r="U1561" s="26"/>
      <c r="V1561" s="26"/>
      <c r="W1561" s="26"/>
      <c r="X1561" s="26"/>
    </row>
    <row r="1562">
      <c r="A1562" s="28"/>
      <c r="B1562" s="28"/>
      <c r="C1562" s="1" t="s">
        <v>707</v>
      </c>
      <c r="D1562" s="246" t="s">
        <v>668</v>
      </c>
      <c r="E1562" s="105">
        <f>320000+38000+30000+10000</f>
        <v>398000</v>
      </c>
      <c r="F1562" s="201">
        <v>500000.0</v>
      </c>
      <c r="G1562" s="34">
        <f t="shared" ref="G1562:G1570" si="549">(F1562-E1562)/E1562</f>
        <v>0.256281407</v>
      </c>
      <c r="H1562" s="206"/>
      <c r="I1562" s="206"/>
      <c r="J1562" s="206"/>
      <c r="K1562" s="206"/>
      <c r="L1562" s="206"/>
      <c r="M1562" s="206"/>
      <c r="N1562" s="206"/>
      <c r="O1562" s="206"/>
      <c r="P1562" s="206"/>
      <c r="Q1562" s="262"/>
      <c r="R1562" s="262"/>
      <c r="S1562" s="207"/>
      <c r="T1562" s="263"/>
      <c r="U1562" s="26"/>
      <c r="V1562" s="26"/>
      <c r="W1562" s="26"/>
      <c r="X1562" s="26"/>
    </row>
    <row r="1563">
      <c r="A1563" s="28"/>
      <c r="B1563" s="28"/>
      <c r="C1563" s="28"/>
      <c r="D1563" s="246" t="s">
        <v>221</v>
      </c>
      <c r="E1563" s="201">
        <v>134000.0</v>
      </c>
      <c r="F1563" s="201">
        <v>230000.0</v>
      </c>
      <c r="G1563" s="34">
        <f t="shared" si="549"/>
        <v>0.7164179104</v>
      </c>
      <c r="H1563" s="206"/>
      <c r="I1563" s="206"/>
      <c r="J1563" s="206"/>
      <c r="K1563" s="206"/>
      <c r="L1563" s="206"/>
      <c r="M1563" s="206"/>
      <c r="N1563" s="206"/>
      <c r="O1563" s="206"/>
      <c r="P1563" s="206"/>
      <c r="Q1563" s="262"/>
      <c r="R1563" s="262"/>
      <c r="S1563" s="207"/>
      <c r="T1563" s="263"/>
      <c r="U1563" s="26"/>
      <c r="V1563" s="26"/>
      <c r="W1563" s="26"/>
      <c r="X1563" s="26"/>
    </row>
    <row r="1564">
      <c r="A1564" s="28"/>
      <c r="B1564" s="28"/>
      <c r="C1564" s="28"/>
      <c r="D1564" s="246" t="s">
        <v>589</v>
      </c>
      <c r="E1564" s="201">
        <v>360000.0</v>
      </c>
      <c r="F1564" s="201">
        <v>500000.0</v>
      </c>
      <c r="G1564" s="34">
        <f t="shared" si="549"/>
        <v>0.3888888889</v>
      </c>
      <c r="H1564" s="206"/>
      <c r="I1564" s="206"/>
      <c r="J1564" s="206"/>
      <c r="K1564" s="206"/>
      <c r="L1564" s="206"/>
      <c r="M1564" s="206"/>
      <c r="N1564" s="206"/>
      <c r="O1564" s="206"/>
      <c r="P1564" s="206"/>
      <c r="Q1564" s="262"/>
      <c r="R1564" s="262"/>
      <c r="S1564" s="207"/>
      <c r="T1564" s="263"/>
      <c r="U1564" s="26"/>
      <c r="V1564" s="26"/>
      <c r="W1564" s="26"/>
      <c r="X1564" s="26"/>
    </row>
    <row r="1565">
      <c r="A1565" s="28"/>
      <c r="B1565" s="28"/>
      <c r="C1565" s="28"/>
      <c r="D1565" s="246" t="s">
        <v>156</v>
      </c>
      <c r="E1565" s="201">
        <v>330000.0</v>
      </c>
      <c r="F1565" s="201">
        <v>510000.0</v>
      </c>
      <c r="G1565" s="34">
        <f t="shared" si="549"/>
        <v>0.5454545455</v>
      </c>
      <c r="H1565" s="206"/>
      <c r="I1565" s="206"/>
      <c r="J1565" s="206"/>
      <c r="K1565" s="206"/>
      <c r="L1565" s="206"/>
      <c r="M1565" s="206"/>
      <c r="N1565" s="206"/>
      <c r="O1565" s="206"/>
      <c r="P1565" s="206"/>
      <c r="Q1565" s="262"/>
      <c r="R1565" s="262"/>
      <c r="S1565" s="207"/>
      <c r="T1565" s="263"/>
      <c r="U1565" s="26"/>
      <c r="V1565" s="26"/>
      <c r="W1565" s="26"/>
      <c r="X1565" s="26"/>
    </row>
    <row r="1566">
      <c r="A1566" s="28"/>
      <c r="B1566" s="28"/>
      <c r="C1566" s="28"/>
      <c r="D1566" s="246" t="s">
        <v>708</v>
      </c>
      <c r="E1566" s="201">
        <v>620000.0</v>
      </c>
      <c r="F1566" s="201">
        <v>750000.0</v>
      </c>
      <c r="G1566" s="34">
        <f t="shared" si="549"/>
        <v>0.2096774194</v>
      </c>
      <c r="H1566" s="206"/>
      <c r="I1566" s="206"/>
      <c r="J1566" s="206"/>
      <c r="K1566" s="206"/>
      <c r="L1566" s="206"/>
      <c r="M1566" s="206"/>
      <c r="N1566" s="206"/>
      <c r="O1566" s="206"/>
      <c r="P1566" s="206"/>
      <c r="Q1566" s="262"/>
      <c r="R1566" s="262"/>
      <c r="S1566" s="207"/>
      <c r="T1566" s="263"/>
      <c r="U1566" s="26"/>
      <c r="V1566" s="26"/>
      <c r="W1566" s="26"/>
      <c r="X1566" s="26"/>
    </row>
    <row r="1567">
      <c r="A1567" s="28"/>
      <c r="B1567" s="28"/>
      <c r="C1567" s="28"/>
      <c r="D1567" s="246" t="s">
        <v>222</v>
      </c>
      <c r="E1567" s="201">
        <v>370000.0</v>
      </c>
      <c r="F1567" s="201">
        <v>490000.0</v>
      </c>
      <c r="G1567" s="34">
        <f t="shared" si="549"/>
        <v>0.3243243243</v>
      </c>
      <c r="H1567" s="206"/>
      <c r="I1567" s="206"/>
      <c r="J1567" s="206"/>
      <c r="K1567" s="206"/>
      <c r="L1567" s="206"/>
      <c r="M1567" s="206"/>
      <c r="N1567" s="206"/>
      <c r="O1567" s="206"/>
      <c r="P1567" s="206"/>
      <c r="Q1567" s="262"/>
      <c r="R1567" s="262"/>
      <c r="S1567" s="207"/>
      <c r="T1567" s="263"/>
      <c r="U1567" s="26"/>
      <c r="V1567" s="26"/>
      <c r="W1567" s="26"/>
      <c r="X1567" s="26"/>
    </row>
    <row r="1568">
      <c r="A1568" s="28"/>
      <c r="B1568" s="28"/>
      <c r="C1568" s="28"/>
      <c r="D1568" s="246" t="s">
        <v>282</v>
      </c>
      <c r="E1568" s="201">
        <v>309000.0</v>
      </c>
      <c r="F1568" s="201">
        <v>450000.0</v>
      </c>
      <c r="G1568" s="34">
        <f t="shared" si="549"/>
        <v>0.4563106796</v>
      </c>
      <c r="H1568" s="206"/>
      <c r="I1568" s="206"/>
      <c r="J1568" s="206"/>
      <c r="K1568" s="206"/>
      <c r="L1568" s="206"/>
      <c r="M1568" s="206"/>
      <c r="N1568" s="206"/>
      <c r="O1568" s="206"/>
      <c r="P1568" s="206"/>
      <c r="Q1568" s="262"/>
      <c r="R1568" s="262"/>
      <c r="S1568" s="207"/>
      <c r="T1568" s="263"/>
      <c r="U1568" s="26"/>
      <c r="V1568" s="26"/>
      <c r="W1568" s="26"/>
      <c r="X1568" s="26"/>
    </row>
    <row r="1569">
      <c r="A1569" s="28"/>
      <c r="B1569" s="28"/>
      <c r="C1569" s="28"/>
      <c r="D1569" s="246" t="s">
        <v>364</v>
      </c>
      <c r="E1569" s="201">
        <v>385000.0</v>
      </c>
      <c r="F1569" s="201">
        <v>580000.0</v>
      </c>
      <c r="G1569" s="34">
        <f t="shared" si="549"/>
        <v>0.5064935065</v>
      </c>
      <c r="H1569" s="206"/>
      <c r="I1569" s="206"/>
      <c r="J1569" s="206"/>
      <c r="K1569" s="206"/>
      <c r="L1569" s="206"/>
      <c r="M1569" s="206"/>
      <c r="N1569" s="206"/>
      <c r="O1569" s="206"/>
      <c r="P1569" s="206"/>
      <c r="Q1569" s="262"/>
      <c r="R1569" s="262"/>
      <c r="S1569" s="207"/>
      <c r="T1569" s="263"/>
      <c r="U1569" s="26"/>
      <c r="V1569" s="26"/>
      <c r="W1569" s="26"/>
      <c r="X1569" s="26"/>
    </row>
    <row r="1570">
      <c r="A1570" s="28"/>
      <c r="B1570" s="28"/>
      <c r="C1570" s="28"/>
      <c r="D1570" s="246" t="s">
        <v>101</v>
      </c>
      <c r="E1570" s="105">
        <f t="shared" ref="E1570:F1570" si="550">E1562+E1563+E1564+E1565+E1566+E1567+E1568+E1569</f>
        <v>2906000</v>
      </c>
      <c r="F1570" s="105">
        <f t="shared" si="550"/>
        <v>4010000</v>
      </c>
      <c r="G1570" s="34">
        <f t="shared" si="549"/>
        <v>0.3799036476</v>
      </c>
      <c r="H1570" s="206"/>
      <c r="I1570" s="206"/>
      <c r="J1570" s="206"/>
      <c r="K1570" s="206"/>
      <c r="L1570" s="206"/>
      <c r="M1570" s="206"/>
      <c r="N1570" s="206"/>
      <c r="O1570" s="206"/>
      <c r="P1570" s="206"/>
      <c r="Q1570" s="262"/>
      <c r="R1570" s="262"/>
      <c r="S1570" s="207"/>
      <c r="T1570" s="263"/>
      <c r="U1570" s="26"/>
      <c r="V1570" s="26"/>
      <c r="W1570" s="26"/>
      <c r="X1570" s="26"/>
    </row>
    <row r="1571">
      <c r="A1571" s="28"/>
      <c r="B1571" s="28"/>
      <c r="C1571" s="28"/>
      <c r="D1571" s="246" t="s">
        <v>148</v>
      </c>
      <c r="E1571" s="105">
        <f>F1570-E1570</f>
        <v>1104000</v>
      </c>
      <c r="F1571" s="105"/>
      <c r="G1571" s="34"/>
      <c r="H1571" s="206"/>
      <c r="I1571" s="206"/>
      <c r="J1571" s="206"/>
      <c r="K1571" s="206"/>
      <c r="L1571" s="206"/>
      <c r="M1571" s="206"/>
      <c r="N1571" s="206"/>
      <c r="O1571" s="206"/>
      <c r="P1571" s="206"/>
      <c r="Q1571" s="262"/>
      <c r="R1571" s="262"/>
      <c r="S1571" s="207"/>
      <c r="T1571" s="263"/>
      <c r="U1571" s="26"/>
      <c r="V1571" s="26"/>
      <c r="W1571" s="26"/>
      <c r="X1571" s="26"/>
    </row>
    <row r="1572">
      <c r="A1572" s="28"/>
      <c r="B1572" s="28"/>
      <c r="C1572" s="28"/>
      <c r="D1572" s="96"/>
      <c r="E1572" s="105">
        <f>F1572-E1570</f>
        <v>1064000</v>
      </c>
      <c r="F1572" s="201">
        <v>3970000.0</v>
      </c>
      <c r="G1572" s="34"/>
      <c r="H1572" s="206"/>
      <c r="I1572" s="206"/>
      <c r="J1572" s="206"/>
      <c r="K1572" s="206"/>
      <c r="L1572" s="206"/>
      <c r="M1572" s="206"/>
      <c r="N1572" s="206"/>
      <c r="O1572" s="206"/>
      <c r="P1572" s="206"/>
      <c r="Q1572" s="262"/>
      <c r="R1572" s="262"/>
      <c r="S1572" s="207"/>
      <c r="T1572" s="263"/>
      <c r="U1572" s="26"/>
      <c r="V1572" s="26"/>
      <c r="W1572" s="26"/>
      <c r="X1572" s="26"/>
    </row>
    <row r="1573">
      <c r="A1573" s="28"/>
      <c r="B1573" s="28"/>
      <c r="C1573" s="28"/>
      <c r="D1573" s="96"/>
      <c r="E1573" s="105"/>
      <c r="F1573" s="105"/>
      <c r="G1573" s="34"/>
      <c r="H1573" s="206"/>
      <c r="I1573" s="206"/>
      <c r="J1573" s="206"/>
      <c r="K1573" s="206"/>
      <c r="L1573" s="206"/>
      <c r="M1573" s="206"/>
      <c r="N1573" s="206"/>
      <c r="O1573" s="206"/>
      <c r="P1573" s="206"/>
      <c r="Q1573" s="262"/>
      <c r="R1573" s="262"/>
      <c r="S1573" s="207"/>
      <c r="T1573" s="263"/>
      <c r="U1573" s="26"/>
      <c r="V1573" s="26"/>
      <c r="W1573" s="26"/>
      <c r="X1573" s="26"/>
    </row>
    <row r="1574">
      <c r="A1574" s="28"/>
      <c r="B1574" s="28"/>
      <c r="C1574" s="28"/>
      <c r="D1574" s="96"/>
      <c r="E1574" s="105"/>
      <c r="F1574" s="105"/>
      <c r="G1574" s="34"/>
      <c r="H1574" s="206"/>
      <c r="I1574" s="206"/>
      <c r="J1574" s="206"/>
      <c r="K1574" s="206"/>
      <c r="L1574" s="206"/>
      <c r="M1574" s="206"/>
      <c r="N1574" s="206"/>
      <c r="O1574" s="206"/>
      <c r="P1574" s="206"/>
      <c r="Q1574" s="262"/>
      <c r="R1574" s="262"/>
      <c r="S1574" s="207"/>
      <c r="T1574" s="263"/>
      <c r="U1574" s="26"/>
      <c r="V1574" s="26"/>
      <c r="W1574" s="26"/>
      <c r="X1574" s="26"/>
    </row>
    <row r="1575">
      <c r="A1575" s="28"/>
      <c r="B1575" s="28"/>
      <c r="C1575" s="81" t="s">
        <v>709</v>
      </c>
      <c r="D1575" s="246" t="s">
        <v>710</v>
      </c>
      <c r="E1575" s="105">
        <f>300000+38000*2+30000+20000</f>
        <v>426000</v>
      </c>
      <c r="F1575" s="201">
        <v>650000.0</v>
      </c>
      <c r="G1575" s="34">
        <f>(F1575-E1575)/E1575</f>
        <v>0.5258215962</v>
      </c>
      <c r="H1575" s="206"/>
      <c r="I1575" s="206"/>
      <c r="J1575" s="206"/>
      <c r="K1575" s="206"/>
      <c r="L1575" s="206"/>
      <c r="M1575" s="206"/>
      <c r="N1575" s="206"/>
      <c r="O1575" s="206"/>
      <c r="P1575" s="206"/>
      <c r="Q1575" s="262"/>
      <c r="R1575" s="262"/>
      <c r="S1575" s="207"/>
      <c r="T1575" s="263"/>
      <c r="U1575" s="26"/>
      <c r="V1575" s="26"/>
      <c r="W1575" s="26"/>
      <c r="X1575" s="26"/>
    </row>
    <row r="1576">
      <c r="A1576" s="28"/>
      <c r="B1576" s="28"/>
      <c r="C1576" s="28"/>
      <c r="D1576" s="96"/>
      <c r="E1576" s="105"/>
      <c r="F1576" s="105"/>
      <c r="G1576" s="34"/>
      <c r="H1576" s="206"/>
      <c r="I1576" s="206"/>
      <c r="J1576" s="206"/>
      <c r="K1576" s="206"/>
      <c r="L1576" s="206"/>
      <c r="M1576" s="206"/>
      <c r="N1576" s="206"/>
      <c r="O1576" s="206"/>
      <c r="P1576" s="206"/>
      <c r="Q1576" s="262"/>
      <c r="R1576" s="262"/>
      <c r="S1576" s="207"/>
      <c r="T1576" s="263"/>
      <c r="U1576" s="26"/>
      <c r="V1576" s="26"/>
      <c r="W1576" s="26"/>
      <c r="X1576" s="26"/>
    </row>
    <row r="1577">
      <c r="A1577" s="28"/>
      <c r="B1577" s="28"/>
      <c r="C1577" s="28"/>
      <c r="D1577" s="96"/>
      <c r="E1577" s="105"/>
      <c r="F1577" s="105"/>
      <c r="G1577" s="34"/>
      <c r="H1577" s="206"/>
      <c r="I1577" s="206"/>
      <c r="J1577" s="206"/>
      <c r="K1577" s="206"/>
      <c r="L1577" s="206"/>
      <c r="M1577" s="206"/>
      <c r="N1577" s="206"/>
      <c r="O1577" s="206"/>
      <c r="P1577" s="206"/>
      <c r="Q1577" s="262"/>
      <c r="R1577" s="262"/>
      <c r="S1577" s="207"/>
      <c r="T1577" s="263"/>
      <c r="U1577" s="26"/>
      <c r="V1577" s="26"/>
      <c r="W1577" s="26"/>
      <c r="X1577" s="26"/>
    </row>
    <row r="1578">
      <c r="A1578" s="28"/>
      <c r="B1578" s="28"/>
      <c r="C1578" s="28"/>
      <c r="D1578" s="96"/>
      <c r="E1578" s="105"/>
      <c r="F1578" s="105"/>
      <c r="G1578" s="34"/>
      <c r="H1578" s="206"/>
      <c r="I1578" s="206"/>
      <c r="J1578" s="206"/>
      <c r="K1578" s="206"/>
      <c r="L1578" s="206"/>
      <c r="M1578" s="206"/>
      <c r="N1578" s="206"/>
      <c r="O1578" s="206"/>
      <c r="P1578" s="206"/>
      <c r="Q1578" s="262"/>
      <c r="R1578" s="262"/>
      <c r="S1578" s="207"/>
      <c r="T1578" s="263"/>
      <c r="U1578" s="26"/>
      <c r="V1578" s="26"/>
      <c r="W1578" s="26"/>
      <c r="X1578" s="26"/>
    </row>
    <row r="1579">
      <c r="A1579" s="28"/>
      <c r="B1579" s="28"/>
      <c r="C1579" s="1" t="s">
        <v>711</v>
      </c>
      <c r="D1579" s="246" t="s">
        <v>712</v>
      </c>
      <c r="E1579" s="201">
        <v>3250000.0</v>
      </c>
      <c r="F1579" s="105">
        <f>E1579*1.5</f>
        <v>4875000</v>
      </c>
      <c r="G1579" s="34">
        <f t="shared" ref="G1579:G1583" si="551">(F1579-E1579)/E1579</f>
        <v>0.5</v>
      </c>
      <c r="H1579" s="206"/>
      <c r="I1579" s="206"/>
      <c r="J1579" s="206"/>
      <c r="K1579" s="206"/>
      <c r="L1579" s="206"/>
      <c r="M1579" s="206"/>
      <c r="N1579" s="206"/>
      <c r="O1579" s="206"/>
      <c r="P1579" s="206"/>
      <c r="Q1579" s="262"/>
      <c r="R1579" s="262"/>
      <c r="S1579" s="207"/>
      <c r="T1579" s="263"/>
      <c r="U1579" s="26"/>
      <c r="V1579" s="26"/>
      <c r="W1579" s="26"/>
      <c r="X1579" s="26"/>
    </row>
    <row r="1580">
      <c r="A1580" s="28"/>
      <c r="B1580" s="28"/>
      <c r="C1580" s="81" t="s">
        <v>713</v>
      </c>
      <c r="D1580" s="238" t="s">
        <v>714</v>
      </c>
      <c r="E1580" s="201">
        <f>600000*3</f>
        <v>1800000</v>
      </c>
      <c r="F1580" s="105">
        <f t="shared" ref="F1580:F1582" si="552">E1580*1.4</f>
        <v>2520000</v>
      </c>
      <c r="G1580" s="34">
        <f t="shared" si="551"/>
        <v>0.4</v>
      </c>
      <c r="H1580" s="206"/>
      <c r="I1580" s="206"/>
      <c r="J1580" s="206"/>
      <c r="K1580" s="206"/>
      <c r="L1580" s="206"/>
      <c r="M1580" s="206"/>
      <c r="N1580" s="206"/>
      <c r="O1580" s="206"/>
      <c r="P1580" s="206"/>
      <c r="Q1580" s="262"/>
      <c r="R1580" s="262"/>
      <c r="S1580" s="207"/>
      <c r="T1580" s="263"/>
      <c r="U1580" s="26"/>
      <c r="V1580" s="26"/>
      <c r="W1580" s="26"/>
      <c r="X1580" s="26"/>
    </row>
    <row r="1581">
      <c r="A1581" s="28"/>
      <c r="B1581" s="28"/>
      <c r="C1581" s="28"/>
      <c r="D1581" s="246" t="s">
        <v>715</v>
      </c>
      <c r="E1581" s="201">
        <v>1000000.0</v>
      </c>
      <c r="F1581" s="105">
        <f t="shared" si="552"/>
        <v>1400000</v>
      </c>
      <c r="G1581" s="34">
        <f t="shared" si="551"/>
        <v>0.4</v>
      </c>
      <c r="H1581" s="206"/>
      <c r="I1581" s="206"/>
      <c r="J1581" s="206"/>
      <c r="K1581" s="206"/>
      <c r="L1581" s="206"/>
      <c r="M1581" s="206"/>
      <c r="N1581" s="206"/>
      <c r="O1581" s="206"/>
      <c r="P1581" s="206"/>
      <c r="Q1581" s="262"/>
      <c r="R1581" s="262"/>
      <c r="S1581" s="207"/>
      <c r="T1581" s="263"/>
      <c r="U1581" s="26"/>
      <c r="V1581" s="26"/>
      <c r="W1581" s="26"/>
      <c r="X1581" s="26"/>
    </row>
    <row r="1582">
      <c r="A1582" s="28"/>
      <c r="B1582" s="28"/>
      <c r="C1582" s="28"/>
      <c r="D1582" s="246" t="s">
        <v>716</v>
      </c>
      <c r="E1582" s="105">
        <f>450000*8</f>
        <v>3600000</v>
      </c>
      <c r="F1582" s="105">
        <f t="shared" si="552"/>
        <v>5040000</v>
      </c>
      <c r="G1582" s="34">
        <f t="shared" si="551"/>
        <v>0.4</v>
      </c>
      <c r="H1582" s="206"/>
      <c r="I1582" s="206"/>
      <c r="J1582" s="206"/>
      <c r="K1582" s="206"/>
      <c r="L1582" s="206"/>
      <c r="M1582" s="206"/>
      <c r="N1582" s="206"/>
      <c r="O1582" s="206"/>
      <c r="P1582" s="206"/>
      <c r="Q1582" s="262"/>
      <c r="R1582" s="262"/>
      <c r="S1582" s="207"/>
      <c r="T1582" s="263"/>
      <c r="U1582" s="26"/>
      <c r="V1582" s="26"/>
      <c r="W1582" s="26"/>
      <c r="X1582" s="26"/>
    </row>
    <row r="1583">
      <c r="A1583" s="28"/>
      <c r="B1583" s="28"/>
      <c r="C1583" s="28"/>
      <c r="D1583" s="246" t="s">
        <v>91</v>
      </c>
      <c r="E1583" s="105">
        <f>150000*8</f>
        <v>1200000</v>
      </c>
      <c r="F1583" s="105">
        <f>250000*8</f>
        <v>2000000</v>
      </c>
      <c r="G1583" s="34">
        <f t="shared" si="551"/>
        <v>0.6666666667</v>
      </c>
      <c r="H1583" s="206"/>
      <c r="I1583" s="206"/>
      <c r="J1583" s="206"/>
      <c r="K1583" s="206"/>
      <c r="L1583" s="206"/>
      <c r="M1583" s="206"/>
      <c r="N1583" s="206"/>
      <c r="O1583" s="206"/>
      <c r="P1583" s="206"/>
      <c r="Q1583" s="262"/>
      <c r="R1583" s="262"/>
      <c r="S1583" s="207"/>
      <c r="T1583" s="263"/>
      <c r="U1583" s="26"/>
      <c r="V1583" s="26"/>
      <c r="W1583" s="26"/>
      <c r="X1583" s="26"/>
    </row>
    <row r="1584">
      <c r="A1584" s="28"/>
      <c r="B1584" s="28"/>
      <c r="C1584" s="28"/>
      <c r="D1584" s="96"/>
      <c r="E1584" s="105"/>
      <c r="F1584" s="105"/>
      <c r="G1584" s="34"/>
      <c r="H1584" s="206"/>
      <c r="I1584" s="206"/>
      <c r="J1584" s="206"/>
      <c r="K1584" s="206"/>
      <c r="L1584" s="206"/>
      <c r="M1584" s="206"/>
      <c r="N1584" s="206"/>
      <c r="O1584" s="206"/>
      <c r="P1584" s="206"/>
      <c r="Q1584" s="262"/>
      <c r="R1584" s="262"/>
      <c r="S1584" s="207"/>
      <c r="T1584" s="263"/>
      <c r="U1584" s="26"/>
      <c r="V1584" s="26"/>
      <c r="W1584" s="26"/>
      <c r="X1584" s="26"/>
    </row>
    <row r="1585">
      <c r="A1585" s="28"/>
      <c r="B1585" s="28"/>
      <c r="C1585" s="28"/>
      <c r="D1585" s="96"/>
      <c r="E1585" s="105"/>
      <c r="F1585" s="105"/>
      <c r="G1585" s="34"/>
      <c r="H1585" s="206"/>
      <c r="I1585" s="206"/>
      <c r="J1585" s="206"/>
      <c r="K1585" s="206"/>
      <c r="L1585" s="206"/>
      <c r="M1585" s="206"/>
      <c r="N1585" s="206"/>
      <c r="O1585" s="206"/>
      <c r="P1585" s="206"/>
      <c r="Q1585" s="262"/>
      <c r="R1585" s="262"/>
      <c r="S1585" s="207"/>
      <c r="T1585" s="263"/>
      <c r="U1585" s="26"/>
      <c r="V1585" s="26"/>
      <c r="W1585" s="26"/>
      <c r="X1585" s="26"/>
    </row>
    <row r="1586">
      <c r="A1586" s="28"/>
      <c r="B1586" s="28"/>
      <c r="C1586" s="81" t="s">
        <v>717</v>
      </c>
      <c r="D1586" s="246" t="s">
        <v>392</v>
      </c>
      <c r="E1586" s="201">
        <f>390000*11</f>
        <v>4290000</v>
      </c>
      <c r="F1586" s="201">
        <v>6380000.0</v>
      </c>
      <c r="G1586" s="34">
        <f t="shared" ref="G1586:G1589" si="553">(F1586-E1586)/E1586</f>
        <v>0.4871794872</v>
      </c>
      <c r="H1586" s="206"/>
      <c r="I1586" s="206"/>
      <c r="J1586" s="206"/>
      <c r="K1586" s="206"/>
      <c r="L1586" s="206"/>
      <c r="M1586" s="206"/>
      <c r="N1586" s="206"/>
      <c r="O1586" s="206"/>
      <c r="P1586" s="206"/>
      <c r="Q1586" s="262"/>
      <c r="R1586" s="262"/>
      <c r="S1586" s="207"/>
      <c r="T1586" s="263"/>
      <c r="U1586" s="26"/>
      <c r="V1586" s="26"/>
      <c r="W1586" s="26"/>
      <c r="X1586" s="26"/>
    </row>
    <row r="1587">
      <c r="A1587" s="28"/>
      <c r="B1587" s="28"/>
      <c r="C1587" s="28"/>
      <c r="D1587" s="246" t="s">
        <v>538</v>
      </c>
      <c r="E1587" s="105"/>
      <c r="F1587" s="201">
        <v>495000.0</v>
      </c>
      <c r="G1587" s="34" t="str">
        <f t="shared" si="553"/>
        <v>#DIV/0!</v>
      </c>
      <c r="H1587" s="206"/>
      <c r="I1587" s="73"/>
      <c r="J1587" s="206"/>
      <c r="K1587" s="206"/>
      <c r="L1587" s="206"/>
      <c r="M1587" s="206"/>
      <c r="N1587" s="206"/>
      <c r="O1587" s="206"/>
      <c r="P1587" s="206"/>
      <c r="Q1587" s="262"/>
      <c r="R1587" s="262"/>
      <c r="S1587" s="207"/>
      <c r="T1587" s="263"/>
      <c r="U1587" s="26"/>
      <c r="V1587" s="26"/>
      <c r="W1587" s="26"/>
      <c r="X1587" s="26"/>
    </row>
    <row r="1588">
      <c r="A1588" s="28"/>
      <c r="B1588" s="28"/>
      <c r="C1588" s="28"/>
      <c r="D1588" s="246" t="s">
        <v>718</v>
      </c>
      <c r="E1588" s="105">
        <f t="shared" ref="E1588:F1588" si="554">E1586+E1587</f>
        <v>4290000</v>
      </c>
      <c r="F1588" s="105">
        <f t="shared" si="554"/>
        <v>6875000</v>
      </c>
      <c r="G1588" s="34">
        <f t="shared" si="553"/>
        <v>0.6025641026</v>
      </c>
      <c r="H1588" s="206"/>
      <c r="I1588" s="206"/>
      <c r="J1588" s="206"/>
      <c r="K1588" s="206"/>
      <c r="L1588" s="206"/>
      <c r="M1588" s="206"/>
      <c r="N1588" s="206"/>
      <c r="O1588" s="206"/>
      <c r="P1588" s="206"/>
      <c r="Q1588" s="262"/>
      <c r="R1588" s="262"/>
      <c r="S1588" s="207"/>
      <c r="T1588" s="263"/>
      <c r="U1588" s="26"/>
      <c r="V1588" s="26"/>
      <c r="W1588" s="26"/>
      <c r="X1588" s="26"/>
    </row>
    <row r="1589">
      <c r="A1589" s="28"/>
      <c r="B1589" s="28"/>
      <c r="C1589" s="28"/>
      <c r="D1589" s="246" t="s">
        <v>148</v>
      </c>
      <c r="E1589" s="105">
        <f>F1588-E1588</f>
        <v>2585000</v>
      </c>
      <c r="F1589" s="259"/>
      <c r="G1589" s="34">
        <f t="shared" si="553"/>
        <v>-1</v>
      </c>
      <c r="H1589" s="206"/>
      <c r="I1589" s="206"/>
      <c r="J1589" s="206"/>
      <c r="K1589" s="206"/>
      <c r="L1589" s="206"/>
      <c r="M1589" s="206"/>
      <c r="N1589" s="206"/>
      <c r="O1589" s="206"/>
      <c r="P1589" s="206"/>
      <c r="Q1589" s="262"/>
      <c r="R1589" s="262"/>
      <c r="S1589" s="207"/>
      <c r="T1589" s="263"/>
      <c r="U1589" s="26"/>
      <c r="V1589" s="26"/>
      <c r="W1589" s="26"/>
      <c r="X1589" s="26"/>
    </row>
    <row r="1590">
      <c r="A1590" s="28"/>
      <c r="B1590" s="28"/>
      <c r="C1590" s="28"/>
      <c r="D1590" s="246"/>
      <c r="E1590" s="105"/>
      <c r="F1590" s="259"/>
      <c r="G1590" s="34"/>
      <c r="H1590" s="206"/>
      <c r="I1590" s="206"/>
      <c r="J1590" s="206"/>
      <c r="K1590" s="206"/>
      <c r="L1590" s="206"/>
      <c r="M1590" s="206"/>
      <c r="N1590" s="206"/>
      <c r="O1590" s="206"/>
      <c r="P1590" s="206"/>
      <c r="Q1590" s="262"/>
      <c r="R1590" s="262"/>
      <c r="S1590" s="207"/>
      <c r="T1590" s="263"/>
      <c r="U1590" s="26"/>
      <c r="V1590" s="26"/>
      <c r="W1590" s="26"/>
      <c r="X1590" s="26"/>
    </row>
    <row r="1591">
      <c r="A1591" s="28"/>
      <c r="B1591" s="28"/>
      <c r="C1591" s="28"/>
      <c r="D1591" s="246" t="s">
        <v>222</v>
      </c>
      <c r="E1591" s="105">
        <f>370000*11</f>
        <v>4070000</v>
      </c>
      <c r="F1591" s="105">
        <f>490000*12</f>
        <v>5880000</v>
      </c>
      <c r="G1591" s="34">
        <f t="shared" ref="G1591:G1592" si="555">(F1591-E1591)/E1591</f>
        <v>0.4447174447</v>
      </c>
      <c r="H1591" s="206"/>
      <c r="I1591" s="206"/>
      <c r="J1591" s="206"/>
      <c r="K1591" s="206"/>
      <c r="L1591" s="206"/>
      <c r="M1591" s="206"/>
      <c r="N1591" s="206"/>
      <c r="O1591" s="206"/>
      <c r="P1591" s="206"/>
      <c r="Q1591" s="262"/>
      <c r="R1591" s="262"/>
      <c r="S1591" s="207"/>
      <c r="T1591" s="263"/>
      <c r="U1591" s="26"/>
      <c r="V1591" s="26"/>
      <c r="W1591" s="26"/>
      <c r="X1591" s="26"/>
    </row>
    <row r="1592">
      <c r="A1592" s="28"/>
      <c r="B1592" s="28"/>
      <c r="C1592" s="28"/>
      <c r="D1592" s="96"/>
      <c r="E1592" s="105"/>
      <c r="F1592" s="264">
        <f>E1591*1.3</f>
        <v>5291000</v>
      </c>
      <c r="G1592" s="34" t="str">
        <f t="shared" si="555"/>
        <v>#DIV/0!</v>
      </c>
      <c r="H1592" s="206">
        <f>F1592-E1592</f>
        <v>5291000</v>
      </c>
      <c r="I1592" s="73">
        <v>5572000.0</v>
      </c>
      <c r="J1592" s="206"/>
      <c r="K1592" s="206"/>
      <c r="L1592" s="206"/>
      <c r="M1592" s="206"/>
      <c r="N1592" s="206"/>
      <c r="O1592" s="206"/>
      <c r="P1592" s="206"/>
      <c r="Q1592" s="262"/>
      <c r="R1592" s="262"/>
      <c r="S1592" s="207"/>
      <c r="T1592" s="263"/>
      <c r="U1592" s="26"/>
      <c r="V1592" s="26"/>
      <c r="W1592" s="26"/>
      <c r="X1592" s="26"/>
    </row>
    <row r="1593">
      <c r="A1593" s="28"/>
      <c r="B1593" s="28"/>
      <c r="C1593" s="28"/>
      <c r="D1593" s="96"/>
      <c r="E1593" s="105">
        <f>F1592-E1592</f>
        <v>5291000</v>
      </c>
      <c r="F1593" s="105"/>
      <c r="G1593" s="206"/>
      <c r="H1593" s="206"/>
      <c r="I1593" s="206"/>
      <c r="J1593" s="206"/>
      <c r="K1593" s="206"/>
      <c r="L1593" s="206"/>
      <c r="M1593" s="206"/>
      <c r="N1593" s="206"/>
      <c r="O1593" s="206"/>
      <c r="P1593" s="206"/>
      <c r="Q1593" s="262"/>
      <c r="R1593" s="262"/>
      <c r="S1593" s="207"/>
      <c r="T1593" s="263"/>
      <c r="U1593" s="26"/>
      <c r="V1593" s="26"/>
      <c r="W1593" s="26"/>
      <c r="X1593" s="26"/>
    </row>
    <row r="1594">
      <c r="A1594" s="28"/>
      <c r="B1594" s="28"/>
      <c r="C1594" s="28"/>
      <c r="D1594" s="96"/>
      <c r="E1594" s="105"/>
      <c r="F1594" s="105"/>
      <c r="G1594" s="206"/>
      <c r="H1594" s="206"/>
      <c r="I1594" s="206"/>
      <c r="J1594" s="206"/>
      <c r="K1594" s="206"/>
      <c r="L1594" s="206"/>
      <c r="M1594" s="206"/>
      <c r="N1594" s="206"/>
      <c r="O1594" s="206"/>
      <c r="P1594" s="206"/>
      <c r="Q1594" s="262"/>
      <c r="R1594" s="262"/>
      <c r="S1594" s="207"/>
      <c r="T1594" s="263"/>
      <c r="U1594" s="26"/>
      <c r="V1594" s="26"/>
      <c r="W1594" s="26"/>
      <c r="X1594" s="26"/>
    </row>
    <row r="1595">
      <c r="A1595" s="28"/>
      <c r="B1595" s="28"/>
      <c r="C1595" s="81" t="s">
        <v>717</v>
      </c>
      <c r="D1595" s="246" t="s">
        <v>392</v>
      </c>
      <c r="E1595" s="201">
        <f>390000*11</f>
        <v>4290000</v>
      </c>
      <c r="F1595" s="201">
        <f>610000*11</f>
        <v>6710000</v>
      </c>
      <c r="G1595" s="34">
        <f t="shared" ref="G1595:G1598" si="556">(F1595-E1595)/E1595</f>
        <v>0.5641025641</v>
      </c>
      <c r="H1595" s="206"/>
      <c r="I1595" s="206"/>
      <c r="J1595" s="206"/>
      <c r="K1595" s="206"/>
      <c r="L1595" s="206"/>
      <c r="M1595" s="206"/>
      <c r="N1595" s="206"/>
      <c r="O1595" s="206"/>
      <c r="P1595" s="206"/>
      <c r="Q1595" s="262"/>
      <c r="R1595" s="262"/>
      <c r="S1595" s="207"/>
      <c r="T1595" s="263"/>
      <c r="U1595" s="26"/>
      <c r="V1595" s="26"/>
      <c r="W1595" s="26"/>
      <c r="X1595" s="26"/>
    </row>
    <row r="1596">
      <c r="A1596" s="28"/>
      <c r="B1596" s="28"/>
      <c r="C1596" s="28"/>
      <c r="D1596" s="246" t="s">
        <v>538</v>
      </c>
      <c r="E1596" s="105"/>
      <c r="F1596" s="201">
        <v>510000.0</v>
      </c>
      <c r="G1596" s="34" t="str">
        <f t="shared" si="556"/>
        <v>#DIV/0!</v>
      </c>
      <c r="H1596" s="206"/>
      <c r="I1596" s="206"/>
      <c r="J1596" s="206"/>
      <c r="K1596" s="206"/>
      <c r="L1596" s="206"/>
      <c r="M1596" s="206"/>
      <c r="N1596" s="206"/>
      <c r="O1596" s="206"/>
      <c r="P1596" s="206"/>
      <c r="Q1596" s="262"/>
      <c r="R1596" s="262"/>
      <c r="S1596" s="207"/>
      <c r="T1596" s="263"/>
      <c r="U1596" s="26"/>
      <c r="V1596" s="26"/>
      <c r="W1596" s="26"/>
      <c r="X1596" s="26"/>
    </row>
    <row r="1597">
      <c r="A1597" s="28"/>
      <c r="B1597" s="28"/>
      <c r="C1597" s="28"/>
      <c r="D1597" s="246" t="s">
        <v>718</v>
      </c>
      <c r="E1597" s="105">
        <f t="shared" ref="E1597:F1597" si="557">E1595+E1596</f>
        <v>4290000</v>
      </c>
      <c r="F1597" s="105">
        <f t="shared" si="557"/>
        <v>7220000</v>
      </c>
      <c r="G1597" s="34">
        <f t="shared" si="556"/>
        <v>0.682983683</v>
      </c>
      <c r="H1597" s="206"/>
      <c r="I1597" s="206"/>
      <c r="J1597" s="206"/>
      <c r="K1597" s="206"/>
      <c r="L1597" s="206"/>
      <c r="M1597" s="206"/>
      <c r="N1597" s="206"/>
      <c r="O1597" s="206"/>
      <c r="P1597" s="206"/>
      <c r="Q1597" s="262"/>
      <c r="R1597" s="262"/>
      <c r="S1597" s="207"/>
      <c r="T1597" s="263"/>
      <c r="U1597" s="26"/>
      <c r="V1597" s="26"/>
      <c r="W1597" s="26"/>
      <c r="X1597" s="26"/>
    </row>
    <row r="1598">
      <c r="A1598" s="28"/>
      <c r="B1598" s="28"/>
      <c r="C1598" s="28"/>
      <c r="D1598" s="246" t="s">
        <v>148</v>
      </c>
      <c r="E1598" s="105">
        <f>F1597-E1597</f>
        <v>2930000</v>
      </c>
      <c r="F1598" s="259"/>
      <c r="G1598" s="34">
        <f t="shared" si="556"/>
        <v>-1</v>
      </c>
      <c r="H1598" s="206"/>
      <c r="I1598" s="206"/>
      <c r="J1598" s="206"/>
      <c r="K1598" s="206"/>
      <c r="L1598" s="206"/>
      <c r="M1598" s="206"/>
      <c r="N1598" s="206"/>
      <c r="O1598" s="206"/>
      <c r="P1598" s="206"/>
      <c r="Q1598" s="262"/>
      <c r="R1598" s="262"/>
      <c r="S1598" s="207"/>
      <c r="T1598" s="263"/>
      <c r="U1598" s="26"/>
      <c r="V1598" s="26"/>
      <c r="W1598" s="26"/>
      <c r="X1598" s="26"/>
    </row>
    <row r="1599">
      <c r="A1599" s="28"/>
      <c r="B1599" s="28"/>
      <c r="C1599" s="28"/>
      <c r="D1599" s="246"/>
      <c r="E1599" s="105"/>
      <c r="F1599" s="105"/>
      <c r="G1599" s="34"/>
      <c r="H1599" s="206"/>
      <c r="I1599" s="206"/>
      <c r="J1599" s="206"/>
      <c r="K1599" s="206"/>
      <c r="L1599" s="206"/>
      <c r="M1599" s="206"/>
      <c r="N1599" s="206"/>
      <c r="O1599" s="206"/>
      <c r="P1599" s="206"/>
      <c r="Q1599" s="262"/>
      <c r="R1599" s="262"/>
      <c r="S1599" s="207"/>
      <c r="T1599" s="263"/>
      <c r="U1599" s="26"/>
      <c r="V1599" s="26"/>
      <c r="W1599" s="26"/>
      <c r="X1599" s="26"/>
    </row>
    <row r="1600">
      <c r="A1600" s="28"/>
      <c r="B1600" s="28"/>
      <c r="C1600" s="81" t="s">
        <v>719</v>
      </c>
      <c r="D1600" s="246" t="s">
        <v>668</v>
      </c>
      <c r="E1600" s="201">
        <f>320000+38000+30000+10000</f>
        <v>398000</v>
      </c>
      <c r="F1600" s="201">
        <v>500000.0</v>
      </c>
      <c r="G1600" s="34">
        <f t="shared" ref="G1600:G1602" si="558">(F1600-E1600)/E1600</f>
        <v>0.256281407</v>
      </c>
      <c r="H1600" s="206"/>
      <c r="I1600" s="206"/>
      <c r="J1600" s="206"/>
      <c r="K1600" s="206"/>
      <c r="L1600" s="206"/>
      <c r="M1600" s="206"/>
      <c r="N1600" s="206"/>
      <c r="O1600" s="206"/>
      <c r="P1600" s="206"/>
      <c r="Q1600" s="262"/>
      <c r="R1600" s="262"/>
      <c r="S1600" s="207"/>
      <c r="T1600" s="263"/>
      <c r="U1600" s="26"/>
      <c r="V1600" s="26"/>
      <c r="W1600" s="26"/>
      <c r="X1600" s="26"/>
    </row>
    <row r="1601">
      <c r="A1601" s="28"/>
      <c r="B1601" s="28"/>
      <c r="C1601" s="28"/>
      <c r="D1601" s="246" t="s">
        <v>158</v>
      </c>
      <c r="E1601" s="201">
        <v>420000.0</v>
      </c>
      <c r="F1601" s="105">
        <f>550000</f>
        <v>550000</v>
      </c>
      <c r="G1601" s="34">
        <f t="shared" si="558"/>
        <v>0.3095238095</v>
      </c>
      <c r="H1601" s="206"/>
      <c r="I1601" s="206"/>
      <c r="J1601" s="206"/>
      <c r="K1601" s="206"/>
      <c r="L1601" s="206"/>
      <c r="M1601" s="206"/>
      <c r="N1601" s="206"/>
      <c r="O1601" s="206"/>
      <c r="P1601" s="206"/>
      <c r="Q1601" s="262"/>
      <c r="R1601" s="262"/>
      <c r="S1601" s="207"/>
      <c r="T1601" s="263"/>
      <c r="U1601" s="26"/>
      <c r="V1601" s="26"/>
      <c r="W1601" s="26"/>
      <c r="X1601" s="26"/>
    </row>
    <row r="1602">
      <c r="A1602" s="28"/>
      <c r="B1602" s="28"/>
      <c r="C1602" s="28"/>
      <c r="D1602" s="246" t="s">
        <v>720</v>
      </c>
      <c r="E1602" s="105">
        <f t="shared" ref="E1602:F1602" si="559">E1600+E1601</f>
        <v>818000</v>
      </c>
      <c r="F1602" s="105">
        <f t="shared" si="559"/>
        <v>1050000</v>
      </c>
      <c r="G1602" s="34">
        <f t="shared" si="558"/>
        <v>0.2836185819</v>
      </c>
      <c r="H1602" s="206"/>
      <c r="I1602" s="206"/>
      <c r="J1602" s="206"/>
      <c r="K1602" s="206"/>
      <c r="L1602" s="206"/>
      <c r="M1602" s="206"/>
      <c r="N1602" s="206"/>
      <c r="O1602" s="206"/>
      <c r="P1602" s="206"/>
      <c r="Q1602" s="262"/>
      <c r="R1602" s="262"/>
      <c r="S1602" s="207"/>
      <c r="T1602" s="263"/>
      <c r="U1602" s="26"/>
      <c r="V1602" s="26"/>
      <c r="W1602" s="26"/>
      <c r="X1602" s="26"/>
    </row>
    <row r="1603">
      <c r="A1603" s="28"/>
      <c r="B1603" s="28"/>
      <c r="C1603" s="28"/>
      <c r="D1603" s="246" t="s">
        <v>148</v>
      </c>
      <c r="E1603" s="105">
        <f>F1602-E1602</f>
        <v>232000</v>
      </c>
      <c r="F1603" s="105"/>
      <c r="G1603" s="34"/>
      <c r="H1603" s="206"/>
      <c r="I1603" s="206"/>
      <c r="J1603" s="206"/>
      <c r="K1603" s="206"/>
      <c r="L1603" s="206"/>
      <c r="M1603" s="206"/>
      <c r="N1603" s="206"/>
      <c r="O1603" s="206"/>
      <c r="P1603" s="206"/>
      <c r="Q1603" s="262"/>
      <c r="R1603" s="262"/>
      <c r="S1603" s="207"/>
      <c r="T1603" s="263"/>
      <c r="U1603" s="26"/>
      <c r="V1603" s="26"/>
      <c r="W1603" s="26"/>
      <c r="X1603" s="26"/>
    </row>
    <row r="1604">
      <c r="A1604" s="28"/>
      <c r="B1604" s="28"/>
      <c r="C1604" s="28"/>
      <c r="D1604" s="96"/>
      <c r="E1604" s="105"/>
      <c r="F1604" s="105"/>
      <c r="G1604" s="34"/>
      <c r="H1604" s="206"/>
      <c r="I1604" s="206"/>
      <c r="J1604" s="206"/>
      <c r="K1604" s="206"/>
      <c r="L1604" s="206"/>
      <c r="M1604" s="206"/>
      <c r="N1604" s="206"/>
      <c r="O1604" s="206"/>
      <c r="P1604" s="206"/>
      <c r="Q1604" s="262"/>
      <c r="R1604" s="262"/>
      <c r="S1604" s="207"/>
      <c r="T1604" s="263"/>
      <c r="U1604" s="26"/>
      <c r="V1604" s="26"/>
      <c r="W1604" s="26"/>
      <c r="X1604" s="26"/>
    </row>
    <row r="1605">
      <c r="A1605" s="28"/>
      <c r="B1605" s="28"/>
      <c r="C1605" s="28"/>
      <c r="D1605" s="96"/>
      <c r="E1605" s="105"/>
      <c r="F1605" s="105"/>
      <c r="G1605" s="34"/>
      <c r="H1605" s="206"/>
      <c r="I1605" s="206"/>
      <c r="J1605" s="206"/>
      <c r="K1605" s="206"/>
      <c r="L1605" s="206"/>
      <c r="M1605" s="206"/>
      <c r="N1605" s="206"/>
      <c r="O1605" s="206"/>
      <c r="P1605" s="206"/>
      <c r="Q1605" s="262"/>
      <c r="R1605" s="262"/>
      <c r="S1605" s="207"/>
      <c r="T1605" s="263"/>
      <c r="U1605" s="26"/>
      <c r="V1605" s="26"/>
      <c r="W1605" s="26"/>
      <c r="X1605" s="26"/>
    </row>
    <row r="1606">
      <c r="A1606" s="28"/>
      <c r="B1606" s="28"/>
      <c r="C1606" s="81" t="s">
        <v>721</v>
      </c>
      <c r="D1606" s="246" t="s">
        <v>722</v>
      </c>
      <c r="E1606" s="201">
        <v>945000.0</v>
      </c>
      <c r="F1606" s="105">
        <f t="shared" ref="F1606:F1607" si="560">E1606*1.4</f>
        <v>1323000</v>
      </c>
      <c r="G1606" s="34">
        <f t="shared" ref="G1606:G1607" si="561">(F1606-E1606)/E1606</f>
        <v>0.4</v>
      </c>
      <c r="H1606" s="206"/>
      <c r="I1606" s="206"/>
      <c r="J1606" s="206"/>
      <c r="K1606" s="206"/>
      <c r="L1606" s="206"/>
      <c r="M1606" s="206"/>
      <c r="N1606" s="206"/>
      <c r="O1606" s="206"/>
      <c r="P1606" s="206"/>
      <c r="Q1606" s="262"/>
      <c r="R1606" s="262"/>
      <c r="S1606" s="207"/>
      <c r="T1606" s="263"/>
      <c r="U1606" s="26"/>
      <c r="V1606" s="26"/>
      <c r="W1606" s="26"/>
      <c r="X1606" s="26"/>
    </row>
    <row r="1607">
      <c r="A1607" s="28"/>
      <c r="B1607" s="28"/>
      <c r="C1607" s="28"/>
      <c r="D1607" s="246" t="s">
        <v>723</v>
      </c>
      <c r="E1607" s="201">
        <v>1056000.0</v>
      </c>
      <c r="F1607" s="105">
        <f t="shared" si="560"/>
        <v>1478400</v>
      </c>
      <c r="G1607" s="34">
        <f t="shared" si="561"/>
        <v>0.4</v>
      </c>
      <c r="H1607" s="206"/>
      <c r="I1607" s="206"/>
      <c r="J1607" s="206"/>
      <c r="K1607" s="206"/>
      <c r="L1607" s="206"/>
      <c r="M1607" s="206"/>
      <c r="N1607" s="206"/>
      <c r="O1607" s="206"/>
      <c r="P1607" s="206"/>
      <c r="Q1607" s="262"/>
      <c r="R1607" s="262"/>
      <c r="S1607" s="207"/>
      <c r="T1607" s="263"/>
      <c r="U1607" s="26"/>
      <c r="V1607" s="26"/>
      <c r="W1607" s="26"/>
      <c r="X1607" s="26"/>
    </row>
    <row r="1608">
      <c r="A1608" s="28"/>
      <c r="B1608" s="28"/>
      <c r="C1608" s="28"/>
      <c r="D1608" s="96"/>
      <c r="E1608" s="105"/>
      <c r="F1608" s="105"/>
      <c r="G1608" s="34"/>
      <c r="H1608" s="206"/>
      <c r="I1608" s="206"/>
      <c r="J1608" s="206"/>
      <c r="K1608" s="206"/>
      <c r="L1608" s="206"/>
      <c r="M1608" s="206"/>
      <c r="N1608" s="206"/>
      <c r="O1608" s="206"/>
      <c r="P1608" s="206"/>
      <c r="Q1608" s="262"/>
      <c r="R1608" s="262"/>
      <c r="S1608" s="207"/>
      <c r="T1608" s="263"/>
      <c r="U1608" s="26"/>
      <c r="V1608" s="26"/>
      <c r="W1608" s="26"/>
      <c r="X1608" s="26"/>
    </row>
    <row r="1609">
      <c r="A1609" s="28"/>
      <c r="B1609" s="28"/>
      <c r="C1609" s="81" t="s">
        <v>724</v>
      </c>
      <c r="D1609" s="246" t="s">
        <v>725</v>
      </c>
      <c r="E1609" s="105">
        <f>420000*5</f>
        <v>2100000</v>
      </c>
      <c r="F1609" s="105">
        <f>550000*5</f>
        <v>2750000</v>
      </c>
      <c r="G1609" s="34">
        <f t="shared" ref="G1609:G1612" si="562">(F1609-E1609)/E1609</f>
        <v>0.3095238095</v>
      </c>
      <c r="H1609" s="206"/>
      <c r="I1609" s="206"/>
      <c r="J1609" s="206"/>
      <c r="K1609" s="206"/>
      <c r="L1609" s="206"/>
      <c r="M1609" s="206"/>
      <c r="N1609" s="206"/>
      <c r="O1609" s="206"/>
      <c r="P1609" s="206"/>
      <c r="Q1609" s="262"/>
      <c r="R1609" s="262"/>
      <c r="S1609" s="207"/>
      <c r="T1609" s="263"/>
      <c r="U1609" s="26"/>
      <c r="V1609" s="26"/>
      <c r="W1609" s="26"/>
      <c r="X1609" s="26"/>
    </row>
    <row r="1610">
      <c r="A1610" s="28"/>
      <c r="B1610" s="28"/>
      <c r="C1610" s="28"/>
      <c r="D1610" s="246" t="s">
        <v>726</v>
      </c>
      <c r="E1610" s="105">
        <f>300000*5</f>
        <v>1500000</v>
      </c>
      <c r="F1610" s="105">
        <f>450000*5</f>
        <v>2250000</v>
      </c>
      <c r="G1610" s="34">
        <f t="shared" si="562"/>
        <v>0.5</v>
      </c>
      <c r="H1610" s="206"/>
      <c r="I1610" s="206"/>
      <c r="J1610" s="206"/>
      <c r="K1610" s="206"/>
      <c r="L1610" s="206"/>
      <c r="M1610" s="206"/>
      <c r="N1610" s="206"/>
      <c r="O1610" s="206"/>
      <c r="P1610" s="206"/>
      <c r="Q1610" s="262"/>
      <c r="R1610" s="262"/>
      <c r="S1610" s="207"/>
      <c r="T1610" s="263"/>
      <c r="U1610" s="26"/>
      <c r="V1610" s="26"/>
      <c r="W1610" s="26"/>
      <c r="X1610" s="26"/>
    </row>
    <row r="1611">
      <c r="A1611" s="28"/>
      <c r="B1611" s="28"/>
      <c r="C1611" s="28"/>
      <c r="D1611" s="246" t="s">
        <v>101</v>
      </c>
      <c r="E1611" s="105">
        <f t="shared" ref="E1611:F1611" si="563">E1609+E1610</f>
        <v>3600000</v>
      </c>
      <c r="F1611" s="105">
        <f t="shared" si="563"/>
        <v>5000000</v>
      </c>
      <c r="G1611" s="34">
        <f t="shared" si="562"/>
        <v>0.3888888889</v>
      </c>
      <c r="H1611" s="206"/>
      <c r="I1611" s="206"/>
      <c r="J1611" s="206"/>
      <c r="K1611" s="206"/>
      <c r="L1611" s="206"/>
      <c r="M1611" s="206"/>
      <c r="N1611" s="206"/>
      <c r="O1611" s="206"/>
      <c r="P1611" s="206"/>
      <c r="Q1611" s="262"/>
      <c r="R1611" s="262"/>
      <c r="S1611" s="207"/>
      <c r="T1611" s="263"/>
      <c r="U1611" s="26"/>
      <c r="V1611" s="26"/>
      <c r="W1611" s="26"/>
      <c r="X1611" s="26"/>
    </row>
    <row r="1612">
      <c r="A1612" s="28"/>
      <c r="B1612" s="28"/>
      <c r="C1612" s="28"/>
      <c r="D1612" s="246" t="s">
        <v>148</v>
      </c>
      <c r="E1612" s="105">
        <f>F1611-E1611</f>
        <v>1400000</v>
      </c>
      <c r="F1612" s="105"/>
      <c r="G1612" s="34">
        <f t="shared" si="562"/>
        <v>-1</v>
      </c>
      <c r="H1612" s="206"/>
      <c r="I1612" s="206"/>
      <c r="J1612" s="206"/>
      <c r="K1612" s="206"/>
      <c r="L1612" s="206"/>
      <c r="M1612" s="206"/>
      <c r="N1612" s="206"/>
      <c r="O1612" s="206"/>
      <c r="P1612" s="206"/>
      <c r="Q1612" s="262"/>
      <c r="R1612" s="262"/>
      <c r="S1612" s="207"/>
      <c r="T1612" s="263"/>
      <c r="U1612" s="26"/>
      <c r="V1612" s="26"/>
      <c r="W1612" s="26"/>
      <c r="X1612" s="26"/>
    </row>
    <row r="1613">
      <c r="A1613" s="28"/>
      <c r="B1613" s="28"/>
      <c r="C1613" s="28"/>
      <c r="D1613" s="96"/>
      <c r="E1613" s="105"/>
      <c r="F1613" s="105"/>
      <c r="G1613" s="34"/>
      <c r="H1613" s="206"/>
      <c r="I1613" s="206"/>
      <c r="J1613" s="206"/>
      <c r="K1613" s="206"/>
      <c r="L1613" s="206"/>
      <c r="M1613" s="206"/>
      <c r="N1613" s="206"/>
      <c r="O1613" s="206"/>
      <c r="P1613" s="206"/>
      <c r="Q1613" s="262"/>
      <c r="R1613" s="262"/>
      <c r="S1613" s="207"/>
      <c r="T1613" s="263"/>
      <c r="U1613" s="26"/>
      <c r="V1613" s="26"/>
      <c r="W1613" s="26"/>
      <c r="X1613" s="26"/>
    </row>
    <row r="1614">
      <c r="A1614" s="28"/>
      <c r="B1614" s="28"/>
      <c r="C1614" s="1" t="s">
        <v>727</v>
      </c>
      <c r="D1614" s="246" t="s">
        <v>273</v>
      </c>
      <c r="E1614" s="105">
        <f>130000*6</f>
        <v>780000</v>
      </c>
      <c r="F1614" s="105">
        <f>250000*6</f>
        <v>1500000</v>
      </c>
      <c r="G1614" s="34">
        <f t="shared" ref="G1614:G1618" si="564">(F1614-E1614)/E1614</f>
        <v>0.9230769231</v>
      </c>
      <c r="H1614" s="206"/>
      <c r="I1614" s="206"/>
      <c r="J1614" s="206"/>
      <c r="K1614" s="206"/>
      <c r="L1614" s="206"/>
      <c r="M1614" s="206"/>
      <c r="N1614" s="206"/>
      <c r="O1614" s="206"/>
      <c r="P1614" s="206"/>
      <c r="Q1614" s="262"/>
      <c r="R1614" s="262"/>
      <c r="S1614" s="207"/>
      <c r="T1614" s="263"/>
      <c r="U1614" s="26"/>
      <c r="V1614" s="26"/>
      <c r="W1614" s="26"/>
      <c r="X1614" s="26"/>
    </row>
    <row r="1615">
      <c r="A1615" s="28"/>
      <c r="B1615" s="28"/>
      <c r="C1615" s="81" t="s">
        <v>728</v>
      </c>
      <c r="D1615" s="246" t="s">
        <v>267</v>
      </c>
      <c r="E1615" s="105">
        <f>300000*6</f>
        <v>1800000</v>
      </c>
      <c r="F1615" s="105">
        <f>450000*6</f>
        <v>2700000</v>
      </c>
      <c r="G1615" s="34">
        <f t="shared" si="564"/>
        <v>0.5</v>
      </c>
      <c r="H1615" s="206"/>
      <c r="I1615" s="206"/>
      <c r="J1615" s="206"/>
      <c r="K1615" s="206"/>
      <c r="L1615" s="206"/>
      <c r="M1615" s="206"/>
      <c r="N1615" s="206"/>
      <c r="O1615" s="206"/>
      <c r="P1615" s="206"/>
      <c r="Q1615" s="262"/>
      <c r="R1615" s="262"/>
      <c r="S1615" s="207"/>
      <c r="T1615" s="263"/>
      <c r="U1615" s="26"/>
      <c r="V1615" s="26"/>
      <c r="W1615" s="26"/>
      <c r="X1615" s="26"/>
    </row>
    <row r="1616">
      <c r="A1616" s="28"/>
      <c r="B1616" s="28"/>
      <c r="C1616" s="28"/>
      <c r="D1616" s="246" t="s">
        <v>169</v>
      </c>
      <c r="E1616" s="105">
        <f>380000*6</f>
        <v>2280000</v>
      </c>
      <c r="F1616" s="105">
        <f>510000*6</f>
        <v>3060000</v>
      </c>
      <c r="G1616" s="34">
        <f t="shared" si="564"/>
        <v>0.3421052632</v>
      </c>
      <c r="H1616" s="206"/>
      <c r="I1616" s="206"/>
      <c r="J1616" s="206"/>
      <c r="K1616" s="206"/>
      <c r="L1616" s="206"/>
      <c r="M1616" s="206"/>
      <c r="N1616" s="206"/>
      <c r="O1616" s="206"/>
      <c r="P1616" s="206"/>
      <c r="Q1616" s="262"/>
      <c r="R1616" s="262"/>
      <c r="S1616" s="207"/>
      <c r="T1616" s="263"/>
      <c r="U1616" s="26"/>
      <c r="V1616" s="26"/>
      <c r="W1616" s="26"/>
      <c r="X1616" s="26"/>
    </row>
    <row r="1617">
      <c r="A1617" s="28"/>
      <c r="B1617" s="28"/>
      <c r="C1617" s="28"/>
      <c r="D1617" s="246" t="s">
        <v>486</v>
      </c>
      <c r="E1617" s="105">
        <f>600000+38000*6+60000+132000*2</f>
        <v>1152000</v>
      </c>
      <c r="F1617" s="105">
        <f>300000*6</f>
        <v>1800000</v>
      </c>
      <c r="G1617" s="34">
        <f t="shared" si="564"/>
        <v>0.5625</v>
      </c>
      <c r="H1617" s="206"/>
      <c r="I1617" s="206"/>
      <c r="J1617" s="206"/>
      <c r="K1617" s="206"/>
      <c r="L1617" s="206"/>
      <c r="M1617" s="206"/>
      <c r="N1617" s="206"/>
      <c r="O1617" s="206"/>
      <c r="P1617" s="206"/>
      <c r="Q1617" s="262"/>
      <c r="R1617" s="262"/>
      <c r="S1617" s="207"/>
      <c r="T1617" s="263"/>
      <c r="U1617" s="26"/>
      <c r="V1617" s="26"/>
      <c r="W1617" s="26"/>
      <c r="X1617" s="26"/>
    </row>
    <row r="1618">
      <c r="A1618" s="28"/>
      <c r="B1618" s="28"/>
      <c r="C1618" s="28"/>
      <c r="D1618" s="246" t="s">
        <v>101</v>
      </c>
      <c r="E1618" s="105">
        <f t="shared" ref="E1618:F1618" si="565">E1614+E1615+E1616+E1617</f>
        <v>6012000</v>
      </c>
      <c r="F1618" s="105">
        <f t="shared" si="565"/>
        <v>9060000</v>
      </c>
      <c r="G1618" s="34">
        <f t="shared" si="564"/>
        <v>0.5069860279</v>
      </c>
      <c r="H1618" s="206"/>
      <c r="I1618" s="206"/>
      <c r="J1618" s="206"/>
      <c r="K1618" s="206"/>
      <c r="L1618" s="206"/>
      <c r="M1618" s="206"/>
      <c r="N1618" s="206"/>
      <c r="O1618" s="206"/>
      <c r="P1618" s="206"/>
      <c r="Q1618" s="262"/>
      <c r="R1618" s="262"/>
      <c r="S1618" s="207"/>
      <c r="T1618" s="263"/>
      <c r="U1618" s="26"/>
      <c r="V1618" s="26"/>
      <c r="W1618" s="26"/>
      <c r="X1618" s="26"/>
    </row>
    <row r="1619">
      <c r="A1619" s="28"/>
      <c r="B1619" s="28"/>
      <c r="C1619" s="28"/>
      <c r="D1619" s="246" t="s">
        <v>148</v>
      </c>
      <c r="E1619" s="105">
        <f>F1618-E1618</f>
        <v>3048000</v>
      </c>
      <c r="F1619" s="105"/>
      <c r="G1619" s="34"/>
      <c r="H1619" s="206"/>
      <c r="I1619" s="206"/>
      <c r="J1619" s="206"/>
      <c r="K1619" s="206"/>
      <c r="L1619" s="206"/>
      <c r="M1619" s="206"/>
      <c r="N1619" s="206"/>
      <c r="O1619" s="206"/>
      <c r="P1619" s="206"/>
      <c r="Q1619" s="262"/>
      <c r="R1619" s="262"/>
      <c r="S1619" s="207"/>
      <c r="T1619" s="263"/>
      <c r="U1619" s="26"/>
      <c r="V1619" s="26"/>
      <c r="W1619" s="26"/>
      <c r="X1619" s="26"/>
    </row>
    <row r="1620">
      <c r="A1620" s="28"/>
      <c r="B1620" s="28"/>
      <c r="C1620" s="28"/>
      <c r="D1620" s="96"/>
      <c r="E1620" s="105"/>
      <c r="F1620" s="105"/>
      <c r="G1620" s="34"/>
      <c r="H1620" s="206"/>
      <c r="I1620" s="206"/>
      <c r="J1620" s="206"/>
      <c r="K1620" s="206"/>
      <c r="L1620" s="206"/>
      <c r="M1620" s="206"/>
      <c r="N1620" s="206"/>
      <c r="O1620" s="206"/>
      <c r="P1620" s="206"/>
      <c r="Q1620" s="262"/>
      <c r="R1620" s="262"/>
      <c r="S1620" s="207"/>
      <c r="T1620" s="263"/>
      <c r="U1620" s="26"/>
      <c r="V1620" s="26"/>
      <c r="W1620" s="26"/>
      <c r="X1620" s="26"/>
    </row>
    <row r="1621">
      <c r="A1621" s="28"/>
      <c r="B1621" s="28"/>
      <c r="C1621" s="28"/>
      <c r="D1621" s="96"/>
      <c r="E1621" s="105"/>
      <c r="F1621" s="105"/>
      <c r="G1621" s="34"/>
      <c r="H1621" s="206"/>
      <c r="I1621" s="206"/>
      <c r="J1621" s="206"/>
      <c r="K1621" s="206"/>
      <c r="L1621" s="206"/>
      <c r="M1621" s="206"/>
      <c r="N1621" s="206"/>
      <c r="O1621" s="206"/>
      <c r="P1621" s="206"/>
      <c r="Q1621" s="262"/>
      <c r="R1621" s="262"/>
      <c r="S1621" s="207"/>
      <c r="T1621" s="263"/>
      <c r="U1621" s="26"/>
      <c r="V1621" s="26"/>
      <c r="W1621" s="26"/>
      <c r="X1621" s="26"/>
    </row>
    <row r="1622">
      <c r="A1622" s="28"/>
      <c r="B1622" s="28"/>
      <c r="C1622" s="81" t="s">
        <v>729</v>
      </c>
      <c r="D1622" s="246" t="s">
        <v>486</v>
      </c>
      <c r="E1622" s="105"/>
      <c r="F1622" s="105">
        <f>325000+325000</f>
        <v>650000</v>
      </c>
      <c r="G1622" s="34" t="str">
        <f t="shared" ref="G1622:G1625" si="566">(F1622-E1622)/E1622</f>
        <v>#DIV/0!</v>
      </c>
      <c r="H1622" s="206"/>
      <c r="I1622" s="206"/>
      <c r="J1622" s="206"/>
      <c r="K1622" s="206"/>
      <c r="L1622" s="206"/>
      <c r="M1622" s="206"/>
      <c r="N1622" s="206"/>
      <c r="O1622" s="206"/>
      <c r="P1622" s="206"/>
      <c r="Q1622" s="262"/>
      <c r="R1622" s="262"/>
      <c r="S1622" s="207"/>
      <c r="T1622" s="263"/>
      <c r="U1622" s="26"/>
      <c r="V1622" s="26"/>
      <c r="W1622" s="26"/>
      <c r="X1622" s="26"/>
    </row>
    <row r="1623">
      <c r="A1623" s="28"/>
      <c r="B1623" s="28"/>
      <c r="C1623" s="28"/>
      <c r="D1623" s="246" t="s">
        <v>392</v>
      </c>
      <c r="E1623" s="105">
        <f>390000*2</f>
        <v>780000</v>
      </c>
      <c r="F1623" s="105">
        <f>610000*2</f>
        <v>1220000</v>
      </c>
      <c r="G1623" s="34">
        <f t="shared" si="566"/>
        <v>0.5641025641</v>
      </c>
      <c r="H1623" s="206"/>
      <c r="I1623" s="206"/>
      <c r="J1623" s="206"/>
      <c r="K1623" s="206"/>
      <c r="L1623" s="206"/>
      <c r="M1623" s="206"/>
      <c r="N1623" s="206"/>
      <c r="O1623" s="206"/>
      <c r="P1623" s="206"/>
      <c r="Q1623" s="262"/>
      <c r="R1623" s="262"/>
      <c r="S1623" s="207"/>
      <c r="T1623" s="263"/>
      <c r="U1623" s="26"/>
      <c r="V1623" s="26"/>
      <c r="W1623" s="26"/>
      <c r="X1623" s="26"/>
    </row>
    <row r="1624">
      <c r="A1624" s="28"/>
      <c r="B1624" s="28"/>
      <c r="C1624" s="28"/>
      <c r="D1624" s="246" t="s">
        <v>730</v>
      </c>
      <c r="E1624" s="105">
        <f>900000+73000</f>
        <v>973000</v>
      </c>
      <c r="F1624" s="105">
        <f>600000*2+73000</f>
        <v>1273000</v>
      </c>
      <c r="G1624" s="34">
        <f t="shared" si="566"/>
        <v>0.3083247688</v>
      </c>
      <c r="H1624" s="206"/>
      <c r="I1624" s="206"/>
      <c r="J1624" s="206"/>
      <c r="K1624" s="206"/>
      <c r="L1624" s="206"/>
      <c r="M1624" s="206"/>
      <c r="N1624" s="206"/>
      <c r="O1624" s="206"/>
      <c r="P1624" s="206"/>
      <c r="Q1624" s="262"/>
      <c r="R1624" s="262"/>
      <c r="S1624" s="207"/>
      <c r="T1624" s="263"/>
      <c r="U1624" s="26"/>
      <c r="V1624" s="26"/>
      <c r="W1624" s="26"/>
      <c r="X1624" s="26"/>
    </row>
    <row r="1625">
      <c r="A1625" s="28"/>
      <c r="B1625" s="28"/>
      <c r="C1625" s="28"/>
      <c r="D1625" s="246" t="s">
        <v>101</v>
      </c>
      <c r="E1625" s="105">
        <f t="shared" ref="E1625:F1625" si="567">E1622+E1623+E1624</f>
        <v>1753000</v>
      </c>
      <c r="F1625" s="105">
        <f t="shared" si="567"/>
        <v>3143000</v>
      </c>
      <c r="G1625" s="34">
        <f t="shared" si="566"/>
        <v>0.7929264119</v>
      </c>
      <c r="H1625" s="206"/>
      <c r="I1625" s="206"/>
      <c r="J1625" s="206"/>
      <c r="K1625" s="206"/>
      <c r="L1625" s="206"/>
      <c r="M1625" s="206"/>
      <c r="N1625" s="206"/>
      <c r="O1625" s="206"/>
      <c r="P1625" s="206"/>
      <c r="Q1625" s="262"/>
      <c r="R1625" s="262"/>
      <c r="S1625" s="207"/>
      <c r="T1625" s="263"/>
      <c r="U1625" s="26"/>
      <c r="V1625" s="26"/>
      <c r="W1625" s="26"/>
      <c r="X1625" s="26"/>
    </row>
    <row r="1626">
      <c r="A1626" s="28"/>
      <c r="B1626" s="28"/>
      <c r="C1626" s="28"/>
      <c r="D1626" s="246" t="s">
        <v>148</v>
      </c>
      <c r="E1626" s="105">
        <f>F1625-E1625</f>
        <v>1390000</v>
      </c>
      <c r="F1626" s="105"/>
      <c r="G1626" s="34"/>
      <c r="H1626" s="206"/>
      <c r="I1626" s="206"/>
      <c r="J1626" s="206"/>
      <c r="K1626" s="206"/>
      <c r="L1626" s="206"/>
      <c r="M1626" s="206"/>
      <c r="N1626" s="206"/>
      <c r="O1626" s="206"/>
      <c r="P1626" s="206"/>
      <c r="Q1626" s="262"/>
      <c r="R1626" s="262"/>
      <c r="S1626" s="207"/>
      <c r="T1626" s="263"/>
      <c r="U1626" s="26"/>
      <c r="V1626" s="26"/>
      <c r="W1626" s="26"/>
      <c r="X1626" s="26"/>
    </row>
    <row r="1627">
      <c r="A1627" s="28"/>
      <c r="B1627" s="28"/>
      <c r="C1627" s="28"/>
      <c r="D1627" s="96"/>
      <c r="E1627" s="105"/>
      <c r="F1627" s="105"/>
      <c r="G1627" s="34"/>
      <c r="H1627" s="206"/>
      <c r="I1627" s="206"/>
      <c r="J1627" s="206"/>
      <c r="K1627" s="206"/>
      <c r="L1627" s="206"/>
      <c r="M1627" s="206"/>
      <c r="N1627" s="206"/>
      <c r="O1627" s="206"/>
      <c r="P1627" s="206"/>
      <c r="Q1627" s="262"/>
      <c r="R1627" s="262"/>
      <c r="S1627" s="207"/>
      <c r="T1627" s="263"/>
      <c r="U1627" s="26"/>
      <c r="V1627" s="26"/>
      <c r="W1627" s="26"/>
      <c r="X1627" s="26"/>
    </row>
    <row r="1628">
      <c r="A1628" s="28"/>
      <c r="B1628" s="28"/>
      <c r="C1628" s="28"/>
      <c r="D1628" s="96"/>
      <c r="E1628" s="105"/>
      <c r="F1628" s="105"/>
      <c r="G1628" s="34"/>
      <c r="H1628" s="206"/>
      <c r="I1628" s="206"/>
      <c r="J1628" s="206"/>
      <c r="K1628" s="206"/>
      <c r="L1628" s="206"/>
      <c r="M1628" s="206"/>
      <c r="N1628" s="206"/>
      <c r="O1628" s="206"/>
      <c r="P1628" s="206"/>
      <c r="Q1628" s="262"/>
      <c r="R1628" s="262"/>
      <c r="S1628" s="207"/>
      <c r="T1628" s="263"/>
      <c r="U1628" s="26"/>
      <c r="V1628" s="26"/>
      <c r="W1628" s="26"/>
      <c r="X1628" s="26"/>
    </row>
    <row r="1629">
      <c r="A1629" s="28"/>
      <c r="B1629" s="28"/>
      <c r="C1629" s="81" t="s">
        <v>731</v>
      </c>
      <c r="D1629" s="246" t="s">
        <v>282</v>
      </c>
      <c r="E1629" s="201">
        <f>309000*2</f>
        <v>618000</v>
      </c>
      <c r="F1629" s="105">
        <f>450000*2</f>
        <v>900000</v>
      </c>
      <c r="G1629" s="34">
        <f t="shared" ref="G1629:G1632" si="568">(F1629-E1629)/E1629</f>
        <v>0.4563106796</v>
      </c>
      <c r="H1629" s="206"/>
      <c r="I1629" s="206"/>
      <c r="J1629" s="206"/>
      <c r="K1629" s="206"/>
      <c r="L1629" s="206"/>
      <c r="M1629" s="206"/>
      <c r="N1629" s="206"/>
      <c r="O1629" s="206"/>
      <c r="P1629" s="206"/>
      <c r="Q1629" s="262"/>
      <c r="R1629" s="262"/>
      <c r="S1629" s="207"/>
      <c r="T1629" s="263"/>
      <c r="U1629" s="26"/>
      <c r="V1629" s="26"/>
      <c r="W1629" s="26"/>
      <c r="X1629" s="26"/>
    </row>
    <row r="1630">
      <c r="A1630" s="28"/>
      <c r="B1630" s="28"/>
      <c r="C1630" s="28"/>
      <c r="D1630" s="246" t="s">
        <v>732</v>
      </c>
      <c r="E1630" s="105">
        <f>300000+20000</f>
        <v>320000</v>
      </c>
      <c r="F1630" s="105">
        <f>620000-38000*2-30000</f>
        <v>514000</v>
      </c>
      <c r="G1630" s="34">
        <f t="shared" si="568"/>
        <v>0.60625</v>
      </c>
      <c r="H1630" s="206"/>
      <c r="I1630" s="206"/>
      <c r="J1630" s="206"/>
      <c r="K1630" s="206"/>
      <c r="L1630" s="206"/>
      <c r="M1630" s="206"/>
      <c r="N1630" s="206"/>
      <c r="O1630" s="206"/>
      <c r="P1630" s="206"/>
      <c r="Q1630" s="262"/>
      <c r="R1630" s="262"/>
      <c r="S1630" s="207"/>
      <c r="T1630" s="263"/>
      <c r="U1630" s="26"/>
      <c r="V1630" s="26"/>
      <c r="W1630" s="26"/>
      <c r="X1630" s="26"/>
    </row>
    <row r="1631">
      <c r="A1631" s="28"/>
      <c r="B1631" s="28"/>
      <c r="C1631" s="28"/>
      <c r="D1631" s="246" t="s">
        <v>101</v>
      </c>
      <c r="E1631" s="105">
        <f t="shared" ref="E1631:F1631" si="569">SUM(E1629:E1630)</f>
        <v>938000</v>
      </c>
      <c r="F1631" s="105">
        <f t="shared" si="569"/>
        <v>1414000</v>
      </c>
      <c r="G1631" s="34">
        <f t="shared" si="568"/>
        <v>0.5074626866</v>
      </c>
      <c r="H1631" s="206"/>
      <c r="I1631" s="206"/>
      <c r="J1631" s="206"/>
      <c r="K1631" s="206"/>
      <c r="L1631" s="206"/>
      <c r="M1631" s="206"/>
      <c r="N1631" s="206"/>
      <c r="O1631" s="206"/>
      <c r="P1631" s="206"/>
      <c r="Q1631" s="262"/>
      <c r="R1631" s="262"/>
      <c r="S1631" s="207"/>
      <c r="T1631" s="263"/>
      <c r="U1631" s="26"/>
      <c r="V1631" s="26"/>
      <c r="W1631" s="26"/>
      <c r="X1631" s="26"/>
    </row>
    <row r="1632">
      <c r="A1632" s="28"/>
      <c r="B1632" s="28"/>
      <c r="C1632" s="28"/>
      <c r="D1632" s="246" t="s">
        <v>148</v>
      </c>
      <c r="E1632" s="105">
        <f>F1631-E1631</f>
        <v>476000</v>
      </c>
      <c r="F1632" s="105"/>
      <c r="G1632" s="34">
        <f t="shared" si="568"/>
        <v>-1</v>
      </c>
      <c r="H1632" s="206"/>
      <c r="I1632" s="206"/>
      <c r="J1632" s="206"/>
      <c r="K1632" s="206"/>
      <c r="L1632" s="206"/>
      <c r="M1632" s="206"/>
      <c r="N1632" s="206"/>
      <c r="O1632" s="206"/>
      <c r="P1632" s="206"/>
      <c r="Q1632" s="262"/>
      <c r="R1632" s="262"/>
      <c r="S1632" s="207"/>
      <c r="T1632" s="263"/>
      <c r="U1632" s="26"/>
      <c r="V1632" s="26"/>
      <c r="W1632" s="26"/>
      <c r="X1632" s="26"/>
    </row>
    <row r="1633">
      <c r="A1633" s="28"/>
      <c r="B1633" s="28"/>
      <c r="C1633" s="28"/>
      <c r="D1633" s="96"/>
      <c r="E1633" s="105"/>
      <c r="F1633" s="105"/>
      <c r="G1633" s="206"/>
      <c r="H1633" s="206"/>
      <c r="I1633" s="206"/>
      <c r="J1633" s="206"/>
      <c r="K1633" s="206"/>
      <c r="L1633" s="206"/>
      <c r="M1633" s="206"/>
      <c r="N1633" s="206"/>
      <c r="O1633" s="206"/>
      <c r="P1633" s="206"/>
      <c r="Q1633" s="262"/>
      <c r="R1633" s="262"/>
      <c r="S1633" s="207"/>
      <c r="T1633" s="263"/>
      <c r="U1633" s="26"/>
      <c r="V1633" s="26"/>
      <c r="W1633" s="26"/>
      <c r="X1633" s="26"/>
    </row>
    <row r="1634">
      <c r="A1634" s="28"/>
      <c r="B1634" s="28"/>
      <c r="C1634" s="81" t="s">
        <v>733</v>
      </c>
      <c r="D1634" s="246" t="s">
        <v>392</v>
      </c>
      <c r="E1634" s="201">
        <f>390000*11</f>
        <v>4290000</v>
      </c>
      <c r="F1634" s="201">
        <f>558000*11</f>
        <v>6138000</v>
      </c>
      <c r="G1634" s="34">
        <f>(F1634-E1634)/E1634</f>
        <v>0.4307692308</v>
      </c>
      <c r="H1634" s="206"/>
      <c r="I1634" s="206"/>
      <c r="J1634" s="206"/>
      <c r="K1634" s="206"/>
      <c r="L1634" s="206"/>
      <c r="M1634" s="206"/>
      <c r="N1634" s="206"/>
      <c r="O1634" s="206"/>
      <c r="P1634" s="206"/>
      <c r="Q1634" s="262"/>
      <c r="R1634" s="262"/>
      <c r="S1634" s="207"/>
      <c r="T1634" s="263"/>
      <c r="U1634" s="26"/>
      <c r="V1634" s="26"/>
      <c r="W1634" s="26"/>
      <c r="X1634" s="26"/>
    </row>
    <row r="1635">
      <c r="A1635" s="28"/>
      <c r="B1635" s="28"/>
      <c r="C1635" s="28"/>
      <c r="D1635" s="246"/>
      <c r="E1635" s="105"/>
      <c r="F1635" s="201">
        <v>495000.0</v>
      </c>
      <c r="G1635" s="34"/>
      <c r="H1635" s="206"/>
      <c r="I1635" s="206"/>
      <c r="J1635" s="206"/>
      <c r="K1635" s="206"/>
      <c r="L1635" s="206"/>
      <c r="M1635" s="206"/>
      <c r="N1635" s="206"/>
      <c r="O1635" s="206"/>
      <c r="P1635" s="206"/>
      <c r="Q1635" s="262"/>
      <c r="R1635" s="262"/>
      <c r="S1635" s="207"/>
      <c r="T1635" s="263"/>
      <c r="U1635" s="26"/>
      <c r="V1635" s="26"/>
      <c r="W1635" s="26"/>
      <c r="X1635" s="26"/>
    </row>
    <row r="1636">
      <c r="A1636" s="28"/>
      <c r="B1636" s="28"/>
      <c r="C1636" s="28"/>
      <c r="D1636" s="246" t="s">
        <v>222</v>
      </c>
      <c r="E1636" s="105">
        <f>370000*11</f>
        <v>4070000</v>
      </c>
      <c r="F1636" s="105">
        <f>481000*12</f>
        <v>5772000</v>
      </c>
      <c r="G1636" s="34">
        <f t="shared" ref="G1636:G1637" si="570">(F1636-E1636)/E1636</f>
        <v>0.4181818182</v>
      </c>
      <c r="H1636" s="206"/>
      <c r="I1636" s="206"/>
      <c r="J1636" s="206"/>
      <c r="K1636" s="206"/>
      <c r="L1636" s="206"/>
      <c r="M1636" s="206"/>
      <c r="N1636" s="206"/>
      <c r="O1636" s="206"/>
      <c r="P1636" s="206"/>
      <c r="Q1636" s="262"/>
      <c r="R1636" s="262"/>
      <c r="S1636" s="207"/>
      <c r="T1636" s="263"/>
      <c r="U1636" s="26"/>
      <c r="V1636" s="26"/>
      <c r="W1636" s="26"/>
      <c r="X1636" s="26"/>
    </row>
    <row r="1637">
      <c r="A1637" s="28"/>
      <c r="B1637" s="28"/>
      <c r="C1637" s="28"/>
      <c r="D1637" s="246" t="s">
        <v>101</v>
      </c>
      <c r="E1637" s="105">
        <f>E1634+E1636</f>
        <v>8360000</v>
      </c>
      <c r="F1637" s="259">
        <f>F1635+F1634+F1636</f>
        <v>12405000</v>
      </c>
      <c r="G1637" s="34">
        <f t="shared" si="570"/>
        <v>0.4838516746</v>
      </c>
      <c r="H1637" s="206"/>
      <c r="I1637" s="206"/>
      <c r="J1637" s="206"/>
      <c r="K1637" s="206"/>
      <c r="L1637" s="206"/>
      <c r="M1637" s="206"/>
      <c r="N1637" s="206"/>
      <c r="O1637" s="206"/>
      <c r="P1637" s="206"/>
      <c r="Q1637" s="262"/>
      <c r="R1637" s="262"/>
      <c r="S1637" s="207"/>
      <c r="T1637" s="263"/>
      <c r="U1637" s="26"/>
      <c r="V1637" s="26"/>
      <c r="W1637" s="26"/>
      <c r="X1637" s="26"/>
    </row>
    <row r="1638">
      <c r="A1638" s="28"/>
      <c r="B1638" s="28"/>
      <c r="C1638" s="28"/>
      <c r="D1638" s="246" t="s">
        <v>148</v>
      </c>
      <c r="E1638" s="105">
        <f>F1637-E1637</f>
        <v>4045000</v>
      </c>
      <c r="F1638" s="105"/>
      <c r="G1638" s="34"/>
      <c r="H1638" s="206"/>
      <c r="I1638" s="206"/>
      <c r="J1638" s="206"/>
      <c r="K1638" s="206"/>
      <c r="L1638" s="206"/>
      <c r="M1638" s="206"/>
      <c r="N1638" s="206"/>
      <c r="O1638" s="206"/>
      <c r="P1638" s="206"/>
      <c r="Q1638" s="262"/>
      <c r="R1638" s="262"/>
      <c r="S1638" s="207"/>
      <c r="T1638" s="263"/>
      <c r="U1638" s="26"/>
      <c r="V1638" s="26"/>
      <c r="W1638" s="26"/>
      <c r="X1638" s="26"/>
    </row>
    <row r="1639">
      <c r="A1639" s="28"/>
      <c r="B1639" s="28"/>
      <c r="C1639" s="28"/>
      <c r="D1639" s="96"/>
      <c r="E1639" s="105"/>
      <c r="F1639" s="105"/>
      <c r="G1639" s="34"/>
      <c r="H1639" s="206"/>
      <c r="I1639" s="206"/>
      <c r="J1639" s="206"/>
      <c r="K1639" s="206"/>
      <c r="L1639" s="206"/>
      <c r="M1639" s="206"/>
      <c r="N1639" s="206"/>
      <c r="O1639" s="206"/>
      <c r="P1639" s="206"/>
      <c r="Q1639" s="262"/>
      <c r="R1639" s="262"/>
      <c r="S1639" s="207"/>
      <c r="T1639" s="263"/>
      <c r="U1639" s="26"/>
      <c r="V1639" s="26"/>
      <c r="W1639" s="26"/>
      <c r="X1639" s="26"/>
    </row>
    <row r="1640">
      <c r="A1640" s="28"/>
      <c r="B1640" s="28"/>
      <c r="C1640" s="81" t="s">
        <v>734</v>
      </c>
      <c r="D1640" s="246" t="s">
        <v>169</v>
      </c>
      <c r="E1640" s="105">
        <f>380000*2</f>
        <v>760000</v>
      </c>
      <c r="F1640" s="201">
        <f>510000*2</f>
        <v>1020000</v>
      </c>
      <c r="G1640" s="34">
        <f t="shared" ref="G1640:G1641" si="571">(F1640-E1640)/E1640</f>
        <v>0.3421052632</v>
      </c>
      <c r="H1640" s="206"/>
      <c r="I1640" s="206"/>
      <c r="J1640" s="206"/>
      <c r="K1640" s="206"/>
      <c r="L1640" s="206"/>
      <c r="M1640" s="206"/>
      <c r="N1640" s="206"/>
      <c r="O1640" s="206"/>
      <c r="P1640" s="206"/>
      <c r="Q1640" s="262"/>
      <c r="R1640" s="262"/>
      <c r="S1640" s="207"/>
      <c r="T1640" s="263"/>
      <c r="U1640" s="26"/>
      <c r="V1640" s="26"/>
      <c r="W1640" s="26"/>
      <c r="X1640" s="26"/>
    </row>
    <row r="1641">
      <c r="A1641" s="28"/>
      <c r="B1641" s="28"/>
      <c r="C1641" s="28"/>
      <c r="D1641" s="96"/>
      <c r="E1641" s="201">
        <v>760000.0</v>
      </c>
      <c r="F1641" s="105">
        <f>E1641*1.3</f>
        <v>988000</v>
      </c>
      <c r="G1641" s="34">
        <f t="shared" si="571"/>
        <v>0.3</v>
      </c>
      <c r="H1641" s="206"/>
      <c r="I1641" s="206"/>
      <c r="J1641" s="206"/>
      <c r="K1641" s="206"/>
      <c r="L1641" s="206"/>
      <c r="M1641" s="206"/>
      <c r="N1641" s="206"/>
      <c r="O1641" s="206"/>
      <c r="P1641" s="206"/>
      <c r="Q1641" s="262"/>
      <c r="R1641" s="262"/>
      <c r="S1641" s="207"/>
      <c r="T1641" s="263"/>
      <c r="U1641" s="26"/>
      <c r="V1641" s="26"/>
      <c r="W1641" s="26"/>
      <c r="X1641" s="26"/>
    </row>
    <row r="1642">
      <c r="A1642" s="28"/>
      <c r="B1642" s="28"/>
      <c r="C1642" s="28"/>
      <c r="D1642" s="96"/>
      <c r="E1642" s="105">
        <f>F1641-E1641</f>
        <v>228000</v>
      </c>
      <c r="F1642" s="105"/>
      <c r="G1642" s="34"/>
      <c r="H1642" s="206"/>
      <c r="I1642" s="206"/>
      <c r="J1642" s="206"/>
      <c r="K1642" s="206"/>
      <c r="L1642" s="206"/>
      <c r="M1642" s="206"/>
      <c r="N1642" s="206"/>
      <c r="O1642" s="206"/>
      <c r="P1642" s="206"/>
      <c r="Q1642" s="262"/>
      <c r="R1642" s="262"/>
      <c r="S1642" s="207"/>
      <c r="T1642" s="263"/>
      <c r="U1642" s="26"/>
      <c r="V1642" s="26"/>
      <c r="W1642" s="26"/>
      <c r="X1642" s="26"/>
    </row>
    <row r="1643">
      <c r="A1643" s="28"/>
      <c r="B1643" s="28"/>
      <c r="C1643" s="28"/>
      <c r="D1643" s="96"/>
      <c r="E1643" s="105"/>
      <c r="F1643" s="105"/>
      <c r="G1643" s="34"/>
      <c r="H1643" s="206"/>
      <c r="I1643" s="206"/>
      <c r="J1643" s="206"/>
      <c r="K1643" s="206"/>
      <c r="L1643" s="206"/>
      <c r="M1643" s="206"/>
      <c r="N1643" s="206"/>
      <c r="O1643" s="206"/>
      <c r="P1643" s="206"/>
      <c r="Q1643" s="262"/>
      <c r="R1643" s="262"/>
      <c r="S1643" s="207"/>
      <c r="T1643" s="263"/>
      <c r="U1643" s="26"/>
      <c r="V1643" s="26"/>
      <c r="W1643" s="26"/>
      <c r="X1643" s="26"/>
    </row>
    <row r="1644">
      <c r="A1644" s="28"/>
      <c r="B1644" s="28"/>
      <c r="C1644" s="81" t="s">
        <v>735</v>
      </c>
      <c r="D1644" s="246" t="s">
        <v>468</v>
      </c>
      <c r="E1644" s="105">
        <f>290000*2</f>
        <v>580000</v>
      </c>
      <c r="F1644" s="105">
        <f>450000*2</f>
        <v>900000</v>
      </c>
      <c r="G1644" s="34">
        <f t="shared" ref="G1644:G1647" si="572">(F1644-E1644)/E1644</f>
        <v>0.5517241379</v>
      </c>
      <c r="H1644" s="206"/>
      <c r="I1644" s="206"/>
      <c r="J1644" s="206"/>
      <c r="K1644" s="206"/>
      <c r="L1644" s="206"/>
      <c r="M1644" s="206"/>
      <c r="N1644" s="206"/>
      <c r="O1644" s="206"/>
      <c r="P1644" s="206"/>
      <c r="Q1644" s="262"/>
      <c r="R1644" s="262"/>
      <c r="S1644" s="207"/>
      <c r="T1644" s="263"/>
      <c r="U1644" s="26"/>
      <c r="V1644" s="26"/>
      <c r="W1644" s="26"/>
      <c r="X1644" s="26"/>
    </row>
    <row r="1645">
      <c r="A1645" s="28"/>
      <c r="B1645" s="28"/>
      <c r="C1645" s="28"/>
      <c r="D1645" s="246" t="s">
        <v>158</v>
      </c>
      <c r="E1645" s="105">
        <f>420000*2</f>
        <v>840000</v>
      </c>
      <c r="F1645" s="105">
        <f>550000*2</f>
        <v>1100000</v>
      </c>
      <c r="G1645" s="34">
        <f t="shared" si="572"/>
        <v>0.3095238095</v>
      </c>
      <c r="H1645" s="206"/>
      <c r="I1645" s="206"/>
      <c r="J1645" s="206"/>
      <c r="K1645" s="206"/>
      <c r="L1645" s="206"/>
      <c r="M1645" s="206"/>
      <c r="N1645" s="206"/>
      <c r="O1645" s="206"/>
      <c r="P1645" s="206"/>
      <c r="Q1645" s="262"/>
      <c r="R1645" s="262"/>
      <c r="S1645" s="207"/>
      <c r="T1645" s="263"/>
      <c r="U1645" s="26"/>
      <c r="V1645" s="26"/>
      <c r="W1645" s="26"/>
      <c r="X1645" s="26"/>
    </row>
    <row r="1646">
      <c r="A1646" s="28"/>
      <c r="B1646" s="28"/>
      <c r="C1646" s="28"/>
      <c r="D1646" s="246" t="s">
        <v>736</v>
      </c>
      <c r="E1646" s="105">
        <f>300000*2</f>
        <v>600000</v>
      </c>
      <c r="F1646" s="105">
        <f>450000*2</f>
        <v>900000</v>
      </c>
      <c r="G1646" s="34">
        <f t="shared" si="572"/>
        <v>0.5</v>
      </c>
      <c r="H1646" s="206"/>
      <c r="I1646" s="206"/>
      <c r="J1646" s="206"/>
      <c r="K1646" s="206"/>
      <c r="L1646" s="206"/>
      <c r="M1646" s="206"/>
      <c r="N1646" s="206"/>
      <c r="O1646" s="206"/>
      <c r="P1646" s="206"/>
      <c r="Q1646" s="262"/>
      <c r="R1646" s="262"/>
      <c r="S1646" s="207"/>
      <c r="T1646" s="263"/>
      <c r="U1646" s="26"/>
      <c r="V1646" s="26"/>
      <c r="W1646" s="26"/>
      <c r="X1646" s="26"/>
    </row>
    <row r="1647">
      <c r="A1647" s="28"/>
      <c r="B1647" s="28"/>
      <c r="C1647" s="28"/>
      <c r="D1647" s="246" t="s">
        <v>101</v>
      </c>
      <c r="E1647" s="105">
        <f t="shared" ref="E1647:F1647" si="573">E1644+E1645+E1646</f>
        <v>2020000</v>
      </c>
      <c r="F1647" s="105">
        <f t="shared" si="573"/>
        <v>2900000</v>
      </c>
      <c r="G1647" s="34">
        <f t="shared" si="572"/>
        <v>0.4356435644</v>
      </c>
      <c r="H1647" s="206"/>
      <c r="I1647" s="206"/>
      <c r="J1647" s="206"/>
      <c r="K1647" s="206"/>
      <c r="L1647" s="206"/>
      <c r="M1647" s="206"/>
      <c r="N1647" s="206"/>
      <c r="O1647" s="206"/>
      <c r="P1647" s="206"/>
      <c r="Q1647" s="262"/>
      <c r="R1647" s="262"/>
      <c r="S1647" s="207"/>
      <c r="T1647" s="263"/>
      <c r="U1647" s="26"/>
      <c r="V1647" s="26"/>
      <c r="W1647" s="26"/>
      <c r="X1647" s="26"/>
    </row>
    <row r="1648">
      <c r="A1648" s="28"/>
      <c r="B1648" s="28"/>
      <c r="C1648" s="28"/>
      <c r="D1648" s="246" t="s">
        <v>148</v>
      </c>
      <c r="E1648" s="105">
        <f>F1647-E1647</f>
        <v>880000</v>
      </c>
      <c r="F1648" s="105"/>
      <c r="G1648" s="34"/>
      <c r="H1648" s="206"/>
      <c r="I1648" s="206"/>
      <c r="J1648" s="206"/>
      <c r="K1648" s="206"/>
      <c r="L1648" s="206"/>
      <c r="M1648" s="206"/>
      <c r="N1648" s="206"/>
      <c r="O1648" s="206"/>
      <c r="P1648" s="206"/>
      <c r="Q1648" s="262"/>
      <c r="R1648" s="262"/>
      <c r="S1648" s="207"/>
      <c r="T1648" s="263"/>
      <c r="U1648" s="26"/>
      <c r="V1648" s="26"/>
      <c r="W1648" s="26"/>
      <c r="X1648" s="26"/>
    </row>
    <row r="1649">
      <c r="A1649" s="28"/>
      <c r="B1649" s="28"/>
      <c r="C1649" s="28"/>
      <c r="D1649" s="96"/>
      <c r="E1649" s="105"/>
      <c r="F1649" s="105"/>
      <c r="G1649" s="34"/>
      <c r="H1649" s="206"/>
      <c r="I1649" s="206"/>
      <c r="J1649" s="206"/>
      <c r="K1649" s="206"/>
      <c r="L1649" s="206"/>
      <c r="M1649" s="206"/>
      <c r="N1649" s="206"/>
      <c r="O1649" s="206"/>
      <c r="P1649" s="206"/>
      <c r="Q1649" s="262"/>
      <c r="R1649" s="262"/>
      <c r="S1649" s="207"/>
      <c r="T1649" s="263"/>
      <c r="U1649" s="26"/>
      <c r="V1649" s="26"/>
      <c r="W1649" s="26"/>
      <c r="X1649" s="26"/>
    </row>
    <row r="1650">
      <c r="A1650" s="28"/>
      <c r="B1650" s="28"/>
      <c r="C1650" s="28"/>
      <c r="D1650" s="96"/>
      <c r="E1650" s="105"/>
      <c r="F1650" s="105"/>
      <c r="G1650" s="34"/>
      <c r="H1650" s="206"/>
      <c r="I1650" s="206"/>
      <c r="J1650" s="206"/>
      <c r="K1650" s="206"/>
      <c r="L1650" s="206"/>
      <c r="M1650" s="206"/>
      <c r="N1650" s="206"/>
      <c r="O1650" s="206"/>
      <c r="P1650" s="206"/>
      <c r="Q1650" s="262"/>
      <c r="R1650" s="262"/>
      <c r="S1650" s="207"/>
      <c r="T1650" s="263"/>
      <c r="U1650" s="26"/>
      <c r="V1650" s="26"/>
      <c r="W1650" s="26"/>
      <c r="X1650" s="26"/>
    </row>
    <row r="1651">
      <c r="A1651" s="28"/>
      <c r="B1651" s="28"/>
      <c r="C1651" s="81" t="s">
        <v>737</v>
      </c>
      <c r="D1651" s="246" t="s">
        <v>738</v>
      </c>
      <c r="E1651" s="105">
        <f>900000+90000</f>
        <v>990000</v>
      </c>
      <c r="F1651" s="105">
        <f t="shared" ref="F1651:F1653" si="574">E1651*1.5</f>
        <v>1485000</v>
      </c>
      <c r="G1651" s="34">
        <f t="shared" ref="G1651:G1658" si="575">(F1651-E1651)/E1651</f>
        <v>0.5</v>
      </c>
      <c r="H1651" s="206"/>
      <c r="I1651" s="206"/>
      <c r="J1651" s="206"/>
      <c r="K1651" s="206"/>
      <c r="L1651" s="206"/>
      <c r="M1651" s="206"/>
      <c r="N1651" s="206"/>
      <c r="O1651" s="206"/>
      <c r="P1651" s="206"/>
      <c r="Q1651" s="262"/>
      <c r="R1651" s="262"/>
      <c r="S1651" s="207"/>
      <c r="T1651" s="263"/>
      <c r="U1651" s="26"/>
      <c r="V1651" s="26"/>
      <c r="W1651" s="26"/>
      <c r="X1651" s="26"/>
    </row>
    <row r="1652">
      <c r="A1652" s="28"/>
      <c r="B1652" s="28"/>
      <c r="C1652" s="28"/>
      <c r="D1652" s="246" t="s">
        <v>739</v>
      </c>
      <c r="E1652" s="105">
        <f>900000+38000*9+90000</f>
        <v>1332000</v>
      </c>
      <c r="F1652" s="105">
        <f t="shared" si="574"/>
        <v>1998000</v>
      </c>
      <c r="G1652" s="34">
        <f t="shared" si="575"/>
        <v>0.5</v>
      </c>
      <c r="H1652" s="206"/>
      <c r="I1652" s="206"/>
      <c r="J1652" s="206"/>
      <c r="K1652" s="206"/>
      <c r="L1652" s="206"/>
      <c r="M1652" s="206"/>
      <c r="N1652" s="206"/>
      <c r="O1652" s="206"/>
      <c r="P1652" s="206"/>
      <c r="Q1652" s="262"/>
      <c r="R1652" s="262"/>
      <c r="S1652" s="207"/>
      <c r="T1652" s="263"/>
      <c r="U1652" s="26"/>
      <c r="V1652" s="26"/>
      <c r="W1652" s="26"/>
      <c r="X1652" s="26"/>
    </row>
    <row r="1653">
      <c r="A1653" s="28"/>
      <c r="B1653" s="28"/>
      <c r="C1653" s="28"/>
      <c r="D1653" s="246" t="s">
        <v>740</v>
      </c>
      <c r="E1653" s="105">
        <f>220000*2</f>
        <v>440000</v>
      </c>
      <c r="F1653" s="105">
        <f t="shared" si="574"/>
        <v>660000</v>
      </c>
      <c r="G1653" s="34">
        <f t="shared" si="575"/>
        <v>0.5</v>
      </c>
      <c r="H1653" s="206"/>
      <c r="I1653" s="206"/>
      <c r="J1653" s="206"/>
      <c r="K1653" s="206"/>
      <c r="L1653" s="206"/>
      <c r="M1653" s="206"/>
      <c r="N1653" s="206"/>
      <c r="O1653" s="206"/>
      <c r="P1653" s="206"/>
      <c r="Q1653" s="262"/>
      <c r="R1653" s="262"/>
      <c r="S1653" s="207"/>
      <c r="T1653" s="263"/>
      <c r="U1653" s="26"/>
      <c r="V1653" s="26"/>
      <c r="W1653" s="26"/>
      <c r="X1653" s="26"/>
    </row>
    <row r="1654">
      <c r="A1654" s="28"/>
      <c r="B1654" s="28"/>
      <c r="C1654" s="28"/>
      <c r="D1654" s="246" t="s">
        <v>741</v>
      </c>
      <c r="E1654" s="201">
        <f>130000*9</f>
        <v>1170000</v>
      </c>
      <c r="F1654" s="105">
        <f>250000*9</f>
        <v>2250000</v>
      </c>
      <c r="G1654" s="34">
        <f t="shared" si="575"/>
        <v>0.9230769231</v>
      </c>
      <c r="H1654" s="206"/>
      <c r="I1654" s="206"/>
      <c r="J1654" s="206"/>
      <c r="K1654" s="206"/>
      <c r="L1654" s="206"/>
      <c r="M1654" s="206"/>
      <c r="N1654" s="206"/>
      <c r="O1654" s="206"/>
      <c r="P1654" s="206"/>
      <c r="Q1654" s="262"/>
      <c r="R1654" s="262"/>
      <c r="S1654" s="207"/>
      <c r="T1654" s="263"/>
      <c r="U1654" s="26"/>
      <c r="V1654" s="26"/>
      <c r="W1654" s="26"/>
      <c r="X1654" s="26"/>
    </row>
    <row r="1655">
      <c r="A1655" s="28"/>
      <c r="B1655" s="28"/>
      <c r="C1655" s="28"/>
      <c r="D1655" s="246" t="s">
        <v>383</v>
      </c>
      <c r="E1655" s="201">
        <f>187000*2</f>
        <v>374000</v>
      </c>
      <c r="F1655" s="201">
        <f>350000*2</f>
        <v>700000</v>
      </c>
      <c r="G1655" s="34">
        <f t="shared" si="575"/>
        <v>0.871657754</v>
      </c>
      <c r="H1655" s="206"/>
      <c r="I1655" s="206"/>
      <c r="J1655" s="206"/>
      <c r="K1655" s="206"/>
      <c r="L1655" s="206"/>
      <c r="M1655" s="206"/>
      <c r="N1655" s="206"/>
      <c r="O1655" s="206"/>
      <c r="P1655" s="206"/>
      <c r="Q1655" s="262"/>
      <c r="R1655" s="262"/>
      <c r="S1655" s="207"/>
      <c r="T1655" s="263"/>
      <c r="U1655" s="26"/>
      <c r="V1655" s="26"/>
      <c r="W1655" s="26"/>
      <c r="X1655" s="26"/>
    </row>
    <row r="1656">
      <c r="A1656" s="28"/>
      <c r="B1656" s="28"/>
      <c r="C1656" s="28"/>
      <c r="D1656" s="246" t="s">
        <v>284</v>
      </c>
      <c r="E1656" s="201">
        <f>633000*9</f>
        <v>5697000</v>
      </c>
      <c r="F1656" s="105">
        <f>850000*9</f>
        <v>7650000</v>
      </c>
      <c r="G1656" s="34">
        <f t="shared" si="575"/>
        <v>0.3428120063</v>
      </c>
      <c r="H1656" s="206"/>
      <c r="I1656" s="206"/>
      <c r="J1656" s="206"/>
      <c r="K1656" s="206"/>
      <c r="L1656" s="206"/>
      <c r="M1656" s="206"/>
      <c r="N1656" s="206"/>
      <c r="O1656" s="206"/>
      <c r="P1656" s="206"/>
      <c r="Q1656" s="262"/>
      <c r="R1656" s="262"/>
      <c r="S1656" s="207"/>
      <c r="T1656" s="263"/>
      <c r="U1656" s="26"/>
      <c r="V1656" s="26"/>
      <c r="W1656" s="26"/>
      <c r="X1656" s="26"/>
    </row>
    <row r="1657">
      <c r="A1657" s="81" t="s">
        <v>742</v>
      </c>
      <c r="B1657" s="28"/>
      <c r="C1657" s="28"/>
      <c r="D1657" s="246" t="s">
        <v>182</v>
      </c>
      <c r="E1657" s="105">
        <f>225000*9+300000</f>
        <v>2325000</v>
      </c>
      <c r="F1657" s="105">
        <f>370000*9+300000</f>
        <v>3630000</v>
      </c>
      <c r="G1657" s="34">
        <f t="shared" si="575"/>
        <v>0.5612903226</v>
      </c>
      <c r="H1657" s="206"/>
      <c r="I1657" s="206"/>
      <c r="J1657" s="206"/>
      <c r="K1657" s="206"/>
      <c r="L1657" s="206"/>
      <c r="M1657" s="206"/>
      <c r="N1657" s="206"/>
      <c r="O1657" s="206"/>
      <c r="P1657" s="206"/>
      <c r="Q1657" s="262"/>
      <c r="R1657" s="262"/>
      <c r="S1657" s="207"/>
      <c r="T1657" s="263"/>
      <c r="U1657" s="26"/>
      <c r="V1657" s="26"/>
      <c r="W1657" s="26"/>
      <c r="X1657" s="26"/>
    </row>
    <row r="1658">
      <c r="A1658" s="28"/>
      <c r="B1658" s="28"/>
      <c r="C1658" s="28"/>
      <c r="D1658" s="246" t="s">
        <v>101</v>
      </c>
      <c r="E1658" s="105">
        <f>sum(E1651:E1657)</f>
        <v>12328000</v>
      </c>
      <c r="F1658" s="105">
        <f>E1658*1.4</f>
        <v>17259200</v>
      </c>
      <c r="G1658" s="34">
        <f t="shared" si="575"/>
        <v>0.4</v>
      </c>
      <c r="H1658" s="206"/>
      <c r="I1658" s="206"/>
      <c r="J1658" s="206"/>
      <c r="K1658" s="206"/>
      <c r="L1658" s="206"/>
      <c r="M1658" s="206"/>
      <c r="N1658" s="206"/>
      <c r="O1658" s="206"/>
      <c r="P1658" s="206"/>
      <c r="Q1658" s="262"/>
      <c r="R1658" s="262"/>
      <c r="S1658" s="207"/>
      <c r="T1658" s="263"/>
      <c r="U1658" s="26"/>
      <c r="V1658" s="26"/>
      <c r="W1658" s="26"/>
      <c r="X1658" s="26"/>
    </row>
    <row r="1659">
      <c r="A1659" s="28"/>
      <c r="B1659" s="28"/>
      <c r="C1659" s="28"/>
      <c r="D1659" s="246" t="s">
        <v>148</v>
      </c>
      <c r="E1659" s="105">
        <f>F1658-E1658</f>
        <v>4931200</v>
      </c>
      <c r="F1659" s="105"/>
      <c r="G1659" s="34"/>
      <c r="H1659" s="206"/>
      <c r="I1659" s="206"/>
      <c r="J1659" s="206"/>
      <c r="K1659" s="206"/>
      <c r="L1659" s="206"/>
      <c r="M1659" s="206"/>
      <c r="N1659" s="206"/>
      <c r="O1659" s="206"/>
      <c r="P1659" s="206"/>
      <c r="Q1659" s="262"/>
      <c r="R1659" s="262"/>
      <c r="S1659" s="207"/>
      <c r="T1659" s="263"/>
      <c r="U1659" s="26"/>
      <c r="V1659" s="26"/>
      <c r="W1659" s="26"/>
      <c r="X1659" s="26"/>
    </row>
    <row r="1660">
      <c r="A1660" s="28"/>
      <c r="B1660" s="28"/>
      <c r="C1660" s="28"/>
      <c r="D1660" s="246"/>
      <c r="E1660" s="105"/>
      <c r="F1660" s="105"/>
      <c r="G1660" s="34"/>
      <c r="H1660" s="206"/>
      <c r="I1660" s="206"/>
      <c r="J1660" s="206"/>
      <c r="K1660" s="206"/>
      <c r="L1660" s="206"/>
      <c r="M1660" s="206"/>
      <c r="N1660" s="206"/>
      <c r="O1660" s="206"/>
      <c r="P1660" s="206"/>
      <c r="Q1660" s="262"/>
      <c r="R1660" s="262"/>
      <c r="S1660" s="207"/>
      <c r="T1660" s="263"/>
      <c r="U1660" s="26"/>
      <c r="V1660" s="26"/>
      <c r="W1660" s="26"/>
      <c r="X1660" s="26"/>
    </row>
    <row r="1661">
      <c r="A1661" s="28"/>
      <c r="B1661" s="28"/>
      <c r="C1661" s="28"/>
      <c r="D1661" s="246"/>
      <c r="E1661" s="105"/>
      <c r="F1661" s="105"/>
      <c r="G1661" s="34"/>
      <c r="H1661" s="206"/>
      <c r="I1661" s="206"/>
      <c r="J1661" s="206"/>
      <c r="K1661" s="206"/>
      <c r="L1661" s="206"/>
      <c r="M1661" s="206"/>
      <c r="N1661" s="206"/>
      <c r="O1661" s="206"/>
      <c r="P1661" s="206"/>
      <c r="Q1661" s="262"/>
      <c r="R1661" s="262"/>
      <c r="S1661" s="207"/>
      <c r="T1661" s="263"/>
      <c r="U1661" s="26"/>
      <c r="V1661" s="26"/>
      <c r="W1661" s="26"/>
      <c r="X1661" s="26"/>
    </row>
    <row r="1662">
      <c r="A1662" s="28"/>
      <c r="B1662" s="28"/>
      <c r="C1662" s="28"/>
      <c r="D1662" s="96"/>
      <c r="E1662" s="105"/>
      <c r="F1662" s="105"/>
      <c r="G1662" s="34"/>
      <c r="H1662" s="206"/>
      <c r="I1662" s="206"/>
      <c r="J1662" s="206"/>
      <c r="K1662" s="206"/>
      <c r="L1662" s="206"/>
      <c r="M1662" s="206"/>
      <c r="N1662" s="206"/>
      <c r="O1662" s="206"/>
      <c r="P1662" s="206"/>
      <c r="Q1662" s="262"/>
      <c r="R1662" s="262"/>
      <c r="S1662" s="207"/>
      <c r="T1662" s="263"/>
      <c r="U1662" s="26"/>
      <c r="V1662" s="26"/>
      <c r="W1662" s="26"/>
      <c r="X1662" s="26"/>
    </row>
    <row r="1663">
      <c r="A1663" s="28"/>
      <c r="B1663" s="28"/>
      <c r="C1663" s="28"/>
      <c r="D1663" s="96"/>
      <c r="E1663" s="105"/>
      <c r="F1663" s="105"/>
      <c r="G1663" s="34"/>
      <c r="H1663" s="206"/>
      <c r="I1663" s="206"/>
      <c r="J1663" s="206"/>
      <c r="K1663" s="206"/>
      <c r="L1663" s="206"/>
      <c r="M1663" s="206"/>
      <c r="N1663" s="206"/>
      <c r="O1663" s="206"/>
      <c r="P1663" s="206"/>
      <c r="Q1663" s="262"/>
      <c r="R1663" s="262"/>
      <c r="S1663" s="207"/>
      <c r="T1663" s="263"/>
      <c r="U1663" s="26"/>
      <c r="V1663" s="26"/>
      <c r="W1663" s="26"/>
      <c r="X1663" s="26"/>
    </row>
    <row r="1664">
      <c r="A1664" s="28"/>
      <c r="B1664" s="28"/>
      <c r="C1664" s="81" t="s">
        <v>743</v>
      </c>
      <c r="D1664" s="246" t="s">
        <v>744</v>
      </c>
      <c r="E1664" s="201">
        <f>726000*2</f>
        <v>1452000</v>
      </c>
      <c r="F1664" s="105">
        <f>E1664*1.4</f>
        <v>2032800</v>
      </c>
      <c r="G1664" s="34">
        <f>(F1664-E1664)/E1664</f>
        <v>0.4</v>
      </c>
      <c r="H1664" s="206"/>
      <c r="I1664" s="206"/>
      <c r="J1664" s="206"/>
      <c r="K1664" s="206"/>
      <c r="L1664" s="206"/>
      <c r="M1664" s="206"/>
      <c r="N1664" s="206"/>
      <c r="O1664" s="206"/>
      <c r="P1664" s="206"/>
      <c r="Q1664" s="262"/>
      <c r="R1664" s="262"/>
      <c r="S1664" s="207"/>
      <c r="T1664" s="263"/>
      <c r="U1664" s="26"/>
      <c r="V1664" s="26"/>
      <c r="W1664" s="26"/>
      <c r="X1664" s="26"/>
    </row>
    <row r="1665">
      <c r="A1665" s="28"/>
      <c r="B1665" s="28"/>
      <c r="C1665" s="28"/>
      <c r="D1665" s="96"/>
      <c r="E1665" s="105"/>
      <c r="F1665" s="105"/>
      <c r="G1665" s="34"/>
      <c r="H1665" s="206"/>
      <c r="I1665" s="206"/>
      <c r="J1665" s="206"/>
      <c r="K1665" s="206"/>
      <c r="L1665" s="206"/>
      <c r="M1665" s="206"/>
      <c r="N1665" s="206"/>
      <c r="O1665" s="206"/>
      <c r="P1665" s="206"/>
      <c r="Q1665" s="262"/>
      <c r="R1665" s="262"/>
      <c r="S1665" s="207"/>
      <c r="T1665" s="263"/>
      <c r="U1665" s="26"/>
      <c r="V1665" s="26"/>
      <c r="W1665" s="26"/>
      <c r="X1665" s="26"/>
    </row>
    <row r="1666">
      <c r="A1666" s="28"/>
      <c r="B1666" s="28"/>
      <c r="C1666" s="81" t="s">
        <v>745</v>
      </c>
      <c r="D1666" s="246" t="s">
        <v>746</v>
      </c>
      <c r="E1666" s="105">
        <f t="shared" ref="E1666:E1667" si="576">484000</f>
        <v>484000</v>
      </c>
      <c r="F1666" s="105">
        <f t="shared" ref="F1666:F1668" si="577">E1666*1.4</f>
        <v>677600</v>
      </c>
      <c r="G1666" s="34">
        <f t="shared" ref="G1666:G1668" si="578">(F1666-E1666)/E1666</f>
        <v>0.4</v>
      </c>
      <c r="H1666" s="206"/>
      <c r="I1666" s="206"/>
      <c r="J1666" s="206"/>
      <c r="K1666" s="206"/>
      <c r="L1666" s="206"/>
      <c r="M1666" s="206"/>
      <c r="N1666" s="206"/>
      <c r="O1666" s="206"/>
      <c r="P1666" s="206"/>
      <c r="Q1666" s="262"/>
      <c r="R1666" s="262"/>
      <c r="S1666" s="207"/>
      <c r="T1666" s="263"/>
      <c r="U1666" s="26"/>
      <c r="V1666" s="26"/>
      <c r="W1666" s="26"/>
      <c r="X1666" s="26"/>
    </row>
    <row r="1667">
      <c r="A1667" s="28"/>
      <c r="B1667" s="28"/>
      <c r="C1667" s="28"/>
      <c r="D1667" s="246" t="s">
        <v>747</v>
      </c>
      <c r="E1667" s="105">
        <f t="shared" si="576"/>
        <v>484000</v>
      </c>
      <c r="F1667" s="105">
        <f t="shared" si="577"/>
        <v>677600</v>
      </c>
      <c r="G1667" s="34">
        <f t="shared" si="578"/>
        <v>0.4</v>
      </c>
      <c r="H1667" s="206"/>
      <c r="I1667" s="206"/>
      <c r="J1667" s="206"/>
      <c r="K1667" s="206"/>
      <c r="L1667" s="206"/>
      <c r="M1667" s="206"/>
      <c r="N1667" s="206"/>
      <c r="O1667" s="206"/>
      <c r="P1667" s="206"/>
      <c r="Q1667" s="262"/>
      <c r="R1667" s="262"/>
      <c r="S1667" s="207"/>
      <c r="T1667" s="263"/>
      <c r="U1667" s="26"/>
      <c r="V1667" s="26"/>
      <c r="W1667" s="26"/>
      <c r="X1667" s="26"/>
    </row>
    <row r="1668">
      <c r="A1668" s="28"/>
      <c r="B1668" s="28"/>
      <c r="C1668" s="28"/>
      <c r="D1668" s="246" t="s">
        <v>748</v>
      </c>
      <c r="E1668" s="105">
        <f>600000+38000*14+140000+550000+E1664</f>
        <v>3274000</v>
      </c>
      <c r="F1668" s="105">
        <f t="shared" si="577"/>
        <v>4583600</v>
      </c>
      <c r="G1668" s="34">
        <f t="shared" si="578"/>
        <v>0.4</v>
      </c>
      <c r="H1668" s="206"/>
      <c r="I1668" s="206"/>
      <c r="J1668" s="206"/>
      <c r="K1668" s="206"/>
      <c r="L1668" s="206"/>
      <c r="M1668" s="206"/>
      <c r="N1668" s="206"/>
      <c r="O1668" s="206"/>
      <c r="P1668" s="206"/>
      <c r="Q1668" s="262"/>
      <c r="R1668" s="262"/>
      <c r="S1668" s="207"/>
      <c r="T1668" s="263"/>
      <c r="U1668" s="26"/>
      <c r="V1668" s="26"/>
      <c r="W1668" s="26"/>
      <c r="X1668" s="26"/>
    </row>
    <row r="1669">
      <c r="A1669" s="28"/>
      <c r="B1669" s="28"/>
      <c r="C1669" s="28"/>
      <c r="D1669" s="96"/>
      <c r="E1669" s="105"/>
      <c r="F1669" s="105"/>
      <c r="G1669" s="34"/>
      <c r="H1669" s="206"/>
      <c r="I1669" s="206"/>
      <c r="J1669" s="206"/>
      <c r="K1669" s="206"/>
      <c r="L1669" s="206"/>
      <c r="M1669" s="206"/>
      <c r="N1669" s="206"/>
      <c r="O1669" s="206"/>
      <c r="P1669" s="206"/>
      <c r="Q1669" s="262"/>
      <c r="R1669" s="262"/>
      <c r="S1669" s="207"/>
      <c r="T1669" s="263"/>
      <c r="U1669" s="26"/>
      <c r="V1669" s="26"/>
      <c r="W1669" s="26"/>
      <c r="X1669" s="26"/>
    </row>
    <row r="1670">
      <c r="A1670" s="28"/>
      <c r="B1670" s="28"/>
      <c r="C1670" s="28"/>
      <c r="D1670" s="96"/>
      <c r="E1670" s="105"/>
      <c r="F1670" s="105"/>
      <c r="G1670" s="34"/>
      <c r="H1670" s="206"/>
      <c r="I1670" s="206"/>
      <c r="J1670" s="206"/>
      <c r="K1670" s="206"/>
      <c r="L1670" s="206"/>
      <c r="M1670" s="206"/>
      <c r="N1670" s="206"/>
      <c r="O1670" s="206"/>
      <c r="P1670" s="206"/>
      <c r="Q1670" s="262"/>
      <c r="R1670" s="262"/>
      <c r="S1670" s="207"/>
      <c r="T1670" s="263"/>
      <c r="U1670" s="26"/>
      <c r="V1670" s="26"/>
      <c r="W1670" s="26"/>
      <c r="X1670" s="26"/>
    </row>
    <row r="1671">
      <c r="A1671" s="28"/>
      <c r="B1671" s="28"/>
      <c r="C1671" s="28"/>
      <c r="D1671" s="96"/>
      <c r="E1671" s="105"/>
      <c r="F1671" s="105"/>
      <c r="G1671" s="34"/>
      <c r="H1671" s="206"/>
      <c r="I1671" s="206"/>
      <c r="J1671" s="206"/>
      <c r="K1671" s="206"/>
      <c r="L1671" s="206"/>
      <c r="M1671" s="206"/>
      <c r="N1671" s="206"/>
      <c r="O1671" s="206"/>
      <c r="P1671" s="206"/>
      <c r="Q1671" s="262"/>
      <c r="R1671" s="262"/>
      <c r="S1671" s="207"/>
      <c r="T1671" s="263"/>
      <c r="U1671" s="26"/>
      <c r="V1671" s="26"/>
      <c r="W1671" s="26"/>
      <c r="X1671" s="26"/>
    </row>
    <row r="1672">
      <c r="A1672" s="28"/>
      <c r="B1672" s="28"/>
      <c r="C1672" s="28"/>
      <c r="D1672" s="96"/>
      <c r="E1672" s="105"/>
      <c r="F1672" s="105"/>
      <c r="G1672" s="34"/>
      <c r="H1672" s="206"/>
      <c r="I1672" s="206"/>
      <c r="J1672" s="206"/>
      <c r="K1672" s="206"/>
      <c r="L1672" s="206"/>
      <c r="M1672" s="206"/>
      <c r="N1672" s="206"/>
      <c r="O1672" s="206"/>
      <c r="P1672" s="206"/>
      <c r="Q1672" s="262"/>
      <c r="R1672" s="262"/>
      <c r="S1672" s="207"/>
      <c r="T1672" s="263"/>
      <c r="U1672" s="26"/>
      <c r="V1672" s="26"/>
      <c r="W1672" s="26"/>
      <c r="X1672" s="26"/>
    </row>
    <row r="1673">
      <c r="A1673" s="28"/>
      <c r="B1673" s="28"/>
      <c r="C1673" s="81" t="s">
        <v>749</v>
      </c>
      <c r="D1673" s="246" t="s">
        <v>197</v>
      </c>
      <c r="E1673" s="105">
        <f>300000*5</f>
        <v>1500000</v>
      </c>
      <c r="F1673" s="105">
        <f>450000*5</f>
        <v>2250000</v>
      </c>
      <c r="G1673" s="34">
        <f t="shared" ref="G1673:G1675" si="579">(F1673-E1673)/E1673</f>
        <v>0.5</v>
      </c>
      <c r="H1673" s="206"/>
      <c r="I1673" s="206"/>
      <c r="J1673" s="206"/>
      <c r="K1673" s="206"/>
      <c r="L1673" s="206"/>
      <c r="M1673" s="206"/>
      <c r="N1673" s="206"/>
      <c r="O1673" s="206"/>
      <c r="P1673" s="206"/>
      <c r="Q1673" s="262"/>
      <c r="R1673" s="262"/>
      <c r="S1673" s="207"/>
      <c r="T1673" s="263"/>
      <c r="U1673" s="26"/>
      <c r="V1673" s="26"/>
      <c r="W1673" s="26"/>
      <c r="X1673" s="26"/>
    </row>
    <row r="1674">
      <c r="A1674" s="28"/>
      <c r="B1674" s="28"/>
      <c r="C1674" s="28"/>
      <c r="D1674" s="246" t="s">
        <v>750</v>
      </c>
      <c r="E1674" s="201">
        <v>220000.0</v>
      </c>
      <c r="F1674" s="201">
        <v>370000.0</v>
      </c>
      <c r="G1674" s="34">
        <f t="shared" si="579"/>
        <v>0.6818181818</v>
      </c>
      <c r="H1674" s="206"/>
      <c r="I1674" s="206"/>
      <c r="J1674" s="206"/>
      <c r="K1674" s="206"/>
      <c r="L1674" s="206"/>
      <c r="M1674" s="206"/>
      <c r="N1674" s="206"/>
      <c r="O1674" s="206"/>
      <c r="P1674" s="206"/>
      <c r="Q1674" s="262"/>
      <c r="R1674" s="262"/>
      <c r="S1674" s="207"/>
      <c r="T1674" s="263"/>
      <c r="U1674" s="26"/>
      <c r="V1674" s="26"/>
      <c r="W1674" s="26"/>
      <c r="X1674" s="26"/>
    </row>
    <row r="1675">
      <c r="A1675" s="28"/>
      <c r="B1675" s="28"/>
      <c r="C1675" s="28"/>
      <c r="D1675" s="246" t="s">
        <v>148</v>
      </c>
      <c r="E1675" s="105">
        <f>E1673+E1674</f>
        <v>1720000</v>
      </c>
      <c r="F1675" s="105">
        <f>SUM(F1673:F1674)</f>
        <v>2620000</v>
      </c>
      <c r="G1675" s="34">
        <f t="shared" si="579"/>
        <v>0.523255814</v>
      </c>
      <c r="H1675" s="206"/>
      <c r="I1675" s="206"/>
      <c r="J1675" s="206"/>
      <c r="K1675" s="206"/>
      <c r="L1675" s="206"/>
      <c r="M1675" s="206"/>
      <c r="N1675" s="206"/>
      <c r="O1675" s="206"/>
      <c r="P1675" s="206"/>
      <c r="Q1675" s="262"/>
      <c r="R1675" s="262"/>
      <c r="S1675" s="207"/>
      <c r="T1675" s="263"/>
      <c r="U1675" s="26"/>
      <c r="V1675" s="26"/>
      <c r="W1675" s="26"/>
      <c r="X1675" s="26"/>
    </row>
    <row r="1676">
      <c r="A1676" s="28"/>
      <c r="B1676" s="28"/>
      <c r="C1676" s="28"/>
      <c r="D1676" s="246" t="s">
        <v>101</v>
      </c>
      <c r="E1676" s="105">
        <f>F1675-E1675</f>
        <v>900000</v>
      </c>
      <c r="F1676" s="201" t="s">
        <v>451</v>
      </c>
      <c r="G1676" s="34"/>
      <c r="H1676" s="206"/>
      <c r="I1676" s="206"/>
      <c r="J1676" s="206"/>
      <c r="K1676" s="206"/>
      <c r="L1676" s="206"/>
      <c r="M1676" s="206"/>
      <c r="N1676" s="206"/>
      <c r="O1676" s="206"/>
      <c r="P1676" s="206"/>
      <c r="Q1676" s="262"/>
      <c r="R1676" s="262"/>
      <c r="S1676" s="207"/>
      <c r="T1676" s="263"/>
      <c r="U1676" s="26"/>
      <c r="V1676" s="26"/>
      <c r="W1676" s="26"/>
      <c r="X1676" s="26"/>
    </row>
    <row r="1677">
      <c r="A1677" s="28"/>
      <c r="B1677" s="28"/>
      <c r="C1677" s="28"/>
      <c r="D1677" s="96"/>
      <c r="E1677" s="105"/>
      <c r="F1677" s="105"/>
      <c r="G1677" s="34"/>
      <c r="H1677" s="206"/>
      <c r="I1677" s="206"/>
      <c r="J1677" s="206"/>
      <c r="K1677" s="206"/>
      <c r="L1677" s="206"/>
      <c r="M1677" s="206"/>
      <c r="N1677" s="206"/>
      <c r="O1677" s="206"/>
      <c r="P1677" s="206"/>
      <c r="Q1677" s="262"/>
      <c r="R1677" s="262"/>
      <c r="S1677" s="207"/>
      <c r="T1677" s="263"/>
      <c r="U1677" s="26"/>
      <c r="V1677" s="26"/>
      <c r="W1677" s="26"/>
      <c r="X1677" s="26"/>
    </row>
    <row r="1678">
      <c r="A1678" s="28"/>
      <c r="B1678" s="28"/>
      <c r="C1678" s="28"/>
      <c r="D1678" s="96"/>
      <c r="E1678" s="105"/>
      <c r="F1678" s="105"/>
      <c r="G1678" s="34"/>
      <c r="H1678" s="206"/>
      <c r="I1678" s="206"/>
      <c r="J1678" s="206"/>
      <c r="K1678" s="206"/>
      <c r="L1678" s="206"/>
      <c r="M1678" s="206"/>
      <c r="N1678" s="206"/>
      <c r="O1678" s="206"/>
      <c r="P1678" s="206"/>
      <c r="Q1678" s="262"/>
      <c r="R1678" s="262"/>
      <c r="S1678" s="207"/>
      <c r="T1678" s="263"/>
      <c r="U1678" s="26"/>
      <c r="V1678" s="26"/>
      <c r="W1678" s="26"/>
      <c r="X1678" s="26"/>
    </row>
    <row r="1679">
      <c r="A1679" s="28"/>
      <c r="B1679" s="28"/>
      <c r="C1679" s="81" t="s">
        <v>751</v>
      </c>
      <c r="D1679" s="246" t="s">
        <v>752</v>
      </c>
      <c r="E1679" s="201">
        <v>130000.0</v>
      </c>
      <c r="F1679" s="201">
        <v>250000.0</v>
      </c>
      <c r="G1679" s="34">
        <f t="shared" ref="G1679:G1682" si="580">(F1679-E1679)/E1679</f>
        <v>0.9230769231</v>
      </c>
      <c r="H1679" s="206"/>
      <c r="I1679" s="206"/>
      <c r="J1679" s="206"/>
      <c r="K1679" s="206"/>
      <c r="L1679" s="206"/>
      <c r="M1679" s="206"/>
      <c r="N1679" s="206"/>
      <c r="O1679" s="206"/>
      <c r="P1679" s="206"/>
      <c r="Q1679" s="262"/>
      <c r="R1679" s="262"/>
      <c r="S1679" s="207"/>
      <c r="T1679" s="263"/>
      <c r="U1679" s="26"/>
      <c r="V1679" s="26"/>
      <c r="W1679" s="26"/>
      <c r="X1679" s="26"/>
    </row>
    <row r="1680">
      <c r="A1680" s="28"/>
      <c r="B1680" s="28"/>
      <c r="C1680" s="28"/>
      <c r="D1680" s="246" t="s">
        <v>284</v>
      </c>
      <c r="E1680" s="201">
        <v>633000.0</v>
      </c>
      <c r="F1680" s="201">
        <v>850000.0</v>
      </c>
      <c r="G1680" s="34">
        <f t="shared" si="580"/>
        <v>0.3428120063</v>
      </c>
      <c r="H1680" s="206"/>
      <c r="I1680" s="206"/>
      <c r="J1680" s="206"/>
      <c r="K1680" s="206"/>
      <c r="L1680" s="206"/>
      <c r="M1680" s="206"/>
      <c r="N1680" s="206"/>
      <c r="O1680" s="206"/>
      <c r="P1680" s="206"/>
      <c r="Q1680" s="262"/>
      <c r="R1680" s="262"/>
      <c r="S1680" s="207"/>
      <c r="T1680" s="263"/>
      <c r="U1680" s="26"/>
      <c r="V1680" s="26"/>
      <c r="W1680" s="26"/>
      <c r="X1680" s="26"/>
    </row>
    <row r="1681">
      <c r="A1681" s="28"/>
      <c r="B1681" s="28"/>
      <c r="C1681" s="28"/>
      <c r="D1681" s="246" t="s">
        <v>325</v>
      </c>
      <c r="E1681" s="201">
        <v>360000.0</v>
      </c>
      <c r="F1681" s="201">
        <v>500000.0</v>
      </c>
      <c r="G1681" s="34">
        <f t="shared" si="580"/>
        <v>0.3888888889</v>
      </c>
      <c r="H1681" s="206"/>
      <c r="I1681" s="206"/>
      <c r="J1681" s="206"/>
      <c r="K1681" s="206"/>
      <c r="L1681" s="206"/>
      <c r="M1681" s="206"/>
      <c r="N1681" s="206"/>
      <c r="O1681" s="206"/>
      <c r="P1681" s="206"/>
      <c r="Q1681" s="262"/>
      <c r="R1681" s="262"/>
      <c r="S1681" s="207"/>
      <c r="T1681" s="263"/>
      <c r="U1681" s="26"/>
      <c r="V1681" s="26"/>
      <c r="W1681" s="26"/>
      <c r="X1681" s="26"/>
    </row>
    <row r="1682">
      <c r="A1682" s="28"/>
      <c r="B1682" s="28"/>
      <c r="C1682" s="28"/>
      <c r="D1682" s="246" t="s">
        <v>101</v>
      </c>
      <c r="E1682" s="105">
        <f t="shared" ref="E1682:F1682" si="581">E1679+E1680+E1681</f>
        <v>1123000</v>
      </c>
      <c r="F1682" s="105">
        <f t="shared" si="581"/>
        <v>1600000</v>
      </c>
      <c r="G1682" s="34">
        <f t="shared" si="580"/>
        <v>0.4247551202</v>
      </c>
      <c r="H1682" s="206"/>
      <c r="I1682" s="206"/>
      <c r="J1682" s="206"/>
      <c r="K1682" s="206"/>
      <c r="L1682" s="206"/>
      <c r="M1682" s="206"/>
      <c r="N1682" s="206"/>
      <c r="O1682" s="206"/>
      <c r="P1682" s="206"/>
      <c r="Q1682" s="262"/>
      <c r="R1682" s="262"/>
      <c r="S1682" s="207"/>
      <c r="T1682" s="263"/>
      <c r="U1682" s="26"/>
      <c r="V1682" s="26"/>
      <c r="W1682" s="26"/>
      <c r="X1682" s="26"/>
    </row>
    <row r="1683">
      <c r="A1683" s="28"/>
      <c r="B1683" s="28"/>
      <c r="C1683" s="28"/>
      <c r="D1683" s="246" t="s">
        <v>148</v>
      </c>
      <c r="E1683" s="105">
        <f>F1682-E1682</f>
        <v>477000</v>
      </c>
      <c r="F1683" s="105"/>
      <c r="G1683" s="34"/>
      <c r="H1683" s="206"/>
      <c r="I1683" s="206"/>
      <c r="J1683" s="206"/>
      <c r="K1683" s="206"/>
      <c r="L1683" s="206"/>
      <c r="M1683" s="206"/>
      <c r="N1683" s="206"/>
      <c r="O1683" s="206"/>
      <c r="P1683" s="206"/>
      <c r="Q1683" s="262"/>
      <c r="R1683" s="262"/>
      <c r="S1683" s="207"/>
      <c r="T1683" s="263"/>
      <c r="U1683" s="26"/>
      <c r="V1683" s="26"/>
      <c r="W1683" s="26"/>
      <c r="X1683" s="26"/>
    </row>
    <row r="1684">
      <c r="A1684" s="28"/>
      <c r="B1684" s="28"/>
      <c r="C1684" s="28"/>
      <c r="D1684" s="96"/>
      <c r="E1684" s="105"/>
      <c r="F1684" s="105"/>
      <c r="G1684" s="34"/>
      <c r="H1684" s="206"/>
      <c r="I1684" s="206"/>
      <c r="J1684" s="206"/>
      <c r="K1684" s="206"/>
      <c r="L1684" s="206"/>
      <c r="M1684" s="206"/>
      <c r="N1684" s="206"/>
      <c r="O1684" s="206"/>
      <c r="P1684" s="206"/>
      <c r="Q1684" s="262"/>
      <c r="R1684" s="262"/>
      <c r="S1684" s="207"/>
      <c r="T1684" s="263"/>
      <c r="U1684" s="26"/>
      <c r="V1684" s="26"/>
      <c r="W1684" s="26"/>
      <c r="X1684" s="26"/>
    </row>
    <row r="1685">
      <c r="A1685" s="28"/>
      <c r="B1685" s="28"/>
      <c r="C1685" s="81" t="s">
        <v>753</v>
      </c>
      <c r="D1685" s="246" t="s">
        <v>267</v>
      </c>
      <c r="E1685" s="105">
        <f>300000*2+220000</f>
        <v>820000</v>
      </c>
      <c r="F1685" s="105">
        <f>450000*2+370000</f>
        <v>1270000</v>
      </c>
      <c r="G1685" s="34">
        <f t="shared" ref="G1685:G1687" si="582">(F1685-E1685)/E1685</f>
        <v>0.5487804878</v>
      </c>
      <c r="H1685" s="206">
        <f t="shared" ref="H1685:H1686" si="583">F1685-E1685</f>
        <v>450000</v>
      </c>
      <c r="I1685" s="206"/>
      <c r="J1685" s="206"/>
      <c r="K1685" s="206"/>
      <c r="L1685" s="206"/>
      <c r="M1685" s="206"/>
      <c r="N1685" s="206"/>
      <c r="O1685" s="206"/>
      <c r="P1685" s="206"/>
      <c r="Q1685" s="262"/>
      <c r="R1685" s="262"/>
      <c r="S1685" s="207"/>
      <c r="T1685" s="263"/>
      <c r="U1685" s="26"/>
      <c r="V1685" s="26"/>
      <c r="W1685" s="26"/>
      <c r="X1685" s="26"/>
    </row>
    <row r="1686">
      <c r="A1686" s="28"/>
      <c r="B1686" s="28"/>
      <c r="C1686" s="28"/>
      <c r="D1686" s="246" t="s">
        <v>222</v>
      </c>
      <c r="E1686" s="105">
        <f>370000*2+250000</f>
        <v>990000</v>
      </c>
      <c r="F1686" s="105">
        <f>490000*2+370000</f>
        <v>1350000</v>
      </c>
      <c r="G1686" s="34">
        <f t="shared" si="582"/>
        <v>0.3636363636</v>
      </c>
      <c r="H1686" s="206">
        <f t="shared" si="583"/>
        <v>360000</v>
      </c>
      <c r="I1686" s="206"/>
      <c r="J1686" s="206"/>
      <c r="K1686" s="206"/>
      <c r="L1686" s="206"/>
      <c r="M1686" s="206"/>
      <c r="N1686" s="206"/>
      <c r="O1686" s="206"/>
      <c r="P1686" s="206"/>
      <c r="Q1686" s="262"/>
      <c r="R1686" s="262"/>
      <c r="S1686" s="207"/>
      <c r="T1686" s="263"/>
      <c r="U1686" s="26"/>
      <c r="V1686" s="26"/>
      <c r="W1686" s="26"/>
      <c r="X1686" s="26"/>
    </row>
    <row r="1687">
      <c r="A1687" s="28"/>
      <c r="B1687" s="28"/>
      <c r="C1687" s="28"/>
      <c r="D1687" s="246" t="s">
        <v>101</v>
      </c>
      <c r="E1687" s="105">
        <f t="shared" ref="E1687:F1687" si="584">E1685+E1686</f>
        <v>1810000</v>
      </c>
      <c r="F1687" s="105">
        <f t="shared" si="584"/>
        <v>2620000</v>
      </c>
      <c r="G1687" s="34">
        <f t="shared" si="582"/>
        <v>0.4475138122</v>
      </c>
      <c r="H1687" s="206"/>
      <c r="I1687" s="206"/>
      <c r="J1687" s="206"/>
      <c r="K1687" s="206"/>
      <c r="L1687" s="206"/>
      <c r="M1687" s="206"/>
      <c r="N1687" s="206"/>
      <c r="O1687" s="206"/>
      <c r="P1687" s="206"/>
      <c r="Q1687" s="262"/>
      <c r="R1687" s="262"/>
      <c r="S1687" s="207"/>
      <c r="T1687" s="263"/>
      <c r="U1687" s="26"/>
      <c r="V1687" s="26"/>
      <c r="W1687" s="26"/>
      <c r="X1687" s="26"/>
    </row>
    <row r="1688">
      <c r="A1688" s="28"/>
      <c r="B1688" s="28"/>
      <c r="C1688" s="28"/>
      <c r="D1688" s="246" t="s">
        <v>148</v>
      </c>
      <c r="E1688" s="105">
        <f>F1687-E1687</f>
        <v>810000</v>
      </c>
      <c r="F1688" s="105"/>
      <c r="G1688" s="34"/>
      <c r="H1688" s="206"/>
      <c r="I1688" s="206"/>
      <c r="J1688" s="206"/>
      <c r="K1688" s="206"/>
      <c r="L1688" s="206"/>
      <c r="M1688" s="206"/>
      <c r="N1688" s="206"/>
      <c r="O1688" s="206"/>
      <c r="P1688" s="206"/>
      <c r="Q1688" s="262"/>
      <c r="R1688" s="262"/>
      <c r="S1688" s="207"/>
      <c r="T1688" s="263"/>
      <c r="U1688" s="26"/>
      <c r="V1688" s="26"/>
      <c r="W1688" s="26"/>
      <c r="X1688" s="26"/>
    </row>
    <row r="1689">
      <c r="A1689" s="28"/>
      <c r="B1689" s="28"/>
      <c r="C1689" s="28"/>
      <c r="D1689" s="96"/>
      <c r="E1689" s="105"/>
      <c r="F1689" s="105"/>
      <c r="G1689" s="34"/>
      <c r="H1689" s="206"/>
      <c r="I1689" s="206"/>
      <c r="J1689" s="206"/>
      <c r="K1689" s="206"/>
      <c r="L1689" s="206"/>
      <c r="M1689" s="206"/>
      <c r="N1689" s="206"/>
      <c r="O1689" s="206"/>
      <c r="P1689" s="206"/>
      <c r="Q1689" s="262"/>
      <c r="R1689" s="262"/>
      <c r="S1689" s="207"/>
      <c r="T1689" s="263"/>
      <c r="U1689" s="26"/>
      <c r="V1689" s="26"/>
      <c r="W1689" s="26"/>
      <c r="X1689" s="26"/>
    </row>
    <row r="1690">
      <c r="A1690" s="28"/>
      <c r="B1690" s="28"/>
      <c r="C1690" s="28"/>
      <c r="D1690" s="96"/>
      <c r="E1690" s="105"/>
      <c r="F1690" s="105"/>
      <c r="G1690" s="34"/>
      <c r="H1690" s="206"/>
      <c r="I1690" s="206"/>
      <c r="J1690" s="206"/>
      <c r="K1690" s="206"/>
      <c r="L1690" s="206"/>
      <c r="M1690" s="206"/>
      <c r="N1690" s="206"/>
      <c r="O1690" s="206"/>
      <c r="P1690" s="206"/>
      <c r="Q1690" s="262"/>
      <c r="R1690" s="262"/>
      <c r="S1690" s="207"/>
      <c r="T1690" s="263"/>
      <c r="U1690" s="26"/>
      <c r="V1690" s="26"/>
      <c r="W1690" s="26"/>
      <c r="X1690" s="26"/>
    </row>
    <row r="1691">
      <c r="A1691" s="28"/>
      <c r="B1691" s="28"/>
      <c r="C1691" s="81" t="s">
        <v>754</v>
      </c>
      <c r="D1691" s="246" t="s">
        <v>222</v>
      </c>
      <c r="E1691" s="105">
        <f>370000*2</f>
        <v>740000</v>
      </c>
      <c r="F1691" s="105">
        <f>520000*2</f>
        <v>1040000</v>
      </c>
      <c r="G1691" s="34">
        <f t="shared" ref="G1691:G1693" si="585">(F1691-E1691)/E1691</f>
        <v>0.4054054054</v>
      </c>
      <c r="H1691" s="206"/>
      <c r="I1691" s="206"/>
      <c r="J1691" s="206"/>
      <c r="K1691" s="206"/>
      <c r="L1691" s="206"/>
      <c r="M1691" s="206"/>
      <c r="N1691" s="206"/>
      <c r="O1691" s="206"/>
      <c r="P1691" s="206"/>
      <c r="Q1691" s="262"/>
      <c r="R1691" s="262"/>
      <c r="S1691" s="207"/>
      <c r="T1691" s="263"/>
      <c r="U1691" s="26"/>
      <c r="V1691" s="26"/>
      <c r="W1691" s="26"/>
      <c r="X1691" s="26"/>
    </row>
    <row r="1692">
      <c r="A1692" s="28"/>
      <c r="B1692" s="28"/>
      <c r="C1692" s="28"/>
      <c r="D1692" s="246" t="s">
        <v>158</v>
      </c>
      <c r="E1692" s="105">
        <f>420000*2</f>
        <v>840000</v>
      </c>
      <c r="F1692" s="201">
        <f>550000*2</f>
        <v>1100000</v>
      </c>
      <c r="G1692" s="34">
        <f t="shared" si="585"/>
        <v>0.3095238095</v>
      </c>
      <c r="H1692" s="206"/>
      <c r="I1692" s="206"/>
      <c r="J1692" s="206"/>
      <c r="K1692" s="206"/>
      <c r="L1692" s="206"/>
      <c r="M1692" s="206"/>
      <c r="N1692" s="206"/>
      <c r="O1692" s="206"/>
      <c r="P1692" s="206"/>
      <c r="Q1692" s="262"/>
      <c r="R1692" s="262"/>
      <c r="S1692" s="207"/>
      <c r="T1692" s="263"/>
      <c r="U1692" s="26"/>
      <c r="V1692" s="26"/>
      <c r="W1692" s="26"/>
      <c r="X1692" s="26"/>
    </row>
    <row r="1693">
      <c r="A1693" s="28"/>
      <c r="B1693" s="28"/>
      <c r="C1693" s="28"/>
      <c r="D1693" s="246" t="s">
        <v>101</v>
      </c>
      <c r="E1693" s="105">
        <f t="shared" ref="E1693:F1693" si="586">E1691+E1692</f>
        <v>1580000</v>
      </c>
      <c r="F1693" s="105">
        <f t="shared" si="586"/>
        <v>2140000</v>
      </c>
      <c r="G1693" s="34">
        <f t="shared" si="585"/>
        <v>0.3544303797</v>
      </c>
      <c r="H1693" s="206"/>
      <c r="I1693" s="206"/>
      <c r="J1693" s="206"/>
      <c r="K1693" s="206"/>
      <c r="L1693" s="206"/>
      <c r="M1693" s="206"/>
      <c r="N1693" s="206"/>
      <c r="O1693" s="206"/>
      <c r="P1693" s="206"/>
      <c r="Q1693" s="262"/>
      <c r="R1693" s="262"/>
      <c r="S1693" s="207"/>
      <c r="T1693" s="263"/>
      <c r="U1693" s="26"/>
      <c r="V1693" s="26"/>
      <c r="W1693" s="26"/>
      <c r="X1693" s="26"/>
    </row>
    <row r="1694">
      <c r="A1694" s="28"/>
      <c r="B1694" s="28"/>
      <c r="C1694" s="28"/>
      <c r="D1694" s="246" t="s">
        <v>243</v>
      </c>
      <c r="E1694" s="105">
        <f>F1693-E1693</f>
        <v>560000</v>
      </c>
      <c r="F1694" s="105"/>
      <c r="G1694" s="34"/>
      <c r="H1694" s="206"/>
      <c r="I1694" s="206"/>
      <c r="J1694" s="206"/>
      <c r="K1694" s="206"/>
      <c r="L1694" s="206"/>
      <c r="M1694" s="206"/>
      <c r="N1694" s="206"/>
      <c r="O1694" s="206"/>
      <c r="P1694" s="206"/>
      <c r="Q1694" s="262"/>
      <c r="R1694" s="262"/>
      <c r="S1694" s="207"/>
      <c r="T1694" s="263"/>
      <c r="U1694" s="26"/>
      <c r="V1694" s="26"/>
      <c r="W1694" s="26"/>
      <c r="X1694" s="26"/>
    </row>
    <row r="1695">
      <c r="A1695" s="28"/>
      <c r="B1695" s="28"/>
      <c r="C1695" s="28"/>
      <c r="D1695" s="96"/>
      <c r="E1695" s="105"/>
      <c r="F1695" s="105"/>
      <c r="G1695" s="34"/>
      <c r="H1695" s="206"/>
      <c r="I1695" s="206"/>
      <c r="J1695" s="206"/>
      <c r="K1695" s="206"/>
      <c r="L1695" s="206"/>
      <c r="M1695" s="206"/>
      <c r="N1695" s="206"/>
      <c r="O1695" s="206"/>
      <c r="P1695" s="206"/>
      <c r="Q1695" s="262"/>
      <c r="R1695" s="262"/>
      <c r="S1695" s="207"/>
      <c r="T1695" s="263"/>
      <c r="U1695" s="26"/>
      <c r="V1695" s="26"/>
      <c r="W1695" s="26"/>
      <c r="X1695" s="26"/>
    </row>
    <row r="1696">
      <c r="A1696" s="28"/>
      <c r="B1696" s="28"/>
      <c r="C1696" s="28"/>
      <c r="D1696" s="96"/>
      <c r="E1696" s="105"/>
      <c r="F1696" s="105"/>
      <c r="G1696" s="34"/>
      <c r="H1696" s="206"/>
      <c r="I1696" s="206"/>
      <c r="J1696" s="206"/>
      <c r="K1696" s="206"/>
      <c r="L1696" s="206"/>
      <c r="M1696" s="206"/>
      <c r="N1696" s="206"/>
      <c r="O1696" s="206"/>
      <c r="P1696" s="206"/>
      <c r="Q1696" s="262"/>
      <c r="R1696" s="262"/>
      <c r="S1696" s="207"/>
      <c r="T1696" s="263"/>
      <c r="U1696" s="26"/>
      <c r="V1696" s="26"/>
      <c r="W1696" s="26"/>
      <c r="X1696" s="26"/>
    </row>
    <row r="1697">
      <c r="A1697" s="28"/>
      <c r="B1697" s="28"/>
      <c r="C1697" s="28"/>
      <c r="D1697" s="96"/>
      <c r="E1697" s="105"/>
      <c r="F1697" s="105"/>
      <c r="G1697" s="34"/>
      <c r="H1697" s="206"/>
      <c r="I1697" s="206"/>
      <c r="J1697" s="206"/>
      <c r="K1697" s="206"/>
      <c r="L1697" s="206"/>
      <c r="M1697" s="206"/>
      <c r="N1697" s="206"/>
      <c r="O1697" s="206"/>
      <c r="P1697" s="206"/>
      <c r="Q1697" s="262"/>
      <c r="R1697" s="262"/>
      <c r="S1697" s="207"/>
      <c r="T1697" s="263"/>
      <c r="U1697" s="26"/>
      <c r="V1697" s="26"/>
      <c r="W1697" s="26"/>
      <c r="X1697" s="26"/>
    </row>
    <row r="1698">
      <c r="A1698" s="28"/>
      <c r="B1698" s="28"/>
      <c r="C1698" s="28"/>
      <c r="D1698" s="96"/>
      <c r="E1698" s="105"/>
      <c r="F1698" s="105"/>
      <c r="G1698" s="34"/>
      <c r="H1698" s="206"/>
      <c r="I1698" s="206"/>
      <c r="J1698" s="206"/>
      <c r="K1698" s="206"/>
      <c r="L1698" s="206"/>
      <c r="M1698" s="206"/>
      <c r="N1698" s="206"/>
      <c r="O1698" s="206"/>
      <c r="P1698" s="206"/>
      <c r="Q1698" s="262"/>
      <c r="R1698" s="262"/>
      <c r="S1698" s="207"/>
      <c r="T1698" s="263"/>
      <c r="U1698" s="26"/>
      <c r="V1698" s="26"/>
      <c r="W1698" s="26"/>
      <c r="X1698" s="26"/>
    </row>
    <row r="1699">
      <c r="A1699" s="28"/>
      <c r="B1699" s="28"/>
      <c r="C1699" s="28"/>
      <c r="D1699" s="96"/>
      <c r="E1699" s="105"/>
      <c r="F1699" s="105"/>
      <c r="G1699" s="34"/>
      <c r="H1699" s="206"/>
      <c r="I1699" s="206"/>
      <c r="J1699" s="206"/>
      <c r="K1699" s="206"/>
      <c r="L1699" s="206"/>
      <c r="M1699" s="206"/>
      <c r="N1699" s="206"/>
      <c r="O1699" s="206"/>
      <c r="P1699" s="206"/>
      <c r="Q1699" s="262"/>
      <c r="R1699" s="262"/>
      <c r="S1699" s="207"/>
      <c r="T1699" s="263"/>
      <c r="U1699" s="26"/>
      <c r="V1699" s="26"/>
      <c r="W1699" s="26"/>
      <c r="X1699" s="26"/>
    </row>
    <row r="1700">
      <c r="A1700" s="28"/>
      <c r="B1700" s="28"/>
      <c r="C1700" s="81" t="s">
        <v>755</v>
      </c>
      <c r="D1700" s="246" t="s">
        <v>282</v>
      </c>
      <c r="E1700" s="105">
        <f t="shared" ref="E1700:E1701" si="587">309000*6</f>
        <v>1854000</v>
      </c>
      <c r="F1700" s="105">
        <f>450000*6</f>
        <v>2700000</v>
      </c>
      <c r="G1700" s="34">
        <f t="shared" ref="G1700:G1701" si="588">(F1700-E1700)/E1700</f>
        <v>0.4563106796</v>
      </c>
      <c r="H1700" s="206"/>
      <c r="I1700" s="206"/>
      <c r="J1700" s="206"/>
      <c r="K1700" s="206"/>
      <c r="L1700" s="206"/>
      <c r="M1700" s="206"/>
      <c r="N1700" s="206"/>
      <c r="O1700" s="206"/>
      <c r="P1700" s="206"/>
      <c r="Q1700" s="262"/>
      <c r="R1700" s="262"/>
      <c r="S1700" s="207"/>
      <c r="T1700" s="263"/>
      <c r="U1700" s="26"/>
      <c r="V1700" s="26"/>
      <c r="W1700" s="26"/>
      <c r="X1700" s="26"/>
    </row>
    <row r="1701">
      <c r="A1701" s="28"/>
      <c r="B1701" s="28"/>
      <c r="C1701" s="28"/>
      <c r="D1701" s="96"/>
      <c r="E1701" s="105">
        <f t="shared" si="587"/>
        <v>1854000</v>
      </c>
      <c r="F1701" s="105">
        <f>E1701*1.35</f>
        <v>2502900</v>
      </c>
      <c r="G1701" s="34">
        <f t="shared" si="588"/>
        <v>0.35</v>
      </c>
      <c r="H1701" s="206"/>
      <c r="I1701" s="206"/>
      <c r="J1701" s="206"/>
      <c r="K1701" s="206"/>
      <c r="L1701" s="206"/>
      <c r="M1701" s="206"/>
      <c r="N1701" s="206"/>
      <c r="O1701" s="206"/>
      <c r="P1701" s="206"/>
      <c r="Q1701" s="262"/>
      <c r="R1701" s="262"/>
      <c r="S1701" s="207"/>
      <c r="T1701" s="263"/>
      <c r="U1701" s="26"/>
      <c r="V1701" s="26"/>
      <c r="W1701" s="26"/>
      <c r="X1701" s="26"/>
    </row>
    <row r="1702">
      <c r="A1702" s="28"/>
      <c r="B1702" s="28"/>
      <c r="C1702" s="28"/>
      <c r="D1702" s="96"/>
      <c r="E1702" s="105">
        <f>F1701-E1701</f>
        <v>648900</v>
      </c>
      <c r="F1702" s="105"/>
      <c r="G1702" s="206"/>
      <c r="H1702" s="206"/>
      <c r="I1702" s="206"/>
      <c r="J1702" s="206"/>
      <c r="K1702" s="206"/>
      <c r="L1702" s="206"/>
      <c r="M1702" s="206"/>
      <c r="N1702" s="206"/>
      <c r="O1702" s="206"/>
      <c r="P1702" s="206"/>
      <c r="Q1702" s="262"/>
      <c r="R1702" s="262"/>
      <c r="S1702" s="207"/>
      <c r="T1702" s="263"/>
      <c r="U1702" s="26"/>
      <c r="V1702" s="26"/>
      <c r="W1702" s="26"/>
      <c r="X1702" s="26"/>
    </row>
    <row r="1703">
      <c r="A1703" s="28"/>
      <c r="B1703" s="28"/>
      <c r="C1703" s="28"/>
      <c r="D1703" s="96"/>
      <c r="E1703" s="105"/>
      <c r="F1703" s="105"/>
      <c r="G1703" s="206"/>
      <c r="H1703" s="206"/>
      <c r="I1703" s="206"/>
      <c r="J1703" s="206"/>
      <c r="K1703" s="206"/>
      <c r="L1703" s="206"/>
      <c r="M1703" s="206"/>
      <c r="N1703" s="206"/>
      <c r="O1703" s="206"/>
      <c r="P1703" s="206"/>
      <c r="Q1703" s="262"/>
      <c r="R1703" s="262"/>
      <c r="S1703" s="207"/>
      <c r="T1703" s="263"/>
      <c r="U1703" s="26"/>
      <c r="V1703" s="26"/>
      <c r="W1703" s="26"/>
      <c r="X1703" s="26"/>
    </row>
    <row r="1704">
      <c r="A1704" s="28"/>
      <c r="B1704" s="28"/>
      <c r="C1704" s="28"/>
      <c r="D1704" s="96"/>
      <c r="E1704" s="105"/>
      <c r="F1704" s="105"/>
      <c r="G1704" s="206"/>
      <c r="H1704" s="206"/>
      <c r="I1704" s="206"/>
      <c r="J1704" s="206"/>
      <c r="K1704" s="206"/>
      <c r="L1704" s="206"/>
      <c r="M1704" s="206"/>
      <c r="N1704" s="206"/>
      <c r="O1704" s="206"/>
      <c r="P1704" s="206"/>
      <c r="Q1704" s="262"/>
      <c r="R1704" s="262"/>
      <c r="S1704" s="207"/>
      <c r="T1704" s="263"/>
      <c r="U1704" s="26"/>
      <c r="V1704" s="26"/>
      <c r="W1704" s="26"/>
      <c r="X1704" s="26"/>
    </row>
    <row r="1705">
      <c r="A1705" s="28"/>
      <c r="B1705" s="28"/>
      <c r="C1705" s="82" t="s">
        <v>670</v>
      </c>
      <c r="D1705" s="83" t="s">
        <v>285</v>
      </c>
      <c r="E1705" s="201">
        <v>130000.0</v>
      </c>
      <c r="F1705" s="201">
        <v>250000.0</v>
      </c>
      <c r="G1705" s="34">
        <f t="shared" ref="G1705:G1707" si="589">(F1705-E1705)/E1705</f>
        <v>0.9230769231</v>
      </c>
      <c r="H1705" s="206"/>
      <c r="I1705" s="206"/>
      <c r="J1705" s="206"/>
      <c r="K1705" s="206"/>
      <c r="L1705" s="206"/>
      <c r="M1705" s="206"/>
      <c r="N1705" s="206"/>
      <c r="O1705" s="206"/>
      <c r="P1705" s="206"/>
      <c r="Q1705" s="262"/>
      <c r="R1705" s="262"/>
      <c r="S1705" s="207"/>
      <c r="T1705" s="263"/>
      <c r="U1705" s="26"/>
      <c r="V1705" s="26"/>
      <c r="W1705" s="26"/>
      <c r="X1705" s="26"/>
    </row>
    <row r="1706">
      <c r="A1706" s="28"/>
      <c r="B1706" s="28"/>
      <c r="C1706" s="107"/>
      <c r="D1706" s="83" t="s">
        <v>392</v>
      </c>
      <c r="E1706" s="201">
        <v>390000.0</v>
      </c>
      <c r="F1706" s="201">
        <v>610000.0</v>
      </c>
      <c r="G1706" s="34">
        <f t="shared" si="589"/>
        <v>0.5641025641</v>
      </c>
      <c r="H1706" s="206"/>
      <c r="I1706" s="206"/>
      <c r="J1706" s="206"/>
      <c r="K1706" s="206"/>
      <c r="L1706" s="206"/>
      <c r="M1706" s="206"/>
      <c r="N1706" s="206"/>
      <c r="O1706" s="206"/>
      <c r="P1706" s="206"/>
      <c r="Q1706" s="262"/>
      <c r="R1706" s="262"/>
      <c r="S1706" s="207"/>
      <c r="T1706" s="263"/>
      <c r="U1706" s="26"/>
      <c r="V1706" s="26"/>
      <c r="W1706" s="26"/>
      <c r="X1706" s="26"/>
    </row>
    <row r="1707">
      <c r="A1707" s="28"/>
      <c r="B1707" s="28"/>
      <c r="C1707" s="107"/>
      <c r="D1707" s="83" t="s">
        <v>101</v>
      </c>
      <c r="E1707" s="105">
        <f t="shared" ref="E1707:F1707" si="590">E1705+E1706</f>
        <v>520000</v>
      </c>
      <c r="F1707" s="105">
        <f t="shared" si="590"/>
        <v>860000</v>
      </c>
      <c r="G1707" s="34">
        <f t="shared" si="589"/>
        <v>0.6538461538</v>
      </c>
      <c r="H1707" s="206"/>
      <c r="I1707" s="206"/>
      <c r="J1707" s="206"/>
      <c r="K1707" s="206"/>
      <c r="L1707" s="206"/>
      <c r="M1707" s="206"/>
      <c r="N1707" s="206"/>
      <c r="O1707" s="206"/>
      <c r="P1707" s="206"/>
      <c r="Q1707" s="262"/>
      <c r="R1707" s="262"/>
      <c r="S1707" s="207"/>
      <c r="T1707" s="263"/>
      <c r="U1707" s="26"/>
      <c r="V1707" s="26"/>
      <c r="W1707" s="26"/>
      <c r="X1707" s="26"/>
    </row>
    <row r="1708">
      <c r="A1708" s="28"/>
      <c r="B1708" s="28"/>
      <c r="C1708" s="107"/>
      <c r="D1708" s="83" t="s">
        <v>148</v>
      </c>
      <c r="E1708" s="105">
        <f>F1707-E1707</f>
        <v>340000</v>
      </c>
      <c r="F1708" s="105"/>
      <c r="G1708" s="34"/>
      <c r="H1708" s="206"/>
      <c r="I1708" s="206"/>
      <c r="J1708" s="206"/>
      <c r="K1708" s="206"/>
      <c r="L1708" s="206"/>
      <c r="M1708" s="206"/>
      <c r="N1708" s="206"/>
      <c r="O1708" s="206"/>
      <c r="P1708" s="206"/>
      <c r="Q1708" s="262"/>
      <c r="R1708" s="262"/>
      <c r="S1708" s="207"/>
      <c r="T1708" s="263"/>
      <c r="U1708" s="26"/>
      <c r="V1708" s="26"/>
      <c r="W1708" s="26"/>
      <c r="X1708" s="26"/>
    </row>
    <row r="1709">
      <c r="A1709" s="28"/>
      <c r="B1709" s="28"/>
      <c r="C1709" s="81" t="s">
        <v>756</v>
      </c>
      <c r="D1709" s="238"/>
      <c r="E1709" s="105"/>
      <c r="F1709" s="201"/>
      <c r="G1709" s="34"/>
      <c r="H1709" s="206"/>
      <c r="I1709" s="206"/>
      <c r="J1709" s="206"/>
      <c r="K1709" s="206"/>
      <c r="L1709" s="206"/>
      <c r="M1709" s="206"/>
      <c r="N1709" s="206"/>
      <c r="O1709" s="206"/>
      <c r="P1709" s="206"/>
      <c r="Q1709" s="262"/>
      <c r="R1709" s="262"/>
      <c r="S1709" s="207"/>
      <c r="T1709" s="263"/>
      <c r="U1709" s="26"/>
      <c r="V1709" s="26"/>
      <c r="W1709" s="26"/>
      <c r="X1709" s="26"/>
    </row>
    <row r="1710">
      <c r="A1710" s="28"/>
      <c r="B1710" s="28"/>
      <c r="C1710" s="28"/>
      <c r="D1710" s="246" t="s">
        <v>757</v>
      </c>
      <c r="E1710" s="201">
        <v>420000.0</v>
      </c>
      <c r="F1710" s="201">
        <v>550000.0</v>
      </c>
      <c r="G1710" s="34">
        <f t="shared" ref="G1710:G1711" si="592">(F1710-E1710)/E1710</f>
        <v>0.3095238095</v>
      </c>
      <c r="H1710" s="206"/>
      <c r="I1710" s="206"/>
      <c r="J1710" s="206"/>
      <c r="K1710" s="206"/>
      <c r="L1710" s="206"/>
      <c r="M1710" s="206"/>
      <c r="N1710" s="206"/>
      <c r="O1710" s="206"/>
      <c r="P1710" s="206"/>
      <c r="Q1710" s="262"/>
      <c r="R1710" s="262"/>
      <c r="S1710" s="207"/>
      <c r="T1710" s="263"/>
      <c r="U1710" s="26"/>
      <c r="V1710" s="26"/>
      <c r="W1710" s="26"/>
      <c r="X1710" s="26"/>
    </row>
    <row r="1711">
      <c r="A1711" s="28"/>
      <c r="B1711" s="28"/>
      <c r="C1711" s="28"/>
      <c r="D1711" s="246" t="s">
        <v>101</v>
      </c>
      <c r="E1711" s="105">
        <f t="shared" ref="E1711:F1711" si="591">E1709+E1710</f>
        <v>420000</v>
      </c>
      <c r="F1711" s="105">
        <f t="shared" si="591"/>
        <v>550000</v>
      </c>
      <c r="G1711" s="34">
        <f t="shared" si="592"/>
        <v>0.3095238095</v>
      </c>
      <c r="H1711" s="206"/>
      <c r="I1711" s="206"/>
      <c r="J1711" s="206"/>
      <c r="K1711" s="206"/>
      <c r="L1711" s="206"/>
      <c r="M1711" s="206"/>
      <c r="N1711" s="206"/>
      <c r="O1711" s="206"/>
      <c r="P1711" s="206"/>
      <c r="Q1711" s="262"/>
      <c r="R1711" s="262"/>
      <c r="S1711" s="207"/>
      <c r="T1711" s="263"/>
      <c r="U1711" s="26"/>
      <c r="V1711" s="26"/>
      <c r="W1711" s="26"/>
      <c r="X1711" s="26"/>
    </row>
    <row r="1712">
      <c r="A1712" s="28"/>
      <c r="B1712" s="28"/>
      <c r="C1712" s="28"/>
      <c r="D1712" s="246" t="s">
        <v>148</v>
      </c>
      <c r="E1712" s="105">
        <f>F1711-E1711</f>
        <v>130000</v>
      </c>
      <c r="F1712" s="105"/>
      <c r="G1712" s="34"/>
      <c r="H1712" s="206"/>
      <c r="I1712" s="206"/>
      <c r="J1712" s="206"/>
      <c r="K1712" s="206"/>
      <c r="L1712" s="206"/>
      <c r="M1712" s="206"/>
      <c r="N1712" s="206"/>
      <c r="O1712" s="206"/>
      <c r="P1712" s="206"/>
      <c r="Q1712" s="262"/>
      <c r="R1712" s="262"/>
      <c r="S1712" s="207"/>
      <c r="T1712" s="263"/>
      <c r="U1712" s="26"/>
      <c r="V1712" s="26"/>
      <c r="W1712" s="26"/>
      <c r="X1712" s="26"/>
    </row>
    <row r="1713">
      <c r="A1713" s="28"/>
      <c r="B1713" s="28"/>
      <c r="C1713" s="28"/>
      <c r="D1713" s="96"/>
      <c r="E1713" s="105"/>
      <c r="F1713" s="105"/>
      <c r="G1713" s="34"/>
      <c r="H1713" s="206"/>
      <c r="I1713" s="206"/>
      <c r="J1713" s="206"/>
      <c r="K1713" s="206"/>
      <c r="L1713" s="206"/>
      <c r="M1713" s="206"/>
      <c r="N1713" s="206"/>
      <c r="O1713" s="206"/>
      <c r="P1713" s="206"/>
      <c r="Q1713" s="262"/>
      <c r="R1713" s="262"/>
      <c r="S1713" s="207"/>
      <c r="T1713" s="263"/>
      <c r="U1713" s="26"/>
      <c r="V1713" s="26"/>
      <c r="W1713" s="26"/>
      <c r="X1713" s="26"/>
    </row>
    <row r="1714">
      <c r="A1714" s="28"/>
      <c r="B1714" s="28"/>
      <c r="C1714" s="28"/>
      <c r="D1714" s="238" t="s">
        <v>758</v>
      </c>
      <c r="E1714" s="105">
        <f>290000</f>
        <v>290000</v>
      </c>
      <c r="F1714" s="105">
        <f>450000</f>
        <v>450000</v>
      </c>
      <c r="G1714" s="34">
        <f t="shared" ref="G1714:G1717" si="593">(F1714-E1714)/E1714</f>
        <v>0.5517241379</v>
      </c>
      <c r="H1714" s="206"/>
      <c r="I1714" s="206"/>
      <c r="J1714" s="206"/>
      <c r="K1714" s="206"/>
      <c r="L1714" s="206"/>
      <c r="M1714" s="206"/>
      <c r="N1714" s="206"/>
      <c r="O1714" s="206"/>
      <c r="P1714" s="206"/>
      <c r="Q1714" s="262"/>
      <c r="R1714" s="262"/>
      <c r="S1714" s="207"/>
      <c r="T1714" s="263"/>
      <c r="U1714" s="26"/>
      <c r="V1714" s="26"/>
      <c r="W1714" s="26"/>
      <c r="X1714" s="26"/>
    </row>
    <row r="1715">
      <c r="A1715" s="28"/>
      <c r="B1715" s="28"/>
      <c r="C1715" s="28"/>
      <c r="D1715" s="246" t="s">
        <v>757</v>
      </c>
      <c r="E1715" s="105">
        <f>420000</f>
        <v>420000</v>
      </c>
      <c r="F1715" s="105">
        <f>550000</f>
        <v>550000</v>
      </c>
      <c r="G1715" s="34">
        <f t="shared" si="593"/>
        <v>0.3095238095</v>
      </c>
      <c r="H1715" s="206"/>
      <c r="I1715" s="206"/>
      <c r="J1715" s="206"/>
      <c r="K1715" s="206"/>
      <c r="L1715" s="206"/>
      <c r="M1715" s="206"/>
      <c r="N1715" s="206"/>
      <c r="O1715" s="206"/>
      <c r="P1715" s="206"/>
      <c r="Q1715" s="262"/>
      <c r="R1715" s="262"/>
      <c r="S1715" s="207"/>
      <c r="T1715" s="263"/>
      <c r="U1715" s="26"/>
      <c r="V1715" s="26"/>
      <c r="W1715" s="26"/>
      <c r="X1715" s="26"/>
    </row>
    <row r="1716">
      <c r="A1716" s="28"/>
      <c r="B1716" s="28"/>
      <c r="C1716" s="28"/>
      <c r="D1716" s="246" t="s">
        <v>759</v>
      </c>
      <c r="E1716" s="105">
        <f>309000</f>
        <v>309000</v>
      </c>
      <c r="F1716" s="105">
        <f>450000</f>
        <v>450000</v>
      </c>
      <c r="G1716" s="34">
        <f t="shared" si="593"/>
        <v>0.4563106796</v>
      </c>
      <c r="H1716" s="206"/>
      <c r="I1716" s="206"/>
      <c r="J1716" s="206"/>
      <c r="K1716" s="206"/>
      <c r="L1716" s="206"/>
      <c r="M1716" s="206"/>
      <c r="N1716" s="206"/>
      <c r="O1716" s="206"/>
      <c r="P1716" s="206"/>
      <c r="Q1716" s="262"/>
      <c r="R1716" s="262"/>
      <c r="S1716" s="207"/>
      <c r="T1716" s="263"/>
      <c r="U1716" s="26"/>
      <c r="V1716" s="26"/>
      <c r="W1716" s="26"/>
      <c r="X1716" s="26"/>
    </row>
    <row r="1717">
      <c r="A1717" s="28"/>
      <c r="B1717" s="28"/>
      <c r="C1717" s="28"/>
      <c r="D1717" s="246" t="s">
        <v>101</v>
      </c>
      <c r="E1717" s="105">
        <f>E1714+E1715+E1716</f>
        <v>1019000</v>
      </c>
      <c r="F1717" s="105">
        <f>SUM(F1714:F1716)</f>
        <v>1450000</v>
      </c>
      <c r="G1717" s="34">
        <f t="shared" si="593"/>
        <v>0.4229636899</v>
      </c>
      <c r="H1717" s="206"/>
      <c r="I1717" s="206"/>
      <c r="J1717" s="206"/>
      <c r="K1717" s="206"/>
      <c r="L1717" s="206"/>
      <c r="M1717" s="206"/>
      <c r="N1717" s="206"/>
      <c r="O1717" s="206"/>
      <c r="P1717" s="206"/>
      <c r="Q1717" s="262"/>
      <c r="R1717" s="262"/>
      <c r="S1717" s="207"/>
      <c r="T1717" s="263"/>
      <c r="U1717" s="26"/>
      <c r="V1717" s="26"/>
      <c r="W1717" s="26"/>
      <c r="X1717" s="26"/>
    </row>
    <row r="1718">
      <c r="A1718" s="28"/>
      <c r="B1718" s="28"/>
      <c r="C1718" s="28"/>
      <c r="D1718" s="246" t="s">
        <v>148</v>
      </c>
      <c r="E1718" s="105">
        <f>F1717-E1717</f>
        <v>431000</v>
      </c>
      <c r="F1718" s="105"/>
      <c r="G1718" s="34"/>
      <c r="H1718" s="206"/>
      <c r="I1718" s="206"/>
      <c r="J1718" s="206"/>
      <c r="K1718" s="206"/>
      <c r="L1718" s="206"/>
      <c r="M1718" s="206"/>
      <c r="N1718" s="206"/>
      <c r="O1718" s="206"/>
      <c r="P1718" s="206"/>
      <c r="Q1718" s="262"/>
      <c r="R1718" s="262"/>
      <c r="S1718" s="207"/>
      <c r="T1718" s="263"/>
      <c r="U1718" s="26"/>
      <c r="V1718" s="26"/>
      <c r="W1718" s="26"/>
      <c r="X1718" s="26"/>
    </row>
    <row r="1719">
      <c r="A1719" s="28"/>
      <c r="B1719" s="28"/>
      <c r="C1719" s="28"/>
      <c r="D1719" s="96"/>
      <c r="E1719" s="105"/>
      <c r="F1719" s="105"/>
      <c r="G1719" s="34"/>
      <c r="H1719" s="206"/>
      <c r="I1719" s="206"/>
      <c r="J1719" s="206"/>
      <c r="K1719" s="206"/>
      <c r="L1719" s="206"/>
      <c r="M1719" s="206"/>
      <c r="N1719" s="206"/>
      <c r="O1719" s="206"/>
      <c r="P1719" s="206"/>
      <c r="Q1719" s="262"/>
      <c r="R1719" s="262"/>
      <c r="S1719" s="207"/>
      <c r="T1719" s="263"/>
      <c r="U1719" s="26"/>
      <c r="V1719" s="26"/>
      <c r="W1719" s="26"/>
      <c r="X1719" s="26"/>
    </row>
    <row r="1720">
      <c r="A1720" s="28"/>
      <c r="B1720" s="28"/>
      <c r="C1720" s="28"/>
      <c r="D1720" s="96"/>
      <c r="E1720" s="105"/>
      <c r="F1720" s="105"/>
      <c r="G1720" s="34"/>
      <c r="H1720" s="206"/>
      <c r="I1720" s="206"/>
      <c r="J1720" s="206"/>
      <c r="K1720" s="206"/>
      <c r="L1720" s="206"/>
      <c r="M1720" s="206"/>
      <c r="N1720" s="206"/>
      <c r="O1720" s="206"/>
      <c r="P1720" s="206"/>
      <c r="Q1720" s="262"/>
      <c r="R1720" s="262"/>
      <c r="S1720" s="207"/>
      <c r="T1720" s="263"/>
      <c r="U1720" s="26"/>
      <c r="V1720" s="26"/>
      <c r="W1720" s="26"/>
      <c r="X1720" s="26"/>
    </row>
    <row r="1721">
      <c r="A1721" s="28"/>
      <c r="B1721" s="28"/>
      <c r="C1721" s="81" t="s">
        <v>760</v>
      </c>
      <c r="D1721" s="246" t="s">
        <v>486</v>
      </c>
      <c r="E1721" s="105">
        <f>320000+38000*3+30000+30000</f>
        <v>494000</v>
      </c>
      <c r="F1721" s="105">
        <f>300000*3</f>
        <v>900000</v>
      </c>
      <c r="G1721" s="34">
        <f t="shared" ref="G1721:G1723" si="594">(F1721-E1721)/E1721</f>
        <v>0.8218623482</v>
      </c>
      <c r="H1721" s="206"/>
      <c r="I1721" s="206"/>
      <c r="J1721" s="206"/>
      <c r="K1721" s="206"/>
      <c r="L1721" s="206"/>
      <c r="M1721" s="206"/>
      <c r="N1721" s="206"/>
      <c r="O1721" s="206"/>
      <c r="P1721" s="206"/>
      <c r="Q1721" s="262"/>
      <c r="R1721" s="262"/>
      <c r="S1721" s="207"/>
      <c r="T1721" s="263"/>
      <c r="U1721" s="26"/>
      <c r="V1721" s="26"/>
      <c r="W1721" s="26"/>
      <c r="X1721" s="26"/>
    </row>
    <row r="1722">
      <c r="A1722" s="28"/>
      <c r="B1722" s="28"/>
      <c r="C1722" s="28"/>
      <c r="D1722" s="246" t="s">
        <v>325</v>
      </c>
      <c r="E1722" s="105">
        <f>360000*3</f>
        <v>1080000</v>
      </c>
      <c r="F1722" s="105">
        <f>450000*3</f>
        <v>1350000</v>
      </c>
      <c r="G1722" s="34">
        <f t="shared" si="594"/>
        <v>0.25</v>
      </c>
      <c r="H1722" s="206"/>
      <c r="I1722" s="206"/>
      <c r="J1722" s="206"/>
      <c r="K1722" s="206"/>
      <c r="L1722" s="206"/>
      <c r="M1722" s="206"/>
      <c r="N1722" s="206"/>
      <c r="O1722" s="206"/>
      <c r="P1722" s="206"/>
      <c r="Q1722" s="262"/>
      <c r="R1722" s="262"/>
      <c r="S1722" s="207"/>
      <c r="T1722" s="263"/>
      <c r="U1722" s="26"/>
      <c r="V1722" s="26"/>
      <c r="W1722" s="26"/>
      <c r="X1722" s="26"/>
    </row>
    <row r="1723">
      <c r="A1723" s="28"/>
      <c r="B1723" s="28"/>
      <c r="C1723" s="28"/>
      <c r="D1723" s="246" t="s">
        <v>101</v>
      </c>
      <c r="E1723" s="105">
        <f t="shared" ref="E1723:F1723" si="595">E1721+E1722</f>
        <v>1574000</v>
      </c>
      <c r="F1723" s="105">
        <f t="shared" si="595"/>
        <v>2250000</v>
      </c>
      <c r="G1723" s="34">
        <f t="shared" si="594"/>
        <v>0.4294790343</v>
      </c>
      <c r="H1723" s="206"/>
      <c r="I1723" s="206"/>
      <c r="J1723" s="206"/>
      <c r="K1723" s="206"/>
      <c r="L1723" s="206"/>
      <c r="M1723" s="206"/>
      <c r="N1723" s="206"/>
      <c r="O1723" s="206"/>
      <c r="P1723" s="206"/>
      <c r="Q1723" s="262"/>
      <c r="R1723" s="262"/>
      <c r="S1723" s="207"/>
      <c r="T1723" s="263"/>
      <c r="U1723" s="26"/>
      <c r="V1723" s="26"/>
      <c r="W1723" s="26"/>
      <c r="X1723" s="26"/>
    </row>
    <row r="1724">
      <c r="A1724" s="28"/>
      <c r="B1724" s="28"/>
      <c r="C1724" s="28"/>
      <c r="D1724" s="246" t="s">
        <v>148</v>
      </c>
      <c r="E1724" s="105">
        <f>F1723-E1723</f>
        <v>676000</v>
      </c>
      <c r="F1724" s="105"/>
      <c r="G1724" s="34"/>
      <c r="H1724" s="206"/>
      <c r="I1724" s="206"/>
      <c r="J1724" s="206"/>
      <c r="K1724" s="206"/>
      <c r="L1724" s="206"/>
      <c r="M1724" s="206"/>
      <c r="N1724" s="206"/>
      <c r="O1724" s="206"/>
      <c r="P1724" s="206"/>
      <c r="Q1724" s="262"/>
      <c r="R1724" s="262"/>
      <c r="S1724" s="207"/>
      <c r="T1724" s="263"/>
      <c r="U1724" s="26"/>
      <c r="V1724" s="26"/>
      <c r="W1724" s="26"/>
      <c r="X1724" s="26"/>
    </row>
    <row r="1725">
      <c r="A1725" s="28"/>
      <c r="B1725" s="28"/>
      <c r="C1725" s="28"/>
      <c r="D1725" s="96"/>
      <c r="E1725" s="105"/>
      <c r="F1725" s="105"/>
      <c r="G1725" s="34"/>
      <c r="H1725" s="206"/>
      <c r="I1725" s="206"/>
      <c r="J1725" s="206"/>
      <c r="K1725" s="206"/>
      <c r="L1725" s="206"/>
      <c r="M1725" s="206"/>
      <c r="N1725" s="206"/>
      <c r="O1725" s="206"/>
      <c r="P1725" s="206"/>
      <c r="Q1725" s="262"/>
      <c r="R1725" s="262"/>
      <c r="S1725" s="207"/>
      <c r="T1725" s="263"/>
      <c r="U1725" s="26"/>
      <c r="V1725" s="26"/>
      <c r="W1725" s="26"/>
      <c r="X1725" s="26"/>
    </row>
    <row r="1726">
      <c r="A1726" s="28"/>
      <c r="B1726" s="28"/>
      <c r="C1726" s="28"/>
      <c r="D1726" s="96"/>
      <c r="E1726" s="105"/>
      <c r="F1726" s="105"/>
      <c r="G1726" s="34"/>
      <c r="H1726" s="206"/>
      <c r="I1726" s="206"/>
      <c r="J1726" s="206"/>
      <c r="K1726" s="206"/>
      <c r="L1726" s="206"/>
      <c r="M1726" s="206"/>
      <c r="N1726" s="206"/>
      <c r="O1726" s="206"/>
      <c r="P1726" s="206"/>
      <c r="Q1726" s="262"/>
      <c r="R1726" s="262"/>
      <c r="S1726" s="207"/>
      <c r="T1726" s="263"/>
      <c r="U1726" s="26"/>
      <c r="V1726" s="26"/>
      <c r="W1726" s="26"/>
      <c r="X1726" s="26"/>
    </row>
    <row r="1727">
      <c r="A1727" s="28"/>
      <c r="B1727" s="28"/>
      <c r="C1727" s="28"/>
      <c r="D1727" s="96"/>
      <c r="E1727" s="105"/>
      <c r="F1727" s="105"/>
      <c r="G1727" s="34"/>
      <c r="H1727" s="206"/>
      <c r="I1727" s="206"/>
      <c r="J1727" s="206"/>
      <c r="K1727" s="206"/>
      <c r="L1727" s="206"/>
      <c r="M1727" s="206"/>
      <c r="N1727" s="206"/>
      <c r="O1727" s="206"/>
      <c r="P1727" s="206"/>
      <c r="Q1727" s="262"/>
      <c r="R1727" s="262"/>
      <c r="S1727" s="207"/>
      <c r="T1727" s="263"/>
      <c r="U1727" s="26"/>
      <c r="V1727" s="26"/>
      <c r="W1727" s="26"/>
      <c r="X1727" s="26"/>
    </row>
    <row r="1728">
      <c r="A1728" s="28"/>
      <c r="B1728" s="28"/>
      <c r="C1728" s="81" t="s">
        <v>761</v>
      </c>
      <c r="D1728" s="246" t="s">
        <v>762</v>
      </c>
      <c r="E1728" s="105">
        <f>390000*2</f>
        <v>780000</v>
      </c>
      <c r="F1728" s="105">
        <f>610000*2</f>
        <v>1220000</v>
      </c>
      <c r="G1728" s="34">
        <f t="shared" ref="G1728:G1731" si="596">(F1728-E1728)/E1728</f>
        <v>0.5641025641</v>
      </c>
      <c r="H1728" s="206"/>
      <c r="I1728" s="206"/>
      <c r="J1728" s="206"/>
      <c r="K1728" s="206"/>
      <c r="L1728" s="206"/>
      <c r="M1728" s="206"/>
      <c r="N1728" s="206"/>
      <c r="O1728" s="206"/>
      <c r="P1728" s="206"/>
      <c r="Q1728" s="262"/>
      <c r="R1728" s="262"/>
      <c r="S1728" s="207"/>
      <c r="T1728" s="263"/>
      <c r="U1728" s="26"/>
      <c r="V1728" s="26"/>
      <c r="W1728" s="26"/>
      <c r="X1728" s="26"/>
    </row>
    <row r="1729">
      <c r="A1729" s="28"/>
      <c r="B1729" s="28"/>
      <c r="C1729" s="28"/>
      <c r="D1729" s="246" t="s">
        <v>169</v>
      </c>
      <c r="E1729" s="105">
        <f>380000*2</f>
        <v>760000</v>
      </c>
      <c r="F1729" s="105">
        <f>540000*2</f>
        <v>1080000</v>
      </c>
      <c r="G1729" s="34">
        <f t="shared" si="596"/>
        <v>0.4210526316</v>
      </c>
      <c r="H1729" s="206"/>
      <c r="I1729" s="206"/>
      <c r="J1729" s="206"/>
      <c r="K1729" s="206"/>
      <c r="L1729" s="206"/>
      <c r="M1729" s="206"/>
      <c r="N1729" s="206"/>
      <c r="O1729" s="206"/>
      <c r="P1729" s="206"/>
      <c r="Q1729" s="262"/>
      <c r="R1729" s="262"/>
      <c r="S1729" s="207"/>
      <c r="T1729" s="263"/>
      <c r="U1729" s="26"/>
      <c r="V1729" s="26"/>
      <c r="W1729" s="26"/>
      <c r="X1729" s="26"/>
    </row>
    <row r="1730">
      <c r="A1730" s="28"/>
      <c r="B1730" s="28"/>
      <c r="C1730" s="28"/>
      <c r="D1730" s="246" t="s">
        <v>325</v>
      </c>
      <c r="E1730" s="105">
        <f>360000*2</f>
        <v>720000</v>
      </c>
      <c r="F1730" s="105">
        <f>500000*2</f>
        <v>1000000</v>
      </c>
      <c r="G1730" s="34">
        <f t="shared" si="596"/>
        <v>0.3888888889</v>
      </c>
      <c r="H1730" s="206"/>
      <c r="I1730" s="206"/>
      <c r="J1730" s="206"/>
      <c r="K1730" s="206"/>
      <c r="L1730" s="206"/>
      <c r="M1730" s="206"/>
      <c r="N1730" s="206"/>
      <c r="O1730" s="206"/>
      <c r="P1730" s="206"/>
      <c r="Q1730" s="262"/>
      <c r="R1730" s="262"/>
      <c r="S1730" s="207"/>
      <c r="T1730" s="263"/>
      <c r="U1730" s="26"/>
      <c r="V1730" s="26"/>
      <c r="W1730" s="26"/>
      <c r="X1730" s="26"/>
    </row>
    <row r="1731">
      <c r="A1731" s="28"/>
      <c r="B1731" s="28"/>
      <c r="C1731" s="28"/>
      <c r="D1731" s="246" t="s">
        <v>101</v>
      </c>
      <c r="E1731" s="105">
        <f t="shared" ref="E1731:F1731" si="597">SUM(E1728:E1730)</f>
        <v>2260000</v>
      </c>
      <c r="F1731" s="105">
        <f t="shared" si="597"/>
        <v>3300000</v>
      </c>
      <c r="G1731" s="34">
        <f t="shared" si="596"/>
        <v>0.4601769912</v>
      </c>
      <c r="H1731" s="206"/>
      <c r="I1731" s="206"/>
      <c r="J1731" s="206"/>
      <c r="K1731" s="206"/>
      <c r="L1731" s="206"/>
      <c r="M1731" s="206"/>
      <c r="N1731" s="206"/>
      <c r="O1731" s="206"/>
      <c r="P1731" s="206"/>
      <c r="Q1731" s="262"/>
      <c r="R1731" s="262"/>
      <c r="S1731" s="207"/>
      <c r="T1731" s="263"/>
      <c r="U1731" s="26"/>
      <c r="V1731" s="26"/>
      <c r="W1731" s="26"/>
      <c r="X1731" s="26"/>
    </row>
    <row r="1732">
      <c r="A1732" s="28"/>
      <c r="B1732" s="28"/>
      <c r="C1732" s="28"/>
      <c r="D1732" s="246" t="s">
        <v>148</v>
      </c>
      <c r="E1732" s="105">
        <f>F1731-E1731</f>
        <v>1040000</v>
      </c>
      <c r="F1732" s="105"/>
      <c r="G1732" s="34"/>
      <c r="H1732" s="206"/>
      <c r="I1732" s="206"/>
      <c r="J1732" s="206"/>
      <c r="K1732" s="206"/>
      <c r="L1732" s="206"/>
      <c r="M1732" s="206"/>
      <c r="N1732" s="206"/>
      <c r="O1732" s="206"/>
      <c r="P1732" s="206"/>
      <c r="Q1732" s="262"/>
      <c r="R1732" s="262"/>
      <c r="S1732" s="207"/>
      <c r="T1732" s="263"/>
      <c r="U1732" s="26"/>
      <c r="V1732" s="26"/>
      <c r="W1732" s="26"/>
      <c r="X1732" s="26"/>
    </row>
    <row r="1733">
      <c r="A1733" s="28"/>
      <c r="B1733" s="28"/>
      <c r="C1733" s="28"/>
      <c r="D1733" s="96"/>
      <c r="E1733" s="105"/>
      <c r="F1733" s="105"/>
      <c r="G1733" s="34"/>
      <c r="H1733" s="206"/>
      <c r="I1733" s="206"/>
      <c r="J1733" s="206"/>
      <c r="K1733" s="206"/>
      <c r="L1733" s="206"/>
      <c r="M1733" s="206"/>
      <c r="N1733" s="206"/>
      <c r="O1733" s="206"/>
      <c r="P1733" s="206"/>
      <c r="Q1733" s="262"/>
      <c r="R1733" s="262"/>
      <c r="S1733" s="207"/>
      <c r="T1733" s="263"/>
      <c r="U1733" s="26"/>
      <c r="V1733" s="26"/>
      <c r="W1733" s="26"/>
      <c r="X1733" s="26"/>
    </row>
    <row r="1734">
      <c r="A1734" s="28"/>
      <c r="B1734" s="28"/>
      <c r="C1734" s="28"/>
      <c r="D1734" s="96"/>
      <c r="E1734" s="105"/>
      <c r="F1734" s="105"/>
      <c r="G1734" s="34"/>
      <c r="H1734" s="206"/>
      <c r="I1734" s="206"/>
      <c r="J1734" s="206"/>
      <c r="K1734" s="206"/>
      <c r="L1734" s="206"/>
      <c r="M1734" s="206"/>
      <c r="N1734" s="206"/>
      <c r="O1734" s="206"/>
      <c r="P1734" s="206"/>
      <c r="Q1734" s="262"/>
      <c r="R1734" s="262"/>
      <c r="S1734" s="207"/>
      <c r="T1734" s="263"/>
      <c r="U1734" s="26"/>
      <c r="V1734" s="26"/>
      <c r="W1734" s="26"/>
      <c r="X1734" s="26"/>
    </row>
    <row r="1735">
      <c r="A1735" s="28"/>
      <c r="B1735" s="28"/>
      <c r="C1735" s="81" t="s">
        <v>763</v>
      </c>
      <c r="D1735" s="246" t="s">
        <v>392</v>
      </c>
      <c r="E1735" s="105">
        <f>390000*2</f>
        <v>780000</v>
      </c>
      <c r="F1735" s="105">
        <f>610000*2</f>
        <v>1220000</v>
      </c>
      <c r="G1735" s="34">
        <f t="shared" ref="G1735:G1737" si="598">(F1735-E1735)/E1735</f>
        <v>0.5641025641</v>
      </c>
      <c r="H1735" s="206"/>
      <c r="I1735" s="206"/>
      <c r="J1735" s="206"/>
      <c r="K1735" s="206"/>
      <c r="L1735" s="206"/>
      <c r="M1735" s="206"/>
      <c r="N1735" s="206"/>
      <c r="O1735" s="206"/>
      <c r="P1735" s="206"/>
      <c r="Q1735" s="262"/>
      <c r="R1735" s="262"/>
      <c r="S1735" s="207"/>
      <c r="T1735" s="263"/>
      <c r="U1735" s="26"/>
      <c r="V1735" s="26"/>
      <c r="W1735" s="26"/>
      <c r="X1735" s="26"/>
    </row>
    <row r="1736">
      <c r="A1736" s="28"/>
      <c r="B1736" s="28"/>
      <c r="C1736" s="28"/>
      <c r="D1736" s="246" t="s">
        <v>267</v>
      </c>
      <c r="E1736" s="105">
        <f>300000*2</f>
        <v>600000</v>
      </c>
      <c r="F1736" s="105">
        <f>450000*2</f>
        <v>900000</v>
      </c>
      <c r="G1736" s="34">
        <f t="shared" si="598"/>
        <v>0.5</v>
      </c>
      <c r="H1736" s="206"/>
      <c r="I1736" s="206"/>
      <c r="J1736" s="206"/>
      <c r="K1736" s="206"/>
      <c r="L1736" s="206"/>
      <c r="M1736" s="206"/>
      <c r="N1736" s="206"/>
      <c r="O1736" s="206"/>
      <c r="P1736" s="206"/>
      <c r="Q1736" s="262"/>
      <c r="R1736" s="262"/>
      <c r="S1736" s="207"/>
      <c r="T1736" s="263"/>
      <c r="U1736" s="26"/>
      <c r="V1736" s="26"/>
      <c r="W1736" s="26"/>
      <c r="X1736" s="26"/>
    </row>
    <row r="1737">
      <c r="A1737" s="28"/>
      <c r="B1737" s="28"/>
      <c r="C1737" s="28"/>
      <c r="D1737" s="246" t="s">
        <v>101</v>
      </c>
      <c r="E1737" s="105">
        <f t="shared" ref="E1737:F1737" si="599">E1735+E1736</f>
        <v>1380000</v>
      </c>
      <c r="F1737" s="105">
        <f t="shared" si="599"/>
        <v>2120000</v>
      </c>
      <c r="G1737" s="34">
        <f t="shared" si="598"/>
        <v>0.5362318841</v>
      </c>
      <c r="H1737" s="206"/>
      <c r="I1737" s="206"/>
      <c r="J1737" s="206"/>
      <c r="K1737" s="206"/>
      <c r="L1737" s="206"/>
      <c r="M1737" s="206"/>
      <c r="N1737" s="206"/>
      <c r="O1737" s="206"/>
      <c r="P1737" s="206"/>
      <c r="Q1737" s="262"/>
      <c r="R1737" s="262"/>
      <c r="S1737" s="207"/>
      <c r="T1737" s="263"/>
      <c r="U1737" s="26"/>
      <c r="V1737" s="26"/>
      <c r="W1737" s="26"/>
      <c r="X1737" s="26"/>
    </row>
    <row r="1738">
      <c r="A1738" s="28"/>
      <c r="B1738" s="28"/>
      <c r="C1738" s="28"/>
      <c r="D1738" s="246" t="s">
        <v>148</v>
      </c>
      <c r="E1738" s="105">
        <f>F1737-E1737</f>
        <v>740000</v>
      </c>
      <c r="F1738" s="105"/>
      <c r="G1738" s="34"/>
      <c r="H1738" s="206"/>
      <c r="I1738" s="206"/>
      <c r="J1738" s="206"/>
      <c r="K1738" s="206"/>
      <c r="L1738" s="206"/>
      <c r="M1738" s="206"/>
      <c r="N1738" s="206"/>
      <c r="O1738" s="206"/>
      <c r="P1738" s="206"/>
      <c r="Q1738" s="262"/>
      <c r="R1738" s="262"/>
      <c r="S1738" s="207"/>
      <c r="T1738" s="263"/>
      <c r="U1738" s="26"/>
      <c r="V1738" s="26"/>
      <c r="W1738" s="26"/>
      <c r="X1738" s="26"/>
    </row>
    <row r="1739">
      <c r="A1739" s="28"/>
      <c r="B1739" s="28"/>
      <c r="C1739" s="28"/>
      <c r="D1739" s="96"/>
      <c r="E1739" s="105"/>
      <c r="F1739" s="105"/>
      <c r="G1739" s="34"/>
      <c r="H1739" s="206"/>
      <c r="I1739" s="206"/>
      <c r="J1739" s="206"/>
      <c r="K1739" s="206"/>
      <c r="L1739" s="206"/>
      <c r="M1739" s="206"/>
      <c r="N1739" s="206"/>
      <c r="O1739" s="206"/>
      <c r="P1739" s="206"/>
      <c r="Q1739" s="262"/>
      <c r="R1739" s="262"/>
      <c r="S1739" s="207"/>
      <c r="T1739" s="263"/>
      <c r="U1739" s="26"/>
      <c r="V1739" s="26"/>
      <c r="W1739" s="26"/>
      <c r="X1739" s="26"/>
    </row>
    <row r="1740">
      <c r="A1740" s="28"/>
      <c r="B1740" s="28"/>
      <c r="C1740" s="28"/>
      <c r="D1740" s="96"/>
      <c r="E1740" s="105"/>
      <c r="F1740" s="105"/>
      <c r="G1740" s="34"/>
      <c r="H1740" s="206"/>
      <c r="I1740" s="206"/>
      <c r="J1740" s="206"/>
      <c r="K1740" s="206"/>
      <c r="L1740" s="206"/>
      <c r="M1740" s="206"/>
      <c r="N1740" s="206"/>
      <c r="O1740" s="206"/>
      <c r="P1740" s="206"/>
      <c r="Q1740" s="262"/>
      <c r="R1740" s="262"/>
      <c r="S1740" s="207"/>
      <c r="T1740" s="263"/>
      <c r="U1740" s="26"/>
      <c r="V1740" s="26"/>
      <c r="W1740" s="26"/>
      <c r="X1740" s="26"/>
    </row>
    <row r="1741">
      <c r="A1741" s="28"/>
      <c r="B1741" s="28"/>
      <c r="C1741" s="28"/>
      <c r="D1741" s="96"/>
      <c r="E1741" s="105"/>
      <c r="F1741" s="105"/>
      <c r="G1741" s="34"/>
      <c r="H1741" s="206"/>
      <c r="I1741" s="206"/>
      <c r="J1741" s="206"/>
      <c r="K1741" s="206"/>
      <c r="L1741" s="206"/>
      <c r="M1741" s="206"/>
      <c r="N1741" s="206"/>
      <c r="O1741" s="206"/>
      <c r="P1741" s="206"/>
      <c r="Q1741" s="262"/>
      <c r="R1741" s="262"/>
      <c r="S1741" s="207"/>
      <c r="T1741" s="263"/>
      <c r="U1741" s="26"/>
      <c r="V1741" s="26"/>
      <c r="W1741" s="26"/>
      <c r="X1741" s="26"/>
    </row>
    <row r="1742">
      <c r="A1742" s="28"/>
      <c r="B1742" s="28"/>
      <c r="C1742" s="81" t="s">
        <v>764</v>
      </c>
      <c r="D1742" s="246" t="s">
        <v>765</v>
      </c>
      <c r="E1742" s="201">
        <v>217000.0</v>
      </c>
      <c r="F1742" s="105">
        <f>550000</f>
        <v>550000</v>
      </c>
      <c r="G1742" s="34">
        <f t="shared" ref="G1742:G1749" si="600">(F1742-E1742)/E1742</f>
        <v>1.534562212</v>
      </c>
      <c r="H1742" s="206"/>
      <c r="I1742" s="206"/>
      <c r="J1742" s="206"/>
      <c r="K1742" s="206"/>
      <c r="L1742" s="206"/>
      <c r="M1742" s="206"/>
      <c r="N1742" s="206"/>
      <c r="O1742" s="206"/>
      <c r="P1742" s="206"/>
      <c r="Q1742" s="262"/>
      <c r="R1742" s="262"/>
      <c r="S1742" s="207"/>
      <c r="T1742" s="263"/>
      <c r="U1742" s="26"/>
      <c r="V1742" s="26"/>
      <c r="W1742" s="26"/>
      <c r="X1742" s="26"/>
    </row>
    <row r="1743">
      <c r="A1743" s="28"/>
      <c r="B1743" s="28"/>
      <c r="C1743" s="28"/>
      <c r="D1743" s="246" t="s">
        <v>766</v>
      </c>
      <c r="E1743" s="105">
        <f>210000*6+110000</f>
        <v>1370000</v>
      </c>
      <c r="F1743" s="105">
        <f>480000*6</f>
        <v>2880000</v>
      </c>
      <c r="G1743" s="34">
        <f t="shared" si="600"/>
        <v>1.102189781</v>
      </c>
      <c r="H1743" s="206"/>
      <c r="I1743" s="206"/>
      <c r="J1743" s="206"/>
      <c r="K1743" s="206"/>
      <c r="L1743" s="206"/>
      <c r="M1743" s="206"/>
      <c r="N1743" s="206"/>
      <c r="O1743" s="206"/>
      <c r="P1743" s="206"/>
      <c r="Q1743" s="262"/>
      <c r="R1743" s="262"/>
      <c r="S1743" s="207"/>
      <c r="T1743" s="263"/>
      <c r="U1743" s="26"/>
      <c r="V1743" s="26"/>
      <c r="W1743" s="26"/>
      <c r="X1743" s="26"/>
    </row>
    <row r="1744">
      <c r="A1744" s="28"/>
      <c r="B1744" s="28"/>
      <c r="C1744" s="28"/>
      <c r="D1744" s="246" t="s">
        <v>767</v>
      </c>
      <c r="E1744" s="201">
        <v>271000.0</v>
      </c>
      <c r="F1744" s="105">
        <f>550000</f>
        <v>550000</v>
      </c>
      <c r="G1744" s="34">
        <f t="shared" si="600"/>
        <v>1.029520295</v>
      </c>
      <c r="H1744" s="206"/>
      <c r="I1744" s="206"/>
      <c r="J1744" s="206"/>
      <c r="K1744" s="206"/>
      <c r="L1744" s="206"/>
      <c r="M1744" s="206"/>
      <c r="N1744" s="206"/>
      <c r="O1744" s="206"/>
      <c r="P1744" s="206"/>
      <c r="Q1744" s="262"/>
      <c r="R1744" s="262"/>
      <c r="S1744" s="207"/>
      <c r="T1744" s="263"/>
      <c r="U1744" s="26"/>
      <c r="V1744" s="26"/>
      <c r="W1744" s="26"/>
      <c r="X1744" s="26"/>
    </row>
    <row r="1745">
      <c r="A1745" s="28"/>
      <c r="B1745" s="28"/>
      <c r="C1745" s="28"/>
      <c r="D1745" s="246" t="s">
        <v>768</v>
      </c>
      <c r="E1745" s="105">
        <f>600000+38000*6+60000+132000*2</f>
        <v>1152000</v>
      </c>
      <c r="F1745" s="105">
        <f>280000*6</f>
        <v>1680000</v>
      </c>
      <c r="G1745" s="34">
        <f t="shared" si="600"/>
        <v>0.4583333333</v>
      </c>
      <c r="H1745" s="206"/>
      <c r="I1745" s="206"/>
      <c r="J1745" s="206"/>
      <c r="K1745" s="206"/>
      <c r="L1745" s="206"/>
      <c r="M1745" s="206"/>
      <c r="N1745" s="206"/>
      <c r="O1745" s="206"/>
      <c r="P1745" s="206"/>
      <c r="Q1745" s="262"/>
      <c r="R1745" s="262"/>
      <c r="S1745" s="207"/>
      <c r="T1745" s="263"/>
      <c r="U1745" s="26"/>
      <c r="V1745" s="26"/>
      <c r="W1745" s="26"/>
      <c r="X1745" s="26"/>
    </row>
    <row r="1746">
      <c r="A1746" s="28"/>
      <c r="B1746" s="28"/>
      <c r="C1746" s="28"/>
      <c r="D1746" s="246" t="s">
        <v>769</v>
      </c>
      <c r="E1746" s="105">
        <f>390000*6</f>
        <v>2340000</v>
      </c>
      <c r="F1746" s="105">
        <f>610000*6</f>
        <v>3660000</v>
      </c>
      <c r="G1746" s="34">
        <f t="shared" si="600"/>
        <v>0.5641025641</v>
      </c>
      <c r="H1746" s="206"/>
      <c r="I1746" s="206"/>
      <c r="J1746" s="206"/>
      <c r="K1746" s="206"/>
      <c r="L1746" s="206"/>
      <c r="M1746" s="206"/>
      <c r="N1746" s="206"/>
      <c r="O1746" s="206"/>
      <c r="P1746" s="206"/>
      <c r="Q1746" s="262"/>
      <c r="R1746" s="262"/>
      <c r="S1746" s="207"/>
      <c r="T1746" s="263"/>
      <c r="U1746" s="26"/>
      <c r="V1746" s="26"/>
      <c r="W1746" s="26"/>
      <c r="X1746" s="26"/>
    </row>
    <row r="1747">
      <c r="A1747" s="28"/>
      <c r="B1747" s="28"/>
      <c r="C1747" s="28"/>
      <c r="D1747" s="246" t="s">
        <v>770</v>
      </c>
      <c r="E1747" s="105">
        <f>300000*6</f>
        <v>1800000</v>
      </c>
      <c r="F1747" s="105">
        <f>450000*6</f>
        <v>2700000</v>
      </c>
      <c r="G1747" s="34">
        <f t="shared" si="600"/>
        <v>0.5</v>
      </c>
      <c r="H1747" s="206"/>
      <c r="I1747" s="206"/>
      <c r="J1747" s="206"/>
      <c r="K1747" s="206"/>
      <c r="L1747" s="206"/>
      <c r="M1747" s="206"/>
      <c r="N1747" s="206"/>
      <c r="O1747" s="206"/>
      <c r="P1747" s="206"/>
      <c r="Q1747" s="262"/>
      <c r="R1747" s="262"/>
      <c r="S1747" s="207"/>
      <c r="T1747" s="263"/>
      <c r="U1747" s="26"/>
      <c r="V1747" s="26"/>
      <c r="W1747" s="26"/>
      <c r="X1747" s="26"/>
    </row>
    <row r="1748">
      <c r="A1748" s="28"/>
      <c r="B1748" s="28"/>
      <c r="C1748" s="28"/>
      <c r="D1748" s="246" t="s">
        <v>771</v>
      </c>
      <c r="E1748" s="201">
        <v>160000.0</v>
      </c>
      <c r="F1748" s="105">
        <f>300000</f>
        <v>300000</v>
      </c>
      <c r="G1748" s="34">
        <f t="shared" si="600"/>
        <v>0.875</v>
      </c>
      <c r="H1748" s="206"/>
      <c r="I1748" s="206"/>
      <c r="J1748" s="206"/>
      <c r="K1748" s="206"/>
      <c r="L1748" s="206"/>
      <c r="M1748" s="206"/>
      <c r="N1748" s="206"/>
      <c r="O1748" s="206"/>
      <c r="P1748" s="206"/>
      <c r="Q1748" s="262"/>
      <c r="R1748" s="262"/>
      <c r="S1748" s="207"/>
      <c r="T1748" s="263"/>
      <c r="U1748" s="26"/>
      <c r="V1748" s="26"/>
      <c r="W1748" s="26"/>
      <c r="X1748" s="26"/>
    </row>
    <row r="1749">
      <c r="A1749" s="28"/>
      <c r="B1749" s="28"/>
      <c r="C1749" s="28"/>
      <c r="D1749" s="246" t="s">
        <v>772</v>
      </c>
      <c r="E1749" s="105">
        <f>E1742+E1743+E1744+E1745+E1746+E1747+E1748</f>
        <v>7310000</v>
      </c>
      <c r="F1749" s="105">
        <f>E1749*1.5</f>
        <v>10965000</v>
      </c>
      <c r="G1749" s="34">
        <f t="shared" si="600"/>
        <v>0.5</v>
      </c>
      <c r="H1749" s="206"/>
      <c r="I1749" s="206"/>
      <c r="J1749" s="206"/>
      <c r="K1749" s="206"/>
      <c r="L1749" s="206"/>
      <c r="M1749" s="206"/>
      <c r="N1749" s="206"/>
      <c r="O1749" s="206"/>
      <c r="P1749" s="206"/>
      <c r="Q1749" s="262"/>
      <c r="R1749" s="262"/>
      <c r="S1749" s="207"/>
      <c r="T1749" s="263"/>
      <c r="U1749" s="26"/>
      <c r="V1749" s="26"/>
      <c r="W1749" s="26"/>
      <c r="X1749" s="26"/>
    </row>
    <row r="1750">
      <c r="A1750" s="28"/>
      <c r="B1750" s="28"/>
      <c r="C1750" s="28"/>
      <c r="D1750" s="246" t="s">
        <v>148</v>
      </c>
      <c r="E1750" s="105">
        <f>F1749-E1749</f>
        <v>3655000</v>
      </c>
      <c r="F1750" s="105"/>
      <c r="G1750" s="34"/>
      <c r="H1750" s="206"/>
      <c r="I1750" s="206"/>
      <c r="J1750" s="206"/>
      <c r="K1750" s="206"/>
      <c r="L1750" s="206"/>
      <c r="M1750" s="206"/>
      <c r="N1750" s="206"/>
      <c r="O1750" s="206"/>
      <c r="P1750" s="206"/>
      <c r="Q1750" s="262"/>
      <c r="R1750" s="262"/>
      <c r="S1750" s="207"/>
      <c r="T1750" s="263"/>
      <c r="U1750" s="26"/>
      <c r="V1750" s="26"/>
      <c r="W1750" s="26"/>
      <c r="X1750" s="26"/>
    </row>
    <row r="1751">
      <c r="A1751" s="28"/>
      <c r="B1751" s="28"/>
      <c r="C1751" s="28"/>
      <c r="D1751" s="96"/>
      <c r="E1751" s="105"/>
      <c r="F1751" s="105"/>
      <c r="G1751" s="34"/>
      <c r="H1751" s="206"/>
      <c r="I1751" s="206"/>
      <c r="J1751" s="206"/>
      <c r="K1751" s="206"/>
      <c r="L1751" s="206"/>
      <c r="M1751" s="206"/>
      <c r="N1751" s="206"/>
      <c r="O1751" s="206"/>
      <c r="P1751" s="206"/>
      <c r="Q1751" s="262"/>
      <c r="R1751" s="262"/>
      <c r="S1751" s="207"/>
      <c r="T1751" s="263"/>
      <c r="U1751" s="26"/>
      <c r="V1751" s="26"/>
      <c r="W1751" s="26"/>
      <c r="X1751" s="26"/>
    </row>
    <row r="1752">
      <c r="A1752" s="28"/>
      <c r="B1752" s="28"/>
      <c r="C1752" s="28"/>
      <c r="D1752" s="96"/>
      <c r="E1752" s="105"/>
      <c r="F1752" s="105"/>
      <c r="G1752" s="34"/>
      <c r="H1752" s="206"/>
      <c r="I1752" s="206"/>
      <c r="J1752" s="206"/>
      <c r="K1752" s="206"/>
      <c r="L1752" s="206"/>
      <c r="M1752" s="206"/>
      <c r="N1752" s="206"/>
      <c r="O1752" s="206"/>
      <c r="P1752" s="206"/>
      <c r="Q1752" s="262"/>
      <c r="R1752" s="262"/>
      <c r="S1752" s="207"/>
      <c r="T1752" s="263"/>
      <c r="U1752" s="26"/>
      <c r="V1752" s="26"/>
      <c r="W1752" s="26"/>
      <c r="X1752" s="26"/>
    </row>
    <row r="1753">
      <c r="A1753" s="28"/>
      <c r="B1753" s="28"/>
      <c r="C1753" s="28"/>
      <c r="D1753" s="96"/>
      <c r="E1753" s="105"/>
      <c r="F1753" s="105"/>
      <c r="G1753" s="34"/>
      <c r="H1753" s="206"/>
      <c r="I1753" s="206"/>
      <c r="J1753" s="206"/>
      <c r="K1753" s="206"/>
      <c r="L1753" s="206"/>
      <c r="M1753" s="206"/>
      <c r="N1753" s="206"/>
      <c r="O1753" s="206"/>
      <c r="P1753" s="206"/>
      <c r="Q1753" s="262"/>
      <c r="R1753" s="262"/>
      <c r="S1753" s="207"/>
      <c r="T1753" s="263"/>
      <c r="U1753" s="26"/>
      <c r="V1753" s="26"/>
      <c r="W1753" s="26"/>
      <c r="X1753" s="26"/>
    </row>
    <row r="1754">
      <c r="A1754" s="28"/>
      <c r="B1754" s="28"/>
      <c r="C1754" s="28"/>
      <c r="D1754" s="246"/>
      <c r="E1754" s="105"/>
      <c r="F1754" s="105"/>
      <c r="G1754" s="34"/>
      <c r="H1754" s="206"/>
      <c r="I1754" s="206"/>
      <c r="J1754" s="206"/>
      <c r="K1754" s="206"/>
      <c r="L1754" s="206"/>
      <c r="M1754" s="206"/>
      <c r="N1754" s="206"/>
      <c r="O1754" s="206"/>
      <c r="P1754" s="206"/>
      <c r="Q1754" s="262"/>
      <c r="R1754" s="262"/>
      <c r="S1754" s="207"/>
      <c r="T1754" s="263"/>
      <c r="U1754" s="26"/>
      <c r="V1754" s="26"/>
      <c r="W1754" s="26"/>
      <c r="X1754" s="26"/>
    </row>
    <row r="1755">
      <c r="A1755" s="28"/>
      <c r="B1755" s="28"/>
      <c r="C1755" s="81" t="s">
        <v>773</v>
      </c>
      <c r="D1755" s="246" t="s">
        <v>774</v>
      </c>
      <c r="E1755" s="105">
        <f>134000*2</f>
        <v>268000</v>
      </c>
      <c r="F1755" s="105">
        <f>230000*2</f>
        <v>460000</v>
      </c>
      <c r="G1755" s="34">
        <f t="shared" ref="G1755:G1759" si="601">(F1755-E1755)/E1755</f>
        <v>0.7164179104</v>
      </c>
      <c r="H1755" s="206"/>
      <c r="I1755" s="206"/>
      <c r="J1755" s="206"/>
      <c r="K1755" s="206"/>
      <c r="L1755" s="206"/>
      <c r="M1755" s="206"/>
      <c r="N1755" s="206"/>
      <c r="O1755" s="206"/>
      <c r="P1755" s="206"/>
      <c r="Q1755" s="262"/>
      <c r="R1755" s="262"/>
      <c r="S1755" s="207"/>
      <c r="T1755" s="263"/>
      <c r="U1755" s="26"/>
      <c r="V1755" s="26"/>
      <c r="W1755" s="26"/>
      <c r="X1755" s="26"/>
    </row>
    <row r="1756">
      <c r="A1756" s="28"/>
      <c r="B1756" s="28"/>
      <c r="C1756" s="28"/>
      <c r="D1756" s="246" t="s">
        <v>775</v>
      </c>
      <c r="E1756" s="105">
        <f>300000*2</f>
        <v>600000</v>
      </c>
      <c r="F1756" s="105">
        <f>450000*2</f>
        <v>900000</v>
      </c>
      <c r="G1756" s="34">
        <f t="shared" si="601"/>
        <v>0.5</v>
      </c>
      <c r="H1756" s="206"/>
      <c r="I1756" s="206"/>
      <c r="J1756" s="206"/>
      <c r="K1756" s="206"/>
      <c r="L1756" s="206"/>
      <c r="M1756" s="206"/>
      <c r="N1756" s="206"/>
      <c r="O1756" s="206"/>
      <c r="P1756" s="206"/>
      <c r="Q1756" s="262"/>
      <c r="R1756" s="262"/>
      <c r="S1756" s="207"/>
      <c r="T1756" s="263"/>
      <c r="U1756" s="26"/>
      <c r="V1756" s="26"/>
      <c r="W1756" s="26"/>
      <c r="X1756" s="26"/>
    </row>
    <row r="1757">
      <c r="A1757" s="28"/>
      <c r="B1757" s="28"/>
      <c r="C1757" s="28"/>
      <c r="D1757" s="246" t="s">
        <v>776</v>
      </c>
      <c r="E1757" s="105">
        <f>420000*2</f>
        <v>840000</v>
      </c>
      <c r="F1757" s="105">
        <f>550000*2</f>
        <v>1100000</v>
      </c>
      <c r="G1757" s="34">
        <f t="shared" si="601"/>
        <v>0.3095238095</v>
      </c>
      <c r="H1757" s="206"/>
      <c r="I1757" s="206"/>
      <c r="J1757" s="206"/>
      <c r="K1757" s="206"/>
      <c r="L1757" s="206"/>
      <c r="M1757" s="206"/>
      <c r="N1757" s="206"/>
      <c r="O1757" s="206"/>
      <c r="P1757" s="206"/>
      <c r="Q1757" s="262"/>
      <c r="R1757" s="262"/>
      <c r="S1757" s="207"/>
      <c r="T1757" s="263"/>
      <c r="U1757" s="26"/>
      <c r="V1757" s="26"/>
      <c r="W1757" s="26"/>
      <c r="X1757" s="26"/>
    </row>
    <row r="1758">
      <c r="A1758" s="28"/>
      <c r="B1758" s="28"/>
      <c r="C1758" s="28"/>
      <c r="D1758" s="246" t="s">
        <v>777</v>
      </c>
      <c r="E1758" s="105">
        <f>370000*2</f>
        <v>740000</v>
      </c>
      <c r="F1758" s="105">
        <f>520000*2</f>
        <v>1040000</v>
      </c>
      <c r="G1758" s="34">
        <f t="shared" si="601"/>
        <v>0.4054054054</v>
      </c>
      <c r="H1758" s="206"/>
      <c r="I1758" s="206"/>
      <c r="J1758" s="206"/>
      <c r="K1758" s="206"/>
      <c r="L1758" s="206"/>
      <c r="M1758" s="206"/>
      <c r="N1758" s="206"/>
      <c r="O1758" s="206"/>
      <c r="P1758" s="206"/>
      <c r="Q1758" s="262"/>
      <c r="R1758" s="262"/>
      <c r="S1758" s="207"/>
      <c r="T1758" s="263"/>
      <c r="U1758" s="26"/>
      <c r="V1758" s="26"/>
      <c r="W1758" s="26"/>
      <c r="X1758" s="26"/>
    </row>
    <row r="1759">
      <c r="A1759" s="28"/>
      <c r="B1759" s="28"/>
      <c r="C1759" s="28"/>
      <c r="D1759" s="246" t="s">
        <v>101</v>
      </c>
      <c r="E1759" s="105">
        <f t="shared" ref="E1759:F1759" si="602">SUM(E1755:E1758)</f>
        <v>2448000</v>
      </c>
      <c r="F1759" s="105">
        <f t="shared" si="602"/>
        <v>3500000</v>
      </c>
      <c r="G1759" s="34">
        <f t="shared" si="601"/>
        <v>0.4297385621</v>
      </c>
      <c r="H1759" s="206"/>
      <c r="I1759" s="206"/>
      <c r="J1759" s="206"/>
      <c r="K1759" s="206"/>
      <c r="L1759" s="206"/>
      <c r="M1759" s="206"/>
      <c r="N1759" s="206"/>
      <c r="O1759" s="206"/>
      <c r="P1759" s="206"/>
      <c r="Q1759" s="262"/>
      <c r="R1759" s="262"/>
      <c r="S1759" s="207"/>
      <c r="T1759" s="263"/>
      <c r="U1759" s="26"/>
      <c r="V1759" s="26"/>
      <c r="W1759" s="26"/>
      <c r="X1759" s="26"/>
    </row>
    <row r="1760">
      <c r="A1760" s="28"/>
      <c r="B1760" s="28"/>
      <c r="C1760" s="28"/>
      <c r="D1760" s="246" t="s">
        <v>148</v>
      </c>
      <c r="E1760" s="105"/>
      <c r="F1760" s="105"/>
      <c r="G1760" s="34"/>
      <c r="H1760" s="206"/>
      <c r="I1760" s="206"/>
      <c r="J1760" s="206"/>
      <c r="K1760" s="206"/>
      <c r="L1760" s="206"/>
      <c r="M1760" s="206"/>
      <c r="N1760" s="206"/>
      <c r="O1760" s="206"/>
      <c r="P1760" s="206"/>
      <c r="Q1760" s="262"/>
      <c r="R1760" s="262"/>
      <c r="S1760" s="207"/>
      <c r="T1760" s="263"/>
      <c r="U1760" s="26"/>
      <c r="V1760" s="26"/>
      <c r="W1760" s="26"/>
      <c r="X1760" s="26"/>
    </row>
    <row r="1761">
      <c r="A1761" s="28"/>
      <c r="B1761" s="28"/>
      <c r="C1761" s="28"/>
      <c r="D1761" s="96"/>
      <c r="E1761" s="105"/>
      <c r="F1761" s="105"/>
      <c r="G1761" s="34"/>
      <c r="H1761" s="206"/>
      <c r="I1761" s="206"/>
      <c r="J1761" s="206"/>
      <c r="K1761" s="206"/>
      <c r="L1761" s="206"/>
      <c r="M1761" s="206"/>
      <c r="N1761" s="206"/>
      <c r="O1761" s="206"/>
      <c r="P1761" s="206"/>
      <c r="Q1761" s="262"/>
      <c r="R1761" s="262"/>
      <c r="S1761" s="207"/>
      <c r="T1761" s="263"/>
      <c r="U1761" s="26"/>
      <c r="V1761" s="26"/>
      <c r="W1761" s="26"/>
      <c r="X1761" s="26"/>
    </row>
    <row r="1762">
      <c r="A1762" s="28"/>
      <c r="B1762" s="28"/>
      <c r="C1762" s="28"/>
      <c r="D1762" s="96"/>
      <c r="E1762" s="105"/>
      <c r="F1762" s="105"/>
      <c r="G1762" s="34"/>
      <c r="H1762" s="206"/>
      <c r="I1762" s="206"/>
      <c r="J1762" s="206"/>
      <c r="K1762" s="206"/>
      <c r="L1762" s="206"/>
      <c r="M1762" s="206"/>
      <c r="N1762" s="206"/>
      <c r="O1762" s="206"/>
      <c r="P1762" s="206"/>
      <c r="Q1762" s="262"/>
      <c r="R1762" s="262"/>
      <c r="S1762" s="207"/>
      <c r="T1762" s="263"/>
      <c r="U1762" s="26"/>
      <c r="V1762" s="26"/>
      <c r="W1762" s="26"/>
      <c r="X1762" s="26"/>
    </row>
    <row r="1763">
      <c r="A1763" s="28"/>
      <c r="B1763" s="28"/>
      <c r="C1763" s="28"/>
      <c r="D1763" s="96"/>
      <c r="E1763" s="105"/>
      <c r="F1763" s="105"/>
      <c r="G1763" s="34"/>
      <c r="H1763" s="206"/>
      <c r="I1763" s="206"/>
      <c r="J1763" s="206"/>
      <c r="K1763" s="206"/>
      <c r="L1763" s="206"/>
      <c r="M1763" s="206"/>
      <c r="N1763" s="206"/>
      <c r="O1763" s="206"/>
      <c r="P1763" s="206"/>
      <c r="Q1763" s="262"/>
      <c r="R1763" s="262"/>
      <c r="S1763" s="207"/>
      <c r="T1763" s="263"/>
      <c r="U1763" s="26"/>
      <c r="V1763" s="26"/>
      <c r="W1763" s="26"/>
      <c r="X1763" s="26"/>
    </row>
    <row r="1764">
      <c r="A1764" s="28"/>
      <c r="B1764" s="28"/>
      <c r="C1764" s="81" t="s">
        <v>778</v>
      </c>
      <c r="D1764" s="265" t="s">
        <v>779</v>
      </c>
      <c r="E1764" s="105">
        <f>390000*2</f>
        <v>780000</v>
      </c>
      <c r="F1764" s="105">
        <f>610000*2</f>
        <v>1220000</v>
      </c>
      <c r="G1764" s="34">
        <f t="shared" ref="G1764:G1767" si="603">(F1764-E1764)/E1764</f>
        <v>0.5641025641</v>
      </c>
      <c r="H1764" s="206"/>
      <c r="I1764" s="206"/>
      <c r="J1764" s="206"/>
      <c r="K1764" s="206"/>
      <c r="L1764" s="206"/>
      <c r="M1764" s="206"/>
      <c r="N1764" s="206"/>
      <c r="O1764" s="206"/>
      <c r="P1764" s="206"/>
      <c r="Q1764" s="262"/>
      <c r="R1764" s="262"/>
      <c r="S1764" s="207"/>
      <c r="T1764" s="263"/>
      <c r="U1764" s="26"/>
      <c r="V1764" s="26"/>
      <c r="W1764" s="26"/>
      <c r="X1764" s="26"/>
    </row>
    <row r="1765">
      <c r="A1765" s="28"/>
      <c r="B1765" s="28"/>
      <c r="C1765" s="28"/>
      <c r="D1765" s="246" t="s">
        <v>780</v>
      </c>
      <c r="E1765" s="105">
        <f>420000*2</f>
        <v>840000</v>
      </c>
      <c r="F1765" s="105">
        <f>550000*2</f>
        <v>1100000</v>
      </c>
      <c r="G1765" s="34">
        <f t="shared" si="603"/>
        <v>0.3095238095</v>
      </c>
      <c r="H1765" s="206"/>
      <c r="I1765" s="206"/>
      <c r="J1765" s="206"/>
      <c r="K1765" s="206"/>
      <c r="L1765" s="206"/>
      <c r="M1765" s="206"/>
      <c r="N1765" s="206"/>
      <c r="O1765" s="206"/>
      <c r="P1765" s="206"/>
      <c r="Q1765" s="262"/>
      <c r="R1765" s="262"/>
      <c r="S1765" s="207"/>
      <c r="T1765" s="263"/>
      <c r="U1765" s="26"/>
      <c r="V1765" s="26"/>
      <c r="W1765" s="26"/>
      <c r="X1765" s="26"/>
    </row>
    <row r="1766">
      <c r="A1766" s="28"/>
      <c r="B1766" s="28"/>
      <c r="C1766" s="28"/>
      <c r="D1766" s="246" t="s">
        <v>781</v>
      </c>
      <c r="E1766" s="105">
        <f>290000*2</f>
        <v>580000</v>
      </c>
      <c r="F1766" s="105">
        <f>450000*2</f>
        <v>900000</v>
      </c>
      <c r="G1766" s="34">
        <f t="shared" si="603"/>
        <v>0.5517241379</v>
      </c>
      <c r="H1766" s="206"/>
      <c r="I1766" s="206"/>
      <c r="J1766" s="206"/>
      <c r="K1766" s="206"/>
      <c r="L1766" s="206"/>
      <c r="M1766" s="206"/>
      <c r="N1766" s="206"/>
      <c r="O1766" s="206"/>
      <c r="P1766" s="206"/>
      <c r="Q1766" s="262"/>
      <c r="R1766" s="262"/>
      <c r="S1766" s="207"/>
      <c r="T1766" s="263"/>
      <c r="U1766" s="26"/>
      <c r="V1766" s="26"/>
      <c r="W1766" s="26"/>
      <c r="X1766" s="26"/>
    </row>
    <row r="1767">
      <c r="A1767" s="28"/>
      <c r="B1767" s="28"/>
      <c r="C1767" s="28"/>
      <c r="D1767" s="246" t="s">
        <v>101</v>
      </c>
      <c r="E1767" s="105">
        <f t="shared" ref="E1767:F1767" si="604">SUM(E1764:E1766)</f>
        <v>2200000</v>
      </c>
      <c r="F1767" s="105">
        <f t="shared" si="604"/>
        <v>3220000</v>
      </c>
      <c r="G1767" s="34">
        <f t="shared" si="603"/>
        <v>0.4636363636</v>
      </c>
      <c r="H1767" s="206"/>
      <c r="I1767" s="206"/>
      <c r="J1767" s="206"/>
      <c r="K1767" s="206"/>
      <c r="L1767" s="206"/>
      <c r="M1767" s="206"/>
      <c r="N1767" s="206"/>
      <c r="O1767" s="206"/>
      <c r="P1767" s="206"/>
      <c r="Q1767" s="262"/>
      <c r="R1767" s="262"/>
      <c r="S1767" s="207"/>
      <c r="T1767" s="263"/>
      <c r="U1767" s="26"/>
      <c r="V1767" s="26"/>
      <c r="W1767" s="26"/>
      <c r="X1767" s="26"/>
    </row>
    <row r="1768">
      <c r="A1768" s="28"/>
      <c r="B1768" s="28"/>
      <c r="C1768" s="28"/>
      <c r="D1768" s="246" t="s">
        <v>148</v>
      </c>
      <c r="E1768" s="105">
        <f>F1767-E1767</f>
        <v>1020000</v>
      </c>
      <c r="F1768" s="105"/>
      <c r="G1768" s="34"/>
      <c r="H1768" s="206"/>
      <c r="I1768" s="206"/>
      <c r="J1768" s="206"/>
      <c r="K1768" s="206"/>
      <c r="L1768" s="206"/>
      <c r="M1768" s="206"/>
      <c r="N1768" s="206"/>
      <c r="O1768" s="206"/>
      <c r="P1768" s="206"/>
      <c r="Q1768" s="262"/>
      <c r="R1768" s="262"/>
      <c r="S1768" s="207"/>
      <c r="T1768" s="263"/>
      <c r="U1768" s="26"/>
      <c r="V1768" s="26"/>
      <c r="W1768" s="26"/>
      <c r="X1768" s="26"/>
    </row>
    <row r="1769">
      <c r="A1769" s="28"/>
      <c r="B1769" s="28"/>
      <c r="C1769" s="28"/>
      <c r="D1769" s="96"/>
      <c r="E1769" s="105"/>
      <c r="F1769" s="105"/>
      <c r="G1769" s="34"/>
      <c r="H1769" s="206"/>
      <c r="I1769" s="206"/>
      <c r="J1769" s="206"/>
      <c r="K1769" s="206"/>
      <c r="L1769" s="206"/>
      <c r="M1769" s="206"/>
      <c r="N1769" s="206"/>
      <c r="O1769" s="206"/>
      <c r="P1769" s="206"/>
      <c r="Q1769" s="262"/>
      <c r="R1769" s="262"/>
      <c r="S1769" s="207"/>
      <c r="T1769" s="263"/>
      <c r="U1769" s="26"/>
      <c r="V1769" s="26"/>
      <c r="W1769" s="26"/>
      <c r="X1769" s="26"/>
    </row>
    <row r="1770">
      <c r="A1770" s="28"/>
      <c r="B1770" s="28"/>
      <c r="C1770" s="28"/>
      <c r="D1770" s="96"/>
      <c r="E1770" s="105"/>
      <c r="F1770" s="105"/>
      <c r="G1770" s="34"/>
      <c r="H1770" s="206"/>
      <c r="I1770" s="206"/>
      <c r="J1770" s="206"/>
      <c r="K1770" s="206"/>
      <c r="L1770" s="206"/>
      <c r="M1770" s="206"/>
      <c r="N1770" s="206"/>
      <c r="O1770" s="206"/>
      <c r="P1770" s="206"/>
      <c r="Q1770" s="262"/>
      <c r="R1770" s="262"/>
      <c r="S1770" s="207"/>
      <c r="T1770" s="263"/>
      <c r="U1770" s="26"/>
      <c r="V1770" s="26"/>
      <c r="W1770" s="26"/>
      <c r="X1770" s="26"/>
    </row>
    <row r="1771">
      <c r="A1771" s="28"/>
      <c r="B1771" s="28"/>
      <c r="C1771" s="81" t="s">
        <v>782</v>
      </c>
      <c r="D1771" s="246" t="s">
        <v>783</v>
      </c>
      <c r="E1771" s="105">
        <f>320000+38000*2+30000+20000</f>
        <v>446000</v>
      </c>
      <c r="F1771" s="105">
        <f>325000*2</f>
        <v>650000</v>
      </c>
      <c r="G1771" s="34">
        <f t="shared" ref="G1771:G1778" si="605">(F1771-E1771)/E1771</f>
        <v>0.4573991031</v>
      </c>
      <c r="H1771" s="206"/>
      <c r="I1771" s="206"/>
      <c r="J1771" s="206"/>
      <c r="K1771" s="206"/>
      <c r="L1771" s="206"/>
      <c r="M1771" s="206"/>
      <c r="N1771" s="206"/>
      <c r="O1771" s="206"/>
      <c r="P1771" s="206"/>
      <c r="Q1771" s="262"/>
      <c r="R1771" s="262"/>
      <c r="S1771" s="207"/>
      <c r="T1771" s="263"/>
      <c r="U1771" s="26"/>
      <c r="V1771" s="26"/>
      <c r="W1771" s="26"/>
      <c r="X1771" s="26"/>
    </row>
    <row r="1772">
      <c r="A1772" s="28"/>
      <c r="B1772" s="28"/>
      <c r="C1772" s="28"/>
      <c r="D1772" s="246" t="s">
        <v>784</v>
      </c>
      <c r="E1772" s="201">
        <v>385000.0</v>
      </c>
      <c r="F1772" s="201">
        <v>580000.0</v>
      </c>
      <c r="G1772" s="34">
        <f t="shared" si="605"/>
        <v>0.5064935065</v>
      </c>
      <c r="H1772" s="206"/>
      <c r="I1772" s="206"/>
      <c r="J1772" s="206"/>
      <c r="K1772" s="206"/>
      <c r="L1772" s="206"/>
      <c r="M1772" s="206"/>
      <c r="N1772" s="206"/>
      <c r="O1772" s="206"/>
      <c r="P1772" s="206"/>
      <c r="Q1772" s="262"/>
      <c r="R1772" s="262"/>
      <c r="S1772" s="207"/>
      <c r="T1772" s="263"/>
      <c r="U1772" s="26"/>
      <c r="V1772" s="26"/>
      <c r="W1772" s="26"/>
      <c r="X1772" s="26"/>
    </row>
    <row r="1773">
      <c r="A1773" s="28"/>
      <c r="B1773" s="28"/>
      <c r="C1773" s="28"/>
      <c r="D1773" s="246" t="s">
        <v>785</v>
      </c>
      <c r="E1773" s="105">
        <f>(130000*2)</f>
        <v>260000</v>
      </c>
      <c r="F1773" s="105">
        <f>250000*2</f>
        <v>500000</v>
      </c>
      <c r="G1773" s="34">
        <f t="shared" si="605"/>
        <v>0.9230769231</v>
      </c>
      <c r="H1773" s="206"/>
      <c r="I1773" s="206"/>
      <c r="J1773" s="206"/>
      <c r="K1773" s="206"/>
      <c r="L1773" s="206"/>
      <c r="M1773" s="206"/>
      <c r="N1773" s="206"/>
      <c r="O1773" s="206"/>
      <c r="P1773" s="206"/>
      <c r="Q1773" s="262"/>
      <c r="R1773" s="262"/>
      <c r="S1773" s="207"/>
      <c r="T1773" s="263"/>
      <c r="U1773" s="26"/>
      <c r="V1773" s="26"/>
      <c r="W1773" s="26"/>
      <c r="X1773" s="26"/>
    </row>
    <row r="1774">
      <c r="A1774" s="28"/>
      <c r="B1774" s="28"/>
      <c r="C1774" s="28"/>
      <c r="D1774" s="246" t="s">
        <v>786</v>
      </c>
      <c r="E1774" s="105">
        <f>360000*2</f>
        <v>720000</v>
      </c>
      <c r="F1774" s="105">
        <f>500000*2</f>
        <v>1000000</v>
      </c>
      <c r="G1774" s="34">
        <f t="shared" si="605"/>
        <v>0.3888888889</v>
      </c>
      <c r="H1774" s="206"/>
      <c r="I1774" s="206"/>
      <c r="J1774" s="206"/>
      <c r="K1774" s="206"/>
      <c r="L1774" s="206"/>
      <c r="M1774" s="206"/>
      <c r="N1774" s="206"/>
      <c r="O1774" s="206"/>
      <c r="P1774" s="206"/>
      <c r="Q1774" s="262"/>
      <c r="R1774" s="262"/>
      <c r="S1774" s="207"/>
      <c r="T1774" s="263"/>
      <c r="U1774" s="26"/>
      <c r="V1774" s="26"/>
      <c r="W1774" s="26"/>
      <c r="X1774" s="26"/>
    </row>
    <row r="1775">
      <c r="A1775" s="28"/>
      <c r="B1775" s="28"/>
      <c r="C1775" s="28"/>
      <c r="D1775" s="246" t="s">
        <v>787</v>
      </c>
      <c r="E1775" s="105">
        <f>420000*2</f>
        <v>840000</v>
      </c>
      <c r="F1775" s="105">
        <f>550000*2</f>
        <v>1100000</v>
      </c>
      <c r="G1775" s="34">
        <f t="shared" si="605"/>
        <v>0.3095238095</v>
      </c>
      <c r="H1775" s="206"/>
      <c r="I1775" s="206"/>
      <c r="J1775" s="206"/>
      <c r="K1775" s="206"/>
      <c r="L1775" s="206"/>
      <c r="M1775" s="206"/>
      <c r="N1775" s="206"/>
      <c r="O1775" s="206"/>
      <c r="P1775" s="206"/>
      <c r="Q1775" s="262"/>
      <c r="R1775" s="262"/>
      <c r="S1775" s="207"/>
      <c r="T1775" s="263"/>
      <c r="U1775" s="26"/>
      <c r="V1775" s="26"/>
      <c r="W1775" s="26"/>
      <c r="X1775" s="26"/>
    </row>
    <row r="1776">
      <c r="A1776" s="28"/>
      <c r="B1776" s="28"/>
      <c r="C1776" s="28"/>
      <c r="D1776" s="246" t="s">
        <v>788</v>
      </c>
      <c r="E1776" s="201">
        <f>(330000*2)</f>
        <v>660000</v>
      </c>
      <c r="F1776" s="105">
        <f>510000*2</f>
        <v>1020000</v>
      </c>
      <c r="G1776" s="34">
        <f t="shared" si="605"/>
        <v>0.5454545455</v>
      </c>
      <c r="H1776" s="206"/>
      <c r="I1776" s="206"/>
      <c r="J1776" s="206"/>
      <c r="K1776" s="206"/>
      <c r="L1776" s="206"/>
      <c r="M1776" s="206"/>
      <c r="N1776" s="206"/>
      <c r="O1776" s="206"/>
      <c r="P1776" s="206"/>
      <c r="Q1776" s="262"/>
      <c r="R1776" s="262"/>
      <c r="S1776" s="207"/>
      <c r="T1776" s="263"/>
      <c r="U1776" s="26"/>
      <c r="V1776" s="26"/>
      <c r="W1776" s="26"/>
      <c r="X1776" s="26"/>
    </row>
    <row r="1777">
      <c r="A1777" s="28"/>
      <c r="B1777" s="28"/>
      <c r="C1777" s="28"/>
      <c r="D1777" s="246" t="s">
        <v>789</v>
      </c>
      <c r="E1777" s="105">
        <f>300000*2</f>
        <v>600000</v>
      </c>
      <c r="F1777" s="105">
        <f>450000*2</f>
        <v>900000</v>
      </c>
      <c r="G1777" s="34">
        <f t="shared" si="605"/>
        <v>0.5</v>
      </c>
      <c r="H1777" s="206"/>
      <c r="I1777" s="206"/>
      <c r="J1777" s="206"/>
      <c r="K1777" s="206"/>
      <c r="L1777" s="206"/>
      <c r="M1777" s="206"/>
      <c r="N1777" s="206"/>
      <c r="O1777" s="206"/>
      <c r="P1777" s="206"/>
      <c r="Q1777" s="262"/>
      <c r="R1777" s="262"/>
      <c r="S1777" s="207"/>
      <c r="T1777" s="263"/>
      <c r="U1777" s="26"/>
      <c r="V1777" s="26"/>
      <c r="W1777" s="26"/>
      <c r="X1777" s="26"/>
    </row>
    <row r="1778">
      <c r="A1778" s="28"/>
      <c r="B1778" s="28"/>
      <c r="C1778" s="28"/>
      <c r="D1778" s="246" t="s">
        <v>101</v>
      </c>
      <c r="E1778" s="105">
        <f t="shared" ref="E1778:F1778" si="606">SUM(E1771:E1777)</f>
        <v>3911000</v>
      </c>
      <c r="F1778" s="105">
        <f t="shared" si="606"/>
        <v>5750000</v>
      </c>
      <c r="G1778" s="34">
        <f t="shared" si="605"/>
        <v>0.4702122219</v>
      </c>
      <c r="H1778" s="206"/>
      <c r="I1778" s="206"/>
      <c r="J1778" s="206"/>
      <c r="K1778" s="206"/>
      <c r="L1778" s="206"/>
      <c r="M1778" s="206"/>
      <c r="N1778" s="206"/>
      <c r="O1778" s="206"/>
      <c r="P1778" s="206"/>
      <c r="Q1778" s="262"/>
      <c r="R1778" s="262"/>
      <c r="S1778" s="207"/>
      <c r="T1778" s="263"/>
      <c r="U1778" s="26"/>
      <c r="V1778" s="26"/>
      <c r="W1778" s="26"/>
      <c r="X1778" s="26"/>
    </row>
    <row r="1779">
      <c r="A1779" s="28"/>
      <c r="B1779" s="28"/>
      <c r="C1779" s="28"/>
      <c r="D1779" s="246" t="s">
        <v>148</v>
      </c>
      <c r="E1779" s="105">
        <f>F1778-E1778</f>
        <v>1839000</v>
      </c>
      <c r="F1779" s="105"/>
      <c r="G1779" s="34"/>
      <c r="H1779" s="206"/>
      <c r="I1779" s="206"/>
      <c r="J1779" s="206"/>
      <c r="K1779" s="206"/>
      <c r="L1779" s="206"/>
      <c r="M1779" s="206"/>
      <c r="N1779" s="206"/>
      <c r="O1779" s="206"/>
      <c r="P1779" s="206"/>
      <c r="Q1779" s="262"/>
      <c r="R1779" s="262"/>
      <c r="S1779" s="207"/>
      <c r="T1779" s="263"/>
      <c r="U1779" s="26"/>
      <c r="V1779" s="26"/>
      <c r="W1779" s="26"/>
      <c r="X1779" s="26"/>
    </row>
    <row r="1780">
      <c r="A1780" s="28"/>
      <c r="B1780" s="28"/>
      <c r="C1780" s="28"/>
      <c r="D1780" s="96"/>
      <c r="E1780" s="105"/>
      <c r="F1780" s="105"/>
      <c r="G1780" s="34"/>
      <c r="H1780" s="206"/>
      <c r="I1780" s="206"/>
      <c r="J1780" s="206"/>
      <c r="K1780" s="206"/>
      <c r="L1780" s="206"/>
      <c r="M1780" s="206"/>
      <c r="N1780" s="206"/>
      <c r="O1780" s="206"/>
      <c r="P1780" s="206"/>
      <c r="Q1780" s="262"/>
      <c r="R1780" s="262"/>
      <c r="S1780" s="207"/>
      <c r="T1780" s="263"/>
      <c r="U1780" s="26"/>
      <c r="V1780" s="26"/>
      <c r="W1780" s="26"/>
      <c r="X1780" s="26"/>
    </row>
    <row r="1781">
      <c r="A1781" s="28"/>
      <c r="B1781" s="28"/>
      <c r="C1781" s="28"/>
      <c r="D1781" s="96"/>
      <c r="E1781" s="105"/>
      <c r="F1781" s="105"/>
      <c r="G1781" s="34"/>
      <c r="H1781" s="206"/>
      <c r="I1781" s="206"/>
      <c r="J1781" s="206"/>
      <c r="K1781" s="206"/>
      <c r="L1781" s="206"/>
      <c r="M1781" s="206"/>
      <c r="N1781" s="206"/>
      <c r="O1781" s="206"/>
      <c r="P1781" s="206"/>
      <c r="Q1781" s="262"/>
      <c r="R1781" s="262"/>
      <c r="S1781" s="207"/>
      <c r="T1781" s="263"/>
      <c r="U1781" s="26"/>
      <c r="V1781" s="26"/>
      <c r="W1781" s="26"/>
      <c r="X1781" s="26"/>
    </row>
    <row r="1782">
      <c r="A1782" s="28"/>
      <c r="B1782" s="28"/>
      <c r="C1782" s="28"/>
      <c r="D1782" s="96"/>
      <c r="E1782" s="105"/>
      <c r="F1782" s="105"/>
      <c r="G1782" s="34"/>
      <c r="H1782" s="206"/>
      <c r="I1782" s="206"/>
      <c r="J1782" s="206"/>
      <c r="K1782" s="206"/>
      <c r="L1782" s="206"/>
      <c r="M1782" s="206"/>
      <c r="N1782" s="206"/>
      <c r="O1782" s="206"/>
      <c r="P1782" s="206"/>
      <c r="Q1782" s="262"/>
      <c r="R1782" s="262"/>
      <c r="S1782" s="207"/>
      <c r="T1782" s="263"/>
      <c r="U1782" s="26"/>
      <c r="V1782" s="26"/>
      <c r="W1782" s="26"/>
      <c r="X1782" s="26"/>
    </row>
    <row r="1783">
      <c r="A1783" s="28"/>
      <c r="B1783" s="28"/>
      <c r="C1783" s="28"/>
      <c r="D1783" s="246" t="s">
        <v>783</v>
      </c>
      <c r="E1783" s="105">
        <f>320000+38000*2+30000+20000</f>
        <v>446000</v>
      </c>
      <c r="F1783" s="105">
        <f>325000*2</f>
        <v>650000</v>
      </c>
      <c r="G1783" s="34">
        <f t="shared" ref="G1783:G1790" si="607">(F1783-E1783)/E1783</f>
        <v>0.4573991031</v>
      </c>
      <c r="H1783" s="206"/>
      <c r="I1783" s="206"/>
      <c r="J1783" s="206"/>
      <c r="K1783" s="206"/>
      <c r="L1783" s="206"/>
      <c r="M1783" s="206"/>
      <c r="N1783" s="206"/>
      <c r="O1783" s="206"/>
      <c r="P1783" s="206"/>
      <c r="Q1783" s="262"/>
      <c r="R1783" s="262"/>
      <c r="S1783" s="207"/>
      <c r="T1783" s="263"/>
      <c r="U1783" s="26"/>
      <c r="V1783" s="26"/>
      <c r="W1783" s="26"/>
      <c r="X1783" s="26"/>
    </row>
    <row r="1784">
      <c r="A1784" s="28"/>
      <c r="B1784" s="28"/>
      <c r="C1784" s="28"/>
      <c r="D1784" s="246" t="s">
        <v>784</v>
      </c>
      <c r="E1784" s="201">
        <v>385000.0</v>
      </c>
      <c r="F1784" s="201">
        <v>580000.0</v>
      </c>
      <c r="G1784" s="34">
        <f t="shared" si="607"/>
        <v>0.5064935065</v>
      </c>
      <c r="H1784" s="206"/>
      <c r="I1784" s="206"/>
      <c r="J1784" s="206"/>
      <c r="K1784" s="206"/>
      <c r="L1784" s="206"/>
      <c r="M1784" s="206"/>
      <c r="N1784" s="206"/>
      <c r="O1784" s="206"/>
      <c r="P1784" s="206"/>
      <c r="Q1784" s="262"/>
      <c r="R1784" s="262"/>
      <c r="S1784" s="207"/>
      <c r="T1784" s="263"/>
      <c r="U1784" s="26"/>
      <c r="V1784" s="26"/>
      <c r="W1784" s="26"/>
      <c r="X1784" s="26"/>
    </row>
    <row r="1785">
      <c r="A1785" s="28"/>
      <c r="B1785" s="28"/>
      <c r="C1785" s="28"/>
      <c r="D1785" s="246" t="s">
        <v>785</v>
      </c>
      <c r="E1785" s="105">
        <f>(130000*2)</f>
        <v>260000</v>
      </c>
      <c r="F1785" s="105">
        <f>250000*2</f>
        <v>500000</v>
      </c>
      <c r="G1785" s="34">
        <f t="shared" si="607"/>
        <v>0.9230769231</v>
      </c>
      <c r="H1785" s="206"/>
      <c r="I1785" s="206"/>
      <c r="J1785" s="206"/>
      <c r="K1785" s="206"/>
      <c r="L1785" s="206"/>
      <c r="M1785" s="206"/>
      <c r="N1785" s="206"/>
      <c r="O1785" s="206"/>
      <c r="P1785" s="206"/>
      <c r="Q1785" s="262"/>
      <c r="R1785" s="262"/>
      <c r="S1785" s="207"/>
      <c r="T1785" s="263"/>
      <c r="U1785" s="26"/>
      <c r="V1785" s="26"/>
      <c r="W1785" s="26"/>
      <c r="X1785" s="26"/>
    </row>
    <row r="1786">
      <c r="A1786" s="28"/>
      <c r="B1786" s="28"/>
      <c r="C1786" s="28"/>
      <c r="D1786" s="246" t="s">
        <v>786</v>
      </c>
      <c r="E1786" s="105">
        <f>360000*2</f>
        <v>720000</v>
      </c>
      <c r="F1786" s="105">
        <f>500000*2</f>
        <v>1000000</v>
      </c>
      <c r="G1786" s="34">
        <f t="shared" si="607"/>
        <v>0.3888888889</v>
      </c>
      <c r="H1786" s="206"/>
      <c r="I1786" s="206"/>
      <c r="J1786" s="206"/>
      <c r="K1786" s="206"/>
      <c r="L1786" s="206"/>
      <c r="M1786" s="206"/>
      <c r="N1786" s="206"/>
      <c r="O1786" s="206"/>
      <c r="P1786" s="206"/>
      <c r="Q1786" s="262"/>
      <c r="R1786" s="262"/>
      <c r="S1786" s="207"/>
      <c r="T1786" s="263"/>
      <c r="U1786" s="26"/>
      <c r="V1786" s="26"/>
      <c r="W1786" s="26"/>
      <c r="X1786" s="26"/>
    </row>
    <row r="1787">
      <c r="A1787" s="28"/>
      <c r="B1787" s="28"/>
      <c r="C1787" s="28"/>
      <c r="D1787" s="246" t="s">
        <v>787</v>
      </c>
      <c r="E1787" s="105">
        <f>420000*2</f>
        <v>840000</v>
      </c>
      <c r="F1787" s="105">
        <f>550000*2</f>
        <v>1100000</v>
      </c>
      <c r="G1787" s="34">
        <f t="shared" si="607"/>
        <v>0.3095238095</v>
      </c>
      <c r="H1787" s="206"/>
      <c r="I1787" s="206"/>
      <c r="J1787" s="206"/>
      <c r="K1787" s="206"/>
      <c r="L1787" s="206"/>
      <c r="M1787" s="206"/>
      <c r="N1787" s="206"/>
      <c r="O1787" s="206"/>
      <c r="P1787" s="206"/>
      <c r="Q1787" s="262"/>
      <c r="R1787" s="262"/>
      <c r="S1787" s="207"/>
      <c r="T1787" s="263"/>
      <c r="U1787" s="26"/>
      <c r="V1787" s="26"/>
      <c r="W1787" s="26"/>
      <c r="X1787" s="26"/>
    </row>
    <row r="1788">
      <c r="A1788" s="28"/>
      <c r="B1788" s="28"/>
      <c r="C1788" s="28"/>
      <c r="D1788" s="246" t="s">
        <v>222</v>
      </c>
      <c r="E1788" s="201">
        <f>370000*2</f>
        <v>740000</v>
      </c>
      <c r="F1788" s="105">
        <f>520000*2</f>
        <v>1040000</v>
      </c>
      <c r="G1788" s="34">
        <f t="shared" si="607"/>
        <v>0.4054054054</v>
      </c>
      <c r="H1788" s="206"/>
      <c r="I1788" s="206"/>
      <c r="J1788" s="206"/>
      <c r="K1788" s="206"/>
      <c r="L1788" s="206"/>
      <c r="M1788" s="206"/>
      <c r="N1788" s="206"/>
      <c r="O1788" s="206"/>
      <c r="P1788" s="206"/>
      <c r="Q1788" s="262"/>
      <c r="R1788" s="262"/>
      <c r="S1788" s="207"/>
      <c r="T1788" s="263"/>
      <c r="U1788" s="26"/>
      <c r="V1788" s="26"/>
      <c r="W1788" s="26"/>
      <c r="X1788" s="26"/>
    </row>
    <row r="1789">
      <c r="A1789" s="28"/>
      <c r="B1789" s="28"/>
      <c r="C1789" s="28"/>
      <c r="D1789" s="246" t="s">
        <v>789</v>
      </c>
      <c r="E1789" s="105">
        <f>300000*2</f>
        <v>600000</v>
      </c>
      <c r="F1789" s="105">
        <f>450000*2</f>
        <v>900000</v>
      </c>
      <c r="G1789" s="34">
        <f t="shared" si="607"/>
        <v>0.5</v>
      </c>
      <c r="H1789" s="206"/>
      <c r="I1789" s="206"/>
      <c r="J1789" s="206"/>
      <c r="K1789" s="206"/>
      <c r="L1789" s="206"/>
      <c r="M1789" s="206"/>
      <c r="N1789" s="206"/>
      <c r="O1789" s="206"/>
      <c r="P1789" s="206"/>
      <c r="Q1789" s="262"/>
      <c r="R1789" s="262"/>
      <c r="S1789" s="207"/>
      <c r="T1789" s="263"/>
      <c r="U1789" s="26"/>
      <c r="V1789" s="26"/>
      <c r="W1789" s="26"/>
      <c r="X1789" s="26"/>
    </row>
    <row r="1790">
      <c r="A1790" s="28"/>
      <c r="B1790" s="28"/>
      <c r="C1790" s="28"/>
      <c r="D1790" s="246" t="s">
        <v>101</v>
      </c>
      <c r="E1790" s="105">
        <f t="shared" ref="E1790:F1790" si="608">SUM(E1783:E1789)</f>
        <v>3991000</v>
      </c>
      <c r="F1790" s="105">
        <f t="shared" si="608"/>
        <v>5770000</v>
      </c>
      <c r="G1790" s="34">
        <f t="shared" si="607"/>
        <v>0.4457529441</v>
      </c>
      <c r="H1790" s="206"/>
      <c r="I1790" s="206"/>
      <c r="J1790" s="206"/>
      <c r="K1790" s="206"/>
      <c r="L1790" s="206"/>
      <c r="M1790" s="206"/>
      <c r="N1790" s="206"/>
      <c r="O1790" s="206"/>
      <c r="P1790" s="206"/>
      <c r="Q1790" s="262"/>
      <c r="R1790" s="262"/>
      <c r="S1790" s="207"/>
      <c r="T1790" s="263"/>
      <c r="U1790" s="26"/>
      <c r="V1790" s="26"/>
      <c r="W1790" s="26"/>
      <c r="X1790" s="26"/>
    </row>
    <row r="1791">
      <c r="A1791" s="28"/>
      <c r="B1791" s="28"/>
      <c r="C1791" s="28"/>
      <c r="D1791" s="246" t="s">
        <v>148</v>
      </c>
      <c r="E1791" s="105">
        <f>F1790-E1790</f>
        <v>1779000</v>
      </c>
      <c r="F1791" s="105"/>
      <c r="G1791" s="34"/>
      <c r="H1791" s="206"/>
      <c r="I1791" s="206"/>
      <c r="J1791" s="206"/>
      <c r="K1791" s="206"/>
      <c r="L1791" s="206"/>
      <c r="M1791" s="206"/>
      <c r="N1791" s="206"/>
      <c r="O1791" s="206"/>
      <c r="P1791" s="206"/>
      <c r="Q1791" s="262"/>
      <c r="R1791" s="262"/>
      <c r="S1791" s="207"/>
      <c r="T1791" s="263"/>
      <c r="U1791" s="26"/>
      <c r="V1791" s="26"/>
      <c r="W1791" s="26"/>
      <c r="X1791" s="26"/>
    </row>
    <row r="1792">
      <c r="A1792" s="28"/>
      <c r="B1792" s="28"/>
      <c r="C1792" s="28"/>
      <c r="D1792" s="96"/>
      <c r="E1792" s="105"/>
      <c r="F1792" s="105"/>
      <c r="G1792" s="34"/>
      <c r="H1792" s="206"/>
      <c r="I1792" s="206"/>
      <c r="J1792" s="206"/>
      <c r="K1792" s="206"/>
      <c r="L1792" s="206"/>
      <c r="M1792" s="206"/>
      <c r="N1792" s="206"/>
      <c r="O1792" s="206"/>
      <c r="P1792" s="206"/>
      <c r="Q1792" s="262"/>
      <c r="R1792" s="262"/>
      <c r="S1792" s="207"/>
      <c r="T1792" s="263"/>
      <c r="U1792" s="26"/>
      <c r="V1792" s="26"/>
      <c r="W1792" s="26"/>
      <c r="X1792" s="26"/>
    </row>
    <row r="1793">
      <c r="A1793" s="28"/>
      <c r="B1793" s="28"/>
      <c r="C1793" s="28"/>
      <c r="D1793" s="96"/>
      <c r="E1793" s="105"/>
      <c r="F1793" s="105"/>
      <c r="G1793" s="34"/>
      <c r="H1793" s="206"/>
      <c r="I1793" s="206"/>
      <c r="J1793" s="206"/>
      <c r="K1793" s="206"/>
      <c r="L1793" s="206"/>
      <c r="M1793" s="206"/>
      <c r="N1793" s="206"/>
      <c r="O1793" s="206"/>
      <c r="P1793" s="206"/>
      <c r="Q1793" s="262"/>
      <c r="R1793" s="262"/>
      <c r="S1793" s="207"/>
      <c r="T1793" s="263"/>
      <c r="U1793" s="26"/>
      <c r="V1793" s="26"/>
      <c r="W1793" s="26"/>
      <c r="X1793" s="26"/>
    </row>
    <row r="1794">
      <c r="A1794" s="28"/>
      <c r="B1794" s="28"/>
      <c r="C1794" s="81" t="s">
        <v>790</v>
      </c>
      <c r="D1794" s="246" t="s">
        <v>169</v>
      </c>
      <c r="E1794" s="105">
        <f>380000*2</f>
        <v>760000</v>
      </c>
      <c r="F1794" s="105">
        <f>540000*2</f>
        <v>1080000</v>
      </c>
      <c r="G1794" s="34">
        <f t="shared" ref="G1794:G1797" si="609">(F1794-E1794)/E1794</f>
        <v>0.4210526316</v>
      </c>
      <c r="H1794" s="206"/>
      <c r="I1794" s="206"/>
      <c r="J1794" s="206"/>
      <c r="K1794" s="206"/>
      <c r="L1794" s="206"/>
      <c r="M1794" s="206"/>
      <c r="N1794" s="206"/>
      <c r="O1794" s="206"/>
      <c r="P1794" s="206"/>
      <c r="Q1794" s="262"/>
      <c r="R1794" s="262"/>
      <c r="S1794" s="207"/>
      <c r="T1794" s="263"/>
      <c r="U1794" s="26"/>
      <c r="V1794" s="26"/>
      <c r="W1794" s="26"/>
      <c r="X1794" s="26"/>
    </row>
    <row r="1795">
      <c r="A1795" s="28"/>
      <c r="B1795" s="28"/>
      <c r="C1795" s="28"/>
      <c r="D1795" s="246" t="s">
        <v>392</v>
      </c>
      <c r="E1795" s="105">
        <f>390000*2</f>
        <v>780000</v>
      </c>
      <c r="F1795" s="105">
        <f>610000*2</f>
        <v>1220000</v>
      </c>
      <c r="G1795" s="34">
        <f t="shared" si="609"/>
        <v>0.5641025641</v>
      </c>
      <c r="H1795" s="206"/>
      <c r="I1795" s="206"/>
      <c r="J1795" s="206"/>
      <c r="K1795" s="206"/>
      <c r="L1795" s="206"/>
      <c r="M1795" s="206"/>
      <c r="N1795" s="206"/>
      <c r="O1795" s="206"/>
      <c r="P1795" s="206"/>
      <c r="Q1795" s="262"/>
      <c r="R1795" s="262"/>
      <c r="S1795" s="207"/>
      <c r="T1795" s="263"/>
      <c r="U1795" s="26"/>
      <c r="V1795" s="26"/>
      <c r="W1795" s="26"/>
      <c r="X1795" s="26"/>
    </row>
    <row r="1796">
      <c r="A1796" s="28"/>
      <c r="B1796" s="28"/>
      <c r="C1796" s="28"/>
      <c r="D1796" s="246" t="s">
        <v>791</v>
      </c>
      <c r="E1796" s="105">
        <f>320000*2</f>
        <v>640000</v>
      </c>
      <c r="F1796" s="105">
        <f>(490000*2)</f>
        <v>980000</v>
      </c>
      <c r="G1796" s="34">
        <f t="shared" si="609"/>
        <v>0.53125</v>
      </c>
      <c r="H1796" s="206"/>
      <c r="I1796" s="206"/>
      <c r="J1796" s="206"/>
      <c r="K1796" s="206"/>
      <c r="L1796" s="206"/>
      <c r="M1796" s="206"/>
      <c r="N1796" s="206"/>
      <c r="O1796" s="206"/>
      <c r="P1796" s="206"/>
      <c r="Q1796" s="262"/>
      <c r="R1796" s="262"/>
      <c r="S1796" s="207"/>
      <c r="T1796" s="263"/>
      <c r="U1796" s="26"/>
      <c r="V1796" s="26"/>
      <c r="W1796" s="26"/>
      <c r="X1796" s="26"/>
    </row>
    <row r="1797">
      <c r="A1797" s="28"/>
      <c r="B1797" s="28"/>
      <c r="C1797" s="28"/>
      <c r="D1797" s="246" t="s">
        <v>101</v>
      </c>
      <c r="E1797" s="105">
        <f t="shared" ref="E1797:F1797" si="610">SUM(E1794:E1796)</f>
        <v>2180000</v>
      </c>
      <c r="F1797" s="105">
        <f t="shared" si="610"/>
        <v>3280000</v>
      </c>
      <c r="G1797" s="34">
        <f t="shared" si="609"/>
        <v>0.504587156</v>
      </c>
      <c r="H1797" s="206"/>
      <c r="I1797" s="206"/>
      <c r="J1797" s="206"/>
      <c r="K1797" s="206"/>
      <c r="L1797" s="206"/>
      <c r="M1797" s="206"/>
      <c r="N1797" s="206"/>
      <c r="O1797" s="206"/>
      <c r="P1797" s="206"/>
      <c r="Q1797" s="262"/>
      <c r="R1797" s="262"/>
      <c r="S1797" s="207"/>
      <c r="T1797" s="263"/>
      <c r="U1797" s="26"/>
      <c r="V1797" s="26"/>
      <c r="W1797" s="26"/>
      <c r="X1797" s="26"/>
    </row>
    <row r="1798">
      <c r="A1798" s="28"/>
      <c r="B1798" s="28"/>
      <c r="C1798" s="28"/>
      <c r="D1798" s="246" t="s">
        <v>792</v>
      </c>
      <c r="E1798" s="105">
        <f>F1797-E1797</f>
        <v>1100000</v>
      </c>
      <c r="F1798" s="105"/>
      <c r="G1798" s="34"/>
      <c r="H1798" s="206"/>
      <c r="I1798" s="206"/>
      <c r="J1798" s="206"/>
      <c r="K1798" s="206"/>
      <c r="L1798" s="206"/>
      <c r="M1798" s="206"/>
      <c r="N1798" s="206"/>
      <c r="O1798" s="206"/>
      <c r="P1798" s="206"/>
      <c r="Q1798" s="262"/>
      <c r="R1798" s="262"/>
      <c r="S1798" s="207"/>
      <c r="T1798" s="263"/>
      <c r="U1798" s="26"/>
      <c r="V1798" s="26"/>
      <c r="W1798" s="26"/>
      <c r="X1798" s="26"/>
    </row>
    <row r="1799">
      <c r="A1799" s="28"/>
      <c r="B1799" s="28"/>
      <c r="C1799" s="28"/>
      <c r="D1799" s="96"/>
      <c r="E1799" s="105"/>
      <c r="F1799" s="105"/>
      <c r="G1799" s="34"/>
      <c r="H1799" s="206"/>
      <c r="I1799" s="206"/>
      <c r="J1799" s="206"/>
      <c r="K1799" s="206"/>
      <c r="L1799" s="206"/>
      <c r="M1799" s="206"/>
      <c r="N1799" s="206"/>
      <c r="O1799" s="206"/>
      <c r="P1799" s="206"/>
      <c r="Q1799" s="262"/>
      <c r="R1799" s="262"/>
      <c r="S1799" s="207"/>
      <c r="T1799" s="263"/>
      <c r="U1799" s="26"/>
      <c r="V1799" s="26"/>
      <c r="W1799" s="26"/>
      <c r="X1799" s="26"/>
    </row>
    <row r="1800">
      <c r="A1800" s="28"/>
      <c r="B1800" s="28"/>
      <c r="C1800" s="28"/>
      <c r="D1800" s="96"/>
      <c r="E1800" s="105"/>
      <c r="F1800" s="105"/>
      <c r="G1800" s="34"/>
      <c r="H1800" s="206"/>
      <c r="I1800" s="206"/>
      <c r="J1800" s="206"/>
      <c r="K1800" s="206"/>
      <c r="L1800" s="206"/>
      <c r="M1800" s="206"/>
      <c r="N1800" s="206"/>
      <c r="O1800" s="206"/>
      <c r="P1800" s="206"/>
      <c r="Q1800" s="262"/>
      <c r="R1800" s="262"/>
      <c r="S1800" s="207"/>
      <c r="T1800" s="263"/>
      <c r="U1800" s="26"/>
      <c r="V1800" s="26"/>
      <c r="W1800" s="26"/>
      <c r="X1800" s="26"/>
    </row>
    <row r="1801">
      <c r="A1801" s="28"/>
      <c r="B1801" s="28"/>
      <c r="C1801" s="81" t="s">
        <v>793</v>
      </c>
      <c r="D1801" s="246" t="s">
        <v>794</v>
      </c>
      <c r="E1801" s="105">
        <f>450000+31500+5000</f>
        <v>486500</v>
      </c>
      <c r="F1801" s="105">
        <f>600000+31500+5000</f>
        <v>636500</v>
      </c>
      <c r="G1801" s="34">
        <f>(F1801-E1801)/E1801</f>
        <v>0.3083247688</v>
      </c>
      <c r="H1801" s="206"/>
      <c r="I1801" s="206"/>
      <c r="J1801" s="206"/>
      <c r="K1801" s="206"/>
      <c r="L1801" s="206"/>
      <c r="M1801" s="206"/>
      <c r="N1801" s="206"/>
      <c r="O1801" s="206"/>
      <c r="P1801" s="206"/>
      <c r="Q1801" s="262"/>
      <c r="R1801" s="262"/>
      <c r="S1801" s="207"/>
      <c r="T1801" s="263"/>
      <c r="U1801" s="26"/>
      <c r="V1801" s="26"/>
      <c r="W1801" s="26"/>
      <c r="X1801" s="26"/>
    </row>
    <row r="1802">
      <c r="A1802" s="28"/>
      <c r="B1802" s="28"/>
      <c r="C1802" s="28"/>
      <c r="D1802" s="246" t="s">
        <v>148</v>
      </c>
      <c r="E1802" s="105">
        <f>F1801-E1801</f>
        <v>150000</v>
      </c>
      <c r="F1802" s="105"/>
      <c r="G1802" s="206"/>
      <c r="H1802" s="206"/>
      <c r="I1802" s="206"/>
      <c r="J1802" s="206"/>
      <c r="K1802" s="206"/>
      <c r="L1802" s="206"/>
      <c r="M1802" s="206"/>
      <c r="N1802" s="206"/>
      <c r="O1802" s="206"/>
      <c r="P1802" s="206"/>
      <c r="Q1802" s="262"/>
      <c r="R1802" s="262"/>
      <c r="S1802" s="207"/>
      <c r="T1802" s="263"/>
      <c r="U1802" s="26"/>
      <c r="V1802" s="26"/>
      <c r="W1802" s="26"/>
      <c r="X1802" s="26"/>
    </row>
    <row r="1803">
      <c r="A1803" s="28"/>
      <c r="B1803" s="28"/>
      <c r="C1803" s="28"/>
      <c r="D1803" s="96"/>
      <c r="E1803" s="105"/>
      <c r="F1803" s="105"/>
      <c r="G1803" s="206"/>
      <c r="H1803" s="206"/>
      <c r="I1803" s="206"/>
      <c r="J1803" s="206"/>
      <c r="K1803" s="206"/>
      <c r="L1803" s="206"/>
      <c r="M1803" s="206"/>
      <c r="N1803" s="206"/>
      <c r="O1803" s="206"/>
      <c r="P1803" s="206"/>
      <c r="Q1803" s="262"/>
      <c r="R1803" s="262"/>
      <c r="S1803" s="207"/>
      <c r="T1803" s="263"/>
      <c r="U1803" s="26"/>
      <c r="V1803" s="26"/>
      <c r="W1803" s="26"/>
      <c r="X1803" s="26"/>
    </row>
    <row r="1804">
      <c r="A1804" s="28"/>
      <c r="B1804" s="28"/>
      <c r="C1804" s="28"/>
      <c r="D1804" s="96"/>
      <c r="E1804" s="105"/>
      <c r="F1804" s="105"/>
      <c r="G1804" s="206"/>
      <c r="H1804" s="206"/>
      <c r="I1804" s="206"/>
      <c r="J1804" s="206"/>
      <c r="K1804" s="206"/>
      <c r="L1804" s="206"/>
      <c r="M1804" s="206"/>
      <c r="N1804" s="206"/>
      <c r="O1804" s="206"/>
      <c r="P1804" s="206"/>
      <c r="Q1804" s="262"/>
      <c r="R1804" s="262"/>
      <c r="S1804" s="207"/>
      <c r="T1804" s="263"/>
      <c r="U1804" s="26"/>
      <c r="V1804" s="26"/>
      <c r="W1804" s="26"/>
      <c r="X1804" s="26"/>
    </row>
    <row r="1805">
      <c r="A1805" s="28"/>
      <c r="B1805" s="28"/>
      <c r="C1805" s="1" t="s">
        <v>795</v>
      </c>
      <c r="D1805" s="246" t="s">
        <v>796</v>
      </c>
      <c r="E1805" s="201">
        <f>360000*3</f>
        <v>1080000</v>
      </c>
      <c r="F1805" s="201">
        <f>500000*3</f>
        <v>1500000</v>
      </c>
      <c r="G1805" s="206"/>
      <c r="H1805" s="206"/>
      <c r="I1805" s="206"/>
      <c r="J1805" s="206"/>
      <c r="K1805" s="206"/>
      <c r="L1805" s="206"/>
      <c r="M1805" s="206"/>
      <c r="N1805" s="206"/>
      <c r="O1805" s="206"/>
      <c r="P1805" s="206"/>
      <c r="Q1805" s="262"/>
      <c r="R1805" s="262"/>
      <c r="S1805" s="207"/>
      <c r="T1805" s="263"/>
      <c r="U1805" s="26"/>
      <c r="V1805" s="26"/>
      <c r="W1805" s="26"/>
      <c r="X1805" s="26"/>
    </row>
    <row r="1806">
      <c r="A1806" s="28"/>
      <c r="B1806" s="28"/>
      <c r="C1806" s="28"/>
      <c r="D1806" s="246" t="s">
        <v>148</v>
      </c>
      <c r="E1806" s="105">
        <f>F1805-E1805</f>
        <v>420000</v>
      </c>
      <c r="F1806" s="105"/>
      <c r="G1806" s="206"/>
      <c r="H1806" s="206"/>
      <c r="I1806" s="206"/>
      <c r="J1806" s="206"/>
      <c r="K1806" s="206"/>
      <c r="L1806" s="206"/>
      <c r="M1806" s="206"/>
      <c r="N1806" s="206"/>
      <c r="O1806" s="206"/>
      <c r="P1806" s="206"/>
      <c r="Q1806" s="262"/>
      <c r="R1806" s="262"/>
      <c r="S1806" s="207"/>
      <c r="T1806" s="263"/>
      <c r="U1806" s="26"/>
      <c r="V1806" s="26"/>
      <c r="W1806" s="26"/>
      <c r="X1806" s="26"/>
    </row>
    <row r="1807">
      <c r="A1807" s="28"/>
      <c r="B1807" s="28"/>
      <c r="C1807" s="28"/>
      <c r="D1807" s="96"/>
      <c r="E1807" s="105"/>
      <c r="F1807" s="105"/>
      <c r="G1807" s="206"/>
      <c r="H1807" s="206"/>
      <c r="I1807" s="206"/>
      <c r="J1807" s="206"/>
      <c r="K1807" s="206"/>
      <c r="L1807" s="206"/>
      <c r="M1807" s="206"/>
      <c r="N1807" s="206"/>
      <c r="O1807" s="206"/>
      <c r="P1807" s="206"/>
      <c r="Q1807" s="262"/>
      <c r="R1807" s="262"/>
      <c r="S1807" s="207"/>
      <c r="T1807" s="263"/>
      <c r="U1807" s="26"/>
      <c r="V1807" s="26"/>
      <c r="W1807" s="26"/>
      <c r="X1807" s="26"/>
    </row>
    <row r="1808">
      <c r="A1808" s="28"/>
      <c r="B1808" s="28"/>
      <c r="C1808" s="28"/>
      <c r="D1808" s="96"/>
      <c r="E1808" s="105"/>
      <c r="F1808" s="105"/>
      <c r="G1808" s="206"/>
      <c r="H1808" s="206"/>
      <c r="I1808" s="206"/>
      <c r="J1808" s="206"/>
      <c r="K1808" s="206"/>
      <c r="L1808" s="206"/>
      <c r="M1808" s="206"/>
      <c r="N1808" s="206"/>
      <c r="O1808" s="206"/>
      <c r="P1808" s="206"/>
      <c r="Q1808" s="262"/>
      <c r="R1808" s="262"/>
      <c r="S1808" s="207"/>
      <c r="T1808" s="263"/>
      <c r="U1808" s="26"/>
      <c r="V1808" s="26"/>
      <c r="W1808" s="26"/>
      <c r="X1808" s="26"/>
    </row>
    <row r="1809">
      <c r="A1809" s="28"/>
      <c r="B1809" s="28"/>
      <c r="C1809" s="1" t="s">
        <v>0</v>
      </c>
      <c r="D1809" s="246" t="s">
        <v>325</v>
      </c>
      <c r="E1809" s="201">
        <f>C1810*'Precificação por Produto'!E47</f>
        <v>360000</v>
      </c>
      <c r="F1809" s="105">
        <f>C1810*500000</f>
        <v>500000</v>
      </c>
      <c r="G1809" s="34">
        <f t="shared" ref="G1809:G1813" si="611">(F1809-E1809)/E1809</f>
        <v>0.3888888889</v>
      </c>
      <c r="H1809" s="206"/>
      <c r="I1809" s="206"/>
      <c r="J1809" s="206"/>
      <c r="K1809" s="206"/>
      <c r="L1809" s="206"/>
      <c r="M1809" s="206"/>
      <c r="N1809" s="206"/>
      <c r="O1809" s="206"/>
      <c r="P1809" s="206"/>
      <c r="Q1809" s="262"/>
      <c r="R1809" s="262"/>
      <c r="S1809" s="207"/>
      <c r="T1809" s="263"/>
      <c r="U1809" s="26"/>
      <c r="V1809" s="26"/>
      <c r="W1809" s="26"/>
      <c r="X1809" s="26"/>
    </row>
    <row r="1810">
      <c r="A1810" s="28"/>
      <c r="B1810" s="28"/>
      <c r="C1810" s="81">
        <v>1.0</v>
      </c>
      <c r="D1810" s="246" t="s">
        <v>797</v>
      </c>
      <c r="E1810" s="105">
        <f>C1810*'Precificação por Produto'!E77</f>
        <v>420000</v>
      </c>
      <c r="F1810" s="105">
        <f>C1810*550000</f>
        <v>550000</v>
      </c>
      <c r="G1810" s="34">
        <f t="shared" si="611"/>
        <v>0.3095238095</v>
      </c>
      <c r="H1810" s="206"/>
      <c r="I1810" s="206"/>
      <c r="J1810" s="206"/>
      <c r="K1810" s="206"/>
      <c r="L1810" s="206"/>
      <c r="M1810" s="206"/>
      <c r="N1810" s="206"/>
      <c r="O1810" s="206"/>
      <c r="P1810" s="206"/>
      <c r="Q1810" s="262"/>
      <c r="R1810" s="262"/>
      <c r="S1810" s="207"/>
      <c r="T1810" s="263"/>
      <c r="U1810" s="26"/>
      <c r="V1810" s="26"/>
      <c r="W1810" s="26"/>
      <c r="X1810" s="26"/>
    </row>
    <row r="1811">
      <c r="A1811" s="28"/>
      <c r="B1811" s="28"/>
      <c r="C1811" s="28"/>
      <c r="D1811" s="246" t="s">
        <v>798</v>
      </c>
      <c r="E1811" s="105">
        <f>'Precificação por Produto'!E30*C1810</f>
        <v>390000</v>
      </c>
      <c r="F1811" s="105">
        <f>C1810*610000</f>
        <v>610000</v>
      </c>
      <c r="G1811" s="34">
        <f t="shared" si="611"/>
        <v>0.5641025641</v>
      </c>
      <c r="H1811" s="206"/>
      <c r="I1811" s="206"/>
      <c r="J1811" s="206"/>
      <c r="K1811" s="206"/>
      <c r="L1811" s="206"/>
      <c r="M1811" s="206"/>
      <c r="N1811" s="206"/>
      <c r="O1811" s="206"/>
      <c r="P1811" s="206"/>
      <c r="Q1811" s="262"/>
      <c r="R1811" s="262"/>
      <c r="S1811" s="207"/>
      <c r="T1811" s="263"/>
      <c r="U1811" s="26"/>
      <c r="V1811" s="26"/>
      <c r="W1811" s="26"/>
      <c r="X1811" s="26"/>
    </row>
    <row r="1812">
      <c r="A1812" s="28"/>
      <c r="B1812" s="28"/>
      <c r="C1812" s="28"/>
      <c r="D1812" s="246" t="s">
        <v>89</v>
      </c>
      <c r="E1812" s="105">
        <f t="shared" ref="E1812:F1812" si="612">SUM(E1809:E1811)</f>
        <v>1170000</v>
      </c>
      <c r="F1812" s="105">
        <f t="shared" si="612"/>
        <v>1660000</v>
      </c>
      <c r="G1812" s="34">
        <f t="shared" si="611"/>
        <v>0.4188034188</v>
      </c>
      <c r="H1812" s="206"/>
      <c r="I1812" s="206"/>
      <c r="J1812" s="206"/>
      <c r="K1812" s="206"/>
      <c r="L1812" s="206"/>
      <c r="M1812" s="206"/>
      <c r="N1812" s="206"/>
      <c r="O1812" s="206"/>
      <c r="P1812" s="206"/>
      <c r="Q1812" s="262"/>
      <c r="R1812" s="262"/>
      <c r="S1812" s="207"/>
      <c r="T1812" s="263"/>
      <c r="U1812" s="26"/>
      <c r="V1812" s="26"/>
      <c r="W1812" s="26"/>
      <c r="X1812" s="26"/>
    </row>
    <row r="1813">
      <c r="A1813" s="28"/>
      <c r="B1813" s="28"/>
      <c r="C1813" s="28"/>
      <c r="D1813" s="246" t="s">
        <v>799</v>
      </c>
      <c r="E1813" s="210">
        <f>F1812-E1812</f>
        <v>490000</v>
      </c>
      <c r="F1813" s="105"/>
      <c r="G1813" s="34">
        <f t="shared" si="611"/>
        <v>-1</v>
      </c>
      <c r="H1813" s="206"/>
      <c r="I1813" s="206"/>
      <c r="J1813" s="206"/>
      <c r="K1813" s="206"/>
      <c r="L1813" s="206"/>
      <c r="M1813" s="206"/>
      <c r="N1813" s="206"/>
      <c r="O1813" s="206"/>
      <c r="P1813" s="206"/>
      <c r="Q1813" s="262"/>
      <c r="R1813" s="262"/>
      <c r="S1813" s="207"/>
      <c r="T1813" s="263"/>
      <c r="U1813" s="26"/>
      <c r="V1813" s="26"/>
      <c r="W1813" s="26"/>
      <c r="X1813" s="26"/>
    </row>
    <row r="1814">
      <c r="A1814" s="28"/>
      <c r="B1814" s="28"/>
      <c r="C1814" s="28"/>
      <c r="D1814" s="96"/>
      <c r="E1814" s="105"/>
      <c r="F1814" s="105"/>
      <c r="G1814" s="34"/>
      <c r="H1814" s="206"/>
      <c r="I1814" s="206"/>
      <c r="J1814" s="206"/>
      <c r="K1814" s="206"/>
      <c r="L1814" s="206"/>
      <c r="M1814" s="206"/>
      <c r="N1814" s="206"/>
      <c r="O1814" s="206"/>
      <c r="P1814" s="206"/>
      <c r="Q1814" s="262"/>
      <c r="R1814" s="262"/>
      <c r="S1814" s="207"/>
      <c r="T1814" s="263"/>
      <c r="U1814" s="26"/>
      <c r="V1814" s="26"/>
      <c r="W1814" s="26"/>
      <c r="X1814" s="26"/>
    </row>
    <row r="1815">
      <c r="A1815" s="28"/>
      <c r="B1815" s="28"/>
      <c r="C1815" s="28"/>
      <c r="D1815" s="96"/>
      <c r="E1815" s="105"/>
      <c r="F1815" s="105"/>
      <c r="G1815" s="34"/>
      <c r="H1815" s="206"/>
      <c r="I1815" s="206"/>
      <c r="J1815" s="206"/>
      <c r="K1815" s="206"/>
      <c r="L1815" s="206"/>
      <c r="M1815" s="206"/>
      <c r="N1815" s="206"/>
      <c r="O1815" s="206"/>
      <c r="P1815" s="206"/>
      <c r="Q1815" s="262"/>
      <c r="R1815" s="262"/>
      <c r="S1815" s="207"/>
      <c r="T1815" s="263"/>
      <c r="U1815" s="26"/>
      <c r="V1815" s="26"/>
      <c r="W1815" s="26"/>
      <c r="X1815" s="26"/>
    </row>
    <row r="1816">
      <c r="A1816" s="28"/>
      <c r="B1816" s="28"/>
      <c r="C1816" s="28"/>
      <c r="D1816" s="96"/>
      <c r="E1816" s="105"/>
      <c r="F1816" s="105"/>
      <c r="G1816" s="34"/>
      <c r="H1816" s="206"/>
      <c r="I1816" s="206"/>
      <c r="J1816" s="206"/>
      <c r="K1816" s="206"/>
      <c r="L1816" s="206"/>
      <c r="M1816" s="206"/>
      <c r="N1816" s="206"/>
      <c r="O1816" s="206"/>
      <c r="P1816" s="206"/>
      <c r="Q1816" s="262"/>
      <c r="R1816" s="262"/>
      <c r="S1816" s="207"/>
      <c r="T1816" s="263"/>
      <c r="U1816" s="26"/>
      <c r="V1816" s="26"/>
      <c r="W1816" s="26"/>
      <c r="X1816" s="26"/>
    </row>
    <row r="1817">
      <c r="A1817" s="28"/>
      <c r="B1817" s="28"/>
      <c r="C1817" s="1" t="s">
        <v>800</v>
      </c>
      <c r="D1817" s="246" t="s">
        <v>801</v>
      </c>
      <c r="E1817" s="105"/>
      <c r="F1817" s="105"/>
      <c r="G1817" s="34"/>
      <c r="H1817" s="206"/>
      <c r="I1817" s="206"/>
      <c r="J1817" s="206"/>
      <c r="K1817" s="206"/>
      <c r="L1817" s="206"/>
      <c r="M1817" s="206"/>
      <c r="N1817" s="206"/>
      <c r="O1817" s="206"/>
      <c r="P1817" s="206"/>
      <c r="Q1817" s="262"/>
      <c r="R1817" s="262"/>
      <c r="S1817" s="207"/>
      <c r="T1817" s="263"/>
      <c r="U1817" s="26"/>
      <c r="V1817" s="26"/>
      <c r="W1817" s="26"/>
      <c r="X1817" s="26"/>
    </row>
    <row r="1818">
      <c r="A1818" s="28"/>
      <c r="B1818" s="28"/>
      <c r="C1818" s="28"/>
      <c r="D1818" s="246" t="s">
        <v>176</v>
      </c>
      <c r="E1818" s="105">
        <f>1000000+38000*33+330000</f>
        <v>2584000</v>
      </c>
      <c r="F1818" s="105"/>
      <c r="G1818" s="34">
        <f>(F1818-E1818)/E1818</f>
        <v>-1</v>
      </c>
      <c r="H1818" s="206"/>
      <c r="I1818" s="206"/>
      <c r="J1818" s="206"/>
      <c r="K1818" s="206"/>
      <c r="L1818" s="206"/>
      <c r="M1818" s="206"/>
      <c r="N1818" s="206"/>
      <c r="O1818" s="206"/>
      <c r="P1818" s="206"/>
      <c r="Q1818" s="262"/>
      <c r="R1818" s="262"/>
      <c r="S1818" s="207"/>
      <c r="T1818" s="263"/>
      <c r="U1818" s="26"/>
      <c r="V1818" s="26"/>
      <c r="W1818" s="26"/>
      <c r="X1818" s="26"/>
    </row>
    <row r="1819">
      <c r="A1819" s="28"/>
      <c r="B1819" s="28"/>
      <c r="C1819" s="28"/>
      <c r="D1819" s="246" t="s">
        <v>802</v>
      </c>
      <c r="E1819" s="105"/>
      <c r="F1819" s="105"/>
      <c r="G1819" s="34"/>
      <c r="H1819" s="206"/>
      <c r="I1819" s="206"/>
      <c r="J1819" s="206"/>
      <c r="K1819" s="206"/>
      <c r="L1819" s="206"/>
      <c r="M1819" s="206"/>
      <c r="N1819" s="206"/>
      <c r="O1819" s="206"/>
      <c r="P1819" s="206"/>
      <c r="Q1819" s="262"/>
      <c r="R1819" s="262"/>
      <c r="S1819" s="207"/>
      <c r="T1819" s="263"/>
      <c r="U1819" s="26"/>
      <c r="V1819" s="26"/>
      <c r="W1819" s="26"/>
      <c r="X1819" s="26"/>
    </row>
    <row r="1820">
      <c r="A1820" s="28"/>
      <c r="B1820" s="28"/>
      <c r="C1820" s="28"/>
      <c r="D1820" s="246" t="s">
        <v>803</v>
      </c>
      <c r="E1820" s="201">
        <v>1.4268E7</v>
      </c>
      <c r="F1820" s="105"/>
      <c r="G1820" s="34">
        <f t="shared" ref="G1820:G1821" si="613">(F1820-E1820)/E1820</f>
        <v>-1</v>
      </c>
      <c r="H1820" s="206"/>
      <c r="I1820" s="206"/>
      <c r="J1820" s="206"/>
      <c r="K1820" s="206"/>
      <c r="L1820" s="206"/>
      <c r="M1820" s="206"/>
      <c r="N1820" s="206"/>
      <c r="O1820" s="206"/>
      <c r="P1820" s="206"/>
      <c r="Q1820" s="262"/>
      <c r="R1820" s="262"/>
      <c r="S1820" s="207"/>
      <c r="T1820" s="263"/>
      <c r="U1820" s="26"/>
      <c r="V1820" s="26"/>
      <c r="W1820" s="26"/>
      <c r="X1820" s="26"/>
    </row>
    <row r="1821">
      <c r="A1821" s="28"/>
      <c r="B1821" s="28"/>
      <c r="C1821" s="28"/>
      <c r="D1821" s="246" t="s">
        <v>804</v>
      </c>
      <c r="E1821" s="201">
        <v>900000.0</v>
      </c>
      <c r="F1821" s="105"/>
      <c r="G1821" s="34">
        <f t="shared" si="613"/>
        <v>-1</v>
      </c>
      <c r="H1821" s="206"/>
      <c r="I1821" s="206"/>
      <c r="J1821" s="206"/>
      <c r="K1821" s="206"/>
      <c r="L1821" s="206"/>
      <c r="M1821" s="206"/>
      <c r="N1821" s="206"/>
      <c r="O1821" s="206"/>
      <c r="P1821" s="206"/>
      <c r="Q1821" s="262"/>
      <c r="R1821" s="262"/>
      <c r="S1821" s="207"/>
      <c r="T1821" s="263"/>
      <c r="U1821" s="26"/>
      <c r="V1821" s="26"/>
      <c r="W1821" s="26"/>
      <c r="X1821" s="26"/>
    </row>
    <row r="1822">
      <c r="A1822" s="28"/>
      <c r="B1822" s="28"/>
      <c r="C1822" s="28"/>
      <c r="D1822" s="246" t="s">
        <v>805</v>
      </c>
      <c r="E1822" s="105"/>
      <c r="F1822" s="105"/>
      <c r="G1822" s="34"/>
      <c r="H1822" s="206"/>
      <c r="I1822" s="206"/>
      <c r="J1822" s="206"/>
      <c r="K1822" s="206"/>
      <c r="L1822" s="206"/>
      <c r="M1822" s="206"/>
      <c r="N1822" s="206"/>
      <c r="O1822" s="206"/>
      <c r="P1822" s="206"/>
      <c r="Q1822" s="262"/>
      <c r="R1822" s="262"/>
      <c r="S1822" s="207"/>
      <c r="T1822" s="263"/>
      <c r="U1822" s="26"/>
      <c r="V1822" s="26"/>
      <c r="W1822" s="26"/>
      <c r="X1822" s="26"/>
    </row>
    <row r="1823">
      <c r="A1823" s="28"/>
      <c r="B1823" s="28"/>
      <c r="C1823" s="28"/>
      <c r="D1823" s="246" t="s">
        <v>86</v>
      </c>
      <c r="E1823" s="105">
        <f>130000*30</f>
        <v>3900000</v>
      </c>
      <c r="F1823" s="105"/>
      <c r="G1823" s="34">
        <f t="shared" ref="G1823:G1827" si="614">(F1823-E1823)/E1823</f>
        <v>-1</v>
      </c>
      <c r="H1823" s="206"/>
      <c r="I1823" s="206"/>
      <c r="J1823" s="206"/>
      <c r="K1823" s="206"/>
      <c r="L1823" s="206"/>
      <c r="M1823" s="206"/>
      <c r="N1823" s="206"/>
      <c r="O1823" s="206"/>
      <c r="P1823" s="206"/>
      <c r="Q1823" s="262"/>
      <c r="R1823" s="262"/>
      <c r="S1823" s="207"/>
      <c r="T1823" s="263"/>
      <c r="U1823" s="26"/>
      <c r="V1823" s="26"/>
      <c r="W1823" s="26"/>
      <c r="X1823" s="26"/>
    </row>
    <row r="1824">
      <c r="A1824" s="28"/>
      <c r="B1824" s="28"/>
      <c r="C1824" s="28"/>
      <c r="D1824" s="246" t="s">
        <v>312</v>
      </c>
      <c r="E1824" s="105">
        <f>330000*30</f>
        <v>9900000</v>
      </c>
      <c r="F1824" s="105"/>
      <c r="G1824" s="34">
        <f t="shared" si="614"/>
        <v>-1</v>
      </c>
      <c r="H1824" s="206"/>
      <c r="I1824" s="206"/>
      <c r="J1824" s="206"/>
      <c r="K1824" s="206"/>
      <c r="L1824" s="206"/>
      <c r="M1824" s="206"/>
      <c r="N1824" s="206"/>
      <c r="O1824" s="206"/>
      <c r="P1824" s="206"/>
      <c r="Q1824" s="262"/>
      <c r="R1824" s="262"/>
      <c r="S1824" s="207"/>
      <c r="T1824" s="263"/>
      <c r="U1824" s="26"/>
      <c r="V1824" s="26"/>
      <c r="W1824" s="26"/>
      <c r="X1824" s="26"/>
    </row>
    <row r="1825">
      <c r="A1825" s="28"/>
      <c r="B1825" s="28"/>
      <c r="C1825" s="28"/>
      <c r="D1825" s="246" t="s">
        <v>806</v>
      </c>
      <c r="E1825" s="105">
        <f>180000*33</f>
        <v>5940000</v>
      </c>
      <c r="F1825" s="105"/>
      <c r="G1825" s="34">
        <f t="shared" si="614"/>
        <v>-1</v>
      </c>
      <c r="H1825" s="206"/>
      <c r="I1825" s="206"/>
      <c r="J1825" s="206"/>
      <c r="K1825" s="206"/>
      <c r="L1825" s="206"/>
      <c r="M1825" s="206"/>
      <c r="N1825" s="206"/>
      <c r="O1825" s="206"/>
      <c r="P1825" s="206"/>
      <c r="Q1825" s="262"/>
      <c r="R1825" s="262"/>
      <c r="S1825" s="207"/>
      <c r="T1825" s="263"/>
      <c r="U1825" s="26"/>
      <c r="V1825" s="26"/>
      <c r="W1825" s="26"/>
      <c r="X1825" s="26"/>
    </row>
    <row r="1826">
      <c r="A1826" s="28"/>
      <c r="B1826" s="28"/>
      <c r="C1826" s="28"/>
      <c r="D1826" s="246" t="s">
        <v>804</v>
      </c>
      <c r="E1826" s="201">
        <v>900000.0</v>
      </c>
      <c r="F1826" s="105"/>
      <c r="G1826" s="34">
        <f t="shared" si="614"/>
        <v>-1</v>
      </c>
      <c r="H1826" s="206"/>
      <c r="I1826" s="206"/>
      <c r="J1826" s="206"/>
      <c r="K1826" s="206"/>
      <c r="L1826" s="206"/>
      <c r="M1826" s="206"/>
      <c r="N1826" s="206"/>
      <c r="O1826" s="206"/>
      <c r="P1826" s="206"/>
      <c r="Q1826" s="262"/>
      <c r="R1826" s="262"/>
      <c r="S1826" s="207"/>
      <c r="T1826" s="263"/>
      <c r="U1826" s="26"/>
      <c r="V1826" s="26"/>
      <c r="W1826" s="26"/>
      <c r="X1826" s="26"/>
    </row>
    <row r="1827">
      <c r="A1827" s="28"/>
      <c r="B1827" s="28"/>
      <c r="C1827" s="28"/>
      <c r="D1827" s="96"/>
      <c r="E1827" s="105">
        <f>SUM(E1818:E1826)</f>
        <v>38392000</v>
      </c>
      <c r="F1827" s="105"/>
      <c r="G1827" s="34">
        <f t="shared" si="614"/>
        <v>-1</v>
      </c>
      <c r="H1827" s="206"/>
      <c r="I1827" s="206"/>
      <c r="J1827" s="206"/>
      <c r="K1827" s="206"/>
      <c r="L1827" s="206"/>
      <c r="M1827" s="206"/>
      <c r="N1827" s="206"/>
      <c r="O1827" s="206"/>
      <c r="P1827" s="206"/>
      <c r="Q1827" s="262"/>
      <c r="R1827" s="262"/>
      <c r="S1827" s="207"/>
      <c r="T1827" s="263"/>
      <c r="U1827" s="26"/>
      <c r="V1827" s="26"/>
      <c r="W1827" s="26"/>
      <c r="X1827" s="26"/>
    </row>
    <row r="1828">
      <c r="A1828" s="28"/>
      <c r="B1828" s="28"/>
      <c r="C1828" s="28"/>
      <c r="D1828" s="96"/>
      <c r="E1828" s="105"/>
      <c r="F1828" s="105"/>
      <c r="G1828" s="34"/>
      <c r="H1828" s="206"/>
      <c r="I1828" s="206"/>
      <c r="J1828" s="206"/>
      <c r="K1828" s="206"/>
      <c r="L1828" s="206"/>
      <c r="M1828" s="206"/>
      <c r="N1828" s="206"/>
      <c r="O1828" s="206"/>
      <c r="P1828" s="206"/>
      <c r="Q1828" s="262"/>
      <c r="R1828" s="262"/>
      <c r="S1828" s="207"/>
      <c r="T1828" s="263"/>
      <c r="U1828" s="26"/>
      <c r="V1828" s="26"/>
      <c r="W1828" s="26"/>
      <c r="X1828" s="26"/>
    </row>
    <row r="1829">
      <c r="A1829" s="28"/>
      <c r="B1829" s="28"/>
      <c r="C1829" s="28"/>
      <c r="D1829" s="96"/>
      <c r="E1829" s="105"/>
      <c r="F1829" s="105"/>
      <c r="G1829" s="34"/>
      <c r="H1829" s="206"/>
      <c r="I1829" s="206"/>
      <c r="J1829" s="206"/>
      <c r="K1829" s="206"/>
      <c r="L1829" s="206"/>
      <c r="M1829" s="206"/>
      <c r="N1829" s="206"/>
      <c r="O1829" s="206"/>
      <c r="P1829" s="206"/>
      <c r="Q1829" s="262"/>
      <c r="R1829" s="262"/>
      <c r="S1829" s="207"/>
      <c r="T1829" s="263"/>
      <c r="U1829" s="26"/>
      <c r="V1829" s="26"/>
      <c r="W1829" s="26"/>
      <c r="X1829" s="26"/>
    </row>
    <row r="1830">
      <c r="A1830" s="28"/>
      <c r="B1830" s="28"/>
      <c r="C1830" s="81" t="s">
        <v>807</v>
      </c>
      <c r="D1830" s="246" t="s">
        <v>808</v>
      </c>
      <c r="E1830" s="266">
        <f>210000*2</f>
        <v>420000</v>
      </c>
      <c r="F1830" s="105"/>
      <c r="G1830" s="34"/>
      <c r="H1830" s="206"/>
      <c r="I1830" s="206"/>
      <c r="J1830" s="206"/>
      <c r="K1830" s="206"/>
      <c r="L1830" s="206"/>
      <c r="M1830" s="206"/>
      <c r="N1830" s="206"/>
      <c r="O1830" s="206"/>
      <c r="P1830" s="206"/>
      <c r="Q1830" s="262"/>
      <c r="R1830" s="262"/>
      <c r="S1830" s="207"/>
      <c r="T1830" s="263"/>
      <c r="U1830" s="26"/>
      <c r="V1830" s="26"/>
      <c r="W1830" s="26"/>
      <c r="X1830" s="26"/>
    </row>
    <row r="1831">
      <c r="A1831" s="28"/>
      <c r="B1831" s="28"/>
      <c r="C1831" s="28"/>
      <c r="D1831" s="246" t="s">
        <v>809</v>
      </c>
      <c r="E1831" s="105">
        <f>210000*2+145000*2</f>
        <v>710000</v>
      </c>
      <c r="F1831" s="105"/>
      <c r="G1831" s="34"/>
      <c r="H1831" s="206"/>
      <c r="I1831" s="206"/>
      <c r="J1831" s="206"/>
      <c r="K1831" s="206"/>
      <c r="L1831" s="206"/>
      <c r="M1831" s="206"/>
      <c r="N1831" s="206"/>
      <c r="O1831" s="206"/>
      <c r="P1831" s="206"/>
      <c r="Q1831" s="262"/>
      <c r="R1831" s="262"/>
      <c r="S1831" s="207"/>
      <c r="T1831" s="263"/>
      <c r="U1831" s="26"/>
      <c r="V1831" s="26"/>
      <c r="W1831" s="26"/>
      <c r="X1831" s="26"/>
    </row>
    <row r="1832">
      <c r="A1832" s="28"/>
      <c r="B1832" s="28"/>
      <c r="C1832" s="28"/>
      <c r="D1832" s="267" t="s">
        <v>810</v>
      </c>
      <c r="E1832" s="105">
        <f>298000*2+295000*2</f>
        <v>1186000</v>
      </c>
      <c r="F1832" s="105"/>
      <c r="G1832" s="34"/>
      <c r="H1832" s="206"/>
      <c r="I1832" s="206"/>
      <c r="J1832" s="206"/>
      <c r="K1832" s="206"/>
      <c r="L1832" s="206"/>
      <c r="M1832" s="206"/>
      <c r="N1832" s="206"/>
      <c r="O1832" s="206"/>
      <c r="P1832" s="206"/>
      <c r="Q1832" s="262"/>
      <c r="R1832" s="262"/>
      <c r="S1832" s="207"/>
      <c r="T1832" s="263"/>
      <c r="U1832" s="26"/>
      <c r="V1832" s="26"/>
      <c r="W1832" s="26"/>
      <c r="X1832" s="26"/>
    </row>
    <row r="1833">
      <c r="A1833" s="28"/>
      <c r="B1833" s="28"/>
      <c r="C1833" s="28"/>
      <c r="D1833" s="267" t="s">
        <v>811</v>
      </c>
      <c r="E1833" s="105">
        <f>180000*2+75000*2</f>
        <v>510000</v>
      </c>
      <c r="F1833" s="105"/>
      <c r="G1833" s="34"/>
      <c r="H1833" s="206"/>
      <c r="I1833" s="206"/>
      <c r="J1833" s="206"/>
      <c r="K1833" s="206"/>
      <c r="L1833" s="206"/>
      <c r="M1833" s="206"/>
      <c r="N1833" s="206"/>
      <c r="O1833" s="206"/>
      <c r="P1833" s="206"/>
      <c r="Q1833" s="262"/>
      <c r="R1833" s="262"/>
      <c r="S1833" s="207"/>
      <c r="T1833" s="263"/>
      <c r="U1833" s="26"/>
      <c r="V1833" s="26"/>
      <c r="W1833" s="26"/>
      <c r="X1833" s="26"/>
    </row>
    <row r="1834">
      <c r="A1834" s="28"/>
      <c r="B1834" s="28"/>
      <c r="C1834" s="28"/>
      <c r="D1834" s="267" t="s">
        <v>812</v>
      </c>
      <c r="E1834" s="105">
        <f>645000*2</f>
        <v>1290000</v>
      </c>
      <c r="F1834" s="105"/>
      <c r="G1834" s="34"/>
      <c r="H1834" s="206"/>
      <c r="I1834" s="206"/>
      <c r="J1834" s="206"/>
      <c r="K1834" s="206"/>
      <c r="L1834" s="206"/>
      <c r="M1834" s="206"/>
      <c r="N1834" s="206"/>
      <c r="O1834" s="206"/>
      <c r="P1834" s="206"/>
      <c r="Q1834" s="262"/>
      <c r="R1834" s="262"/>
      <c r="S1834" s="207"/>
      <c r="T1834" s="263"/>
      <c r="U1834" s="26"/>
      <c r="V1834" s="26"/>
      <c r="W1834" s="26"/>
      <c r="X1834" s="26"/>
    </row>
    <row r="1835">
      <c r="A1835" s="28"/>
      <c r="B1835" s="28"/>
      <c r="C1835" s="28"/>
      <c r="D1835" s="268" t="s">
        <v>813</v>
      </c>
      <c r="E1835" s="105">
        <f>120000*2+100000*2</f>
        <v>440000</v>
      </c>
      <c r="F1835" s="105"/>
      <c r="G1835" s="34"/>
      <c r="H1835" s="206"/>
      <c r="I1835" s="206"/>
      <c r="J1835" s="206"/>
      <c r="K1835" s="206"/>
      <c r="L1835" s="206"/>
      <c r="M1835" s="206"/>
      <c r="N1835" s="206"/>
      <c r="O1835" s="206"/>
      <c r="P1835" s="206"/>
      <c r="Q1835" s="262"/>
      <c r="R1835" s="262"/>
      <c r="S1835" s="207"/>
      <c r="T1835" s="263"/>
      <c r="U1835" s="26"/>
      <c r="V1835" s="26"/>
      <c r="W1835" s="26"/>
      <c r="X1835" s="26"/>
    </row>
    <row r="1836">
      <c r="A1836" s="28"/>
      <c r="B1836" s="28"/>
      <c r="C1836" s="28"/>
      <c r="D1836" s="246" t="s">
        <v>101</v>
      </c>
      <c r="E1836" s="105">
        <f>SUM(E1830:E1835)</f>
        <v>4556000</v>
      </c>
      <c r="F1836" s="201"/>
      <c r="G1836" s="34"/>
      <c r="H1836" s="206"/>
      <c r="I1836" s="206"/>
      <c r="J1836" s="206"/>
      <c r="K1836" s="206"/>
      <c r="L1836" s="206"/>
      <c r="M1836" s="206"/>
      <c r="N1836" s="206"/>
      <c r="O1836" s="206"/>
      <c r="P1836" s="206"/>
      <c r="Q1836" s="262"/>
      <c r="R1836" s="262"/>
      <c r="S1836" s="207"/>
      <c r="T1836" s="263"/>
      <c r="U1836" s="26"/>
      <c r="V1836" s="26"/>
      <c r="W1836" s="26"/>
      <c r="X1836" s="26"/>
    </row>
    <row r="1837">
      <c r="A1837" s="28"/>
      <c r="B1837" s="28"/>
      <c r="C1837" s="28"/>
      <c r="D1837" s="246" t="s">
        <v>172</v>
      </c>
      <c r="E1837" s="105">
        <f>E1836*0.85</f>
        <v>3872600</v>
      </c>
      <c r="F1837" s="105"/>
      <c r="G1837" s="34"/>
      <c r="H1837" s="105"/>
      <c r="I1837" s="206"/>
      <c r="J1837" s="206"/>
      <c r="K1837" s="206"/>
      <c r="L1837" s="206"/>
      <c r="M1837" s="206"/>
      <c r="N1837" s="206"/>
      <c r="O1837" s="206"/>
      <c r="P1837" s="206"/>
      <c r="Q1837" s="262"/>
      <c r="R1837" s="262"/>
      <c r="S1837" s="207"/>
      <c r="T1837" s="263"/>
      <c r="U1837" s="26"/>
      <c r="V1837" s="26"/>
      <c r="W1837" s="26"/>
      <c r="X1837" s="26"/>
    </row>
    <row r="1838">
      <c r="A1838" s="28"/>
      <c r="B1838" s="28"/>
      <c r="C1838" s="28"/>
      <c r="D1838" s="246" t="s">
        <v>79</v>
      </c>
      <c r="E1838" s="105">
        <f>E1836-E1837</f>
        <v>683400</v>
      </c>
      <c r="F1838" s="105"/>
      <c r="G1838" s="34"/>
      <c r="H1838" s="105"/>
      <c r="I1838" s="206"/>
      <c r="J1838" s="206"/>
      <c r="K1838" s="206"/>
      <c r="L1838" s="206"/>
      <c r="M1838" s="206"/>
      <c r="N1838" s="206"/>
      <c r="O1838" s="206"/>
      <c r="P1838" s="206"/>
      <c r="Q1838" s="262"/>
      <c r="R1838" s="262"/>
      <c r="S1838" s="207"/>
      <c r="T1838" s="263"/>
      <c r="U1838" s="26"/>
      <c r="V1838" s="26"/>
      <c r="W1838" s="26"/>
      <c r="X1838" s="26"/>
    </row>
    <row r="1839">
      <c r="A1839" s="28"/>
      <c r="B1839" s="28"/>
      <c r="C1839" s="28"/>
      <c r="D1839" s="246" t="s">
        <v>814</v>
      </c>
      <c r="E1839" s="201">
        <v>350000.0</v>
      </c>
      <c r="F1839" s="105"/>
      <c r="G1839" s="34"/>
      <c r="H1839" s="206"/>
      <c r="I1839" s="206"/>
      <c r="J1839" s="206"/>
      <c r="K1839" s="206"/>
      <c r="L1839" s="206"/>
      <c r="M1839" s="206"/>
      <c r="N1839" s="206"/>
      <c r="O1839" s="206"/>
      <c r="P1839" s="206"/>
      <c r="Q1839" s="262"/>
      <c r="R1839" s="262"/>
      <c r="S1839" s="207"/>
      <c r="T1839" s="263"/>
      <c r="U1839" s="26"/>
      <c r="V1839" s="26"/>
      <c r="W1839" s="26"/>
      <c r="X1839" s="26"/>
    </row>
    <row r="1840">
      <c r="A1840" s="28"/>
      <c r="B1840" s="28"/>
      <c r="C1840" s="28"/>
      <c r="D1840" s="246" t="s">
        <v>815</v>
      </c>
      <c r="E1840" s="105">
        <f>E1836+E1839</f>
        <v>4906000</v>
      </c>
      <c r="F1840" s="105"/>
      <c r="G1840" s="34"/>
      <c r="H1840" s="206"/>
      <c r="I1840" s="206"/>
      <c r="J1840" s="206"/>
      <c r="K1840" s="206"/>
      <c r="L1840" s="206"/>
      <c r="M1840" s="206"/>
      <c r="N1840" s="206"/>
      <c r="O1840" s="206"/>
      <c r="P1840" s="206"/>
      <c r="Q1840" s="262"/>
      <c r="R1840" s="262"/>
      <c r="S1840" s="207"/>
      <c r="T1840" s="263"/>
      <c r="U1840" s="26"/>
      <c r="V1840" s="26"/>
      <c r="W1840" s="26"/>
      <c r="X1840" s="26"/>
    </row>
    <row r="1841">
      <c r="A1841" s="28"/>
      <c r="B1841" s="28"/>
      <c r="C1841" s="28"/>
      <c r="D1841" s="96"/>
      <c r="E1841" s="105">
        <f>E1837-E1840</f>
        <v>-1033400</v>
      </c>
      <c r="F1841" s="105"/>
      <c r="G1841" s="34"/>
      <c r="H1841" s="206"/>
      <c r="I1841" s="206"/>
      <c r="J1841" s="206"/>
      <c r="K1841" s="206"/>
      <c r="L1841" s="206"/>
      <c r="M1841" s="206"/>
      <c r="N1841" s="206"/>
      <c r="O1841" s="206"/>
      <c r="P1841" s="206"/>
      <c r="Q1841" s="262"/>
      <c r="R1841" s="262"/>
      <c r="S1841" s="207"/>
      <c r="T1841" s="263"/>
      <c r="U1841" s="26"/>
      <c r="V1841" s="26"/>
      <c r="W1841" s="26"/>
      <c r="X1841" s="26"/>
    </row>
    <row r="1842">
      <c r="A1842" s="28"/>
      <c r="B1842" s="28"/>
      <c r="C1842" s="28"/>
      <c r="D1842" s="96"/>
      <c r="E1842" s="105"/>
      <c r="F1842" s="105"/>
      <c r="G1842" s="34"/>
      <c r="H1842" s="206"/>
      <c r="I1842" s="206"/>
      <c r="J1842" s="206"/>
      <c r="K1842" s="206"/>
      <c r="L1842" s="206"/>
      <c r="M1842" s="206"/>
      <c r="N1842" s="206"/>
      <c r="O1842" s="206"/>
      <c r="P1842" s="206"/>
      <c r="Q1842" s="262"/>
      <c r="R1842" s="262"/>
      <c r="S1842" s="207"/>
      <c r="T1842" s="263"/>
      <c r="U1842" s="26"/>
      <c r="V1842" s="26"/>
      <c r="W1842" s="26"/>
      <c r="X1842" s="26"/>
    </row>
    <row r="1843">
      <c r="A1843" s="28"/>
      <c r="B1843" s="28"/>
      <c r="C1843" s="81" t="s">
        <v>816</v>
      </c>
      <c r="D1843" s="246" t="s">
        <v>817</v>
      </c>
      <c r="E1843" s="105">
        <f>551200*2</f>
        <v>1102400</v>
      </c>
      <c r="F1843" s="105">
        <f>E1843*1.5</f>
        <v>1653600</v>
      </c>
      <c r="G1843" s="34">
        <f t="shared" ref="G1843:G1845" si="615">(F1843-E1843)/E1843</f>
        <v>0.5</v>
      </c>
      <c r="H1843" s="206"/>
      <c r="I1843" s="206"/>
      <c r="J1843" s="206"/>
      <c r="K1843" s="206"/>
      <c r="L1843" s="206"/>
      <c r="M1843" s="206"/>
      <c r="N1843" s="206"/>
      <c r="O1843" s="206"/>
      <c r="P1843" s="206"/>
      <c r="Q1843" s="262"/>
      <c r="R1843" s="262"/>
      <c r="S1843" s="207"/>
      <c r="T1843" s="263"/>
      <c r="U1843" s="26"/>
      <c r="V1843" s="26"/>
      <c r="W1843" s="26"/>
      <c r="X1843" s="26"/>
    </row>
    <row r="1844">
      <c r="A1844" s="28"/>
      <c r="B1844" s="28"/>
      <c r="C1844" s="28"/>
      <c r="D1844" s="246" t="s">
        <v>325</v>
      </c>
      <c r="E1844" s="105">
        <f>360000*2</f>
        <v>720000</v>
      </c>
      <c r="F1844" s="105">
        <f>500000*2</f>
        <v>1000000</v>
      </c>
      <c r="G1844" s="34">
        <f t="shared" si="615"/>
        <v>0.3888888889</v>
      </c>
      <c r="H1844" s="206"/>
      <c r="I1844" s="206"/>
      <c r="J1844" s="206"/>
      <c r="K1844" s="206"/>
      <c r="L1844" s="206"/>
      <c r="M1844" s="206"/>
      <c r="N1844" s="206"/>
      <c r="O1844" s="206"/>
      <c r="P1844" s="206"/>
      <c r="Q1844" s="262"/>
      <c r="R1844" s="262"/>
      <c r="S1844" s="207"/>
      <c r="T1844" s="263"/>
      <c r="U1844" s="26"/>
      <c r="V1844" s="26"/>
      <c r="W1844" s="26"/>
      <c r="X1844" s="26"/>
    </row>
    <row r="1845">
      <c r="A1845" s="28"/>
      <c r="B1845" s="28"/>
      <c r="C1845" s="28"/>
      <c r="D1845" s="246" t="s">
        <v>222</v>
      </c>
      <c r="E1845" s="105">
        <f>370000*2</f>
        <v>740000</v>
      </c>
      <c r="F1845" s="105">
        <f>520000*2</f>
        <v>1040000</v>
      </c>
      <c r="G1845" s="34">
        <f t="shared" si="615"/>
        <v>0.4054054054</v>
      </c>
      <c r="H1845" s="206"/>
      <c r="I1845" s="206"/>
      <c r="J1845" s="206"/>
      <c r="K1845" s="206"/>
      <c r="L1845" s="206"/>
      <c r="M1845" s="206"/>
      <c r="N1845" s="206"/>
      <c r="O1845" s="206"/>
      <c r="P1845" s="206"/>
      <c r="Q1845" s="262"/>
      <c r="R1845" s="262"/>
      <c r="S1845" s="207"/>
      <c r="T1845" s="263"/>
      <c r="U1845" s="26"/>
      <c r="V1845" s="26"/>
      <c r="W1845" s="26"/>
      <c r="X1845" s="26"/>
    </row>
    <row r="1846">
      <c r="A1846" s="28"/>
      <c r="B1846" s="28"/>
      <c r="C1846" s="28"/>
      <c r="D1846" s="246" t="s">
        <v>101</v>
      </c>
      <c r="E1846" s="105">
        <f>E1843+E1844+E1845</f>
        <v>2562400</v>
      </c>
      <c r="F1846" s="105">
        <f>SUM(F1843:F1845)</f>
        <v>3693600</v>
      </c>
      <c r="G1846" s="206"/>
      <c r="H1846" s="206"/>
      <c r="I1846" s="206"/>
      <c r="J1846" s="206"/>
      <c r="K1846" s="206"/>
      <c r="L1846" s="206"/>
      <c r="M1846" s="206"/>
      <c r="N1846" s="206"/>
      <c r="O1846" s="206"/>
      <c r="P1846" s="206"/>
      <c r="Q1846" s="262"/>
      <c r="R1846" s="262"/>
      <c r="S1846" s="207"/>
      <c r="T1846" s="263"/>
      <c r="U1846" s="26"/>
      <c r="V1846" s="26"/>
      <c r="W1846" s="26"/>
      <c r="X1846" s="26"/>
    </row>
    <row r="1847">
      <c r="A1847" s="28"/>
      <c r="B1847" s="28"/>
      <c r="C1847" s="28"/>
      <c r="D1847" s="96"/>
      <c r="E1847" s="105"/>
      <c r="F1847" s="105"/>
      <c r="G1847" s="206"/>
      <c r="H1847" s="206"/>
      <c r="I1847" s="206"/>
      <c r="J1847" s="206"/>
      <c r="K1847" s="206"/>
      <c r="L1847" s="206"/>
      <c r="M1847" s="206"/>
      <c r="N1847" s="206"/>
      <c r="O1847" s="206"/>
      <c r="P1847" s="206"/>
      <c r="Q1847" s="262"/>
      <c r="R1847" s="262"/>
      <c r="S1847" s="207"/>
      <c r="T1847" s="263"/>
      <c r="U1847" s="26"/>
      <c r="V1847" s="26"/>
      <c r="W1847" s="26"/>
      <c r="X1847" s="26"/>
    </row>
    <row r="1848">
      <c r="A1848" s="28"/>
      <c r="B1848" s="28"/>
      <c r="C1848" s="81" t="s">
        <v>818</v>
      </c>
      <c r="D1848" s="246" t="s">
        <v>120</v>
      </c>
      <c r="E1848" s="201">
        <v>900000.0</v>
      </c>
      <c r="F1848" s="201">
        <v>1200000.0</v>
      </c>
      <c r="G1848" s="34">
        <f t="shared" ref="G1848:G1850" si="616">(F1848-E1848)/E1848</f>
        <v>0.3333333333</v>
      </c>
      <c r="H1848" s="206"/>
      <c r="I1848" s="73">
        <v>300.0</v>
      </c>
      <c r="J1848" s="206"/>
      <c r="K1848" s="206"/>
      <c r="L1848" s="206"/>
      <c r="M1848" s="206"/>
      <c r="N1848" s="206"/>
      <c r="O1848" s="206"/>
      <c r="P1848" s="206"/>
      <c r="Q1848" s="262"/>
      <c r="R1848" s="262"/>
      <c r="S1848" s="207"/>
      <c r="T1848" s="263"/>
      <c r="U1848" s="26"/>
      <c r="V1848" s="26"/>
      <c r="W1848" s="26"/>
      <c r="X1848" s="26"/>
    </row>
    <row r="1849">
      <c r="A1849" s="28"/>
      <c r="B1849" s="28"/>
      <c r="C1849" s="28"/>
      <c r="D1849" s="246" t="s">
        <v>819</v>
      </c>
      <c r="E1849" s="201">
        <v>840000.0</v>
      </c>
      <c r="F1849" s="105">
        <f>550000*2</f>
        <v>1100000</v>
      </c>
      <c r="G1849" s="34">
        <f t="shared" si="616"/>
        <v>0.3095238095</v>
      </c>
      <c r="H1849" s="206"/>
      <c r="I1849" s="73">
        <v>260.0</v>
      </c>
      <c r="J1849" s="206"/>
      <c r="K1849" s="206"/>
      <c r="L1849" s="206"/>
      <c r="M1849" s="206"/>
      <c r="N1849" s="206"/>
      <c r="O1849" s="206"/>
      <c r="P1849" s="206"/>
      <c r="Q1849" s="262"/>
      <c r="R1849" s="262"/>
      <c r="S1849" s="207"/>
      <c r="T1849" s="263"/>
      <c r="U1849" s="26"/>
      <c r="V1849" s="26"/>
      <c r="W1849" s="26"/>
      <c r="X1849" s="26"/>
    </row>
    <row r="1850">
      <c r="A1850" s="28"/>
      <c r="B1850" s="28"/>
      <c r="C1850" s="28"/>
      <c r="D1850" s="246" t="s">
        <v>222</v>
      </c>
      <c r="E1850" s="201">
        <v>1000.0</v>
      </c>
      <c r="F1850" s="201">
        <v>1000.0</v>
      </c>
      <c r="G1850" s="34">
        <f t="shared" si="616"/>
        <v>0</v>
      </c>
      <c r="H1850" s="206"/>
      <c r="I1850" s="206"/>
      <c r="J1850" s="206"/>
      <c r="K1850" s="206"/>
      <c r="L1850" s="206"/>
      <c r="M1850" s="206"/>
      <c r="N1850" s="206"/>
      <c r="O1850" s="206"/>
      <c r="P1850" s="206"/>
      <c r="Q1850" s="262"/>
      <c r="R1850" s="262"/>
      <c r="S1850" s="207"/>
      <c r="T1850" s="263"/>
      <c r="U1850" s="26"/>
      <c r="V1850" s="26"/>
      <c r="W1850" s="26"/>
      <c r="X1850" s="26"/>
    </row>
    <row r="1851">
      <c r="A1851" s="28"/>
      <c r="B1851" s="28"/>
      <c r="C1851" s="28"/>
      <c r="D1851" s="246" t="s">
        <v>101</v>
      </c>
      <c r="E1851" s="105">
        <f>E1848+E1849+E1850</f>
        <v>1741000</v>
      </c>
      <c r="F1851" s="105">
        <f>SUM(F1848:F1850)</f>
        <v>2301000</v>
      </c>
      <c r="G1851" s="206"/>
      <c r="H1851" s="206"/>
      <c r="I1851" s="73">
        <v>560.0</v>
      </c>
      <c r="J1851" s="206"/>
      <c r="K1851" s="206"/>
      <c r="L1851" s="206"/>
      <c r="M1851" s="206"/>
      <c r="N1851" s="206"/>
      <c r="O1851" s="206"/>
      <c r="P1851" s="206"/>
      <c r="Q1851" s="262"/>
      <c r="R1851" s="262"/>
      <c r="S1851" s="207"/>
      <c r="T1851" s="263"/>
      <c r="U1851" s="26"/>
      <c r="V1851" s="26"/>
      <c r="W1851" s="26"/>
      <c r="X1851" s="26"/>
    </row>
    <row r="1852">
      <c r="A1852" s="28"/>
      <c r="B1852" s="28"/>
      <c r="C1852" s="28"/>
      <c r="D1852" s="96"/>
      <c r="E1852" s="105"/>
      <c r="F1852" s="105"/>
      <c r="G1852" s="206"/>
      <c r="H1852" s="206"/>
      <c r="I1852" s="206"/>
      <c r="J1852" s="206"/>
      <c r="K1852" s="206"/>
      <c r="L1852" s="206"/>
      <c r="M1852" s="206"/>
      <c r="N1852" s="206"/>
      <c r="O1852" s="206"/>
      <c r="P1852" s="206"/>
      <c r="Q1852" s="262"/>
      <c r="R1852" s="262"/>
      <c r="S1852" s="207"/>
      <c r="T1852" s="263"/>
      <c r="U1852" s="26"/>
      <c r="V1852" s="26"/>
      <c r="W1852" s="26"/>
      <c r="X1852" s="26"/>
    </row>
    <row r="1853">
      <c r="A1853" s="28"/>
      <c r="B1853" s="28"/>
      <c r="C1853" s="28"/>
      <c r="D1853" s="96"/>
      <c r="E1853" s="105"/>
      <c r="F1853" s="105"/>
      <c r="G1853" s="206"/>
      <c r="H1853" s="206"/>
      <c r="I1853" s="206"/>
      <c r="J1853" s="206"/>
      <c r="K1853" s="206"/>
      <c r="L1853" s="206"/>
      <c r="M1853" s="206"/>
      <c r="N1853" s="206"/>
      <c r="O1853" s="206"/>
      <c r="P1853" s="206"/>
      <c r="Q1853" s="262"/>
      <c r="R1853" s="262"/>
      <c r="S1853" s="207"/>
      <c r="T1853" s="263"/>
      <c r="U1853" s="26"/>
      <c r="V1853" s="26"/>
      <c r="W1853" s="26"/>
      <c r="X1853" s="26"/>
    </row>
    <row r="1854">
      <c r="A1854" s="28"/>
      <c r="B1854" s="28"/>
      <c r="C1854" s="28"/>
      <c r="D1854" s="246" t="s">
        <v>820</v>
      </c>
      <c r="E1854" s="105"/>
      <c r="F1854" s="201">
        <v>2185000.0</v>
      </c>
      <c r="G1854" s="206"/>
      <c r="H1854" s="206"/>
      <c r="I1854" s="73">
        <v>444.0</v>
      </c>
      <c r="J1854" s="206"/>
      <c r="K1854" s="206"/>
      <c r="L1854" s="206"/>
      <c r="M1854" s="206"/>
      <c r="N1854" s="206"/>
      <c r="O1854" s="206"/>
      <c r="P1854" s="206"/>
      <c r="Q1854" s="262"/>
      <c r="R1854" s="262"/>
      <c r="S1854" s="207"/>
      <c r="T1854" s="263"/>
      <c r="U1854" s="26"/>
      <c r="V1854" s="26"/>
      <c r="W1854" s="26"/>
      <c r="X1854" s="26"/>
    </row>
    <row r="1855">
      <c r="A1855" s="28"/>
      <c r="B1855" s="28"/>
      <c r="C1855" s="28"/>
      <c r="D1855" s="96"/>
      <c r="E1855" s="105"/>
      <c r="F1855" s="105"/>
      <c r="G1855" s="206"/>
      <c r="H1855" s="206"/>
      <c r="I1855" s="206"/>
      <c r="J1855" s="206"/>
      <c r="K1855" s="206"/>
      <c r="L1855" s="206"/>
      <c r="M1855" s="206"/>
      <c r="N1855" s="206"/>
      <c r="O1855" s="206"/>
      <c r="P1855" s="206"/>
      <c r="Q1855" s="262"/>
      <c r="R1855" s="262"/>
      <c r="S1855" s="207"/>
      <c r="T1855" s="263"/>
      <c r="U1855" s="26"/>
      <c r="V1855" s="26"/>
      <c r="W1855" s="26"/>
      <c r="X1855" s="26"/>
    </row>
    <row r="1856">
      <c r="A1856" s="28"/>
      <c r="B1856" s="28"/>
      <c r="C1856" s="81" t="s">
        <v>818</v>
      </c>
      <c r="D1856" s="246" t="s">
        <v>120</v>
      </c>
      <c r="E1856" s="201">
        <v>900000.0</v>
      </c>
      <c r="F1856" s="201">
        <v>1200000.0</v>
      </c>
      <c r="G1856" s="34">
        <f t="shared" ref="G1856:G1858" si="617">(F1856-E1856)/E1856</f>
        <v>0.3333333333</v>
      </c>
      <c r="H1856" s="206"/>
      <c r="I1856" s="73">
        <v>300.0</v>
      </c>
      <c r="J1856" s="206"/>
      <c r="K1856" s="206"/>
      <c r="L1856" s="206"/>
      <c r="M1856" s="206"/>
      <c r="N1856" s="206"/>
      <c r="O1856" s="206"/>
      <c r="P1856" s="206"/>
      <c r="Q1856" s="262"/>
      <c r="R1856" s="262"/>
      <c r="S1856" s="207"/>
      <c r="T1856" s="263"/>
      <c r="U1856" s="26"/>
      <c r="V1856" s="26"/>
      <c r="W1856" s="26"/>
      <c r="X1856" s="26"/>
    </row>
    <row r="1857">
      <c r="A1857" s="28"/>
      <c r="B1857" s="28"/>
      <c r="C1857" s="28"/>
      <c r="D1857" s="246" t="s">
        <v>819</v>
      </c>
      <c r="E1857" s="201">
        <v>840000.0</v>
      </c>
      <c r="F1857" s="105">
        <f>550000*2</f>
        <v>1100000</v>
      </c>
      <c r="G1857" s="34">
        <f t="shared" si="617"/>
        <v>0.3095238095</v>
      </c>
      <c r="H1857" s="206"/>
      <c r="I1857" s="73">
        <v>260.0</v>
      </c>
      <c r="J1857" s="206"/>
      <c r="K1857" s="206"/>
      <c r="L1857" s="206"/>
      <c r="M1857" s="206"/>
      <c r="N1857" s="206"/>
      <c r="O1857" s="206"/>
      <c r="P1857" s="206"/>
      <c r="Q1857" s="262"/>
      <c r="R1857" s="262"/>
      <c r="S1857" s="207"/>
      <c r="T1857" s="263"/>
      <c r="U1857" s="26"/>
      <c r="V1857" s="26"/>
      <c r="W1857" s="26"/>
      <c r="X1857" s="26"/>
    </row>
    <row r="1858">
      <c r="A1858" s="28"/>
      <c r="B1858" s="28"/>
      <c r="C1858" s="28"/>
      <c r="D1858" s="246" t="s">
        <v>91</v>
      </c>
      <c r="E1858" s="201">
        <v>660000.0</v>
      </c>
      <c r="F1858" s="201">
        <v>1020000.0</v>
      </c>
      <c r="G1858" s="34">
        <f t="shared" si="617"/>
        <v>0.5454545455</v>
      </c>
      <c r="H1858" s="206"/>
      <c r="I1858" s="73">
        <v>360.0</v>
      </c>
      <c r="J1858" s="206"/>
      <c r="K1858" s="206"/>
      <c r="L1858" s="206"/>
      <c r="M1858" s="206"/>
      <c r="N1858" s="206"/>
      <c r="O1858" s="206"/>
      <c r="P1858" s="206"/>
      <c r="Q1858" s="262"/>
      <c r="R1858" s="262"/>
      <c r="S1858" s="207"/>
      <c r="T1858" s="263"/>
      <c r="U1858" s="26"/>
      <c r="V1858" s="26"/>
      <c r="W1858" s="26"/>
      <c r="X1858" s="26"/>
    </row>
    <row r="1859">
      <c r="A1859" s="28"/>
      <c r="B1859" s="28"/>
      <c r="C1859" s="28"/>
      <c r="D1859" s="246" t="s">
        <v>101</v>
      </c>
      <c r="E1859" s="105">
        <f>E1856+E1857+E1858</f>
        <v>2400000</v>
      </c>
      <c r="F1859" s="105">
        <f>SUM(F1856:F1858)</f>
        <v>3320000</v>
      </c>
      <c r="G1859" s="206"/>
      <c r="H1859" s="206"/>
      <c r="I1859" s="206"/>
      <c r="J1859" s="206"/>
      <c r="K1859" s="206"/>
      <c r="L1859" s="206"/>
      <c r="M1859" s="206"/>
      <c r="N1859" s="206"/>
      <c r="O1859" s="206"/>
      <c r="P1859" s="206"/>
      <c r="Q1859" s="262"/>
      <c r="R1859" s="262"/>
      <c r="S1859" s="207"/>
      <c r="T1859" s="263"/>
      <c r="U1859" s="26"/>
      <c r="V1859" s="26"/>
      <c r="W1859" s="26"/>
      <c r="X1859" s="26"/>
    </row>
    <row r="1860">
      <c r="A1860" s="28"/>
      <c r="B1860" s="28"/>
      <c r="C1860" s="28"/>
      <c r="D1860" s="96"/>
      <c r="E1860" s="105"/>
      <c r="F1860" s="105"/>
      <c r="G1860" s="206"/>
      <c r="H1860" s="206"/>
      <c r="I1860" s="206"/>
      <c r="J1860" s="206"/>
      <c r="K1860" s="206"/>
      <c r="L1860" s="206"/>
      <c r="M1860" s="206"/>
      <c r="N1860" s="206"/>
      <c r="O1860" s="206"/>
      <c r="P1860" s="206"/>
      <c r="Q1860" s="262"/>
      <c r="R1860" s="262"/>
      <c r="S1860" s="207"/>
      <c r="T1860" s="263"/>
      <c r="U1860" s="26"/>
      <c r="V1860" s="26"/>
      <c r="W1860" s="26"/>
      <c r="X1860" s="26"/>
    </row>
    <row r="1861">
      <c r="A1861" s="28"/>
      <c r="B1861" s="28"/>
      <c r="C1861" s="28"/>
      <c r="D1861" s="96"/>
      <c r="E1861" s="105"/>
      <c r="F1861" s="105"/>
      <c r="G1861" s="206"/>
      <c r="H1861" s="206"/>
      <c r="I1861" s="206"/>
      <c r="J1861" s="206"/>
      <c r="K1861" s="206"/>
      <c r="L1861" s="206"/>
      <c r="M1861" s="206"/>
      <c r="N1861" s="206"/>
      <c r="O1861" s="206"/>
      <c r="P1861" s="206"/>
      <c r="Q1861" s="262"/>
      <c r="R1861" s="262"/>
      <c r="S1861" s="207"/>
      <c r="T1861" s="263"/>
      <c r="U1861" s="26"/>
      <c r="V1861" s="26"/>
      <c r="W1861" s="26"/>
      <c r="X1861" s="26"/>
    </row>
    <row r="1862">
      <c r="A1862" s="28"/>
      <c r="B1862" s="28"/>
      <c r="C1862" s="28"/>
      <c r="D1862" s="246" t="s">
        <v>821</v>
      </c>
      <c r="E1862" s="105"/>
      <c r="F1862" s="201">
        <v>2800000.0</v>
      </c>
      <c r="G1862" s="206"/>
      <c r="H1862" s="206"/>
      <c r="I1862" s="206"/>
      <c r="J1862" s="206"/>
      <c r="K1862" s="206"/>
      <c r="L1862" s="206"/>
      <c r="M1862" s="206"/>
      <c r="N1862" s="206"/>
      <c r="O1862" s="206"/>
      <c r="P1862" s="206"/>
      <c r="Q1862" s="262"/>
      <c r="R1862" s="262"/>
      <c r="S1862" s="207"/>
      <c r="T1862" s="263"/>
      <c r="U1862" s="26"/>
      <c r="V1862" s="26"/>
      <c r="W1862" s="26"/>
      <c r="X1862" s="26"/>
    </row>
    <row r="1863">
      <c r="A1863" s="28"/>
      <c r="B1863" s="28"/>
      <c r="C1863" s="28"/>
      <c r="D1863" s="96"/>
      <c r="E1863" s="105"/>
      <c r="F1863" s="105"/>
      <c r="G1863" s="206"/>
      <c r="H1863" s="206"/>
      <c r="I1863" s="206"/>
      <c r="J1863" s="206"/>
      <c r="K1863" s="206"/>
      <c r="L1863" s="206"/>
      <c r="M1863" s="206"/>
      <c r="N1863" s="206"/>
      <c r="O1863" s="206"/>
      <c r="P1863" s="206"/>
      <c r="Q1863" s="262"/>
      <c r="R1863" s="262"/>
      <c r="S1863" s="207"/>
      <c r="T1863" s="263"/>
      <c r="U1863" s="26"/>
      <c r="V1863" s="26"/>
      <c r="W1863" s="26"/>
      <c r="X1863" s="26"/>
    </row>
    <row r="1864">
      <c r="A1864" s="28"/>
      <c r="B1864" s="28"/>
      <c r="C1864" s="28"/>
      <c r="D1864" s="96"/>
      <c r="E1864" s="105"/>
      <c r="F1864" s="105"/>
      <c r="G1864" s="206"/>
      <c r="H1864" s="206"/>
      <c r="I1864" s="206"/>
      <c r="J1864" s="206"/>
      <c r="K1864" s="206"/>
      <c r="L1864" s="206"/>
      <c r="M1864" s="206"/>
      <c r="N1864" s="206"/>
      <c r="O1864" s="206"/>
      <c r="P1864" s="206"/>
      <c r="Q1864" s="262"/>
      <c r="R1864" s="262"/>
      <c r="S1864" s="207"/>
      <c r="T1864" s="263"/>
      <c r="U1864" s="26"/>
      <c r="V1864" s="26"/>
      <c r="W1864" s="26"/>
      <c r="X1864" s="26"/>
    </row>
    <row r="1865">
      <c r="A1865" s="28"/>
      <c r="B1865" s="28"/>
      <c r="C1865" s="28"/>
      <c r="D1865" s="96"/>
      <c r="E1865" s="105"/>
      <c r="F1865" s="105"/>
      <c r="G1865" s="206"/>
      <c r="H1865" s="206"/>
      <c r="I1865" s="206"/>
      <c r="J1865" s="206"/>
      <c r="K1865" s="206"/>
      <c r="L1865" s="206"/>
      <c r="M1865" s="206"/>
      <c r="N1865" s="206"/>
      <c r="O1865" s="206"/>
      <c r="P1865" s="206"/>
      <c r="Q1865" s="262"/>
      <c r="R1865" s="262"/>
      <c r="S1865" s="207"/>
      <c r="T1865" s="263"/>
      <c r="U1865" s="26"/>
      <c r="V1865" s="26"/>
      <c r="W1865" s="26"/>
      <c r="X1865" s="26"/>
    </row>
    <row r="1866">
      <c r="A1866" s="28"/>
      <c r="B1866" s="28"/>
      <c r="C1866" s="28"/>
      <c r="D1866" s="96"/>
      <c r="E1866" s="105"/>
      <c r="F1866" s="105"/>
      <c r="G1866" s="206"/>
      <c r="H1866" s="206"/>
      <c r="I1866" s="206"/>
      <c r="J1866" s="206"/>
      <c r="K1866" s="206"/>
      <c r="L1866" s="206"/>
      <c r="M1866" s="206"/>
      <c r="N1866" s="206"/>
      <c r="O1866" s="206"/>
      <c r="P1866" s="206"/>
      <c r="Q1866" s="262"/>
      <c r="R1866" s="262"/>
      <c r="S1866" s="207"/>
      <c r="T1866" s="263"/>
      <c r="U1866" s="26"/>
      <c r="V1866" s="26"/>
      <c r="W1866" s="26"/>
      <c r="X1866" s="26"/>
    </row>
    <row r="1867">
      <c r="A1867" s="28"/>
      <c r="B1867" s="28"/>
      <c r="C1867" s="28"/>
      <c r="D1867" s="96"/>
      <c r="E1867" s="105"/>
      <c r="F1867" s="105"/>
      <c r="G1867" s="206"/>
      <c r="H1867" s="206"/>
      <c r="I1867" s="206"/>
      <c r="J1867" s="206"/>
      <c r="K1867" s="206"/>
      <c r="L1867" s="206"/>
      <c r="M1867" s="206"/>
      <c r="N1867" s="206"/>
      <c r="O1867" s="206"/>
      <c r="P1867" s="206"/>
      <c r="Q1867" s="262"/>
      <c r="R1867" s="262"/>
      <c r="S1867" s="207"/>
      <c r="T1867" s="263"/>
      <c r="U1867" s="26"/>
      <c r="V1867" s="26"/>
      <c r="W1867" s="26"/>
      <c r="X1867" s="26"/>
    </row>
    <row r="1868">
      <c r="A1868" s="28"/>
      <c r="B1868" s="28"/>
      <c r="C1868" s="28"/>
      <c r="D1868" s="96"/>
      <c r="E1868" s="105"/>
      <c r="F1868" s="105"/>
      <c r="G1868" s="206"/>
      <c r="H1868" s="206"/>
      <c r="I1868" s="206"/>
      <c r="J1868" s="206"/>
      <c r="K1868" s="206"/>
      <c r="L1868" s="206"/>
      <c r="M1868" s="206"/>
      <c r="N1868" s="206"/>
      <c r="O1868" s="206"/>
      <c r="P1868" s="206"/>
      <c r="Q1868" s="262"/>
      <c r="R1868" s="262"/>
      <c r="S1868" s="207"/>
      <c r="T1868" s="263"/>
      <c r="U1868" s="26"/>
      <c r="V1868" s="26"/>
      <c r="W1868" s="26"/>
      <c r="X1868" s="26"/>
    </row>
    <row r="1869">
      <c r="A1869" s="28"/>
      <c r="B1869" s="28"/>
      <c r="C1869" s="28"/>
      <c r="D1869" s="96"/>
      <c r="E1869" s="105"/>
      <c r="F1869" s="105"/>
      <c r="G1869" s="206"/>
      <c r="H1869" s="206"/>
      <c r="I1869" s="206"/>
      <c r="J1869" s="206"/>
      <c r="K1869" s="206"/>
      <c r="L1869" s="206"/>
      <c r="M1869" s="206"/>
      <c r="N1869" s="206"/>
      <c r="O1869" s="206"/>
      <c r="P1869" s="206"/>
      <c r="Q1869" s="262"/>
      <c r="R1869" s="262"/>
      <c r="S1869" s="207"/>
      <c r="T1869" s="263"/>
      <c r="U1869" s="26"/>
      <c r="V1869" s="26"/>
      <c r="W1869" s="26"/>
      <c r="X1869" s="26"/>
    </row>
    <row r="1870">
      <c r="A1870" s="28"/>
      <c r="B1870" s="28"/>
      <c r="C1870" s="28"/>
      <c r="D1870" s="96"/>
      <c r="E1870" s="105"/>
      <c r="F1870" s="105"/>
      <c r="G1870" s="206"/>
      <c r="H1870" s="206"/>
      <c r="I1870" s="206"/>
      <c r="J1870" s="206"/>
      <c r="K1870" s="206"/>
      <c r="L1870" s="206"/>
      <c r="M1870" s="206"/>
      <c r="N1870" s="206"/>
      <c r="O1870" s="206"/>
      <c r="P1870" s="206"/>
      <c r="Q1870" s="262"/>
      <c r="R1870" s="262"/>
      <c r="S1870" s="207"/>
      <c r="T1870" s="263"/>
      <c r="U1870" s="26"/>
      <c r="V1870" s="26"/>
      <c r="W1870" s="26"/>
      <c r="X1870" s="26"/>
    </row>
    <row r="1871">
      <c r="A1871" s="28"/>
      <c r="B1871" s="28"/>
      <c r="C1871" s="28"/>
      <c r="D1871" s="96"/>
      <c r="E1871" s="105"/>
      <c r="F1871" s="105"/>
      <c r="G1871" s="206"/>
      <c r="H1871" s="206"/>
      <c r="I1871" s="206"/>
      <c r="J1871" s="206"/>
      <c r="K1871" s="206"/>
      <c r="L1871" s="206"/>
      <c r="M1871" s="206"/>
      <c r="N1871" s="206"/>
      <c r="O1871" s="206"/>
      <c r="P1871" s="206"/>
      <c r="Q1871" s="262"/>
      <c r="R1871" s="262"/>
      <c r="S1871" s="207"/>
      <c r="T1871" s="263"/>
      <c r="U1871" s="26"/>
      <c r="V1871" s="26"/>
      <c r="W1871" s="26"/>
      <c r="X1871" s="26"/>
    </row>
    <row r="1872">
      <c r="A1872" s="28"/>
      <c r="B1872" s="28"/>
      <c r="C1872" s="28"/>
      <c r="D1872" s="96"/>
      <c r="E1872" s="105"/>
      <c r="F1872" s="105"/>
      <c r="G1872" s="206"/>
      <c r="H1872" s="206"/>
      <c r="I1872" s="206"/>
      <c r="J1872" s="206"/>
      <c r="K1872" s="206"/>
      <c r="L1872" s="206"/>
      <c r="M1872" s="206"/>
      <c r="N1872" s="206"/>
      <c r="O1872" s="206"/>
      <c r="P1872" s="206"/>
      <c r="Q1872" s="262"/>
      <c r="R1872" s="262"/>
      <c r="S1872" s="207"/>
      <c r="T1872" s="263"/>
      <c r="U1872" s="26"/>
      <c r="V1872" s="26"/>
      <c r="W1872" s="26"/>
      <c r="X1872" s="26"/>
    </row>
    <row r="1873">
      <c r="A1873" s="28"/>
      <c r="B1873" s="28"/>
      <c r="C1873" s="28"/>
      <c r="D1873" s="96"/>
      <c r="E1873" s="105"/>
      <c r="F1873" s="105"/>
      <c r="G1873" s="206"/>
      <c r="H1873" s="206"/>
      <c r="I1873" s="206"/>
      <c r="J1873" s="206"/>
      <c r="K1873" s="206"/>
      <c r="L1873" s="206"/>
      <c r="M1873" s="206"/>
      <c r="N1873" s="206"/>
      <c r="O1873" s="206"/>
      <c r="P1873" s="206"/>
      <c r="Q1873" s="262"/>
      <c r="R1873" s="262"/>
      <c r="S1873" s="207"/>
      <c r="T1873" s="263"/>
      <c r="U1873" s="26"/>
      <c r="V1873" s="26"/>
      <c r="W1873" s="26"/>
      <c r="X1873" s="26"/>
    </row>
    <row r="1874">
      <c r="A1874" s="28"/>
      <c r="B1874" s="28"/>
      <c r="C1874" s="28"/>
      <c r="D1874" s="96"/>
      <c r="E1874" s="105"/>
      <c r="F1874" s="105"/>
      <c r="G1874" s="206"/>
      <c r="H1874" s="206"/>
      <c r="I1874" s="206"/>
      <c r="J1874" s="206"/>
      <c r="K1874" s="206"/>
      <c r="L1874" s="206"/>
      <c r="M1874" s="206"/>
      <c r="N1874" s="206"/>
      <c r="O1874" s="206"/>
      <c r="P1874" s="206"/>
      <c r="Q1874" s="262"/>
      <c r="R1874" s="262"/>
      <c r="S1874" s="207"/>
      <c r="T1874" s="263"/>
      <c r="U1874" s="26"/>
      <c r="V1874" s="26"/>
      <c r="W1874" s="26"/>
      <c r="X1874" s="26"/>
    </row>
    <row r="1875">
      <c r="A1875" s="28"/>
      <c r="B1875" s="28"/>
      <c r="C1875" s="28"/>
      <c r="D1875" s="96"/>
      <c r="E1875" s="105"/>
      <c r="F1875" s="105"/>
      <c r="G1875" s="206"/>
      <c r="H1875" s="206"/>
      <c r="I1875" s="206"/>
      <c r="J1875" s="206"/>
      <c r="K1875" s="206"/>
      <c r="L1875" s="206"/>
      <c r="M1875" s="206"/>
      <c r="N1875" s="206"/>
      <c r="O1875" s="206"/>
      <c r="P1875" s="206"/>
      <c r="Q1875" s="262"/>
      <c r="R1875" s="262"/>
      <c r="S1875" s="207"/>
      <c r="T1875" s="263"/>
      <c r="U1875" s="26"/>
      <c r="V1875" s="26"/>
      <c r="W1875" s="26"/>
      <c r="X1875" s="26"/>
    </row>
    <row r="1876">
      <c r="A1876" s="28"/>
      <c r="B1876" s="28"/>
      <c r="C1876" s="28"/>
      <c r="D1876" s="96"/>
      <c r="E1876" s="105"/>
      <c r="F1876" s="105"/>
      <c r="G1876" s="206"/>
      <c r="H1876" s="206"/>
      <c r="I1876" s="206"/>
      <c r="J1876" s="206"/>
      <c r="K1876" s="206"/>
      <c r="L1876" s="206"/>
      <c r="M1876" s="206"/>
      <c r="N1876" s="206"/>
      <c r="O1876" s="206"/>
      <c r="P1876" s="206"/>
      <c r="Q1876" s="262"/>
      <c r="R1876" s="262"/>
      <c r="S1876" s="207"/>
      <c r="T1876" s="263"/>
      <c r="U1876" s="26"/>
      <c r="V1876" s="26"/>
      <c r="W1876" s="26"/>
      <c r="X1876" s="26"/>
    </row>
    <row r="1877">
      <c r="A1877" s="28"/>
      <c r="B1877" s="28"/>
      <c r="C1877" s="28"/>
      <c r="D1877" s="96"/>
      <c r="E1877" s="105"/>
      <c r="F1877" s="105"/>
      <c r="G1877" s="206"/>
      <c r="H1877" s="206"/>
      <c r="I1877" s="206"/>
      <c r="J1877" s="206"/>
      <c r="K1877" s="206"/>
      <c r="L1877" s="206"/>
      <c r="M1877" s="206"/>
      <c r="N1877" s="206"/>
      <c r="O1877" s="206"/>
      <c r="P1877" s="206"/>
      <c r="Q1877" s="262"/>
      <c r="R1877" s="262"/>
      <c r="S1877" s="207"/>
      <c r="T1877" s="263"/>
      <c r="U1877" s="26"/>
      <c r="V1877" s="26"/>
      <c r="W1877" s="26"/>
      <c r="X1877" s="26"/>
    </row>
    <row r="1878">
      <c r="A1878" s="28"/>
      <c r="B1878" s="28"/>
      <c r="C1878" s="28"/>
      <c r="D1878" s="96"/>
      <c r="E1878" s="105"/>
      <c r="F1878" s="105"/>
      <c r="G1878" s="206"/>
      <c r="H1878" s="206"/>
      <c r="I1878" s="206"/>
      <c r="J1878" s="206"/>
      <c r="K1878" s="206"/>
      <c r="L1878" s="206"/>
      <c r="M1878" s="206"/>
      <c r="N1878" s="206"/>
      <c r="O1878" s="206"/>
      <c r="P1878" s="206"/>
      <c r="Q1878" s="262"/>
      <c r="R1878" s="262"/>
      <c r="S1878" s="207"/>
      <c r="T1878" s="263"/>
      <c r="U1878" s="26"/>
      <c r="V1878" s="26"/>
      <c r="W1878" s="26"/>
      <c r="X1878" s="26"/>
    </row>
    <row r="1879">
      <c r="A1879" s="28"/>
      <c r="B1879" s="28"/>
      <c r="C1879" s="28"/>
      <c r="D1879" s="96"/>
      <c r="E1879" s="105"/>
      <c r="F1879" s="105"/>
      <c r="G1879" s="206"/>
      <c r="H1879" s="206"/>
      <c r="I1879" s="206"/>
      <c r="J1879" s="206"/>
      <c r="K1879" s="206"/>
      <c r="L1879" s="206"/>
      <c r="M1879" s="206"/>
      <c r="N1879" s="206"/>
      <c r="O1879" s="206"/>
      <c r="P1879" s="206"/>
      <c r="Q1879" s="262"/>
      <c r="R1879" s="262"/>
      <c r="S1879" s="207"/>
      <c r="T1879" s="263"/>
      <c r="U1879" s="26"/>
      <c r="V1879" s="26"/>
      <c r="W1879" s="26"/>
      <c r="X1879" s="26"/>
    </row>
    <row r="1880">
      <c r="A1880" s="28"/>
      <c r="B1880" s="28"/>
      <c r="C1880" s="28"/>
      <c r="D1880" s="96"/>
      <c r="E1880" s="105"/>
      <c r="F1880" s="105"/>
      <c r="G1880" s="206"/>
      <c r="H1880" s="206"/>
      <c r="I1880" s="206"/>
      <c r="J1880" s="206"/>
      <c r="K1880" s="206"/>
      <c r="L1880" s="206"/>
      <c r="M1880" s="206"/>
      <c r="N1880" s="206"/>
      <c r="O1880" s="206"/>
      <c r="P1880" s="206"/>
      <c r="Q1880" s="262"/>
      <c r="R1880" s="262"/>
      <c r="S1880" s="207"/>
      <c r="T1880" s="263"/>
      <c r="U1880" s="26"/>
      <c r="V1880" s="26"/>
      <c r="W1880" s="26"/>
      <c r="X1880" s="26"/>
    </row>
    <row r="1881">
      <c r="A1881" s="28"/>
      <c r="B1881" s="28"/>
      <c r="C1881" s="28"/>
      <c r="D1881" s="96"/>
      <c r="E1881" s="105"/>
      <c r="F1881" s="105"/>
      <c r="G1881" s="206"/>
      <c r="H1881" s="206"/>
      <c r="I1881" s="206"/>
      <c r="J1881" s="206"/>
      <c r="K1881" s="206"/>
      <c r="L1881" s="206"/>
      <c r="M1881" s="206"/>
      <c r="N1881" s="206"/>
      <c r="O1881" s="206"/>
      <c r="P1881" s="206"/>
      <c r="Q1881" s="262"/>
      <c r="R1881" s="262"/>
      <c r="S1881" s="207"/>
      <c r="T1881" s="263"/>
      <c r="U1881" s="26"/>
      <c r="V1881" s="26"/>
      <c r="W1881" s="26"/>
      <c r="X1881" s="26"/>
    </row>
    <row r="1882">
      <c r="A1882" s="28"/>
      <c r="B1882" s="28"/>
      <c r="C1882" s="28"/>
      <c r="D1882" s="96"/>
      <c r="E1882" s="105"/>
      <c r="F1882" s="105"/>
      <c r="G1882" s="206"/>
      <c r="H1882" s="206"/>
      <c r="I1882" s="206"/>
      <c r="J1882" s="206"/>
      <c r="K1882" s="206"/>
      <c r="L1882" s="206"/>
      <c r="M1882" s="206"/>
      <c r="N1882" s="206"/>
      <c r="O1882" s="206"/>
      <c r="P1882" s="206"/>
      <c r="Q1882" s="262"/>
      <c r="R1882" s="262"/>
      <c r="S1882" s="207"/>
      <c r="T1882" s="263"/>
      <c r="U1882" s="26"/>
      <c r="V1882" s="26"/>
      <c r="W1882" s="26"/>
      <c r="X1882" s="26"/>
    </row>
    <row r="1883">
      <c r="A1883" s="28"/>
      <c r="B1883" s="28"/>
      <c r="C1883" s="28"/>
      <c r="D1883" s="96"/>
      <c r="E1883" s="105"/>
      <c r="F1883" s="105"/>
      <c r="G1883" s="206"/>
      <c r="H1883" s="206"/>
      <c r="I1883" s="206"/>
      <c r="J1883" s="206"/>
      <c r="K1883" s="206"/>
      <c r="L1883" s="206"/>
      <c r="M1883" s="206"/>
      <c r="N1883" s="206"/>
      <c r="O1883" s="206"/>
      <c r="P1883" s="206"/>
      <c r="Q1883" s="262"/>
      <c r="R1883" s="262"/>
      <c r="S1883" s="207"/>
      <c r="T1883" s="263"/>
      <c r="U1883" s="26"/>
      <c r="V1883" s="26"/>
      <c r="W1883" s="26"/>
      <c r="X1883" s="26"/>
    </row>
    <row r="1884">
      <c r="A1884" s="28"/>
      <c r="B1884" s="28"/>
      <c r="C1884" s="28"/>
      <c r="D1884" s="96"/>
      <c r="E1884" s="105"/>
      <c r="F1884" s="105"/>
      <c r="G1884" s="206"/>
      <c r="H1884" s="206"/>
      <c r="I1884" s="206"/>
      <c r="J1884" s="206"/>
      <c r="K1884" s="206"/>
      <c r="L1884" s="206"/>
      <c r="M1884" s="206"/>
      <c r="N1884" s="206"/>
      <c r="O1884" s="206"/>
      <c r="P1884" s="206"/>
      <c r="Q1884" s="262"/>
      <c r="R1884" s="262"/>
      <c r="S1884" s="207"/>
      <c r="T1884" s="263"/>
      <c r="U1884" s="26"/>
      <c r="V1884" s="26"/>
      <c r="W1884" s="26"/>
      <c r="X1884" s="26"/>
    </row>
    <row r="1885">
      <c r="A1885" s="28"/>
      <c r="B1885" s="28"/>
      <c r="C1885" s="28"/>
      <c r="D1885" s="96"/>
      <c r="E1885" s="105"/>
      <c r="F1885" s="105"/>
      <c r="G1885" s="206"/>
      <c r="H1885" s="206"/>
      <c r="I1885" s="206"/>
      <c r="J1885" s="206"/>
      <c r="K1885" s="206"/>
      <c r="L1885" s="206"/>
      <c r="M1885" s="206"/>
      <c r="N1885" s="206"/>
      <c r="O1885" s="206"/>
      <c r="P1885" s="206"/>
      <c r="Q1885" s="262"/>
      <c r="R1885" s="262"/>
      <c r="S1885" s="207"/>
      <c r="T1885" s="263"/>
      <c r="U1885" s="26"/>
      <c r="V1885" s="26"/>
      <c r="W1885" s="26"/>
      <c r="X1885" s="26"/>
    </row>
    <row r="1886">
      <c r="A1886" s="28"/>
      <c r="B1886" s="28"/>
      <c r="C1886" s="28"/>
      <c r="D1886" s="96"/>
      <c r="E1886" s="105"/>
      <c r="F1886" s="105"/>
      <c r="G1886" s="206"/>
      <c r="H1886" s="206"/>
      <c r="I1886" s="206"/>
      <c r="J1886" s="206"/>
      <c r="K1886" s="206"/>
      <c r="L1886" s="206"/>
      <c r="M1886" s="206"/>
      <c r="N1886" s="206"/>
      <c r="O1886" s="206"/>
      <c r="P1886" s="206"/>
      <c r="Q1886" s="262"/>
      <c r="R1886" s="262"/>
      <c r="S1886" s="207"/>
      <c r="T1886" s="263"/>
      <c r="U1886" s="26"/>
      <c r="V1886" s="26"/>
      <c r="W1886" s="26"/>
      <c r="X1886" s="26"/>
    </row>
    <row r="1887">
      <c r="A1887" s="28"/>
      <c r="B1887" s="28"/>
      <c r="C1887" s="28"/>
      <c r="D1887" s="96"/>
      <c r="E1887" s="105"/>
      <c r="F1887" s="105"/>
      <c r="G1887" s="206"/>
      <c r="H1887" s="206"/>
      <c r="I1887" s="206"/>
      <c r="J1887" s="206"/>
      <c r="K1887" s="206"/>
      <c r="L1887" s="206"/>
      <c r="M1887" s="206"/>
      <c r="N1887" s="206"/>
      <c r="O1887" s="206"/>
      <c r="P1887" s="206"/>
      <c r="Q1887" s="262"/>
      <c r="R1887" s="262"/>
      <c r="S1887" s="207"/>
      <c r="T1887" s="263"/>
      <c r="U1887" s="26"/>
      <c r="V1887" s="26"/>
      <c r="W1887" s="26"/>
      <c r="X1887" s="26"/>
    </row>
    <row r="1888">
      <c r="A1888" s="28"/>
      <c r="B1888" s="28"/>
      <c r="C1888" s="28"/>
      <c r="D1888" s="96"/>
      <c r="E1888" s="105"/>
      <c r="F1888" s="105"/>
      <c r="G1888" s="206"/>
      <c r="H1888" s="206"/>
      <c r="I1888" s="206"/>
      <c r="J1888" s="206"/>
      <c r="K1888" s="206"/>
      <c r="L1888" s="206"/>
      <c r="M1888" s="206"/>
      <c r="N1888" s="206"/>
      <c r="O1888" s="206"/>
      <c r="P1888" s="206"/>
      <c r="Q1888" s="262"/>
      <c r="R1888" s="262"/>
      <c r="S1888" s="207"/>
      <c r="T1888" s="263"/>
      <c r="U1888" s="26"/>
      <c r="V1888" s="26"/>
      <c r="W1888" s="26"/>
      <c r="X1888" s="26"/>
    </row>
    <row r="1889">
      <c r="A1889" s="28"/>
      <c r="B1889" s="28"/>
      <c r="C1889" s="28"/>
      <c r="D1889" s="96"/>
      <c r="E1889" s="105"/>
      <c r="F1889" s="105"/>
      <c r="G1889" s="206"/>
      <c r="H1889" s="206"/>
      <c r="I1889" s="206"/>
      <c r="J1889" s="206"/>
      <c r="K1889" s="206"/>
      <c r="L1889" s="206"/>
      <c r="M1889" s="206"/>
      <c r="N1889" s="206"/>
      <c r="O1889" s="206"/>
      <c r="P1889" s="206"/>
      <c r="Q1889" s="262"/>
      <c r="R1889" s="262"/>
      <c r="S1889" s="207"/>
      <c r="T1889" s="263"/>
      <c r="U1889" s="26"/>
      <c r="V1889" s="26"/>
      <c r="W1889" s="26"/>
      <c r="X1889" s="26"/>
    </row>
    <row r="1890">
      <c r="A1890" s="28"/>
      <c r="B1890" s="28"/>
      <c r="C1890" s="28"/>
      <c r="D1890" s="96"/>
      <c r="E1890" s="105"/>
      <c r="F1890" s="105"/>
      <c r="G1890" s="206"/>
      <c r="H1890" s="206"/>
      <c r="I1890" s="206"/>
      <c r="J1890" s="206"/>
      <c r="K1890" s="206"/>
      <c r="L1890" s="206"/>
      <c r="M1890" s="206"/>
      <c r="N1890" s="206"/>
      <c r="O1890" s="206"/>
      <c r="P1890" s="206"/>
      <c r="Q1890" s="262"/>
      <c r="R1890" s="262"/>
      <c r="S1890" s="207"/>
      <c r="T1890" s="263"/>
      <c r="U1890" s="26"/>
      <c r="V1890" s="26"/>
      <c r="W1890" s="26"/>
      <c r="X1890" s="26"/>
    </row>
    <row r="1891">
      <c r="A1891" s="28"/>
      <c r="B1891" s="28"/>
      <c r="C1891" s="28"/>
      <c r="D1891" s="96"/>
      <c r="E1891" s="105"/>
      <c r="F1891" s="105"/>
      <c r="G1891" s="206"/>
      <c r="H1891" s="206"/>
      <c r="I1891" s="206"/>
      <c r="J1891" s="206"/>
      <c r="K1891" s="206"/>
      <c r="L1891" s="206"/>
      <c r="M1891" s="206"/>
      <c r="N1891" s="206"/>
      <c r="O1891" s="206"/>
      <c r="P1891" s="206"/>
      <c r="Q1891" s="262"/>
      <c r="R1891" s="262"/>
      <c r="S1891" s="207"/>
      <c r="T1891" s="263"/>
      <c r="U1891" s="26"/>
      <c r="V1891" s="26"/>
      <c r="W1891" s="26"/>
      <c r="X1891" s="26"/>
    </row>
    <row r="1892">
      <c r="A1892" s="28"/>
      <c r="B1892" s="28"/>
      <c r="C1892" s="28"/>
      <c r="D1892" s="96"/>
      <c r="E1892" s="105"/>
      <c r="F1892" s="105"/>
      <c r="G1892" s="206"/>
      <c r="H1892" s="206"/>
      <c r="I1892" s="206"/>
      <c r="J1892" s="206"/>
      <c r="K1892" s="206"/>
      <c r="L1892" s="206"/>
      <c r="M1892" s="206"/>
      <c r="N1892" s="206"/>
      <c r="O1892" s="206"/>
      <c r="P1892" s="206"/>
      <c r="Q1892" s="262"/>
      <c r="R1892" s="262"/>
      <c r="S1892" s="207"/>
      <c r="T1892" s="263"/>
      <c r="U1892" s="26"/>
      <c r="V1892" s="26"/>
      <c r="W1892" s="26"/>
      <c r="X1892" s="26"/>
    </row>
    <row r="1893">
      <c r="A1893" s="28"/>
      <c r="B1893" s="28"/>
      <c r="C1893" s="28"/>
      <c r="D1893" s="96"/>
      <c r="E1893" s="105"/>
      <c r="F1893" s="105"/>
      <c r="G1893" s="206"/>
      <c r="H1893" s="206"/>
      <c r="I1893" s="206"/>
      <c r="J1893" s="206"/>
      <c r="K1893" s="206"/>
      <c r="L1893" s="206"/>
      <c r="M1893" s="206"/>
      <c r="N1893" s="206"/>
      <c r="O1893" s="206"/>
      <c r="P1893" s="206"/>
      <c r="Q1893" s="262"/>
      <c r="R1893" s="262"/>
      <c r="S1893" s="207"/>
      <c r="T1893" s="263"/>
      <c r="U1893" s="26"/>
      <c r="V1893" s="26"/>
      <c r="W1893" s="26"/>
      <c r="X1893" s="26"/>
    </row>
    <row r="1894">
      <c r="A1894" s="28"/>
      <c r="B1894" s="28"/>
      <c r="C1894" s="28"/>
      <c r="D1894" s="96"/>
      <c r="E1894" s="105"/>
      <c r="F1894" s="105"/>
      <c r="G1894" s="206"/>
      <c r="H1894" s="206"/>
      <c r="I1894" s="206"/>
      <c r="J1894" s="206"/>
      <c r="K1894" s="206"/>
      <c r="L1894" s="206"/>
      <c r="M1894" s="206"/>
      <c r="N1894" s="206"/>
      <c r="O1894" s="206"/>
      <c r="P1894" s="206"/>
      <c r="Q1894" s="262"/>
      <c r="R1894" s="262"/>
      <c r="S1894" s="207"/>
      <c r="T1894" s="263"/>
      <c r="U1894" s="26"/>
      <c r="V1894" s="26"/>
      <c r="W1894" s="26"/>
      <c r="X1894" s="26"/>
    </row>
    <row r="1895">
      <c r="A1895" s="28"/>
      <c r="B1895" s="28"/>
      <c r="C1895" s="28"/>
      <c r="D1895" s="96"/>
      <c r="E1895" s="105"/>
      <c r="F1895" s="105"/>
      <c r="G1895" s="206"/>
      <c r="H1895" s="206"/>
      <c r="I1895" s="206"/>
      <c r="J1895" s="206"/>
      <c r="K1895" s="206"/>
      <c r="L1895" s="206"/>
      <c r="M1895" s="206"/>
      <c r="N1895" s="206"/>
      <c r="O1895" s="206"/>
      <c r="P1895" s="206"/>
      <c r="Q1895" s="262"/>
      <c r="R1895" s="262"/>
      <c r="S1895" s="207"/>
      <c r="T1895" s="263"/>
      <c r="U1895" s="26"/>
      <c r="V1895" s="26"/>
      <c r="W1895" s="26"/>
      <c r="X1895" s="26"/>
    </row>
    <row r="1896">
      <c r="A1896" s="28"/>
      <c r="B1896" s="28"/>
      <c r="C1896" s="28"/>
      <c r="D1896" s="96"/>
      <c r="E1896" s="105"/>
      <c r="F1896" s="105"/>
      <c r="G1896" s="206"/>
      <c r="H1896" s="206"/>
      <c r="I1896" s="206"/>
      <c r="J1896" s="206"/>
      <c r="K1896" s="206"/>
      <c r="L1896" s="206"/>
      <c r="M1896" s="206"/>
      <c r="N1896" s="206"/>
      <c r="O1896" s="206"/>
      <c r="P1896" s="206"/>
      <c r="Q1896" s="262"/>
      <c r="R1896" s="262"/>
      <c r="S1896" s="207"/>
      <c r="T1896" s="263"/>
      <c r="U1896" s="26"/>
      <c r="V1896" s="26"/>
      <c r="W1896" s="26"/>
      <c r="X1896" s="26"/>
    </row>
    <row r="1897">
      <c r="A1897" s="28"/>
      <c r="B1897" s="28"/>
      <c r="C1897" s="28"/>
      <c r="D1897" s="96"/>
      <c r="E1897" s="105"/>
      <c r="F1897" s="105"/>
      <c r="G1897" s="206"/>
      <c r="H1897" s="206"/>
      <c r="I1897" s="206"/>
      <c r="J1897" s="206"/>
      <c r="K1897" s="206"/>
      <c r="L1897" s="206"/>
      <c r="M1897" s="206"/>
      <c r="N1897" s="206"/>
      <c r="O1897" s="206"/>
      <c r="P1897" s="206"/>
      <c r="Q1897" s="262"/>
      <c r="R1897" s="262"/>
      <c r="S1897" s="207"/>
      <c r="T1897" s="263"/>
      <c r="U1897" s="26"/>
      <c r="V1897" s="26"/>
      <c r="W1897" s="26"/>
      <c r="X1897" s="26"/>
    </row>
    <row r="1898">
      <c r="A1898" s="28"/>
      <c r="B1898" s="28"/>
      <c r="C1898" s="28"/>
      <c r="D1898" s="96"/>
      <c r="E1898" s="105"/>
      <c r="F1898" s="105"/>
      <c r="G1898" s="206"/>
      <c r="H1898" s="206"/>
      <c r="I1898" s="206"/>
      <c r="J1898" s="206"/>
      <c r="K1898" s="206"/>
      <c r="L1898" s="206"/>
      <c r="M1898" s="206"/>
      <c r="N1898" s="206"/>
      <c r="O1898" s="206"/>
      <c r="P1898" s="206"/>
      <c r="Q1898" s="262"/>
      <c r="R1898" s="262"/>
      <c r="S1898" s="207"/>
      <c r="T1898" s="263"/>
      <c r="U1898" s="26"/>
      <c r="V1898" s="26"/>
      <c r="W1898" s="26"/>
      <c r="X1898" s="26"/>
    </row>
    <row r="1899">
      <c r="A1899" s="28"/>
      <c r="B1899" s="28"/>
      <c r="C1899" s="28"/>
      <c r="D1899" s="96"/>
      <c r="E1899" s="105"/>
      <c r="F1899" s="105"/>
      <c r="G1899" s="206"/>
      <c r="H1899" s="206"/>
      <c r="I1899" s="206"/>
      <c r="J1899" s="206"/>
      <c r="K1899" s="206"/>
      <c r="L1899" s="206"/>
      <c r="M1899" s="206"/>
      <c r="N1899" s="206"/>
      <c r="O1899" s="206"/>
      <c r="P1899" s="206"/>
      <c r="Q1899" s="262"/>
      <c r="R1899" s="262"/>
      <c r="S1899" s="207"/>
      <c r="T1899" s="263"/>
      <c r="U1899" s="26"/>
      <c r="V1899" s="26"/>
      <c r="W1899" s="26"/>
      <c r="X1899" s="26"/>
    </row>
    <row r="1900">
      <c r="A1900" s="28"/>
      <c r="B1900" s="28"/>
      <c r="C1900" s="28"/>
      <c r="D1900" s="96"/>
      <c r="E1900" s="105"/>
      <c r="F1900" s="105"/>
      <c r="G1900" s="206"/>
      <c r="H1900" s="206"/>
      <c r="I1900" s="206"/>
      <c r="J1900" s="206"/>
      <c r="K1900" s="206"/>
      <c r="L1900" s="206"/>
      <c r="M1900" s="206"/>
      <c r="N1900" s="206"/>
      <c r="O1900" s="206"/>
      <c r="P1900" s="206"/>
      <c r="Q1900" s="262"/>
      <c r="R1900" s="262"/>
      <c r="S1900" s="207"/>
      <c r="T1900" s="263"/>
      <c r="U1900" s="26"/>
      <c r="V1900" s="26"/>
      <c r="W1900" s="26"/>
      <c r="X1900" s="26"/>
    </row>
    <row r="1901">
      <c r="A1901" s="28"/>
      <c r="B1901" s="28"/>
      <c r="C1901" s="28"/>
      <c r="D1901" s="96"/>
      <c r="E1901" s="105"/>
      <c r="F1901" s="105"/>
      <c r="G1901" s="206"/>
      <c r="H1901" s="206"/>
      <c r="I1901" s="206"/>
      <c r="J1901" s="206"/>
      <c r="K1901" s="206"/>
      <c r="L1901" s="206"/>
      <c r="M1901" s="206"/>
      <c r="N1901" s="206"/>
      <c r="O1901" s="206"/>
      <c r="P1901" s="206"/>
      <c r="Q1901" s="262"/>
      <c r="R1901" s="262"/>
      <c r="S1901" s="207"/>
      <c r="T1901" s="263"/>
      <c r="U1901" s="26"/>
      <c r="V1901" s="26"/>
      <c r="W1901" s="26"/>
      <c r="X1901" s="26"/>
    </row>
    <row r="1902">
      <c r="A1902" s="28"/>
      <c r="B1902" s="28"/>
      <c r="C1902" s="28"/>
      <c r="D1902" s="96"/>
      <c r="E1902" s="105"/>
      <c r="F1902" s="105"/>
      <c r="G1902" s="206"/>
      <c r="H1902" s="206"/>
      <c r="I1902" s="206"/>
      <c r="J1902" s="206"/>
      <c r="K1902" s="206"/>
      <c r="L1902" s="206"/>
      <c r="M1902" s="206"/>
      <c r="N1902" s="206"/>
      <c r="O1902" s="206"/>
      <c r="P1902" s="206"/>
      <c r="Q1902" s="262"/>
      <c r="R1902" s="262"/>
      <c r="S1902" s="207"/>
      <c r="T1902" s="263"/>
      <c r="U1902" s="26"/>
      <c r="V1902" s="26"/>
      <c r="W1902" s="26"/>
      <c r="X1902" s="26"/>
    </row>
    <row r="1903">
      <c r="A1903" s="28"/>
      <c r="B1903" s="28"/>
      <c r="C1903" s="28"/>
      <c r="D1903" s="96"/>
      <c r="E1903" s="105"/>
      <c r="F1903" s="105"/>
      <c r="G1903" s="206"/>
      <c r="H1903" s="206"/>
      <c r="I1903" s="206"/>
      <c r="J1903" s="206"/>
      <c r="K1903" s="206"/>
      <c r="L1903" s="206"/>
      <c r="M1903" s="206"/>
      <c r="N1903" s="206"/>
      <c r="O1903" s="206"/>
      <c r="P1903" s="206"/>
      <c r="Q1903" s="262"/>
      <c r="R1903" s="262"/>
      <c r="S1903" s="207"/>
      <c r="T1903" s="263"/>
      <c r="U1903" s="26"/>
      <c r="V1903" s="26"/>
      <c r="W1903" s="26"/>
      <c r="X1903" s="26"/>
    </row>
    <row r="1904">
      <c r="A1904" s="28"/>
      <c r="B1904" s="28"/>
      <c r="C1904" s="28"/>
      <c r="D1904" s="96"/>
      <c r="E1904" s="105"/>
      <c r="F1904" s="105"/>
      <c r="G1904" s="206"/>
      <c r="H1904" s="206"/>
      <c r="I1904" s="206"/>
      <c r="J1904" s="206"/>
      <c r="K1904" s="206"/>
      <c r="L1904" s="206"/>
      <c r="M1904" s="206"/>
      <c r="N1904" s="206"/>
      <c r="O1904" s="206"/>
      <c r="P1904" s="206"/>
      <c r="Q1904" s="262"/>
      <c r="R1904" s="262"/>
      <c r="S1904" s="207"/>
      <c r="T1904" s="263"/>
      <c r="U1904" s="26"/>
      <c r="V1904" s="26"/>
      <c r="W1904" s="26"/>
      <c r="X1904" s="26"/>
    </row>
    <row r="1905">
      <c r="A1905" s="28"/>
      <c r="B1905" s="28"/>
      <c r="C1905" s="28"/>
      <c r="D1905" s="96"/>
      <c r="E1905" s="105"/>
      <c r="F1905" s="105"/>
      <c r="G1905" s="206"/>
      <c r="H1905" s="206"/>
      <c r="I1905" s="206"/>
      <c r="J1905" s="206"/>
      <c r="K1905" s="206"/>
      <c r="L1905" s="206"/>
      <c r="M1905" s="206"/>
      <c r="N1905" s="206"/>
      <c r="O1905" s="206"/>
      <c r="P1905" s="206"/>
      <c r="Q1905" s="262"/>
      <c r="R1905" s="262"/>
      <c r="S1905" s="207"/>
      <c r="T1905" s="263"/>
      <c r="U1905" s="26"/>
      <c r="V1905" s="26"/>
      <c r="W1905" s="26"/>
      <c r="X1905" s="26"/>
    </row>
    <row r="1906">
      <c r="A1906" s="28"/>
      <c r="B1906" s="28"/>
      <c r="C1906" s="28"/>
      <c r="D1906" s="96"/>
      <c r="E1906" s="105"/>
      <c r="F1906" s="105"/>
      <c r="G1906" s="206"/>
      <c r="H1906" s="206"/>
      <c r="I1906" s="206"/>
      <c r="J1906" s="206"/>
      <c r="K1906" s="206"/>
      <c r="L1906" s="206"/>
      <c r="M1906" s="206"/>
      <c r="N1906" s="206"/>
      <c r="O1906" s="206"/>
      <c r="P1906" s="206"/>
      <c r="Q1906" s="262"/>
      <c r="R1906" s="262"/>
      <c r="S1906" s="207"/>
      <c r="T1906" s="263"/>
      <c r="U1906" s="26"/>
      <c r="V1906" s="26"/>
      <c r="W1906" s="26"/>
      <c r="X1906" s="26"/>
    </row>
    <row r="1907">
      <c r="A1907" s="28"/>
      <c r="B1907" s="28"/>
      <c r="C1907" s="28"/>
      <c r="D1907" s="96"/>
      <c r="E1907" s="105"/>
      <c r="F1907" s="105"/>
      <c r="G1907" s="206"/>
      <c r="H1907" s="206"/>
      <c r="I1907" s="206"/>
      <c r="J1907" s="206"/>
      <c r="K1907" s="206"/>
      <c r="L1907" s="206"/>
      <c r="M1907" s="206"/>
      <c r="N1907" s="206"/>
      <c r="O1907" s="206"/>
      <c r="P1907" s="206"/>
      <c r="Q1907" s="262"/>
      <c r="R1907" s="262"/>
      <c r="S1907" s="207"/>
      <c r="T1907" s="263"/>
      <c r="U1907" s="26"/>
      <c r="V1907" s="26"/>
      <c r="W1907" s="26"/>
      <c r="X1907" s="26"/>
    </row>
    <row r="1908">
      <c r="A1908" s="28"/>
      <c r="B1908" s="28"/>
      <c r="C1908" s="28"/>
      <c r="D1908" s="96"/>
      <c r="E1908" s="105"/>
      <c r="F1908" s="105"/>
      <c r="G1908" s="206"/>
      <c r="H1908" s="206"/>
      <c r="I1908" s="206"/>
      <c r="J1908" s="206"/>
      <c r="K1908" s="206"/>
      <c r="L1908" s="206"/>
      <c r="M1908" s="206"/>
      <c r="N1908" s="206"/>
      <c r="O1908" s="206"/>
      <c r="P1908" s="206"/>
      <c r="Q1908" s="262"/>
      <c r="R1908" s="262"/>
      <c r="S1908" s="207"/>
      <c r="T1908" s="263"/>
      <c r="U1908" s="26"/>
      <c r="V1908" s="26"/>
      <c r="W1908" s="26"/>
      <c r="X1908" s="26"/>
    </row>
    <row r="1909">
      <c r="A1909" s="28"/>
      <c r="B1909" s="28"/>
      <c r="C1909" s="28"/>
      <c r="D1909" s="96"/>
      <c r="E1909" s="105"/>
      <c r="F1909" s="105"/>
      <c r="G1909" s="206"/>
      <c r="H1909" s="206"/>
      <c r="I1909" s="206"/>
      <c r="J1909" s="206"/>
      <c r="K1909" s="206"/>
      <c r="L1909" s="206"/>
      <c r="M1909" s="206"/>
      <c r="N1909" s="206"/>
      <c r="O1909" s="206"/>
      <c r="P1909" s="206"/>
      <c r="Q1909" s="262"/>
      <c r="R1909" s="262"/>
      <c r="S1909" s="207"/>
      <c r="T1909" s="263"/>
      <c r="U1909" s="26"/>
      <c r="V1909" s="26"/>
      <c r="W1909" s="26"/>
      <c r="X1909" s="26"/>
    </row>
    <row r="1910">
      <c r="A1910" s="28"/>
      <c r="B1910" s="28"/>
      <c r="C1910" s="28"/>
      <c r="D1910" s="96"/>
      <c r="E1910" s="105"/>
      <c r="F1910" s="105"/>
      <c r="G1910" s="206"/>
      <c r="H1910" s="206"/>
      <c r="I1910" s="206"/>
      <c r="J1910" s="206"/>
      <c r="K1910" s="206"/>
      <c r="L1910" s="206"/>
      <c r="M1910" s="206"/>
      <c r="N1910" s="206"/>
      <c r="O1910" s="206"/>
      <c r="P1910" s="206"/>
      <c r="Q1910" s="262"/>
      <c r="R1910" s="262"/>
      <c r="S1910" s="207"/>
      <c r="T1910" s="263"/>
      <c r="U1910" s="26"/>
      <c r="V1910" s="26"/>
      <c r="W1910" s="26"/>
      <c r="X1910" s="26"/>
    </row>
    <row r="1911">
      <c r="A1911" s="28"/>
      <c r="B1911" s="28"/>
      <c r="C1911" s="28"/>
      <c r="D1911" s="96"/>
      <c r="E1911" s="105"/>
      <c r="F1911" s="105"/>
      <c r="G1911" s="206"/>
      <c r="H1911" s="206"/>
      <c r="I1911" s="206"/>
      <c r="J1911" s="206"/>
      <c r="K1911" s="206"/>
      <c r="L1911" s="206"/>
      <c r="M1911" s="206"/>
      <c r="N1911" s="206"/>
      <c r="O1911" s="206"/>
      <c r="P1911" s="206"/>
      <c r="Q1911" s="262"/>
      <c r="R1911" s="262"/>
      <c r="S1911" s="207"/>
      <c r="T1911" s="263"/>
      <c r="U1911" s="26"/>
      <c r="V1911" s="26"/>
      <c r="W1911" s="26"/>
      <c r="X1911" s="26"/>
    </row>
    <row r="1912">
      <c r="A1912" s="28"/>
      <c r="B1912" s="28"/>
      <c r="C1912" s="28"/>
      <c r="D1912" s="96"/>
      <c r="E1912" s="105"/>
      <c r="F1912" s="105"/>
      <c r="G1912" s="206"/>
      <c r="H1912" s="206"/>
      <c r="I1912" s="206"/>
      <c r="J1912" s="206"/>
      <c r="K1912" s="206"/>
      <c r="L1912" s="206"/>
      <c r="M1912" s="206"/>
      <c r="N1912" s="206"/>
      <c r="O1912" s="206"/>
      <c r="P1912" s="206"/>
      <c r="Q1912" s="262"/>
      <c r="R1912" s="262"/>
      <c r="S1912" s="207"/>
      <c r="T1912" s="263"/>
      <c r="U1912" s="26"/>
      <c r="V1912" s="26"/>
      <c r="W1912" s="26"/>
      <c r="X1912" s="26"/>
    </row>
    <row r="1913">
      <c r="A1913" s="28"/>
      <c r="B1913" s="28"/>
      <c r="C1913" s="28"/>
      <c r="D1913" s="96"/>
      <c r="E1913" s="105"/>
      <c r="F1913" s="105"/>
      <c r="G1913" s="206"/>
      <c r="H1913" s="206"/>
      <c r="I1913" s="206"/>
      <c r="J1913" s="206"/>
      <c r="K1913" s="206"/>
      <c r="L1913" s="206"/>
      <c r="M1913" s="206"/>
      <c r="N1913" s="206"/>
      <c r="O1913" s="206"/>
      <c r="P1913" s="206"/>
      <c r="Q1913" s="262"/>
      <c r="R1913" s="262"/>
      <c r="S1913" s="207"/>
      <c r="T1913" s="263"/>
      <c r="U1913" s="26"/>
      <c r="V1913" s="26"/>
      <c r="W1913" s="26"/>
      <c r="X1913" s="26"/>
    </row>
    <row r="1914">
      <c r="A1914" s="28"/>
      <c r="B1914" s="28"/>
      <c r="C1914" s="28"/>
      <c r="D1914" s="96"/>
      <c r="E1914" s="105"/>
      <c r="F1914" s="105"/>
      <c r="G1914" s="206"/>
      <c r="H1914" s="206"/>
      <c r="I1914" s="206"/>
      <c r="J1914" s="206"/>
      <c r="K1914" s="206"/>
      <c r="L1914" s="206"/>
      <c r="M1914" s="206"/>
      <c r="N1914" s="206"/>
      <c r="O1914" s="206"/>
      <c r="P1914" s="206"/>
      <c r="Q1914" s="262"/>
      <c r="R1914" s="262"/>
      <c r="S1914" s="207"/>
      <c r="T1914" s="263"/>
      <c r="U1914" s="26"/>
      <c r="V1914" s="26"/>
      <c r="W1914" s="26"/>
      <c r="X1914" s="26"/>
    </row>
    <row r="1915">
      <c r="A1915" s="28"/>
      <c r="B1915" s="28"/>
      <c r="C1915" s="28"/>
      <c r="D1915" s="96"/>
      <c r="E1915" s="105"/>
      <c r="F1915" s="105"/>
      <c r="G1915" s="206"/>
      <c r="H1915" s="206"/>
      <c r="I1915" s="206"/>
      <c r="J1915" s="206"/>
      <c r="K1915" s="206"/>
      <c r="L1915" s="206"/>
      <c r="M1915" s="206"/>
      <c r="N1915" s="206"/>
      <c r="O1915" s="206"/>
      <c r="P1915" s="206"/>
      <c r="Q1915" s="262"/>
      <c r="R1915" s="262"/>
      <c r="S1915" s="207"/>
      <c r="T1915" s="263"/>
      <c r="U1915" s="26"/>
      <c r="V1915" s="26"/>
      <c r="W1915" s="26"/>
      <c r="X1915" s="26"/>
    </row>
    <row r="1916">
      <c r="A1916" s="28"/>
      <c r="B1916" s="28"/>
      <c r="C1916" s="28"/>
      <c r="D1916" s="96"/>
      <c r="E1916" s="105"/>
      <c r="F1916" s="105"/>
      <c r="G1916" s="206"/>
      <c r="H1916" s="206"/>
      <c r="I1916" s="206"/>
      <c r="J1916" s="206"/>
      <c r="K1916" s="206"/>
      <c r="L1916" s="206"/>
      <c r="M1916" s="206"/>
      <c r="N1916" s="206"/>
      <c r="O1916" s="206"/>
      <c r="P1916" s="206"/>
      <c r="Q1916" s="262"/>
      <c r="R1916" s="262"/>
      <c r="S1916" s="207"/>
      <c r="T1916" s="263"/>
      <c r="U1916" s="26"/>
      <c r="V1916" s="26"/>
      <c r="W1916" s="26"/>
      <c r="X1916" s="26"/>
    </row>
    <row r="1917">
      <c r="A1917" s="28"/>
      <c r="B1917" s="28"/>
      <c r="C1917" s="28"/>
      <c r="D1917" s="96"/>
      <c r="E1917" s="105"/>
      <c r="F1917" s="105"/>
      <c r="G1917" s="206"/>
      <c r="H1917" s="206"/>
      <c r="I1917" s="206"/>
      <c r="J1917" s="206"/>
      <c r="K1917" s="206"/>
      <c r="L1917" s="206"/>
      <c r="M1917" s="206"/>
      <c r="N1917" s="206"/>
      <c r="O1917" s="206"/>
      <c r="P1917" s="206"/>
      <c r="Q1917" s="262"/>
      <c r="R1917" s="262"/>
      <c r="S1917" s="207"/>
      <c r="T1917" s="263"/>
      <c r="U1917" s="26"/>
      <c r="V1917" s="26"/>
      <c r="W1917" s="26"/>
      <c r="X1917" s="26"/>
    </row>
    <row r="1918">
      <c r="A1918" s="28"/>
      <c r="B1918" s="28"/>
      <c r="C1918" s="28"/>
      <c r="D1918" s="96"/>
      <c r="E1918" s="105"/>
      <c r="F1918" s="105"/>
      <c r="G1918" s="206"/>
      <c r="H1918" s="206"/>
      <c r="I1918" s="206"/>
      <c r="J1918" s="206"/>
      <c r="K1918" s="206"/>
      <c r="L1918" s="206"/>
      <c r="M1918" s="206"/>
      <c r="N1918" s="206"/>
      <c r="O1918" s="206"/>
      <c r="P1918" s="206"/>
      <c r="Q1918" s="262"/>
      <c r="R1918" s="262"/>
      <c r="S1918" s="207"/>
      <c r="T1918" s="263"/>
      <c r="U1918" s="26"/>
      <c r="V1918" s="26"/>
      <c r="W1918" s="26"/>
      <c r="X1918" s="26"/>
    </row>
    <row r="1919">
      <c r="A1919" s="28"/>
      <c r="B1919" s="28"/>
      <c r="C1919" s="28"/>
      <c r="D1919" s="96"/>
      <c r="E1919" s="105"/>
      <c r="F1919" s="105"/>
      <c r="G1919" s="206"/>
      <c r="H1919" s="206"/>
      <c r="I1919" s="206"/>
      <c r="J1919" s="206"/>
      <c r="K1919" s="206"/>
      <c r="L1919" s="206"/>
      <c r="M1919" s="206"/>
      <c r="N1919" s="206"/>
      <c r="O1919" s="206"/>
      <c r="P1919" s="206"/>
      <c r="Q1919" s="262"/>
      <c r="R1919" s="262"/>
      <c r="S1919" s="207"/>
      <c r="T1919" s="263"/>
      <c r="U1919" s="26"/>
      <c r="V1919" s="26"/>
      <c r="W1919" s="26"/>
      <c r="X1919" s="26"/>
    </row>
    <row r="1920">
      <c r="A1920" s="28"/>
      <c r="B1920" s="28"/>
      <c r="C1920" s="28"/>
      <c r="D1920" s="96"/>
      <c r="E1920" s="105"/>
      <c r="F1920" s="105"/>
      <c r="G1920" s="206"/>
      <c r="H1920" s="206"/>
      <c r="I1920" s="206"/>
      <c r="J1920" s="206"/>
      <c r="K1920" s="206"/>
      <c r="L1920" s="206"/>
      <c r="M1920" s="206"/>
      <c r="N1920" s="206"/>
      <c r="O1920" s="206"/>
      <c r="P1920" s="206"/>
      <c r="Q1920" s="262"/>
      <c r="R1920" s="262"/>
      <c r="S1920" s="207"/>
      <c r="T1920" s="263"/>
      <c r="U1920" s="26"/>
      <c r="V1920" s="26"/>
      <c r="W1920" s="26"/>
      <c r="X1920" s="26"/>
    </row>
    <row r="1921">
      <c r="A1921" s="28"/>
      <c r="B1921" s="28"/>
      <c r="C1921" s="28"/>
      <c r="D1921" s="96"/>
      <c r="E1921" s="105"/>
      <c r="F1921" s="105"/>
      <c r="G1921" s="206"/>
      <c r="H1921" s="206"/>
      <c r="I1921" s="206"/>
      <c r="J1921" s="206"/>
      <c r="K1921" s="206"/>
      <c r="L1921" s="206"/>
      <c r="M1921" s="206"/>
      <c r="N1921" s="206"/>
      <c r="O1921" s="206"/>
      <c r="P1921" s="206"/>
      <c r="Q1921" s="262"/>
      <c r="R1921" s="262"/>
      <c r="S1921" s="207"/>
      <c r="T1921" s="263"/>
      <c r="U1921" s="26"/>
      <c r="V1921" s="26"/>
      <c r="W1921" s="26"/>
      <c r="X1921" s="26"/>
    </row>
    <row r="1922">
      <c r="A1922" s="28"/>
      <c r="B1922" s="28"/>
      <c r="C1922" s="28"/>
      <c r="D1922" s="96"/>
      <c r="E1922" s="105"/>
      <c r="F1922" s="105"/>
      <c r="G1922" s="206"/>
      <c r="H1922" s="206"/>
      <c r="I1922" s="206"/>
      <c r="J1922" s="206"/>
      <c r="K1922" s="206"/>
      <c r="L1922" s="206"/>
      <c r="M1922" s="206"/>
      <c r="N1922" s="206"/>
      <c r="O1922" s="206"/>
      <c r="P1922" s="206"/>
      <c r="Q1922" s="262"/>
      <c r="R1922" s="262"/>
      <c r="S1922" s="207"/>
      <c r="T1922" s="263"/>
      <c r="U1922" s="26"/>
      <c r="V1922" s="26"/>
      <c r="W1922" s="26"/>
      <c r="X1922" s="26"/>
    </row>
    <row r="1923">
      <c r="A1923" s="28"/>
      <c r="B1923" s="28"/>
      <c r="C1923" s="28"/>
      <c r="D1923" s="96"/>
      <c r="E1923" s="105"/>
      <c r="F1923" s="105"/>
      <c r="G1923" s="206"/>
      <c r="H1923" s="206"/>
      <c r="I1923" s="206"/>
      <c r="J1923" s="206"/>
      <c r="K1923" s="206"/>
      <c r="L1923" s="206"/>
      <c r="M1923" s="206"/>
      <c r="N1923" s="206"/>
      <c r="O1923" s="206"/>
      <c r="P1923" s="206"/>
      <c r="Q1923" s="262"/>
      <c r="R1923" s="262"/>
      <c r="S1923" s="207"/>
      <c r="T1923" s="263"/>
      <c r="U1923" s="26"/>
      <c r="V1923" s="26"/>
      <c r="W1923" s="26"/>
      <c r="X1923" s="26"/>
    </row>
    <row r="1924">
      <c r="A1924" s="28"/>
      <c r="B1924" s="28"/>
      <c r="C1924" s="28"/>
      <c r="D1924" s="96"/>
      <c r="E1924" s="105"/>
      <c r="F1924" s="105"/>
      <c r="G1924" s="206"/>
      <c r="H1924" s="206"/>
      <c r="I1924" s="206"/>
      <c r="J1924" s="206"/>
      <c r="K1924" s="206"/>
      <c r="L1924" s="206"/>
      <c r="M1924" s="206"/>
      <c r="N1924" s="206"/>
      <c r="O1924" s="206"/>
      <c r="P1924" s="206"/>
      <c r="Q1924" s="262"/>
      <c r="R1924" s="262"/>
      <c r="S1924" s="207"/>
      <c r="T1924" s="263"/>
      <c r="U1924" s="26"/>
      <c r="V1924" s="26"/>
      <c r="W1924" s="26"/>
      <c r="X1924" s="26"/>
    </row>
    <row r="1925">
      <c r="A1925" s="28"/>
      <c r="B1925" s="28"/>
      <c r="C1925" s="28"/>
      <c r="D1925" s="96"/>
      <c r="E1925" s="105"/>
      <c r="F1925" s="105"/>
      <c r="G1925" s="206"/>
      <c r="H1925" s="206"/>
      <c r="I1925" s="206"/>
      <c r="J1925" s="206"/>
      <c r="K1925" s="206"/>
      <c r="L1925" s="206"/>
      <c r="M1925" s="206"/>
      <c r="N1925" s="206"/>
      <c r="O1925" s="206"/>
      <c r="P1925" s="206"/>
      <c r="Q1925" s="262"/>
      <c r="R1925" s="262"/>
      <c r="S1925" s="207"/>
      <c r="T1925" s="263"/>
      <c r="U1925" s="26"/>
      <c r="V1925" s="26"/>
      <c r="W1925" s="26"/>
      <c r="X1925" s="26"/>
    </row>
    <row r="1926">
      <c r="A1926" s="28"/>
      <c r="B1926" s="28"/>
      <c r="C1926" s="28"/>
      <c r="D1926" s="96"/>
      <c r="E1926" s="105"/>
      <c r="F1926" s="105"/>
      <c r="G1926" s="206"/>
      <c r="H1926" s="206"/>
      <c r="I1926" s="206"/>
      <c r="J1926" s="206"/>
      <c r="K1926" s="206"/>
      <c r="L1926" s="206"/>
      <c r="M1926" s="206"/>
      <c r="N1926" s="206"/>
      <c r="O1926" s="206"/>
      <c r="P1926" s="206"/>
      <c r="Q1926" s="262"/>
      <c r="R1926" s="262"/>
      <c r="S1926" s="207"/>
      <c r="T1926" s="263"/>
      <c r="U1926" s="26"/>
      <c r="V1926" s="26"/>
      <c r="W1926" s="26"/>
      <c r="X1926" s="26"/>
    </row>
    <row r="1927">
      <c r="A1927" s="28"/>
      <c r="B1927" s="28"/>
      <c r="C1927" s="28"/>
      <c r="D1927" s="96"/>
      <c r="E1927" s="105"/>
      <c r="F1927" s="105"/>
      <c r="G1927" s="206"/>
      <c r="H1927" s="206"/>
      <c r="I1927" s="206"/>
      <c r="J1927" s="206"/>
      <c r="K1927" s="206"/>
      <c r="L1927" s="206"/>
      <c r="M1927" s="206"/>
      <c r="N1927" s="206"/>
      <c r="O1927" s="206"/>
      <c r="P1927" s="206"/>
      <c r="Q1927" s="262"/>
      <c r="R1927" s="262"/>
      <c r="S1927" s="207"/>
      <c r="T1927" s="263"/>
      <c r="U1927" s="26"/>
      <c r="V1927" s="26"/>
      <c r="W1927" s="26"/>
      <c r="X1927" s="26"/>
    </row>
    <row r="1928">
      <c r="A1928" s="28"/>
      <c r="B1928" s="28"/>
      <c r="C1928" s="28"/>
      <c r="D1928" s="96"/>
      <c r="E1928" s="105"/>
      <c r="F1928" s="105"/>
      <c r="G1928" s="206"/>
      <c r="H1928" s="206"/>
      <c r="I1928" s="206"/>
      <c r="J1928" s="206"/>
      <c r="K1928" s="206"/>
      <c r="L1928" s="206"/>
      <c r="M1928" s="206"/>
      <c r="N1928" s="206"/>
      <c r="O1928" s="206"/>
      <c r="P1928" s="206"/>
      <c r="Q1928" s="262"/>
      <c r="R1928" s="262"/>
      <c r="S1928" s="207"/>
      <c r="T1928" s="263"/>
      <c r="U1928" s="26"/>
      <c r="V1928" s="26"/>
      <c r="W1928" s="26"/>
      <c r="X1928" s="26"/>
    </row>
    <row r="1929">
      <c r="A1929" s="28"/>
      <c r="B1929" s="28"/>
      <c r="C1929" s="28"/>
      <c r="D1929" s="96"/>
      <c r="E1929" s="105"/>
      <c r="F1929" s="105"/>
      <c r="G1929" s="206"/>
      <c r="H1929" s="206"/>
      <c r="I1929" s="206"/>
      <c r="J1929" s="206"/>
      <c r="K1929" s="206"/>
      <c r="L1929" s="206"/>
      <c r="M1929" s="206"/>
      <c r="N1929" s="206"/>
      <c r="O1929" s="206"/>
      <c r="P1929" s="206"/>
      <c r="Q1929" s="262"/>
      <c r="R1929" s="262"/>
      <c r="S1929" s="207"/>
      <c r="T1929" s="263"/>
      <c r="U1929" s="26"/>
      <c r="V1929" s="26"/>
      <c r="W1929" s="26"/>
      <c r="X1929" s="26"/>
    </row>
    <row r="1930">
      <c r="A1930" s="28"/>
      <c r="B1930" s="28"/>
      <c r="C1930" s="28"/>
      <c r="D1930" s="96"/>
      <c r="E1930" s="105"/>
      <c r="F1930" s="105"/>
      <c r="G1930" s="206"/>
      <c r="H1930" s="206"/>
      <c r="I1930" s="206"/>
      <c r="J1930" s="206"/>
      <c r="K1930" s="206"/>
      <c r="L1930" s="206"/>
      <c r="M1930" s="206"/>
      <c r="N1930" s="206"/>
      <c r="O1930" s="206"/>
      <c r="P1930" s="206"/>
      <c r="Q1930" s="262"/>
      <c r="R1930" s="262"/>
      <c r="S1930" s="207"/>
      <c r="T1930" s="263"/>
      <c r="U1930" s="26"/>
      <c r="V1930" s="26"/>
      <c r="W1930" s="26"/>
      <c r="X1930" s="26"/>
    </row>
    <row r="1931">
      <c r="A1931" s="28"/>
      <c r="B1931" s="28"/>
      <c r="C1931" s="28"/>
      <c r="D1931" s="96"/>
      <c r="E1931" s="105"/>
      <c r="F1931" s="105"/>
      <c r="G1931" s="206"/>
      <c r="H1931" s="206"/>
      <c r="I1931" s="206"/>
      <c r="J1931" s="206"/>
      <c r="K1931" s="206"/>
      <c r="L1931" s="206"/>
      <c r="M1931" s="206"/>
      <c r="N1931" s="206"/>
      <c r="O1931" s="206"/>
      <c r="P1931" s="206"/>
      <c r="Q1931" s="262"/>
      <c r="R1931" s="262"/>
      <c r="S1931" s="207"/>
      <c r="T1931" s="263"/>
      <c r="U1931" s="26"/>
      <c r="V1931" s="26"/>
      <c r="W1931" s="26"/>
      <c r="X1931" s="26"/>
    </row>
    <row r="1932">
      <c r="A1932" s="28"/>
      <c r="B1932" s="28"/>
      <c r="C1932" s="28"/>
      <c r="D1932" s="96"/>
      <c r="E1932" s="105"/>
      <c r="F1932" s="105"/>
      <c r="G1932" s="206"/>
      <c r="H1932" s="206"/>
      <c r="I1932" s="206"/>
      <c r="J1932" s="206"/>
      <c r="K1932" s="206"/>
      <c r="L1932" s="206"/>
      <c r="M1932" s="206"/>
      <c r="N1932" s="206"/>
      <c r="O1932" s="206"/>
      <c r="P1932" s="206"/>
      <c r="Q1932" s="262"/>
      <c r="R1932" s="262"/>
      <c r="S1932" s="207"/>
      <c r="T1932" s="263"/>
      <c r="U1932" s="26"/>
      <c r="V1932" s="26"/>
      <c r="W1932" s="26"/>
      <c r="X1932" s="26"/>
    </row>
    <row r="1933">
      <c r="A1933" s="28"/>
      <c r="B1933" s="28"/>
      <c r="C1933" s="28"/>
      <c r="D1933" s="96"/>
      <c r="E1933" s="105"/>
      <c r="F1933" s="105"/>
      <c r="G1933" s="206"/>
      <c r="H1933" s="206"/>
      <c r="I1933" s="206"/>
      <c r="J1933" s="206"/>
      <c r="K1933" s="206"/>
      <c r="L1933" s="206"/>
      <c r="M1933" s="206"/>
      <c r="N1933" s="206"/>
      <c r="O1933" s="206"/>
      <c r="P1933" s="206"/>
      <c r="Q1933" s="262"/>
      <c r="R1933" s="262"/>
      <c r="S1933" s="207"/>
      <c r="T1933" s="263"/>
      <c r="U1933" s="26"/>
      <c r="V1933" s="26"/>
      <c r="W1933" s="26"/>
      <c r="X1933" s="26"/>
    </row>
    <row r="1934">
      <c r="A1934" s="28"/>
      <c r="B1934" s="28"/>
      <c r="C1934" s="28"/>
      <c r="D1934" s="96"/>
      <c r="E1934" s="105"/>
      <c r="F1934" s="105"/>
      <c r="G1934" s="206"/>
      <c r="H1934" s="206"/>
      <c r="I1934" s="206"/>
      <c r="J1934" s="206"/>
      <c r="K1934" s="206"/>
      <c r="L1934" s="206"/>
      <c r="M1934" s="206"/>
      <c r="N1934" s="206"/>
      <c r="O1934" s="206"/>
      <c r="P1934" s="206"/>
      <c r="Q1934" s="262"/>
      <c r="R1934" s="262"/>
      <c r="S1934" s="207"/>
      <c r="T1934" s="263"/>
      <c r="U1934" s="26"/>
      <c r="V1934" s="26"/>
      <c r="W1934" s="26"/>
      <c r="X1934" s="26"/>
    </row>
    <row r="1935">
      <c r="A1935" s="28"/>
      <c r="B1935" s="28"/>
      <c r="C1935" s="28"/>
      <c r="D1935" s="96"/>
      <c r="E1935" s="105"/>
      <c r="F1935" s="105"/>
      <c r="G1935" s="206"/>
      <c r="H1935" s="206"/>
      <c r="I1935" s="206"/>
      <c r="J1935" s="206"/>
      <c r="K1935" s="206"/>
      <c r="L1935" s="206"/>
      <c r="M1935" s="206"/>
      <c r="N1935" s="206"/>
      <c r="O1935" s="206"/>
      <c r="P1935" s="206"/>
      <c r="Q1935" s="262"/>
      <c r="R1935" s="262"/>
      <c r="S1935" s="207"/>
      <c r="T1935" s="263"/>
      <c r="U1935" s="26"/>
      <c r="V1935" s="26"/>
      <c r="W1935" s="26"/>
      <c r="X1935" s="26"/>
    </row>
    <row r="1936">
      <c r="A1936" s="28"/>
      <c r="B1936" s="28"/>
      <c r="C1936" s="28"/>
      <c r="D1936" s="96"/>
      <c r="E1936" s="105"/>
      <c r="F1936" s="105"/>
      <c r="G1936" s="206"/>
      <c r="H1936" s="206"/>
      <c r="I1936" s="206"/>
      <c r="J1936" s="206"/>
      <c r="K1936" s="206"/>
      <c r="L1936" s="206"/>
      <c r="M1936" s="206"/>
      <c r="N1936" s="206"/>
      <c r="O1936" s="206"/>
      <c r="P1936" s="206"/>
      <c r="Q1936" s="262"/>
      <c r="R1936" s="262"/>
      <c r="S1936" s="207"/>
      <c r="T1936" s="263"/>
      <c r="U1936" s="26"/>
      <c r="V1936" s="26"/>
      <c r="W1936" s="26"/>
      <c r="X1936" s="26"/>
    </row>
    <row r="1937">
      <c r="A1937" s="28"/>
      <c r="B1937" s="28"/>
      <c r="C1937" s="28"/>
      <c r="D1937" s="96"/>
      <c r="E1937" s="105"/>
      <c r="F1937" s="105"/>
      <c r="G1937" s="206"/>
      <c r="H1937" s="206"/>
      <c r="I1937" s="206"/>
      <c r="J1937" s="206"/>
      <c r="K1937" s="206"/>
      <c r="L1937" s="206"/>
      <c r="M1937" s="206"/>
      <c r="N1937" s="206"/>
      <c r="O1937" s="206"/>
      <c r="P1937" s="206"/>
      <c r="Q1937" s="262"/>
      <c r="R1937" s="262"/>
      <c r="S1937" s="207"/>
      <c r="T1937" s="263"/>
      <c r="U1937" s="26"/>
      <c r="V1937" s="26"/>
      <c r="W1937" s="26"/>
      <c r="X1937" s="26"/>
    </row>
    <row r="1938">
      <c r="A1938" s="28"/>
      <c r="B1938" s="28"/>
      <c r="C1938" s="28"/>
      <c r="D1938" s="96"/>
      <c r="E1938" s="105"/>
      <c r="F1938" s="105"/>
      <c r="G1938" s="206"/>
      <c r="H1938" s="206"/>
      <c r="I1938" s="206"/>
      <c r="J1938" s="206"/>
      <c r="K1938" s="206"/>
      <c r="L1938" s="206"/>
      <c r="M1938" s="206"/>
      <c r="N1938" s="206"/>
      <c r="O1938" s="206"/>
      <c r="P1938" s="206"/>
      <c r="Q1938" s="262"/>
      <c r="R1938" s="262"/>
      <c r="S1938" s="207"/>
      <c r="T1938" s="263"/>
      <c r="U1938" s="26"/>
      <c r="V1938" s="26"/>
      <c r="W1938" s="26"/>
      <c r="X1938" s="26"/>
    </row>
    <row r="1939">
      <c r="A1939" s="28"/>
      <c r="B1939" s="28"/>
      <c r="C1939" s="28"/>
      <c r="D1939" s="96"/>
      <c r="E1939" s="105"/>
      <c r="F1939" s="105"/>
      <c r="G1939" s="206"/>
      <c r="H1939" s="206"/>
      <c r="I1939" s="206"/>
      <c r="J1939" s="206"/>
      <c r="K1939" s="206"/>
      <c r="L1939" s="206"/>
      <c r="M1939" s="206"/>
      <c r="N1939" s="206"/>
      <c r="O1939" s="206"/>
      <c r="P1939" s="206"/>
      <c r="Q1939" s="262"/>
      <c r="R1939" s="262"/>
      <c r="S1939" s="207"/>
      <c r="T1939" s="263"/>
      <c r="U1939" s="26"/>
      <c r="V1939" s="26"/>
      <c r="W1939" s="26"/>
      <c r="X1939" s="26"/>
    </row>
    <row r="1940">
      <c r="A1940" s="28"/>
      <c r="B1940" s="28"/>
      <c r="C1940" s="28"/>
      <c r="D1940" s="96"/>
      <c r="E1940" s="105"/>
      <c r="F1940" s="105"/>
      <c r="G1940" s="206"/>
      <c r="H1940" s="206"/>
      <c r="I1940" s="206"/>
      <c r="J1940" s="206"/>
      <c r="K1940" s="206"/>
      <c r="L1940" s="206"/>
      <c r="M1940" s="206"/>
      <c r="N1940" s="206"/>
      <c r="O1940" s="206"/>
      <c r="P1940" s="206"/>
      <c r="Q1940" s="262"/>
      <c r="R1940" s="262"/>
      <c r="S1940" s="207"/>
      <c r="T1940" s="263"/>
      <c r="U1940" s="26"/>
      <c r="V1940" s="26"/>
      <c r="W1940" s="26"/>
      <c r="X1940" s="26"/>
    </row>
    <row r="1941">
      <c r="A1941" s="28"/>
      <c r="B1941" s="28"/>
      <c r="C1941" s="28"/>
      <c r="D1941" s="96"/>
      <c r="E1941" s="105"/>
      <c r="F1941" s="105"/>
      <c r="G1941" s="206"/>
      <c r="H1941" s="206"/>
      <c r="I1941" s="206"/>
      <c r="J1941" s="206"/>
      <c r="K1941" s="206"/>
      <c r="L1941" s="206"/>
      <c r="M1941" s="206"/>
      <c r="N1941" s="206"/>
      <c r="O1941" s="206"/>
      <c r="P1941" s="206"/>
      <c r="Q1941" s="262"/>
      <c r="R1941" s="262"/>
      <c r="S1941" s="207"/>
      <c r="T1941" s="263"/>
      <c r="U1941" s="26"/>
      <c r="V1941" s="26"/>
      <c r="W1941" s="26"/>
      <c r="X1941" s="26"/>
    </row>
    <row r="1942">
      <c r="A1942" s="28"/>
      <c r="B1942" s="28"/>
      <c r="C1942" s="28"/>
      <c r="D1942" s="96"/>
      <c r="E1942" s="105"/>
      <c r="F1942" s="105"/>
      <c r="G1942" s="206"/>
      <c r="H1942" s="206"/>
      <c r="I1942" s="206"/>
      <c r="J1942" s="206"/>
      <c r="K1942" s="206"/>
      <c r="L1942" s="206"/>
      <c r="M1942" s="206"/>
      <c r="N1942" s="206"/>
      <c r="O1942" s="206"/>
      <c r="P1942" s="206"/>
      <c r="Q1942" s="262"/>
      <c r="R1942" s="262"/>
      <c r="S1942" s="207"/>
      <c r="T1942" s="263"/>
      <c r="U1942" s="26"/>
      <c r="V1942" s="26"/>
      <c r="W1942" s="26"/>
      <c r="X1942" s="26"/>
    </row>
    <row r="1943">
      <c r="A1943" s="28"/>
      <c r="B1943" s="28"/>
      <c r="C1943" s="28"/>
      <c r="D1943" s="96"/>
      <c r="E1943" s="105"/>
      <c r="F1943" s="105"/>
      <c r="G1943" s="206"/>
      <c r="H1943" s="206"/>
      <c r="I1943" s="206"/>
      <c r="J1943" s="206"/>
      <c r="K1943" s="206"/>
      <c r="L1943" s="206"/>
      <c r="M1943" s="206"/>
      <c r="N1943" s="206"/>
      <c r="O1943" s="206"/>
      <c r="P1943" s="206"/>
      <c r="Q1943" s="262"/>
      <c r="R1943" s="262"/>
      <c r="S1943" s="207"/>
      <c r="T1943" s="263"/>
      <c r="U1943" s="26"/>
      <c r="V1943" s="26"/>
      <c r="W1943" s="26"/>
      <c r="X1943" s="26"/>
    </row>
    <row r="1944">
      <c r="A1944" s="28"/>
      <c r="B1944" s="28"/>
      <c r="C1944" s="28"/>
      <c r="D1944" s="96"/>
      <c r="E1944" s="105"/>
      <c r="F1944" s="105"/>
      <c r="G1944" s="206"/>
      <c r="H1944" s="206"/>
      <c r="I1944" s="206"/>
      <c r="J1944" s="206"/>
      <c r="K1944" s="206"/>
      <c r="L1944" s="206"/>
      <c r="M1944" s="206"/>
      <c r="N1944" s="206"/>
      <c r="O1944" s="206"/>
      <c r="P1944" s="206"/>
      <c r="Q1944" s="262"/>
      <c r="R1944" s="262"/>
      <c r="S1944" s="207"/>
      <c r="T1944" s="263"/>
      <c r="U1944" s="26"/>
      <c r="V1944" s="26"/>
      <c r="W1944" s="26"/>
      <c r="X1944" s="26"/>
    </row>
    <row r="1945">
      <c r="A1945" s="28"/>
      <c r="B1945" s="28"/>
      <c r="C1945" s="28"/>
      <c r="D1945" s="96"/>
      <c r="E1945" s="105"/>
      <c r="F1945" s="105"/>
      <c r="G1945" s="206"/>
      <c r="H1945" s="206"/>
      <c r="I1945" s="206"/>
      <c r="J1945" s="206"/>
      <c r="K1945" s="206"/>
      <c r="L1945" s="206"/>
      <c r="M1945" s="206"/>
      <c r="N1945" s="206"/>
      <c r="O1945" s="206"/>
      <c r="P1945" s="206"/>
      <c r="Q1945" s="262"/>
      <c r="R1945" s="262"/>
      <c r="S1945" s="207"/>
      <c r="T1945" s="263"/>
      <c r="U1945" s="26"/>
      <c r="V1945" s="26"/>
      <c r="W1945" s="26"/>
      <c r="X1945" s="26"/>
    </row>
    <row r="1946">
      <c r="A1946" s="28"/>
      <c r="B1946" s="28"/>
      <c r="C1946" s="28"/>
      <c r="D1946" s="96"/>
      <c r="E1946" s="105"/>
      <c r="F1946" s="105"/>
      <c r="G1946" s="206"/>
      <c r="H1946" s="206"/>
      <c r="I1946" s="206"/>
      <c r="J1946" s="206"/>
      <c r="K1946" s="206"/>
      <c r="L1946" s="206"/>
      <c r="M1946" s="206"/>
      <c r="N1946" s="206"/>
      <c r="O1946" s="206"/>
      <c r="P1946" s="206"/>
      <c r="Q1946" s="262"/>
      <c r="R1946" s="262"/>
      <c r="S1946" s="207"/>
      <c r="T1946" s="263"/>
      <c r="U1946" s="26"/>
      <c r="V1946" s="26"/>
      <c r="W1946" s="26"/>
      <c r="X1946" s="26"/>
    </row>
    <row r="1947">
      <c r="A1947" s="28"/>
      <c r="B1947" s="28"/>
      <c r="C1947" s="28"/>
      <c r="D1947" s="96"/>
      <c r="E1947" s="105"/>
      <c r="F1947" s="105"/>
      <c r="G1947" s="206"/>
      <c r="H1947" s="206"/>
      <c r="I1947" s="206"/>
      <c r="J1947" s="206"/>
      <c r="K1947" s="206"/>
      <c r="L1947" s="206"/>
      <c r="M1947" s="206"/>
      <c r="N1947" s="206"/>
      <c r="O1947" s="206"/>
      <c r="P1947" s="206"/>
      <c r="Q1947" s="262"/>
      <c r="R1947" s="262"/>
      <c r="S1947" s="207"/>
      <c r="T1947" s="263"/>
      <c r="U1947" s="26"/>
      <c r="V1947" s="26"/>
      <c r="W1947" s="26"/>
      <c r="X1947" s="26"/>
    </row>
    <row r="1948">
      <c r="A1948" s="28"/>
      <c r="B1948" s="28"/>
      <c r="C1948" s="28"/>
      <c r="D1948" s="96"/>
      <c r="E1948" s="105"/>
      <c r="F1948" s="105"/>
      <c r="G1948" s="206"/>
      <c r="H1948" s="206"/>
      <c r="I1948" s="206"/>
      <c r="J1948" s="206"/>
      <c r="K1948" s="206"/>
      <c r="L1948" s="206"/>
      <c r="M1948" s="206"/>
      <c r="N1948" s="206"/>
      <c r="O1948" s="206"/>
      <c r="P1948" s="206"/>
      <c r="Q1948" s="262"/>
      <c r="R1948" s="262"/>
      <c r="S1948" s="207"/>
      <c r="T1948" s="263"/>
      <c r="U1948" s="26"/>
      <c r="V1948" s="26"/>
      <c r="W1948" s="26"/>
      <c r="X1948" s="26"/>
    </row>
    <row r="1949">
      <c r="A1949" s="28"/>
      <c r="B1949" s="28"/>
      <c r="C1949" s="28"/>
      <c r="D1949" s="96"/>
      <c r="E1949" s="105"/>
      <c r="F1949" s="105"/>
      <c r="G1949" s="206"/>
      <c r="H1949" s="206"/>
      <c r="I1949" s="206"/>
      <c r="J1949" s="206"/>
      <c r="K1949" s="206"/>
      <c r="L1949" s="206"/>
      <c r="M1949" s="206"/>
      <c r="N1949" s="206"/>
      <c r="O1949" s="206"/>
      <c r="P1949" s="206"/>
      <c r="Q1949" s="262"/>
      <c r="R1949" s="262"/>
      <c r="S1949" s="207"/>
      <c r="T1949" s="263"/>
      <c r="U1949" s="26"/>
      <c r="V1949" s="26"/>
      <c r="W1949" s="26"/>
      <c r="X1949" s="26"/>
    </row>
    <row r="1950">
      <c r="A1950" s="28"/>
      <c r="B1950" s="28"/>
      <c r="C1950" s="28"/>
      <c r="D1950" s="96"/>
      <c r="E1950" s="105"/>
      <c r="F1950" s="105"/>
      <c r="G1950" s="206"/>
      <c r="H1950" s="206"/>
      <c r="I1950" s="206"/>
      <c r="J1950" s="206"/>
      <c r="K1950" s="206"/>
      <c r="L1950" s="206"/>
      <c r="M1950" s="206"/>
      <c r="N1950" s="206"/>
      <c r="O1950" s="206"/>
      <c r="P1950" s="206"/>
      <c r="Q1950" s="262"/>
      <c r="R1950" s="262"/>
      <c r="S1950" s="207"/>
      <c r="T1950" s="263"/>
      <c r="U1950" s="26"/>
      <c r="V1950" s="26"/>
      <c r="W1950" s="26"/>
      <c r="X1950" s="26"/>
    </row>
    <row r="1951">
      <c r="A1951" s="28"/>
      <c r="B1951" s="28"/>
      <c r="C1951" s="28"/>
      <c r="D1951" s="96"/>
      <c r="E1951" s="105"/>
      <c r="F1951" s="105"/>
      <c r="G1951" s="206"/>
      <c r="H1951" s="206"/>
      <c r="I1951" s="206"/>
      <c r="J1951" s="206"/>
      <c r="K1951" s="206"/>
      <c r="L1951" s="206"/>
      <c r="M1951" s="206"/>
      <c r="N1951" s="206"/>
      <c r="O1951" s="206"/>
      <c r="P1951" s="206"/>
      <c r="Q1951" s="262"/>
      <c r="R1951" s="262"/>
      <c r="S1951" s="207"/>
      <c r="T1951" s="263"/>
      <c r="U1951" s="26"/>
      <c r="V1951" s="26"/>
      <c r="W1951" s="26"/>
      <c r="X1951" s="26"/>
    </row>
    <row r="1952">
      <c r="A1952" s="28"/>
      <c r="B1952" s="28"/>
      <c r="C1952" s="28"/>
      <c r="D1952" s="96"/>
      <c r="E1952" s="105"/>
      <c r="F1952" s="105"/>
      <c r="G1952" s="206"/>
      <c r="H1952" s="206"/>
      <c r="I1952" s="206"/>
      <c r="J1952" s="206"/>
      <c r="K1952" s="206"/>
      <c r="L1952" s="206"/>
      <c r="M1952" s="206"/>
      <c r="N1952" s="206"/>
      <c r="O1952" s="206"/>
      <c r="P1952" s="206"/>
      <c r="Q1952" s="262"/>
      <c r="R1952" s="262"/>
      <c r="S1952" s="207"/>
      <c r="T1952" s="263"/>
      <c r="U1952" s="26"/>
      <c r="V1952" s="26"/>
      <c r="W1952" s="26"/>
      <c r="X1952" s="26"/>
    </row>
    <row r="1953">
      <c r="A1953" s="28"/>
      <c r="B1953" s="28"/>
      <c r="C1953" s="28"/>
      <c r="D1953" s="96"/>
      <c r="E1953" s="105"/>
      <c r="F1953" s="105"/>
      <c r="G1953" s="206"/>
      <c r="H1953" s="206"/>
      <c r="I1953" s="206"/>
      <c r="J1953" s="206"/>
      <c r="K1953" s="206"/>
      <c r="L1953" s="206"/>
      <c r="M1953" s="206"/>
      <c r="N1953" s="206"/>
      <c r="O1953" s="206"/>
      <c r="P1953" s="206"/>
      <c r="Q1953" s="262"/>
      <c r="R1953" s="262"/>
      <c r="S1953" s="207"/>
      <c r="T1953" s="263"/>
      <c r="U1953" s="26"/>
      <c r="V1953" s="26"/>
      <c r="W1953" s="26"/>
      <c r="X1953" s="26"/>
    </row>
    <row r="1954">
      <c r="A1954" s="28"/>
      <c r="B1954" s="28"/>
      <c r="C1954" s="28"/>
      <c r="D1954" s="96"/>
      <c r="E1954" s="105"/>
      <c r="F1954" s="105"/>
      <c r="G1954" s="206"/>
      <c r="H1954" s="206"/>
      <c r="I1954" s="206"/>
      <c r="J1954" s="206"/>
      <c r="K1954" s="206"/>
      <c r="L1954" s="206"/>
      <c r="M1954" s="206"/>
      <c r="N1954" s="206"/>
      <c r="O1954" s="206"/>
      <c r="P1954" s="206"/>
      <c r="Q1954" s="262"/>
      <c r="R1954" s="262"/>
      <c r="S1954" s="207"/>
      <c r="T1954" s="263"/>
      <c r="U1954" s="26"/>
      <c r="V1954" s="26"/>
      <c r="W1954" s="26"/>
      <c r="X1954" s="26"/>
    </row>
    <row r="1955">
      <c r="A1955" s="28"/>
      <c r="B1955" s="28"/>
      <c r="C1955" s="28"/>
      <c r="D1955" s="96"/>
      <c r="E1955" s="105"/>
      <c r="F1955" s="105"/>
      <c r="G1955" s="206"/>
      <c r="H1955" s="206"/>
      <c r="I1955" s="206"/>
      <c r="J1955" s="206"/>
      <c r="K1955" s="206"/>
      <c r="L1955" s="206"/>
      <c r="M1955" s="206"/>
      <c r="N1955" s="206"/>
      <c r="O1955" s="206"/>
      <c r="P1955" s="206"/>
      <c r="Q1955" s="262"/>
      <c r="R1955" s="262"/>
      <c r="S1955" s="207"/>
      <c r="T1955" s="263"/>
      <c r="U1955" s="26"/>
      <c r="V1955" s="26"/>
      <c r="W1955" s="26"/>
      <c r="X1955" s="26"/>
    </row>
    <row r="1956">
      <c r="A1956" s="28"/>
      <c r="B1956" s="28"/>
      <c r="C1956" s="28"/>
      <c r="D1956" s="96"/>
      <c r="E1956" s="105"/>
      <c r="F1956" s="105"/>
      <c r="G1956" s="206"/>
      <c r="H1956" s="206"/>
      <c r="I1956" s="206"/>
      <c r="J1956" s="206"/>
      <c r="K1956" s="206"/>
      <c r="L1956" s="206"/>
      <c r="M1956" s="206"/>
      <c r="N1956" s="206"/>
      <c r="O1956" s="206"/>
      <c r="P1956" s="206"/>
      <c r="Q1956" s="262"/>
      <c r="R1956" s="262"/>
      <c r="S1956" s="207"/>
      <c r="T1956" s="263"/>
      <c r="U1956" s="26"/>
      <c r="V1956" s="26"/>
      <c r="W1956" s="26"/>
      <c r="X1956" s="26"/>
    </row>
    <row r="1957">
      <c r="A1957" s="28"/>
      <c r="B1957" s="28"/>
      <c r="C1957" s="28"/>
      <c r="D1957" s="96"/>
      <c r="E1957" s="105"/>
      <c r="F1957" s="105"/>
      <c r="G1957" s="206"/>
      <c r="H1957" s="206"/>
      <c r="I1957" s="206"/>
      <c r="J1957" s="206"/>
      <c r="K1957" s="206"/>
      <c r="L1957" s="206"/>
      <c r="M1957" s="206"/>
      <c r="N1957" s="206"/>
      <c r="O1957" s="206"/>
      <c r="P1957" s="206"/>
      <c r="Q1957" s="262"/>
      <c r="R1957" s="262"/>
      <c r="S1957" s="207"/>
      <c r="T1957" s="263"/>
      <c r="U1957" s="26"/>
      <c r="V1957" s="26"/>
      <c r="W1957" s="26"/>
      <c r="X1957" s="26"/>
    </row>
    <row r="1958">
      <c r="A1958" s="28"/>
      <c r="B1958" s="28"/>
      <c r="C1958" s="28"/>
      <c r="D1958" s="96"/>
      <c r="E1958" s="105"/>
      <c r="F1958" s="105"/>
      <c r="G1958" s="206"/>
      <c r="H1958" s="206"/>
      <c r="I1958" s="206"/>
      <c r="J1958" s="206"/>
      <c r="K1958" s="206"/>
      <c r="L1958" s="206"/>
      <c r="M1958" s="206"/>
      <c r="N1958" s="206"/>
      <c r="O1958" s="206"/>
      <c r="P1958" s="206"/>
      <c r="Q1958" s="262"/>
      <c r="R1958" s="262"/>
      <c r="S1958" s="207"/>
      <c r="T1958" s="263"/>
      <c r="U1958" s="26"/>
      <c r="V1958" s="26"/>
      <c r="W1958" s="26"/>
      <c r="X1958" s="26"/>
    </row>
    <row r="1959">
      <c r="A1959" s="28"/>
      <c r="B1959" s="28"/>
      <c r="C1959" s="28"/>
      <c r="D1959" s="96"/>
      <c r="E1959" s="105"/>
      <c r="F1959" s="105"/>
      <c r="G1959" s="206"/>
      <c r="H1959" s="206"/>
      <c r="I1959" s="206"/>
      <c r="J1959" s="206"/>
      <c r="K1959" s="206"/>
      <c r="L1959" s="206"/>
      <c r="M1959" s="206"/>
      <c r="N1959" s="206"/>
      <c r="O1959" s="206"/>
      <c r="P1959" s="206"/>
      <c r="Q1959" s="262"/>
      <c r="R1959" s="262"/>
      <c r="S1959" s="207"/>
      <c r="T1959" s="263"/>
      <c r="U1959" s="26"/>
      <c r="V1959" s="26"/>
      <c r="W1959" s="26"/>
      <c r="X1959" s="26"/>
    </row>
    <row r="1960">
      <c r="A1960" s="28"/>
      <c r="B1960" s="28"/>
      <c r="C1960" s="28"/>
      <c r="D1960" s="96"/>
      <c r="E1960" s="105"/>
      <c r="F1960" s="105"/>
      <c r="G1960" s="206"/>
      <c r="H1960" s="206"/>
      <c r="I1960" s="206"/>
      <c r="J1960" s="206"/>
      <c r="K1960" s="206"/>
      <c r="L1960" s="206"/>
      <c r="M1960" s="206"/>
      <c r="N1960" s="206"/>
      <c r="O1960" s="206"/>
      <c r="P1960" s="206"/>
      <c r="Q1960" s="262"/>
      <c r="R1960" s="262"/>
      <c r="S1960" s="207"/>
      <c r="T1960" s="263"/>
      <c r="U1960" s="26"/>
      <c r="V1960" s="26"/>
      <c r="W1960" s="26"/>
      <c r="X1960" s="26"/>
    </row>
    <row r="1961">
      <c r="A1961" s="28"/>
      <c r="B1961" s="28"/>
      <c r="C1961" s="28"/>
      <c r="D1961" s="96"/>
      <c r="E1961" s="105"/>
      <c r="F1961" s="105"/>
      <c r="G1961" s="206"/>
      <c r="H1961" s="206"/>
      <c r="I1961" s="206"/>
      <c r="J1961" s="206"/>
      <c r="K1961" s="206"/>
      <c r="L1961" s="206"/>
      <c r="M1961" s="206"/>
      <c r="N1961" s="206"/>
      <c r="O1961" s="206"/>
      <c r="P1961" s="206"/>
      <c r="Q1961" s="262"/>
      <c r="R1961" s="262"/>
      <c r="S1961" s="207"/>
      <c r="T1961" s="263"/>
      <c r="U1961" s="26"/>
      <c r="V1961" s="26"/>
      <c r="W1961" s="26"/>
      <c r="X1961" s="26"/>
    </row>
    <row r="1962">
      <c r="A1962" s="28"/>
      <c r="B1962" s="28"/>
      <c r="C1962" s="28"/>
      <c r="D1962" s="96"/>
      <c r="E1962" s="105"/>
      <c r="F1962" s="105"/>
      <c r="G1962" s="206"/>
      <c r="H1962" s="206"/>
      <c r="I1962" s="206"/>
      <c r="J1962" s="206"/>
      <c r="K1962" s="206"/>
      <c r="L1962" s="206"/>
      <c r="M1962" s="206"/>
      <c r="N1962" s="206"/>
      <c r="O1962" s="206"/>
      <c r="P1962" s="206"/>
      <c r="Q1962" s="262"/>
      <c r="R1962" s="262"/>
      <c r="S1962" s="207"/>
      <c r="T1962" s="263"/>
      <c r="U1962" s="26"/>
      <c r="V1962" s="26"/>
      <c r="W1962" s="26"/>
      <c r="X1962" s="26"/>
    </row>
    <row r="1963">
      <c r="A1963" s="28"/>
      <c r="B1963" s="28"/>
      <c r="C1963" s="28"/>
      <c r="D1963" s="96"/>
      <c r="E1963" s="105"/>
      <c r="F1963" s="105"/>
      <c r="G1963" s="206"/>
      <c r="H1963" s="206"/>
      <c r="I1963" s="206"/>
      <c r="J1963" s="206"/>
      <c r="K1963" s="206"/>
      <c r="L1963" s="206"/>
      <c r="M1963" s="206"/>
      <c r="N1963" s="206"/>
      <c r="O1963" s="206"/>
      <c r="P1963" s="206"/>
      <c r="Q1963" s="262"/>
      <c r="R1963" s="262"/>
      <c r="S1963" s="207"/>
      <c r="T1963" s="263"/>
      <c r="U1963" s="26"/>
      <c r="V1963" s="26"/>
      <c r="W1963" s="26"/>
      <c r="X1963" s="26"/>
    </row>
    <row r="1964">
      <c r="A1964" s="28"/>
      <c r="B1964" s="28"/>
      <c r="C1964" s="28"/>
      <c r="D1964" s="96"/>
      <c r="E1964" s="105"/>
      <c r="F1964" s="105"/>
      <c r="G1964" s="206"/>
      <c r="H1964" s="206"/>
      <c r="I1964" s="206"/>
      <c r="J1964" s="206"/>
      <c r="K1964" s="206"/>
      <c r="L1964" s="206"/>
      <c r="M1964" s="206"/>
      <c r="N1964" s="206"/>
      <c r="O1964" s="206"/>
      <c r="P1964" s="206"/>
      <c r="Q1964" s="262"/>
      <c r="R1964" s="262"/>
      <c r="S1964" s="207"/>
      <c r="T1964" s="263"/>
      <c r="U1964" s="26"/>
      <c r="V1964" s="26"/>
      <c r="W1964" s="26"/>
      <c r="X1964" s="26"/>
    </row>
    <row r="1965">
      <c r="A1965" s="28"/>
      <c r="B1965" s="28"/>
      <c r="C1965" s="28"/>
      <c r="D1965" s="96"/>
      <c r="E1965" s="105"/>
      <c r="F1965" s="105"/>
      <c r="G1965" s="206"/>
      <c r="H1965" s="206"/>
      <c r="I1965" s="206"/>
      <c r="J1965" s="206"/>
      <c r="K1965" s="206"/>
      <c r="L1965" s="206"/>
      <c r="M1965" s="206"/>
      <c r="N1965" s="206"/>
      <c r="O1965" s="206"/>
      <c r="P1965" s="206"/>
      <c r="Q1965" s="262"/>
      <c r="R1965" s="262"/>
      <c r="S1965" s="207"/>
      <c r="T1965" s="263"/>
      <c r="U1965" s="26"/>
      <c r="V1965" s="26"/>
      <c r="W1965" s="26"/>
      <c r="X1965" s="26"/>
    </row>
    <row r="1966">
      <c r="A1966" s="28"/>
      <c r="B1966" s="28"/>
      <c r="C1966" s="28"/>
      <c r="D1966" s="96"/>
      <c r="E1966" s="105"/>
      <c r="F1966" s="105"/>
      <c r="G1966" s="206"/>
      <c r="H1966" s="206"/>
      <c r="I1966" s="206"/>
      <c r="J1966" s="206"/>
      <c r="K1966" s="206"/>
      <c r="L1966" s="206"/>
      <c r="M1966" s="206"/>
      <c r="N1966" s="206"/>
      <c r="O1966" s="206"/>
      <c r="P1966" s="206"/>
      <c r="Q1966" s="262"/>
      <c r="R1966" s="262"/>
      <c r="S1966" s="207"/>
      <c r="T1966" s="263"/>
      <c r="U1966" s="26"/>
      <c r="V1966" s="26"/>
      <c r="W1966" s="26"/>
      <c r="X1966" s="26"/>
    </row>
    <row r="1967">
      <c r="A1967" s="28"/>
      <c r="B1967" s="28"/>
      <c r="C1967" s="28"/>
      <c r="D1967" s="96"/>
      <c r="E1967" s="105"/>
      <c r="F1967" s="105"/>
      <c r="G1967" s="206"/>
      <c r="H1967" s="206"/>
      <c r="I1967" s="206"/>
      <c r="J1967" s="206"/>
      <c r="K1967" s="206"/>
      <c r="L1967" s="206"/>
      <c r="M1967" s="206"/>
      <c r="N1967" s="206"/>
      <c r="O1967" s="206"/>
      <c r="P1967" s="206"/>
      <c r="Q1967" s="262"/>
      <c r="R1967" s="262"/>
      <c r="S1967" s="207"/>
      <c r="T1967" s="263"/>
      <c r="U1967" s="26"/>
      <c r="V1967" s="26"/>
      <c r="W1967" s="26"/>
      <c r="X1967" s="26"/>
    </row>
    <row r="1968">
      <c r="A1968" s="28"/>
      <c r="B1968" s="28"/>
      <c r="C1968" s="28"/>
      <c r="D1968" s="96"/>
      <c r="E1968" s="105"/>
      <c r="F1968" s="105"/>
      <c r="G1968" s="206"/>
      <c r="H1968" s="206"/>
      <c r="I1968" s="206"/>
      <c r="J1968" s="206"/>
      <c r="K1968" s="206"/>
      <c r="L1968" s="206"/>
      <c r="M1968" s="206"/>
      <c r="N1968" s="206"/>
      <c r="O1968" s="206"/>
      <c r="P1968" s="206"/>
      <c r="Q1968" s="262"/>
      <c r="R1968" s="262"/>
      <c r="S1968" s="207"/>
      <c r="T1968" s="263"/>
      <c r="U1968" s="26"/>
      <c r="V1968" s="26"/>
      <c r="W1968" s="26"/>
      <c r="X1968" s="26"/>
    </row>
    <row r="1969">
      <c r="A1969" s="28"/>
      <c r="B1969" s="28"/>
      <c r="C1969" s="28"/>
      <c r="D1969" s="96"/>
      <c r="E1969" s="105"/>
      <c r="F1969" s="105"/>
      <c r="G1969" s="206"/>
      <c r="H1969" s="206"/>
      <c r="I1969" s="206"/>
      <c r="J1969" s="206"/>
      <c r="K1969" s="206"/>
      <c r="L1969" s="206"/>
      <c r="M1969" s="206"/>
      <c r="N1969" s="206"/>
      <c r="O1969" s="206"/>
      <c r="P1969" s="206"/>
      <c r="Q1969" s="262"/>
      <c r="R1969" s="262"/>
      <c r="S1969" s="207"/>
      <c r="T1969" s="263"/>
      <c r="U1969" s="26"/>
      <c r="V1969" s="26"/>
      <c r="W1969" s="26"/>
      <c r="X1969" s="26"/>
    </row>
    <row r="1970">
      <c r="A1970" s="28"/>
      <c r="B1970" s="28"/>
      <c r="C1970" s="28"/>
      <c r="D1970" s="96"/>
      <c r="E1970" s="105"/>
      <c r="F1970" s="105"/>
      <c r="G1970" s="206"/>
      <c r="H1970" s="206"/>
      <c r="I1970" s="206"/>
      <c r="J1970" s="206"/>
      <c r="K1970" s="206"/>
      <c r="L1970" s="206"/>
      <c r="M1970" s="206"/>
      <c r="N1970" s="206"/>
      <c r="O1970" s="206"/>
      <c r="P1970" s="206"/>
      <c r="Q1970" s="262"/>
      <c r="R1970" s="262"/>
      <c r="S1970" s="207"/>
      <c r="T1970" s="263"/>
      <c r="U1970" s="26"/>
      <c r="V1970" s="26"/>
      <c r="W1970" s="26"/>
      <c r="X1970" s="26"/>
    </row>
    <row r="1971">
      <c r="A1971" s="28"/>
      <c r="B1971" s="28"/>
      <c r="C1971" s="28"/>
      <c r="D1971" s="96"/>
      <c r="E1971" s="105"/>
      <c r="F1971" s="105"/>
      <c r="G1971" s="206"/>
      <c r="H1971" s="206"/>
      <c r="I1971" s="206"/>
      <c r="J1971" s="206"/>
      <c r="K1971" s="206"/>
      <c r="L1971" s="206"/>
      <c r="M1971" s="206"/>
      <c r="N1971" s="206"/>
      <c r="O1971" s="206"/>
      <c r="P1971" s="206"/>
      <c r="Q1971" s="262"/>
      <c r="R1971" s="262"/>
      <c r="S1971" s="207"/>
      <c r="T1971" s="263"/>
      <c r="U1971" s="26"/>
      <c r="V1971" s="26"/>
      <c r="W1971" s="26"/>
      <c r="X1971" s="26"/>
    </row>
    <row r="1972">
      <c r="A1972" s="28"/>
      <c r="B1972" s="28"/>
      <c r="C1972" s="28"/>
      <c r="D1972" s="96"/>
      <c r="E1972" s="105"/>
      <c r="F1972" s="105"/>
      <c r="G1972" s="206"/>
      <c r="H1972" s="206"/>
      <c r="I1972" s="206"/>
      <c r="J1972" s="206"/>
      <c r="K1972" s="206"/>
      <c r="L1972" s="206"/>
      <c r="M1972" s="206"/>
      <c r="N1972" s="206"/>
      <c r="O1972" s="206"/>
      <c r="P1972" s="206"/>
      <c r="Q1972" s="262"/>
      <c r="R1972" s="262"/>
      <c r="S1972" s="207"/>
      <c r="T1972" s="263"/>
      <c r="U1972" s="26"/>
      <c r="V1972" s="26"/>
      <c r="W1972" s="26"/>
      <c r="X1972" s="26"/>
    </row>
    <row r="1973">
      <c r="A1973" s="28"/>
      <c r="B1973" s="28"/>
      <c r="C1973" s="28"/>
      <c r="D1973" s="96"/>
      <c r="E1973" s="105"/>
      <c r="F1973" s="105"/>
      <c r="G1973" s="206"/>
      <c r="H1973" s="206"/>
      <c r="I1973" s="206"/>
      <c r="J1973" s="206"/>
      <c r="K1973" s="206"/>
      <c r="L1973" s="206"/>
      <c r="M1973" s="206"/>
      <c r="N1973" s="206"/>
      <c r="O1973" s="206"/>
      <c r="P1973" s="206"/>
      <c r="Q1973" s="262"/>
      <c r="R1973" s="262"/>
      <c r="S1973" s="207"/>
      <c r="T1973" s="263"/>
      <c r="U1973" s="26"/>
      <c r="V1973" s="26"/>
      <c r="W1973" s="26"/>
      <c r="X1973" s="26"/>
    </row>
    <row r="1974">
      <c r="A1974" s="28"/>
      <c r="B1974" s="28"/>
      <c r="C1974" s="28"/>
      <c r="D1974" s="96"/>
      <c r="E1974" s="105"/>
      <c r="F1974" s="105"/>
      <c r="G1974" s="206"/>
      <c r="H1974" s="206"/>
      <c r="I1974" s="206"/>
      <c r="J1974" s="206"/>
      <c r="K1974" s="206"/>
      <c r="L1974" s="206"/>
      <c r="M1974" s="206"/>
      <c r="N1974" s="206"/>
      <c r="O1974" s="206"/>
      <c r="P1974" s="206"/>
      <c r="Q1974" s="262"/>
      <c r="R1974" s="262"/>
      <c r="S1974" s="207"/>
      <c r="T1974" s="263"/>
      <c r="U1974" s="26"/>
      <c r="V1974" s="26"/>
      <c r="W1974" s="26"/>
      <c r="X1974" s="26"/>
    </row>
    <row r="1975">
      <c r="A1975" s="28"/>
      <c r="B1975" s="28"/>
      <c r="C1975" s="28"/>
      <c r="D1975" s="96"/>
      <c r="E1975" s="105"/>
      <c r="F1975" s="105"/>
      <c r="G1975" s="206"/>
      <c r="H1975" s="206"/>
      <c r="I1975" s="206"/>
      <c r="J1975" s="206"/>
      <c r="K1975" s="206"/>
      <c r="L1975" s="206"/>
      <c r="M1975" s="206"/>
      <c r="N1975" s="206"/>
      <c r="O1975" s="206"/>
      <c r="P1975" s="206"/>
      <c r="Q1975" s="262"/>
      <c r="R1975" s="262"/>
      <c r="S1975" s="207"/>
      <c r="T1975" s="263"/>
      <c r="U1975" s="26"/>
      <c r="V1975" s="26"/>
      <c r="W1975" s="26"/>
      <c r="X1975" s="26"/>
    </row>
    <row r="1976">
      <c r="A1976" s="28"/>
      <c r="B1976" s="28"/>
      <c r="C1976" s="28"/>
      <c r="D1976" s="96"/>
      <c r="E1976" s="105"/>
      <c r="F1976" s="105"/>
      <c r="G1976" s="206"/>
      <c r="H1976" s="206"/>
      <c r="I1976" s="206"/>
      <c r="J1976" s="206"/>
      <c r="K1976" s="206"/>
      <c r="L1976" s="206"/>
      <c r="M1976" s="206"/>
      <c r="N1976" s="206"/>
      <c r="O1976" s="206"/>
      <c r="P1976" s="206"/>
      <c r="Q1976" s="262"/>
      <c r="R1976" s="262"/>
      <c r="S1976" s="207"/>
      <c r="T1976" s="263"/>
      <c r="U1976" s="26"/>
      <c r="V1976" s="26"/>
      <c r="W1976" s="26"/>
      <c r="X1976" s="26"/>
    </row>
    <row r="1977">
      <c r="A1977" s="28"/>
      <c r="B1977" s="28"/>
      <c r="C1977" s="28"/>
      <c r="D1977" s="96"/>
      <c r="E1977" s="105"/>
      <c r="F1977" s="105"/>
      <c r="G1977" s="206"/>
      <c r="H1977" s="206"/>
      <c r="I1977" s="206"/>
      <c r="J1977" s="206"/>
      <c r="K1977" s="206"/>
      <c r="L1977" s="206"/>
      <c r="M1977" s="206"/>
      <c r="N1977" s="206"/>
      <c r="O1977" s="206"/>
      <c r="P1977" s="206"/>
      <c r="Q1977" s="262"/>
      <c r="R1977" s="262"/>
      <c r="S1977" s="207"/>
      <c r="T1977" s="263"/>
      <c r="U1977" s="26"/>
      <c r="V1977" s="26"/>
      <c r="W1977" s="26"/>
      <c r="X1977" s="26"/>
    </row>
    <row r="1978">
      <c r="A1978" s="28"/>
      <c r="B1978" s="28"/>
      <c r="C1978" s="28"/>
      <c r="D1978" s="96"/>
      <c r="E1978" s="105"/>
      <c r="F1978" s="105"/>
      <c r="G1978" s="206"/>
      <c r="H1978" s="206"/>
      <c r="I1978" s="206"/>
      <c r="J1978" s="206"/>
      <c r="K1978" s="206"/>
      <c r="L1978" s="206"/>
      <c r="M1978" s="206"/>
      <c r="N1978" s="206"/>
      <c r="O1978" s="206"/>
      <c r="P1978" s="206"/>
      <c r="Q1978" s="262"/>
      <c r="R1978" s="262"/>
      <c r="S1978" s="207"/>
      <c r="T1978" s="263"/>
      <c r="U1978" s="26"/>
      <c r="V1978" s="26"/>
      <c r="W1978" s="26"/>
      <c r="X1978" s="26"/>
    </row>
    <row r="1979">
      <c r="A1979" s="28"/>
      <c r="B1979" s="28"/>
      <c r="C1979" s="28"/>
      <c r="D1979" s="96"/>
      <c r="E1979" s="105"/>
      <c r="F1979" s="105"/>
      <c r="G1979" s="206"/>
      <c r="H1979" s="206"/>
      <c r="I1979" s="206"/>
      <c r="J1979" s="206"/>
      <c r="K1979" s="206"/>
      <c r="L1979" s="206"/>
      <c r="M1979" s="206"/>
      <c r="N1979" s="206"/>
      <c r="O1979" s="206"/>
      <c r="P1979" s="206"/>
      <c r="Q1979" s="262"/>
      <c r="R1979" s="262"/>
      <c r="S1979" s="207"/>
      <c r="T1979" s="263"/>
      <c r="U1979" s="26"/>
      <c r="V1979" s="26"/>
      <c r="W1979" s="26"/>
      <c r="X1979" s="26"/>
    </row>
    <row r="1980">
      <c r="A1980" s="28"/>
      <c r="B1980" s="28"/>
      <c r="C1980" s="28"/>
      <c r="D1980" s="96"/>
      <c r="E1980" s="105"/>
      <c r="F1980" s="105"/>
      <c r="G1980" s="206"/>
      <c r="H1980" s="206"/>
      <c r="I1980" s="206"/>
      <c r="J1980" s="206"/>
      <c r="K1980" s="206"/>
      <c r="L1980" s="206"/>
      <c r="M1980" s="206"/>
      <c r="N1980" s="206"/>
      <c r="O1980" s="206"/>
      <c r="P1980" s="206"/>
      <c r="Q1980" s="262"/>
      <c r="R1980" s="262"/>
      <c r="S1980" s="207"/>
      <c r="T1980" s="263"/>
      <c r="U1980" s="26"/>
      <c r="V1980" s="26"/>
      <c r="W1980" s="26"/>
      <c r="X1980" s="26"/>
    </row>
    <row r="1981">
      <c r="A1981" s="28"/>
      <c r="B1981" s="28"/>
      <c r="C1981" s="28"/>
      <c r="D1981" s="96"/>
      <c r="E1981" s="105"/>
      <c r="F1981" s="105"/>
      <c r="G1981" s="206"/>
      <c r="H1981" s="206"/>
      <c r="I1981" s="206"/>
      <c r="J1981" s="206"/>
      <c r="K1981" s="206"/>
      <c r="L1981" s="206"/>
      <c r="M1981" s="206"/>
      <c r="N1981" s="206"/>
      <c r="O1981" s="206"/>
      <c r="P1981" s="206"/>
      <c r="Q1981" s="262"/>
      <c r="R1981" s="262"/>
      <c r="S1981" s="207"/>
      <c r="T1981" s="263"/>
      <c r="U1981" s="26"/>
      <c r="V1981" s="26"/>
      <c r="W1981" s="26"/>
      <c r="X1981" s="26"/>
    </row>
    <row r="1982">
      <c r="A1982" s="28"/>
      <c r="B1982" s="28"/>
      <c r="C1982" s="28"/>
      <c r="D1982" s="96"/>
      <c r="E1982" s="105"/>
      <c r="F1982" s="105"/>
      <c r="G1982" s="206"/>
      <c r="H1982" s="206"/>
      <c r="I1982" s="206"/>
      <c r="J1982" s="206"/>
      <c r="K1982" s="206"/>
      <c r="L1982" s="206"/>
      <c r="M1982" s="206"/>
      <c r="N1982" s="206"/>
      <c r="O1982" s="206"/>
      <c r="P1982" s="206"/>
      <c r="Q1982" s="262"/>
      <c r="R1982" s="262"/>
      <c r="S1982" s="207"/>
      <c r="T1982" s="263"/>
      <c r="U1982" s="26"/>
      <c r="V1982" s="26"/>
      <c r="W1982" s="26"/>
      <c r="X1982" s="26"/>
    </row>
    <row r="1983">
      <c r="A1983" s="28"/>
      <c r="B1983" s="28"/>
      <c r="C1983" s="28"/>
      <c r="D1983" s="96"/>
      <c r="E1983" s="105"/>
      <c r="F1983" s="105"/>
      <c r="G1983" s="206"/>
      <c r="H1983" s="206"/>
      <c r="I1983" s="206"/>
      <c r="J1983" s="206"/>
      <c r="K1983" s="206"/>
      <c r="L1983" s="206"/>
      <c r="M1983" s="206"/>
      <c r="N1983" s="206"/>
      <c r="O1983" s="206"/>
      <c r="P1983" s="206"/>
      <c r="Q1983" s="262"/>
      <c r="R1983" s="262"/>
      <c r="S1983" s="207"/>
      <c r="T1983" s="263"/>
      <c r="U1983" s="26"/>
      <c r="V1983" s="26"/>
      <c r="W1983" s="26"/>
      <c r="X1983" s="26"/>
    </row>
    <row r="1984">
      <c r="A1984" s="28"/>
      <c r="B1984" s="28"/>
      <c r="C1984" s="28"/>
      <c r="D1984" s="96"/>
      <c r="E1984" s="105"/>
      <c r="F1984" s="105"/>
      <c r="G1984" s="206"/>
      <c r="H1984" s="206"/>
      <c r="I1984" s="206"/>
      <c r="J1984" s="206"/>
      <c r="K1984" s="206"/>
      <c r="L1984" s="206"/>
      <c r="M1984" s="206"/>
      <c r="N1984" s="206"/>
      <c r="O1984" s="206"/>
      <c r="P1984" s="206"/>
      <c r="Q1984" s="262"/>
      <c r="R1984" s="262"/>
      <c r="S1984" s="207"/>
      <c r="T1984" s="263"/>
      <c r="U1984" s="26"/>
      <c r="V1984" s="26"/>
      <c r="W1984" s="26"/>
      <c r="X1984" s="26"/>
    </row>
    <row r="1985">
      <c r="A1985" s="28"/>
      <c r="B1985" s="28"/>
      <c r="C1985" s="28"/>
      <c r="D1985" s="96"/>
      <c r="E1985" s="105"/>
      <c r="F1985" s="105"/>
      <c r="G1985" s="206"/>
      <c r="H1985" s="206"/>
      <c r="I1985" s="206"/>
      <c r="J1985" s="206"/>
      <c r="K1985" s="206"/>
      <c r="L1985" s="206"/>
      <c r="M1985" s="206"/>
      <c r="N1985" s="206"/>
      <c r="O1985" s="206"/>
      <c r="P1985" s="206"/>
      <c r="Q1985" s="262"/>
      <c r="R1985" s="262"/>
      <c r="S1985" s="207"/>
      <c r="T1985" s="263"/>
      <c r="U1985" s="26"/>
      <c r="V1985" s="26"/>
      <c r="W1985" s="26"/>
      <c r="X1985" s="26"/>
    </row>
    <row r="1986">
      <c r="A1986" s="28"/>
      <c r="B1986" s="28"/>
      <c r="C1986" s="28"/>
      <c r="D1986" s="96"/>
      <c r="E1986" s="105"/>
      <c r="F1986" s="105"/>
      <c r="G1986" s="206"/>
      <c r="H1986" s="206"/>
      <c r="I1986" s="206"/>
      <c r="J1986" s="206"/>
      <c r="K1986" s="206"/>
      <c r="L1986" s="206"/>
      <c r="M1986" s="206"/>
      <c r="N1986" s="206"/>
      <c r="O1986" s="206"/>
      <c r="P1986" s="206"/>
      <c r="Q1986" s="262"/>
      <c r="R1986" s="262"/>
      <c r="S1986" s="207"/>
      <c r="T1986" s="263"/>
      <c r="U1986" s="26"/>
      <c r="V1986" s="26"/>
      <c r="W1986" s="26"/>
      <c r="X1986" s="26"/>
    </row>
    <row r="1987">
      <c r="A1987" s="28"/>
      <c r="B1987" s="28"/>
      <c r="C1987" s="28"/>
      <c r="D1987" s="96"/>
      <c r="E1987" s="105"/>
      <c r="F1987" s="105"/>
      <c r="G1987" s="206"/>
      <c r="H1987" s="206"/>
      <c r="I1987" s="206"/>
      <c r="J1987" s="206"/>
      <c r="K1987" s="206"/>
      <c r="L1987" s="206"/>
      <c r="M1987" s="206"/>
      <c r="N1987" s="206"/>
      <c r="O1987" s="206"/>
      <c r="P1987" s="206"/>
      <c r="Q1987" s="262"/>
      <c r="R1987" s="262"/>
      <c r="S1987" s="207"/>
      <c r="T1987" s="263"/>
      <c r="U1987" s="26"/>
      <c r="V1987" s="26"/>
      <c r="W1987" s="26"/>
      <c r="X1987" s="26"/>
    </row>
    <row r="1988">
      <c r="A1988" s="28"/>
      <c r="B1988" s="28"/>
      <c r="C1988" s="28"/>
      <c r="D1988" s="96"/>
      <c r="E1988" s="105"/>
      <c r="F1988" s="105"/>
      <c r="G1988" s="206"/>
      <c r="H1988" s="206"/>
      <c r="I1988" s="206"/>
      <c r="J1988" s="206"/>
      <c r="K1988" s="206"/>
      <c r="L1988" s="206"/>
      <c r="M1988" s="206"/>
      <c r="N1988" s="206"/>
      <c r="O1988" s="206"/>
      <c r="P1988" s="206"/>
      <c r="Q1988" s="262"/>
      <c r="R1988" s="262"/>
      <c r="S1988" s="207"/>
      <c r="T1988" s="263"/>
      <c r="U1988" s="26"/>
      <c r="V1988" s="26"/>
      <c r="W1988" s="26"/>
      <c r="X1988" s="26"/>
    </row>
    <row r="1989">
      <c r="A1989" s="28"/>
      <c r="B1989" s="28"/>
      <c r="C1989" s="28"/>
      <c r="D1989" s="96"/>
      <c r="E1989" s="105"/>
      <c r="F1989" s="105"/>
      <c r="G1989" s="206"/>
      <c r="H1989" s="206"/>
      <c r="I1989" s="206"/>
      <c r="J1989" s="206"/>
      <c r="K1989" s="206"/>
      <c r="L1989" s="206"/>
      <c r="M1989" s="206"/>
      <c r="N1989" s="206"/>
      <c r="O1989" s="206"/>
      <c r="P1989" s="206"/>
      <c r="Q1989" s="262"/>
      <c r="R1989" s="262"/>
      <c r="S1989" s="207"/>
      <c r="T1989" s="263"/>
      <c r="U1989" s="26"/>
      <c r="V1989" s="26"/>
      <c r="W1989" s="26"/>
      <c r="X1989" s="26"/>
    </row>
    <row r="1990">
      <c r="A1990" s="28"/>
      <c r="B1990" s="28"/>
      <c r="C1990" s="28"/>
      <c r="D1990" s="96"/>
      <c r="E1990" s="105"/>
      <c r="F1990" s="105"/>
      <c r="G1990" s="206"/>
      <c r="H1990" s="206"/>
      <c r="I1990" s="206"/>
      <c r="J1990" s="206"/>
      <c r="K1990" s="206"/>
      <c r="L1990" s="206"/>
      <c r="M1990" s="206"/>
      <c r="N1990" s="206"/>
      <c r="O1990" s="206"/>
      <c r="P1990" s="206"/>
      <c r="Q1990" s="262"/>
      <c r="R1990" s="262"/>
      <c r="S1990" s="207"/>
      <c r="T1990" s="263"/>
      <c r="U1990" s="26"/>
      <c r="V1990" s="26"/>
      <c r="W1990" s="26"/>
      <c r="X1990" s="26"/>
    </row>
    <row r="1991">
      <c r="A1991" s="28"/>
      <c r="B1991" s="28"/>
      <c r="C1991" s="28"/>
      <c r="D1991" s="96"/>
      <c r="E1991" s="105"/>
      <c r="F1991" s="105"/>
      <c r="G1991" s="206"/>
      <c r="H1991" s="206"/>
      <c r="I1991" s="206"/>
      <c r="J1991" s="206"/>
      <c r="K1991" s="206"/>
      <c r="L1991" s="206"/>
      <c r="M1991" s="206"/>
      <c r="N1991" s="206"/>
      <c r="O1991" s="206"/>
      <c r="P1991" s="206"/>
      <c r="Q1991" s="262"/>
      <c r="R1991" s="262"/>
      <c r="S1991" s="207"/>
      <c r="T1991" s="263"/>
      <c r="U1991" s="26"/>
      <c r="V1991" s="26"/>
      <c r="W1991" s="26"/>
      <c r="X1991" s="26"/>
    </row>
    <row r="1992">
      <c r="A1992" s="28"/>
      <c r="B1992" s="28"/>
      <c r="C1992" s="28"/>
      <c r="D1992" s="96"/>
      <c r="E1992" s="105"/>
      <c r="F1992" s="105"/>
      <c r="G1992" s="206"/>
      <c r="H1992" s="206"/>
      <c r="I1992" s="206"/>
      <c r="J1992" s="206"/>
      <c r="K1992" s="206"/>
      <c r="L1992" s="206"/>
      <c r="M1992" s="206"/>
      <c r="N1992" s="206"/>
      <c r="O1992" s="206"/>
      <c r="P1992" s="206"/>
      <c r="Q1992" s="262"/>
      <c r="R1992" s="262"/>
      <c r="S1992" s="207"/>
      <c r="T1992" s="263"/>
      <c r="U1992" s="26"/>
      <c r="V1992" s="26"/>
      <c r="W1992" s="26"/>
      <c r="X1992" s="26"/>
    </row>
    <row r="1993">
      <c r="A1993" s="28"/>
      <c r="B1993" s="28"/>
      <c r="C1993" s="28"/>
      <c r="D1993" s="96"/>
      <c r="E1993" s="105"/>
      <c r="F1993" s="105"/>
      <c r="G1993" s="206"/>
      <c r="H1993" s="206"/>
      <c r="I1993" s="206"/>
      <c r="J1993" s="206"/>
      <c r="K1993" s="206"/>
      <c r="L1993" s="206"/>
      <c r="M1993" s="206"/>
      <c r="N1993" s="206"/>
      <c r="O1993" s="206"/>
      <c r="P1993" s="206"/>
      <c r="Q1993" s="262"/>
      <c r="R1993" s="262"/>
      <c r="S1993" s="207"/>
      <c r="T1993" s="263"/>
      <c r="U1993" s="26"/>
      <c r="V1993" s="26"/>
      <c r="W1993" s="26"/>
      <c r="X1993" s="26"/>
    </row>
    <row r="1994">
      <c r="A1994" s="28"/>
      <c r="B1994" s="28"/>
      <c r="C1994" s="28"/>
      <c r="D1994" s="96"/>
      <c r="E1994" s="105"/>
      <c r="F1994" s="105"/>
      <c r="G1994" s="206"/>
      <c r="H1994" s="206"/>
      <c r="I1994" s="206"/>
      <c r="J1994" s="206"/>
      <c r="K1994" s="206"/>
      <c r="L1994" s="206"/>
      <c r="M1994" s="206"/>
      <c r="N1994" s="206"/>
      <c r="O1994" s="206"/>
      <c r="P1994" s="206"/>
      <c r="Q1994" s="262"/>
      <c r="R1994" s="262"/>
      <c r="S1994" s="207"/>
      <c r="T1994" s="263"/>
      <c r="U1994" s="26"/>
      <c r="V1994" s="26"/>
      <c r="W1994" s="26"/>
      <c r="X1994" s="26"/>
    </row>
    <row r="1995">
      <c r="A1995" s="28"/>
      <c r="B1995" s="28"/>
      <c r="C1995" s="28"/>
      <c r="D1995" s="96"/>
      <c r="E1995" s="105"/>
      <c r="F1995" s="105"/>
      <c r="G1995" s="206"/>
      <c r="H1995" s="206"/>
      <c r="I1995" s="206"/>
      <c r="J1995" s="206"/>
      <c r="K1995" s="206"/>
      <c r="L1995" s="206"/>
      <c r="M1995" s="206"/>
      <c r="N1995" s="206"/>
      <c r="O1995" s="206"/>
      <c r="P1995" s="206"/>
      <c r="Q1995" s="262"/>
      <c r="R1995" s="262"/>
      <c r="S1995" s="207"/>
      <c r="T1995" s="263"/>
      <c r="U1995" s="26"/>
      <c r="V1995" s="26"/>
      <c r="W1995" s="26"/>
      <c r="X1995" s="26"/>
    </row>
    <row r="1996">
      <c r="A1996" s="28"/>
      <c r="B1996" s="28"/>
      <c r="C1996" s="28"/>
      <c r="D1996" s="96"/>
      <c r="E1996" s="105"/>
      <c r="F1996" s="105"/>
      <c r="G1996" s="206"/>
      <c r="H1996" s="206"/>
      <c r="I1996" s="206"/>
      <c r="J1996" s="206"/>
      <c r="K1996" s="206"/>
      <c r="L1996" s="206"/>
      <c r="M1996" s="206"/>
      <c r="N1996" s="206"/>
      <c r="O1996" s="206"/>
      <c r="P1996" s="206"/>
      <c r="Q1996" s="262"/>
      <c r="R1996" s="262"/>
      <c r="S1996" s="207"/>
      <c r="T1996" s="263"/>
      <c r="U1996" s="26"/>
      <c r="V1996" s="26"/>
      <c r="W1996" s="26"/>
      <c r="X1996" s="26"/>
    </row>
    <row r="1997">
      <c r="A1997" s="28"/>
      <c r="B1997" s="28"/>
      <c r="C1997" s="28"/>
      <c r="D1997" s="96"/>
      <c r="E1997" s="105"/>
      <c r="F1997" s="105"/>
      <c r="G1997" s="206"/>
      <c r="H1997" s="206"/>
      <c r="I1997" s="206"/>
      <c r="J1997" s="206"/>
      <c r="K1997" s="206"/>
      <c r="L1997" s="206"/>
      <c r="M1997" s="206"/>
      <c r="N1997" s="206"/>
      <c r="O1997" s="206"/>
      <c r="P1997" s="206"/>
      <c r="Q1997" s="262"/>
      <c r="R1997" s="262"/>
      <c r="S1997" s="207"/>
      <c r="T1997" s="263"/>
      <c r="U1997" s="26"/>
      <c r="V1997" s="26"/>
      <c r="W1997" s="26"/>
      <c r="X1997" s="26"/>
    </row>
    <row r="1998">
      <c r="A1998" s="28"/>
      <c r="B1998" s="28"/>
      <c r="C1998" s="28"/>
      <c r="D1998" s="96"/>
      <c r="E1998" s="105"/>
      <c r="F1998" s="105"/>
      <c r="G1998" s="206"/>
      <c r="H1998" s="206"/>
      <c r="I1998" s="206"/>
      <c r="J1998" s="206"/>
      <c r="K1998" s="206"/>
      <c r="L1998" s="206"/>
      <c r="M1998" s="206"/>
      <c r="N1998" s="206"/>
      <c r="O1998" s="206"/>
      <c r="P1998" s="206"/>
      <c r="Q1998" s="262"/>
      <c r="R1998" s="262"/>
      <c r="S1998" s="207"/>
      <c r="T1998" s="263"/>
      <c r="U1998" s="26"/>
      <c r="V1998" s="26"/>
      <c r="W1998" s="26"/>
      <c r="X1998" s="26"/>
    </row>
    <row r="1999">
      <c r="A1999" s="28"/>
      <c r="B1999" s="28"/>
      <c r="C1999" s="28"/>
      <c r="D1999" s="96"/>
      <c r="E1999" s="105"/>
      <c r="F1999" s="105"/>
      <c r="G1999" s="206"/>
      <c r="H1999" s="206"/>
      <c r="I1999" s="206"/>
      <c r="J1999" s="206"/>
      <c r="K1999" s="206"/>
      <c r="L1999" s="206"/>
      <c r="M1999" s="206"/>
      <c r="N1999" s="206"/>
      <c r="O1999" s="206"/>
      <c r="P1999" s="206"/>
      <c r="Q1999" s="262"/>
      <c r="R1999" s="262"/>
      <c r="S1999" s="207"/>
      <c r="T1999" s="263"/>
      <c r="U1999" s="26"/>
      <c r="V1999" s="26"/>
      <c r="W1999" s="26"/>
      <c r="X1999" s="26"/>
    </row>
    <row r="2000">
      <c r="A2000" s="28"/>
      <c r="B2000" s="28"/>
      <c r="C2000" s="28"/>
      <c r="D2000" s="96"/>
      <c r="E2000" s="105"/>
      <c r="F2000" s="105"/>
      <c r="G2000" s="206"/>
      <c r="H2000" s="206"/>
      <c r="I2000" s="206"/>
      <c r="J2000" s="206"/>
      <c r="K2000" s="206"/>
      <c r="L2000" s="206"/>
      <c r="M2000" s="206"/>
      <c r="N2000" s="206"/>
      <c r="O2000" s="206"/>
      <c r="P2000" s="206"/>
      <c r="Q2000" s="262"/>
      <c r="R2000" s="262"/>
      <c r="S2000" s="207"/>
      <c r="T2000" s="263"/>
      <c r="U2000" s="26"/>
      <c r="V2000" s="26"/>
      <c r="W2000" s="26"/>
      <c r="X2000" s="26"/>
    </row>
    <row r="2001">
      <c r="A2001" s="28"/>
      <c r="B2001" s="28"/>
      <c r="C2001" s="28"/>
      <c r="D2001" s="96"/>
      <c r="E2001" s="105"/>
      <c r="F2001" s="105"/>
      <c r="G2001" s="206"/>
      <c r="H2001" s="206"/>
      <c r="I2001" s="206"/>
      <c r="J2001" s="206"/>
      <c r="K2001" s="206"/>
      <c r="L2001" s="206"/>
      <c r="M2001" s="206"/>
      <c r="N2001" s="206"/>
      <c r="O2001" s="206"/>
      <c r="P2001" s="206"/>
      <c r="Q2001" s="262"/>
      <c r="R2001" s="262"/>
      <c r="S2001" s="207"/>
      <c r="T2001" s="263"/>
      <c r="U2001" s="26"/>
      <c r="V2001" s="26"/>
      <c r="W2001" s="26"/>
      <c r="X2001" s="26"/>
    </row>
    <row r="2002">
      <c r="A2002" s="28"/>
      <c r="B2002" s="28"/>
      <c r="C2002" s="28"/>
      <c r="D2002" s="96"/>
      <c r="E2002" s="105"/>
      <c r="F2002" s="105"/>
      <c r="G2002" s="206"/>
      <c r="H2002" s="206"/>
      <c r="I2002" s="206"/>
      <c r="J2002" s="206"/>
      <c r="K2002" s="206"/>
      <c r="L2002" s="206"/>
      <c r="M2002" s="206"/>
      <c r="N2002" s="206"/>
      <c r="O2002" s="206"/>
      <c r="P2002" s="206"/>
      <c r="Q2002" s="262"/>
      <c r="R2002" s="262"/>
      <c r="S2002" s="207"/>
      <c r="T2002" s="263"/>
      <c r="U2002" s="26"/>
      <c r="V2002" s="26"/>
      <c r="W2002" s="26"/>
      <c r="X2002" s="26"/>
    </row>
    <row r="2003">
      <c r="A2003" s="28"/>
      <c r="B2003" s="28"/>
      <c r="C2003" s="28"/>
      <c r="D2003" s="96"/>
      <c r="E2003" s="105"/>
      <c r="F2003" s="105"/>
      <c r="G2003" s="206"/>
      <c r="H2003" s="206"/>
      <c r="I2003" s="206"/>
      <c r="J2003" s="206"/>
      <c r="K2003" s="206"/>
      <c r="L2003" s="206"/>
      <c r="M2003" s="206"/>
      <c r="N2003" s="206"/>
      <c r="O2003" s="206"/>
      <c r="P2003" s="206"/>
      <c r="Q2003" s="262"/>
      <c r="R2003" s="262"/>
      <c r="S2003" s="207"/>
      <c r="T2003" s="263"/>
      <c r="U2003" s="26"/>
      <c r="V2003" s="26"/>
      <c r="W2003" s="26"/>
      <c r="X2003" s="26"/>
    </row>
    <row r="2004">
      <c r="A2004" s="28"/>
      <c r="B2004" s="28"/>
      <c r="C2004" s="28"/>
      <c r="D2004" s="96"/>
      <c r="E2004" s="105"/>
      <c r="F2004" s="105"/>
      <c r="G2004" s="206"/>
      <c r="H2004" s="206"/>
      <c r="I2004" s="206"/>
      <c r="J2004" s="206"/>
      <c r="K2004" s="206"/>
      <c r="L2004" s="206"/>
      <c r="M2004" s="206"/>
      <c r="N2004" s="206"/>
      <c r="O2004" s="206"/>
      <c r="P2004" s="206"/>
      <c r="Q2004" s="262"/>
      <c r="R2004" s="262"/>
      <c r="S2004" s="207"/>
      <c r="T2004" s="263"/>
      <c r="U2004" s="26"/>
      <c r="V2004" s="26"/>
      <c r="W2004" s="26"/>
      <c r="X2004" s="26"/>
    </row>
    <row r="2005">
      <c r="A2005" s="28"/>
      <c r="B2005" s="28"/>
      <c r="C2005" s="28"/>
      <c r="D2005" s="96"/>
      <c r="E2005" s="105"/>
      <c r="F2005" s="105"/>
      <c r="G2005" s="206"/>
      <c r="H2005" s="206"/>
      <c r="I2005" s="206"/>
      <c r="J2005" s="206"/>
      <c r="K2005" s="206"/>
      <c r="L2005" s="206"/>
      <c r="M2005" s="206"/>
      <c r="N2005" s="206"/>
      <c r="O2005" s="206"/>
      <c r="P2005" s="206"/>
      <c r="Q2005" s="262"/>
      <c r="R2005" s="262"/>
      <c r="S2005" s="207"/>
      <c r="T2005" s="263"/>
      <c r="U2005" s="26"/>
      <c r="V2005" s="26"/>
      <c r="W2005" s="26"/>
      <c r="X2005" s="26"/>
    </row>
    <row r="2006">
      <c r="A2006" s="28"/>
      <c r="B2006" s="28"/>
      <c r="C2006" s="28"/>
      <c r="D2006" s="96"/>
      <c r="E2006" s="105"/>
      <c r="F2006" s="105"/>
      <c r="G2006" s="206"/>
      <c r="H2006" s="206"/>
      <c r="I2006" s="206"/>
      <c r="J2006" s="206"/>
      <c r="K2006" s="206"/>
      <c r="L2006" s="206"/>
      <c r="M2006" s="206"/>
      <c r="N2006" s="206"/>
      <c r="O2006" s="206"/>
      <c r="P2006" s="206"/>
      <c r="Q2006" s="262"/>
      <c r="R2006" s="262"/>
      <c r="S2006" s="207"/>
      <c r="T2006" s="263"/>
      <c r="U2006" s="26"/>
      <c r="V2006" s="26"/>
      <c r="W2006" s="26"/>
      <c r="X2006" s="26"/>
    </row>
    <row r="2007">
      <c r="A2007" s="28"/>
      <c r="B2007" s="28"/>
      <c r="C2007" s="28"/>
      <c r="D2007" s="96"/>
      <c r="E2007" s="105"/>
      <c r="F2007" s="105"/>
      <c r="G2007" s="206"/>
      <c r="H2007" s="206"/>
      <c r="I2007" s="206"/>
      <c r="J2007" s="206"/>
      <c r="K2007" s="206"/>
      <c r="L2007" s="206"/>
      <c r="M2007" s="206"/>
      <c r="N2007" s="206"/>
      <c r="O2007" s="206"/>
      <c r="P2007" s="206"/>
      <c r="Q2007" s="262"/>
      <c r="R2007" s="262"/>
      <c r="S2007" s="207"/>
      <c r="T2007" s="263"/>
      <c r="U2007" s="26"/>
      <c r="V2007" s="26"/>
      <c r="W2007" s="26"/>
      <c r="X2007" s="26"/>
    </row>
    <row r="2008">
      <c r="A2008" s="28"/>
      <c r="B2008" s="28"/>
      <c r="C2008" s="28"/>
      <c r="D2008" s="96"/>
      <c r="E2008" s="105"/>
      <c r="F2008" s="105"/>
      <c r="G2008" s="206"/>
      <c r="H2008" s="206"/>
      <c r="I2008" s="206"/>
      <c r="J2008" s="206"/>
      <c r="K2008" s="206"/>
      <c r="L2008" s="206"/>
      <c r="M2008" s="206"/>
      <c r="N2008" s="206"/>
      <c r="O2008" s="206"/>
      <c r="P2008" s="206"/>
      <c r="Q2008" s="262"/>
      <c r="R2008" s="262"/>
      <c r="S2008" s="207"/>
      <c r="T2008" s="263"/>
      <c r="U2008" s="26"/>
      <c r="V2008" s="26"/>
      <c r="W2008" s="26"/>
      <c r="X2008" s="26"/>
    </row>
    <row r="2009">
      <c r="A2009" s="28"/>
      <c r="B2009" s="28"/>
      <c r="C2009" s="28"/>
      <c r="D2009" s="96"/>
      <c r="E2009" s="105"/>
      <c r="F2009" s="105"/>
      <c r="G2009" s="206"/>
      <c r="H2009" s="206"/>
      <c r="I2009" s="206"/>
      <c r="J2009" s="206"/>
      <c r="K2009" s="206"/>
      <c r="L2009" s="206"/>
      <c r="M2009" s="206"/>
      <c r="N2009" s="206"/>
      <c r="O2009" s="206"/>
      <c r="P2009" s="206"/>
      <c r="Q2009" s="262"/>
      <c r="R2009" s="262"/>
      <c r="S2009" s="207"/>
      <c r="T2009" s="263"/>
      <c r="U2009" s="26"/>
      <c r="V2009" s="26"/>
      <c r="W2009" s="26"/>
      <c r="X2009" s="26"/>
    </row>
    <row r="2010">
      <c r="A2010" s="28"/>
      <c r="B2010" s="28"/>
      <c r="C2010" s="28"/>
      <c r="D2010" s="96"/>
      <c r="E2010" s="105"/>
      <c r="F2010" s="105"/>
      <c r="G2010" s="206"/>
      <c r="H2010" s="206"/>
      <c r="I2010" s="206"/>
      <c r="J2010" s="206"/>
      <c r="K2010" s="206"/>
      <c r="L2010" s="206"/>
      <c r="M2010" s="206"/>
      <c r="N2010" s="206"/>
      <c r="O2010" s="206"/>
      <c r="P2010" s="206"/>
      <c r="Q2010" s="262"/>
      <c r="R2010" s="262"/>
      <c r="S2010" s="207"/>
      <c r="T2010" s="263"/>
      <c r="U2010" s="26"/>
      <c r="V2010" s="26"/>
      <c r="W2010" s="26"/>
      <c r="X2010" s="26"/>
    </row>
    <row r="2011">
      <c r="A2011" s="28"/>
      <c r="B2011" s="28"/>
      <c r="C2011" s="28"/>
      <c r="D2011" s="96"/>
      <c r="E2011" s="105"/>
      <c r="F2011" s="105"/>
      <c r="G2011" s="206"/>
      <c r="H2011" s="206"/>
      <c r="I2011" s="206"/>
      <c r="J2011" s="206"/>
      <c r="K2011" s="206"/>
      <c r="L2011" s="206"/>
      <c r="M2011" s="206"/>
      <c r="N2011" s="206"/>
      <c r="O2011" s="206"/>
      <c r="P2011" s="206"/>
      <c r="Q2011" s="262"/>
      <c r="R2011" s="262"/>
      <c r="S2011" s="207"/>
      <c r="T2011" s="263"/>
      <c r="U2011" s="26"/>
      <c r="V2011" s="26"/>
      <c r="W2011" s="26"/>
      <c r="X2011" s="26"/>
    </row>
    <row r="2012">
      <c r="A2012" s="28"/>
      <c r="B2012" s="28"/>
      <c r="C2012" s="28"/>
      <c r="D2012" s="96"/>
      <c r="E2012" s="105"/>
      <c r="F2012" s="105"/>
      <c r="G2012" s="206"/>
      <c r="H2012" s="206"/>
      <c r="I2012" s="206"/>
      <c r="J2012" s="206"/>
      <c r="K2012" s="206"/>
      <c r="L2012" s="206"/>
      <c r="M2012" s="206"/>
      <c r="N2012" s="206"/>
      <c r="O2012" s="206"/>
      <c r="P2012" s="206"/>
      <c r="Q2012" s="262"/>
      <c r="R2012" s="262"/>
      <c r="S2012" s="207"/>
      <c r="T2012" s="263"/>
      <c r="U2012" s="26"/>
      <c r="V2012" s="26"/>
      <c r="W2012" s="26"/>
      <c r="X2012" s="26"/>
    </row>
    <row r="2013">
      <c r="A2013" s="28"/>
      <c r="B2013" s="28"/>
      <c r="C2013" s="28"/>
      <c r="D2013" s="96"/>
      <c r="E2013" s="105"/>
      <c r="F2013" s="105"/>
      <c r="G2013" s="206"/>
      <c r="H2013" s="206"/>
      <c r="I2013" s="206"/>
      <c r="J2013" s="206"/>
      <c r="K2013" s="206"/>
      <c r="L2013" s="206"/>
      <c r="M2013" s="206"/>
      <c r="N2013" s="206"/>
      <c r="O2013" s="206"/>
      <c r="P2013" s="206"/>
      <c r="Q2013" s="262"/>
      <c r="R2013" s="262"/>
      <c r="S2013" s="207"/>
      <c r="T2013" s="263"/>
      <c r="U2013" s="26"/>
      <c r="V2013" s="26"/>
      <c r="W2013" s="26"/>
      <c r="X2013" s="26"/>
    </row>
    <row r="2014">
      <c r="A2014" s="28"/>
      <c r="B2014" s="28"/>
      <c r="C2014" s="28"/>
      <c r="D2014" s="96"/>
      <c r="E2014" s="105"/>
      <c r="F2014" s="105"/>
      <c r="G2014" s="206"/>
      <c r="H2014" s="206"/>
      <c r="I2014" s="206"/>
      <c r="J2014" s="206"/>
      <c r="K2014" s="206"/>
      <c r="L2014" s="206"/>
      <c r="M2014" s="206"/>
      <c r="N2014" s="206"/>
      <c r="O2014" s="206"/>
      <c r="P2014" s="206"/>
      <c r="Q2014" s="262"/>
      <c r="R2014" s="262"/>
      <c r="S2014" s="207"/>
      <c r="T2014" s="263"/>
      <c r="U2014" s="26"/>
      <c r="V2014" s="26"/>
      <c r="W2014" s="26"/>
      <c r="X2014" s="26"/>
    </row>
    <row r="2015">
      <c r="A2015" s="28"/>
      <c r="B2015" s="28"/>
      <c r="C2015" s="28"/>
      <c r="D2015" s="96"/>
      <c r="E2015" s="105"/>
      <c r="F2015" s="105"/>
      <c r="G2015" s="206"/>
      <c r="H2015" s="206"/>
      <c r="I2015" s="206"/>
      <c r="J2015" s="206"/>
      <c r="K2015" s="206"/>
      <c r="L2015" s="206"/>
      <c r="M2015" s="206"/>
      <c r="N2015" s="206"/>
      <c r="O2015" s="206"/>
      <c r="P2015" s="206"/>
      <c r="Q2015" s="262"/>
      <c r="R2015" s="262"/>
      <c r="S2015" s="207"/>
      <c r="T2015" s="263"/>
      <c r="U2015" s="26"/>
      <c r="V2015" s="26"/>
      <c r="W2015" s="26"/>
      <c r="X2015" s="26"/>
    </row>
    <row r="2016">
      <c r="A2016" s="28"/>
      <c r="B2016" s="28"/>
      <c r="C2016" s="28"/>
      <c r="D2016" s="96"/>
      <c r="E2016" s="105"/>
      <c r="F2016" s="105"/>
      <c r="G2016" s="206"/>
      <c r="H2016" s="206"/>
      <c r="I2016" s="206"/>
      <c r="J2016" s="206"/>
      <c r="K2016" s="206"/>
      <c r="L2016" s="206"/>
      <c r="M2016" s="206"/>
      <c r="N2016" s="206"/>
      <c r="O2016" s="206"/>
      <c r="P2016" s="206"/>
      <c r="Q2016" s="262"/>
      <c r="R2016" s="262"/>
      <c r="S2016" s="207"/>
      <c r="T2016" s="263"/>
      <c r="U2016" s="26"/>
      <c r="V2016" s="26"/>
      <c r="W2016" s="26"/>
      <c r="X2016" s="26"/>
    </row>
    <row r="2017">
      <c r="A2017" s="28"/>
      <c r="B2017" s="28"/>
      <c r="C2017" s="28"/>
      <c r="D2017" s="96"/>
      <c r="E2017" s="105"/>
      <c r="F2017" s="105"/>
      <c r="G2017" s="206"/>
      <c r="H2017" s="206"/>
      <c r="I2017" s="206"/>
      <c r="J2017" s="206"/>
      <c r="K2017" s="206"/>
      <c r="L2017" s="206"/>
      <c r="M2017" s="206"/>
      <c r="N2017" s="206"/>
      <c r="O2017" s="206"/>
      <c r="P2017" s="206"/>
      <c r="Q2017" s="262"/>
      <c r="R2017" s="262"/>
      <c r="S2017" s="207"/>
      <c r="T2017" s="263"/>
      <c r="U2017" s="26"/>
      <c r="V2017" s="26"/>
      <c r="W2017" s="26"/>
      <c r="X2017" s="26"/>
    </row>
    <row r="2018">
      <c r="A2018" s="28"/>
      <c r="B2018" s="28"/>
      <c r="C2018" s="28"/>
      <c r="D2018" s="96"/>
      <c r="E2018" s="105"/>
      <c r="F2018" s="105"/>
      <c r="G2018" s="206"/>
      <c r="H2018" s="206"/>
      <c r="I2018" s="206"/>
      <c r="J2018" s="206"/>
      <c r="K2018" s="206"/>
      <c r="L2018" s="206"/>
      <c r="M2018" s="206"/>
      <c r="N2018" s="206"/>
      <c r="O2018" s="206"/>
      <c r="P2018" s="206"/>
      <c r="Q2018" s="262"/>
      <c r="R2018" s="262"/>
      <c r="S2018" s="207"/>
      <c r="T2018" s="263"/>
      <c r="U2018" s="26"/>
      <c r="V2018" s="26"/>
      <c r="W2018" s="26"/>
      <c r="X2018" s="26"/>
    </row>
    <row r="2019">
      <c r="A2019" s="28"/>
      <c r="B2019" s="28"/>
      <c r="C2019" s="28"/>
      <c r="D2019" s="96"/>
      <c r="E2019" s="105"/>
      <c r="F2019" s="105"/>
      <c r="G2019" s="206"/>
      <c r="H2019" s="206"/>
      <c r="I2019" s="206"/>
      <c r="J2019" s="206"/>
      <c r="K2019" s="206"/>
      <c r="L2019" s="206"/>
      <c r="M2019" s="206"/>
      <c r="N2019" s="206"/>
      <c r="O2019" s="206"/>
      <c r="P2019" s="206"/>
      <c r="Q2019" s="262"/>
      <c r="R2019" s="262"/>
      <c r="S2019" s="207"/>
      <c r="T2019" s="263"/>
      <c r="U2019" s="26"/>
      <c r="V2019" s="26"/>
      <c r="W2019" s="26"/>
      <c r="X2019" s="26"/>
    </row>
    <row r="2020">
      <c r="A2020" s="28"/>
      <c r="B2020" s="28"/>
      <c r="C2020" s="28"/>
      <c r="D2020" s="96"/>
      <c r="E2020" s="105"/>
      <c r="F2020" s="105"/>
      <c r="G2020" s="206"/>
      <c r="H2020" s="206"/>
      <c r="I2020" s="206"/>
      <c r="J2020" s="206"/>
      <c r="K2020" s="206"/>
      <c r="L2020" s="206"/>
      <c r="M2020" s="206"/>
      <c r="N2020" s="206"/>
      <c r="O2020" s="206"/>
      <c r="P2020" s="206"/>
      <c r="Q2020" s="262"/>
      <c r="R2020" s="262"/>
      <c r="S2020" s="207"/>
      <c r="T2020" s="263"/>
      <c r="U2020" s="26"/>
      <c r="V2020" s="26"/>
      <c r="W2020" s="26"/>
      <c r="X2020" s="26"/>
    </row>
    <row r="2021">
      <c r="A2021" s="28"/>
      <c r="B2021" s="28"/>
      <c r="C2021" s="28"/>
      <c r="D2021" s="96"/>
      <c r="E2021" s="105"/>
      <c r="F2021" s="105"/>
      <c r="G2021" s="206"/>
      <c r="H2021" s="206"/>
      <c r="I2021" s="206"/>
      <c r="J2021" s="206"/>
      <c r="K2021" s="206"/>
      <c r="L2021" s="206"/>
      <c r="M2021" s="206"/>
      <c r="N2021" s="206"/>
      <c r="O2021" s="206"/>
      <c r="P2021" s="206"/>
      <c r="Q2021" s="262"/>
      <c r="R2021" s="262"/>
      <c r="S2021" s="207"/>
      <c r="T2021" s="263"/>
      <c r="U2021" s="26"/>
      <c r="V2021" s="26"/>
      <c r="W2021" s="26"/>
      <c r="X2021" s="26"/>
    </row>
    <row r="2022">
      <c r="A2022" s="28"/>
      <c r="B2022" s="28"/>
      <c r="C2022" s="28"/>
      <c r="D2022" s="96"/>
      <c r="E2022" s="105"/>
      <c r="F2022" s="105"/>
      <c r="G2022" s="206"/>
      <c r="H2022" s="206"/>
      <c r="I2022" s="206"/>
      <c r="J2022" s="206"/>
      <c r="K2022" s="206"/>
      <c r="L2022" s="206"/>
      <c r="M2022" s="206"/>
      <c r="N2022" s="206"/>
      <c r="O2022" s="206"/>
      <c r="P2022" s="206"/>
      <c r="Q2022" s="262"/>
      <c r="R2022" s="262"/>
      <c r="S2022" s="207"/>
      <c r="T2022" s="263"/>
      <c r="U2022" s="26"/>
      <c r="V2022" s="26"/>
      <c r="W2022" s="26"/>
      <c r="X2022" s="26"/>
    </row>
    <row r="2023">
      <c r="A2023" s="28"/>
      <c r="B2023" s="28"/>
      <c r="C2023" s="28"/>
      <c r="D2023" s="96"/>
      <c r="E2023" s="105"/>
      <c r="F2023" s="105"/>
      <c r="G2023" s="206"/>
      <c r="H2023" s="206"/>
      <c r="I2023" s="206"/>
      <c r="J2023" s="206"/>
      <c r="K2023" s="206"/>
      <c r="L2023" s="206"/>
      <c r="M2023" s="206"/>
      <c r="N2023" s="206"/>
      <c r="O2023" s="206"/>
      <c r="P2023" s="206"/>
      <c r="Q2023" s="262"/>
      <c r="R2023" s="262"/>
      <c r="S2023" s="207"/>
      <c r="T2023" s="263"/>
      <c r="U2023" s="26"/>
      <c r="V2023" s="26"/>
      <c r="W2023" s="26"/>
      <c r="X2023" s="26"/>
    </row>
    <row r="2024">
      <c r="A2024" s="28"/>
      <c r="B2024" s="28"/>
      <c r="C2024" s="28"/>
      <c r="D2024" s="96"/>
      <c r="E2024" s="105"/>
      <c r="F2024" s="105"/>
      <c r="G2024" s="206"/>
      <c r="H2024" s="206"/>
      <c r="I2024" s="206"/>
      <c r="J2024" s="206"/>
      <c r="K2024" s="206"/>
      <c r="L2024" s="206"/>
      <c r="M2024" s="206"/>
      <c r="N2024" s="206"/>
      <c r="O2024" s="206"/>
      <c r="P2024" s="206"/>
      <c r="Q2024" s="262"/>
      <c r="R2024" s="262"/>
      <c r="S2024" s="207"/>
      <c r="T2024" s="263"/>
      <c r="U2024" s="26"/>
      <c r="V2024" s="26"/>
      <c r="W2024" s="26"/>
      <c r="X2024" s="26"/>
    </row>
    <row r="2025">
      <c r="A2025" s="28"/>
      <c r="B2025" s="28"/>
      <c r="C2025" s="28"/>
      <c r="D2025" s="96"/>
      <c r="E2025" s="105"/>
      <c r="F2025" s="105"/>
      <c r="G2025" s="206"/>
      <c r="H2025" s="206"/>
      <c r="I2025" s="206"/>
      <c r="J2025" s="206"/>
      <c r="K2025" s="206"/>
      <c r="L2025" s="206"/>
      <c r="M2025" s="206"/>
      <c r="N2025" s="206"/>
      <c r="O2025" s="206"/>
      <c r="P2025" s="206"/>
      <c r="Q2025" s="262"/>
      <c r="R2025" s="262"/>
      <c r="S2025" s="207"/>
      <c r="T2025" s="263"/>
      <c r="U2025" s="26"/>
      <c r="V2025" s="26"/>
      <c r="W2025" s="26"/>
      <c r="X2025" s="26"/>
    </row>
    <row r="2026">
      <c r="A2026" s="28"/>
      <c r="B2026" s="28"/>
      <c r="C2026" s="28"/>
      <c r="D2026" s="96"/>
      <c r="E2026" s="105"/>
      <c r="F2026" s="105"/>
      <c r="G2026" s="206"/>
      <c r="H2026" s="206"/>
      <c r="I2026" s="206"/>
      <c r="J2026" s="206"/>
      <c r="K2026" s="206"/>
      <c r="L2026" s="206"/>
      <c r="M2026" s="206"/>
      <c r="N2026" s="206"/>
      <c r="O2026" s="206"/>
      <c r="P2026" s="206"/>
      <c r="Q2026" s="262"/>
      <c r="R2026" s="262"/>
      <c r="S2026" s="207"/>
      <c r="T2026" s="263"/>
      <c r="U2026" s="26"/>
      <c r="V2026" s="26"/>
      <c r="W2026" s="26"/>
      <c r="X2026" s="26"/>
    </row>
    <row r="2027">
      <c r="A2027" s="28"/>
      <c r="B2027" s="28"/>
      <c r="C2027" s="28"/>
      <c r="D2027" s="96"/>
      <c r="E2027" s="105"/>
      <c r="F2027" s="105"/>
      <c r="G2027" s="206"/>
      <c r="H2027" s="206"/>
      <c r="I2027" s="206"/>
      <c r="J2027" s="206"/>
      <c r="K2027" s="206"/>
      <c r="L2027" s="206"/>
      <c r="M2027" s="206"/>
      <c r="N2027" s="206"/>
      <c r="O2027" s="206"/>
      <c r="P2027" s="206"/>
      <c r="Q2027" s="262"/>
      <c r="R2027" s="262"/>
      <c r="S2027" s="207"/>
      <c r="T2027" s="263"/>
      <c r="U2027" s="26"/>
      <c r="V2027" s="26"/>
      <c r="W2027" s="26"/>
      <c r="X2027" s="26"/>
    </row>
    <row r="2028">
      <c r="A2028" s="28"/>
      <c r="B2028" s="28"/>
      <c r="C2028" s="28"/>
      <c r="D2028" s="96"/>
      <c r="E2028" s="105"/>
      <c r="F2028" s="105"/>
      <c r="G2028" s="206"/>
      <c r="H2028" s="206"/>
      <c r="I2028" s="206"/>
      <c r="J2028" s="206"/>
      <c r="K2028" s="206"/>
      <c r="L2028" s="206"/>
      <c r="M2028" s="206"/>
      <c r="N2028" s="206"/>
      <c r="O2028" s="206"/>
      <c r="P2028" s="206"/>
      <c r="Q2028" s="262"/>
      <c r="R2028" s="262"/>
      <c r="S2028" s="207"/>
      <c r="T2028" s="263"/>
      <c r="U2028" s="26"/>
      <c r="V2028" s="26"/>
      <c r="W2028" s="26"/>
      <c r="X2028" s="26"/>
    </row>
    <row r="2029">
      <c r="A2029" s="28"/>
      <c r="B2029" s="28"/>
      <c r="C2029" s="28"/>
      <c r="D2029" s="96"/>
      <c r="E2029" s="105"/>
      <c r="F2029" s="105"/>
      <c r="G2029" s="206"/>
      <c r="H2029" s="206"/>
      <c r="I2029" s="206"/>
      <c r="J2029" s="206"/>
      <c r="K2029" s="206"/>
      <c r="L2029" s="206"/>
      <c r="M2029" s="206"/>
      <c r="N2029" s="206"/>
      <c r="O2029" s="206"/>
      <c r="P2029" s="206"/>
      <c r="Q2029" s="262"/>
      <c r="R2029" s="262"/>
      <c r="S2029" s="207"/>
      <c r="T2029" s="263"/>
      <c r="U2029" s="26"/>
      <c r="V2029" s="26"/>
      <c r="W2029" s="26"/>
      <c r="X2029" s="26"/>
    </row>
    <row r="2030">
      <c r="A2030" s="28"/>
      <c r="B2030" s="28"/>
      <c r="C2030" s="28"/>
      <c r="D2030" s="96"/>
      <c r="E2030" s="105"/>
      <c r="F2030" s="105"/>
      <c r="G2030" s="206"/>
      <c r="H2030" s="206"/>
      <c r="I2030" s="206"/>
      <c r="J2030" s="206"/>
      <c r="K2030" s="206"/>
      <c r="L2030" s="206"/>
      <c r="M2030" s="206"/>
      <c r="N2030" s="206"/>
      <c r="O2030" s="206"/>
      <c r="P2030" s="206"/>
      <c r="Q2030" s="262"/>
      <c r="R2030" s="262"/>
      <c r="S2030" s="207"/>
      <c r="T2030" s="263"/>
      <c r="U2030" s="26"/>
      <c r="V2030" s="26"/>
      <c r="W2030" s="26"/>
      <c r="X2030" s="26"/>
    </row>
    <row r="2031">
      <c r="A2031" s="28"/>
      <c r="B2031" s="28"/>
      <c r="C2031" s="28"/>
      <c r="D2031" s="96"/>
      <c r="E2031" s="105"/>
      <c r="F2031" s="105"/>
      <c r="G2031" s="206"/>
      <c r="H2031" s="206"/>
      <c r="I2031" s="206"/>
      <c r="J2031" s="206"/>
      <c r="K2031" s="206"/>
      <c r="L2031" s="206"/>
      <c r="M2031" s="206"/>
      <c r="N2031" s="206"/>
      <c r="O2031" s="206"/>
      <c r="P2031" s="206"/>
      <c r="Q2031" s="262"/>
      <c r="R2031" s="262"/>
      <c r="S2031" s="207"/>
      <c r="T2031" s="263"/>
      <c r="U2031" s="26"/>
      <c r="V2031" s="26"/>
      <c r="W2031" s="26"/>
      <c r="X2031" s="26"/>
    </row>
    <row r="2032">
      <c r="A2032" s="28"/>
      <c r="B2032" s="28"/>
      <c r="C2032" s="28"/>
      <c r="D2032" s="96"/>
      <c r="E2032" s="105"/>
      <c r="F2032" s="105"/>
      <c r="G2032" s="206"/>
      <c r="H2032" s="206"/>
      <c r="I2032" s="206"/>
      <c r="J2032" s="206"/>
      <c r="K2032" s="206"/>
      <c r="L2032" s="206"/>
      <c r="M2032" s="206"/>
      <c r="N2032" s="206"/>
      <c r="O2032" s="206"/>
      <c r="P2032" s="206"/>
      <c r="Q2032" s="262"/>
      <c r="R2032" s="262"/>
      <c r="S2032" s="207"/>
      <c r="T2032" s="263"/>
      <c r="U2032" s="26"/>
      <c r="V2032" s="26"/>
      <c r="W2032" s="26"/>
      <c r="X2032" s="26"/>
    </row>
    <row r="2033">
      <c r="A2033" s="28"/>
      <c r="B2033" s="28"/>
      <c r="C2033" s="28"/>
      <c r="D2033" s="96"/>
      <c r="E2033" s="105"/>
      <c r="F2033" s="105"/>
      <c r="G2033" s="206"/>
      <c r="H2033" s="206"/>
      <c r="I2033" s="206"/>
      <c r="J2033" s="206"/>
      <c r="K2033" s="206"/>
      <c r="L2033" s="206"/>
      <c r="M2033" s="206"/>
      <c r="N2033" s="206"/>
      <c r="O2033" s="206"/>
      <c r="P2033" s="206"/>
      <c r="Q2033" s="262"/>
      <c r="R2033" s="262"/>
      <c r="S2033" s="207"/>
      <c r="T2033" s="263"/>
      <c r="U2033" s="26"/>
      <c r="V2033" s="26"/>
      <c r="W2033" s="26"/>
      <c r="X2033" s="26"/>
    </row>
    <row r="2034">
      <c r="A2034" s="28"/>
      <c r="B2034" s="28"/>
      <c r="C2034" s="28"/>
      <c r="D2034" s="96"/>
      <c r="E2034" s="105"/>
      <c r="F2034" s="105"/>
      <c r="G2034" s="206"/>
      <c r="H2034" s="206"/>
      <c r="I2034" s="206"/>
      <c r="J2034" s="206"/>
      <c r="K2034" s="206"/>
      <c r="L2034" s="206"/>
      <c r="M2034" s="206"/>
      <c r="N2034" s="206"/>
      <c r="O2034" s="206"/>
      <c r="P2034" s="206"/>
      <c r="Q2034" s="262"/>
      <c r="R2034" s="262"/>
      <c r="S2034" s="207"/>
      <c r="T2034" s="263"/>
      <c r="U2034" s="26"/>
      <c r="V2034" s="26"/>
      <c r="W2034" s="26"/>
      <c r="X2034" s="26"/>
    </row>
    <row r="2035">
      <c r="A2035" s="28"/>
      <c r="B2035" s="28"/>
      <c r="C2035" s="28"/>
      <c r="D2035" s="96"/>
      <c r="E2035" s="105"/>
      <c r="F2035" s="105"/>
      <c r="G2035" s="206"/>
      <c r="H2035" s="206"/>
      <c r="I2035" s="206"/>
      <c r="J2035" s="206"/>
      <c r="K2035" s="206"/>
      <c r="L2035" s="206"/>
      <c r="M2035" s="206"/>
      <c r="N2035" s="206"/>
      <c r="O2035" s="206"/>
      <c r="P2035" s="206"/>
      <c r="Q2035" s="262"/>
      <c r="R2035" s="262"/>
      <c r="S2035" s="207"/>
      <c r="T2035" s="263"/>
      <c r="U2035" s="26"/>
      <c r="V2035" s="26"/>
      <c r="W2035" s="26"/>
      <c r="X2035" s="26"/>
    </row>
    <row r="2036">
      <c r="A2036" s="28"/>
      <c r="B2036" s="28"/>
      <c r="C2036" s="28"/>
      <c r="D2036" s="96"/>
      <c r="E2036" s="105"/>
      <c r="F2036" s="105"/>
      <c r="G2036" s="206"/>
      <c r="H2036" s="206"/>
      <c r="I2036" s="206"/>
      <c r="J2036" s="206"/>
      <c r="K2036" s="206"/>
      <c r="L2036" s="206"/>
      <c r="M2036" s="206"/>
      <c r="N2036" s="206"/>
      <c r="O2036" s="206"/>
      <c r="P2036" s="206"/>
      <c r="Q2036" s="262"/>
      <c r="R2036" s="262"/>
      <c r="S2036" s="207"/>
      <c r="T2036" s="263"/>
      <c r="U2036" s="26"/>
      <c r="V2036" s="26"/>
      <c r="W2036" s="26"/>
      <c r="X2036" s="26"/>
    </row>
    <row r="2037">
      <c r="A2037" s="28"/>
      <c r="B2037" s="28"/>
      <c r="C2037" s="28"/>
      <c r="D2037" s="96"/>
      <c r="E2037" s="105"/>
      <c r="F2037" s="105"/>
      <c r="G2037" s="206"/>
      <c r="H2037" s="206"/>
      <c r="I2037" s="206"/>
      <c r="J2037" s="206"/>
      <c r="K2037" s="206"/>
      <c r="L2037" s="206"/>
      <c r="M2037" s="206"/>
      <c r="N2037" s="206"/>
      <c r="O2037" s="206"/>
      <c r="P2037" s="206"/>
      <c r="Q2037" s="262"/>
      <c r="R2037" s="262"/>
      <c r="S2037" s="207"/>
      <c r="T2037" s="263"/>
      <c r="U2037" s="26"/>
      <c r="V2037" s="26"/>
      <c r="W2037" s="26"/>
      <c r="X2037" s="26"/>
    </row>
    <row r="2038">
      <c r="A2038" s="28"/>
      <c r="B2038" s="28"/>
      <c r="C2038" s="28"/>
      <c r="D2038" s="96"/>
      <c r="E2038" s="105"/>
      <c r="F2038" s="105"/>
      <c r="G2038" s="206"/>
      <c r="H2038" s="206"/>
      <c r="I2038" s="206"/>
      <c r="J2038" s="206"/>
      <c r="K2038" s="206"/>
      <c r="L2038" s="206"/>
      <c r="M2038" s="206"/>
      <c r="N2038" s="206"/>
      <c r="O2038" s="206"/>
      <c r="P2038" s="206"/>
      <c r="Q2038" s="262"/>
      <c r="R2038" s="262"/>
      <c r="S2038" s="207"/>
      <c r="T2038" s="263"/>
      <c r="U2038" s="26"/>
      <c r="V2038" s="26"/>
      <c r="W2038" s="26"/>
      <c r="X2038" s="26"/>
    </row>
    <row r="2039">
      <c r="A2039" s="28"/>
      <c r="B2039" s="28"/>
      <c r="C2039" s="28"/>
      <c r="D2039" s="96"/>
      <c r="E2039" s="105"/>
      <c r="F2039" s="105"/>
      <c r="G2039" s="206"/>
      <c r="H2039" s="206"/>
      <c r="I2039" s="206"/>
      <c r="J2039" s="206"/>
      <c r="K2039" s="206"/>
      <c r="L2039" s="206"/>
      <c r="M2039" s="206"/>
      <c r="N2039" s="206"/>
      <c r="O2039" s="206"/>
      <c r="P2039" s="206"/>
      <c r="Q2039" s="262"/>
      <c r="R2039" s="262"/>
      <c r="S2039" s="207"/>
      <c r="T2039" s="263"/>
      <c r="U2039" s="26"/>
      <c r="V2039" s="26"/>
      <c r="W2039" s="26"/>
      <c r="X2039" s="26"/>
    </row>
    <row r="2040">
      <c r="A2040" s="28"/>
      <c r="B2040" s="28"/>
      <c r="C2040" s="28"/>
      <c r="D2040" s="96"/>
      <c r="E2040" s="105"/>
      <c r="F2040" s="105"/>
      <c r="G2040" s="206"/>
      <c r="H2040" s="206"/>
      <c r="I2040" s="206"/>
      <c r="J2040" s="206"/>
      <c r="K2040" s="206"/>
      <c r="L2040" s="206"/>
      <c r="M2040" s="206"/>
      <c r="N2040" s="206"/>
      <c r="O2040" s="206"/>
      <c r="P2040" s="206"/>
      <c r="Q2040" s="262"/>
      <c r="R2040" s="262"/>
      <c r="S2040" s="207"/>
      <c r="T2040" s="263"/>
      <c r="U2040" s="26"/>
      <c r="V2040" s="26"/>
      <c r="W2040" s="26"/>
      <c r="X2040" s="26"/>
    </row>
    <row r="2041">
      <c r="A2041" s="28"/>
      <c r="B2041" s="28"/>
      <c r="C2041" s="28"/>
      <c r="D2041" s="96"/>
      <c r="E2041" s="105"/>
      <c r="F2041" s="105"/>
      <c r="G2041" s="206"/>
      <c r="H2041" s="206"/>
      <c r="I2041" s="206"/>
      <c r="J2041" s="206"/>
      <c r="K2041" s="206"/>
      <c r="L2041" s="206"/>
      <c r="M2041" s="206"/>
      <c r="N2041" s="206"/>
      <c r="O2041" s="206"/>
      <c r="P2041" s="206"/>
      <c r="Q2041" s="262"/>
      <c r="R2041" s="262"/>
      <c r="S2041" s="207"/>
      <c r="T2041" s="263"/>
      <c r="U2041" s="26"/>
      <c r="V2041" s="26"/>
      <c r="W2041" s="26"/>
      <c r="X2041" s="26"/>
    </row>
    <row r="2042">
      <c r="A2042" s="28"/>
      <c r="B2042" s="28"/>
      <c r="C2042" s="28"/>
      <c r="D2042" s="96"/>
      <c r="E2042" s="105"/>
      <c r="F2042" s="105"/>
      <c r="G2042" s="206"/>
      <c r="H2042" s="206"/>
      <c r="I2042" s="206"/>
      <c r="J2042" s="206"/>
      <c r="K2042" s="206"/>
      <c r="L2042" s="206"/>
      <c r="M2042" s="206"/>
      <c r="N2042" s="206"/>
      <c r="O2042" s="206"/>
      <c r="P2042" s="206"/>
      <c r="Q2042" s="262"/>
      <c r="R2042" s="262"/>
      <c r="S2042" s="207"/>
      <c r="T2042" s="263"/>
      <c r="U2042" s="26"/>
      <c r="V2042" s="26"/>
      <c r="W2042" s="26"/>
      <c r="X2042" s="26"/>
    </row>
    <row r="2043">
      <c r="A2043" s="28"/>
      <c r="B2043" s="28"/>
      <c r="C2043" s="28"/>
      <c r="D2043" s="96"/>
      <c r="E2043" s="105"/>
      <c r="F2043" s="105"/>
      <c r="G2043" s="206"/>
      <c r="H2043" s="206"/>
      <c r="I2043" s="206"/>
      <c r="J2043" s="206"/>
      <c r="K2043" s="206"/>
      <c r="L2043" s="206"/>
      <c r="M2043" s="206"/>
      <c r="N2043" s="206"/>
      <c r="O2043" s="206"/>
      <c r="P2043" s="206"/>
      <c r="Q2043" s="262"/>
      <c r="R2043" s="262"/>
      <c r="S2043" s="207"/>
      <c r="T2043" s="263"/>
      <c r="U2043" s="26"/>
      <c r="V2043" s="26"/>
      <c r="W2043" s="26"/>
      <c r="X2043" s="26"/>
    </row>
    <row r="2044">
      <c r="A2044" s="28"/>
      <c r="B2044" s="28"/>
      <c r="C2044" s="28"/>
      <c r="D2044" s="96"/>
      <c r="E2044" s="105"/>
      <c r="F2044" s="105"/>
      <c r="G2044" s="206"/>
      <c r="H2044" s="206"/>
      <c r="I2044" s="206"/>
      <c r="J2044" s="206"/>
      <c r="K2044" s="206"/>
      <c r="L2044" s="206"/>
      <c r="M2044" s="206"/>
      <c r="N2044" s="206"/>
      <c r="O2044" s="206"/>
      <c r="P2044" s="206"/>
      <c r="Q2044" s="262"/>
      <c r="R2044" s="262"/>
      <c r="S2044" s="207"/>
      <c r="T2044" s="263"/>
      <c r="U2044" s="26"/>
      <c r="V2044" s="26"/>
      <c r="W2044" s="26"/>
      <c r="X2044" s="26"/>
    </row>
    <row r="2045">
      <c r="A2045" s="28"/>
      <c r="B2045" s="28"/>
      <c r="C2045" s="28"/>
      <c r="D2045" s="96"/>
      <c r="E2045" s="105"/>
      <c r="F2045" s="105"/>
      <c r="G2045" s="206"/>
      <c r="H2045" s="206"/>
      <c r="I2045" s="206"/>
      <c r="J2045" s="206"/>
      <c r="K2045" s="206"/>
      <c r="L2045" s="206"/>
      <c r="M2045" s="206"/>
      <c r="N2045" s="206"/>
      <c r="O2045" s="206"/>
      <c r="P2045" s="206"/>
      <c r="Q2045" s="262"/>
      <c r="R2045" s="262"/>
      <c r="S2045" s="207"/>
      <c r="T2045" s="263"/>
      <c r="U2045" s="26"/>
      <c r="V2045" s="26"/>
      <c r="W2045" s="26"/>
      <c r="X2045" s="26"/>
    </row>
    <row r="2046">
      <c r="A2046" s="28"/>
      <c r="B2046" s="28"/>
      <c r="C2046" s="28"/>
      <c r="D2046" s="96"/>
      <c r="E2046" s="105"/>
      <c r="F2046" s="105"/>
      <c r="G2046" s="206"/>
      <c r="H2046" s="206"/>
      <c r="I2046" s="206"/>
      <c r="J2046" s="206"/>
      <c r="K2046" s="206"/>
      <c r="L2046" s="206"/>
      <c r="M2046" s="206"/>
      <c r="N2046" s="206"/>
      <c r="O2046" s="206"/>
      <c r="P2046" s="206"/>
      <c r="Q2046" s="262"/>
      <c r="R2046" s="262"/>
      <c r="S2046" s="207"/>
      <c r="T2046" s="263"/>
      <c r="U2046" s="26"/>
      <c r="V2046" s="26"/>
      <c r="W2046" s="26"/>
      <c r="X2046" s="26"/>
    </row>
    <row r="2047">
      <c r="A2047" s="28"/>
      <c r="B2047" s="28"/>
      <c r="C2047" s="28"/>
      <c r="D2047" s="96"/>
      <c r="E2047" s="105"/>
      <c r="F2047" s="105"/>
      <c r="G2047" s="206"/>
      <c r="H2047" s="206"/>
      <c r="I2047" s="206"/>
      <c r="J2047" s="206"/>
      <c r="K2047" s="206"/>
      <c r="L2047" s="206"/>
      <c r="M2047" s="206"/>
      <c r="N2047" s="206"/>
      <c r="O2047" s="206"/>
      <c r="P2047" s="206"/>
      <c r="Q2047" s="262"/>
      <c r="R2047" s="262"/>
      <c r="S2047" s="207"/>
      <c r="T2047" s="263"/>
      <c r="U2047" s="26"/>
      <c r="V2047" s="26"/>
      <c r="W2047" s="26"/>
      <c r="X2047" s="26"/>
    </row>
    <row r="2048">
      <c r="A2048" s="28"/>
      <c r="B2048" s="28"/>
      <c r="C2048" s="28"/>
      <c r="D2048" s="96"/>
      <c r="E2048" s="105"/>
      <c r="F2048" s="105"/>
      <c r="G2048" s="206"/>
      <c r="H2048" s="206"/>
      <c r="I2048" s="206"/>
      <c r="J2048" s="206"/>
      <c r="K2048" s="206"/>
      <c r="L2048" s="206"/>
      <c r="M2048" s="206"/>
      <c r="N2048" s="206"/>
      <c r="O2048" s="206"/>
      <c r="P2048" s="206"/>
      <c r="Q2048" s="262"/>
      <c r="R2048" s="262"/>
      <c r="S2048" s="207"/>
      <c r="T2048" s="263"/>
      <c r="U2048" s="26"/>
      <c r="V2048" s="26"/>
      <c r="W2048" s="26"/>
      <c r="X2048" s="26"/>
    </row>
    <row r="2049">
      <c r="A2049" s="28"/>
      <c r="B2049" s="28"/>
      <c r="C2049" s="28"/>
      <c r="D2049" s="96"/>
      <c r="E2049" s="105"/>
      <c r="F2049" s="105"/>
      <c r="G2049" s="206"/>
      <c r="H2049" s="206"/>
      <c r="I2049" s="206"/>
      <c r="J2049" s="206"/>
      <c r="K2049" s="206"/>
      <c r="L2049" s="206"/>
      <c r="M2049" s="206"/>
      <c r="N2049" s="206"/>
      <c r="O2049" s="206"/>
      <c r="P2049" s="206"/>
      <c r="Q2049" s="262"/>
      <c r="R2049" s="262"/>
      <c r="S2049" s="207"/>
      <c r="T2049" s="263"/>
      <c r="U2049" s="26"/>
      <c r="V2049" s="26"/>
      <c r="W2049" s="26"/>
      <c r="X2049" s="26"/>
    </row>
    <row r="2050">
      <c r="A2050" s="28"/>
      <c r="B2050" s="28"/>
      <c r="C2050" s="28"/>
      <c r="D2050" s="96"/>
      <c r="E2050" s="105"/>
      <c r="F2050" s="105"/>
      <c r="G2050" s="206"/>
      <c r="H2050" s="206"/>
      <c r="I2050" s="206"/>
      <c r="J2050" s="206"/>
      <c r="K2050" s="206"/>
      <c r="L2050" s="206"/>
      <c r="M2050" s="206"/>
      <c r="N2050" s="206"/>
      <c r="O2050" s="206"/>
      <c r="P2050" s="206"/>
      <c r="Q2050" s="262"/>
      <c r="R2050" s="262"/>
      <c r="S2050" s="207"/>
      <c r="T2050" s="263"/>
      <c r="U2050" s="26"/>
      <c r="V2050" s="26"/>
      <c r="W2050" s="26"/>
      <c r="X2050" s="26"/>
    </row>
    <row r="2051">
      <c r="A2051" s="28"/>
      <c r="B2051" s="28"/>
      <c r="C2051" s="28"/>
      <c r="D2051" s="96"/>
      <c r="E2051" s="105"/>
      <c r="F2051" s="105"/>
      <c r="G2051" s="206"/>
      <c r="H2051" s="206"/>
      <c r="I2051" s="206"/>
      <c r="J2051" s="206"/>
      <c r="K2051" s="206"/>
      <c r="L2051" s="206"/>
      <c r="M2051" s="206"/>
      <c r="N2051" s="206"/>
      <c r="O2051" s="206"/>
      <c r="P2051" s="206"/>
      <c r="Q2051" s="262"/>
      <c r="R2051" s="262"/>
      <c r="S2051" s="207"/>
      <c r="T2051" s="263"/>
      <c r="U2051" s="26"/>
      <c r="V2051" s="26"/>
      <c r="W2051" s="26"/>
      <c r="X2051" s="26"/>
    </row>
    <row r="2052">
      <c r="A2052" s="28"/>
      <c r="B2052" s="28"/>
      <c r="C2052" s="28"/>
      <c r="D2052" s="96"/>
      <c r="E2052" s="105"/>
      <c r="F2052" s="105"/>
      <c r="G2052" s="206"/>
      <c r="H2052" s="206"/>
      <c r="I2052" s="206"/>
      <c r="J2052" s="206"/>
      <c r="K2052" s="206"/>
      <c r="L2052" s="206"/>
      <c r="M2052" s="206"/>
      <c r="N2052" s="206"/>
      <c r="O2052" s="206"/>
      <c r="P2052" s="206"/>
      <c r="Q2052" s="262"/>
      <c r="R2052" s="262"/>
      <c r="S2052" s="207"/>
      <c r="T2052" s="263"/>
      <c r="U2052" s="26"/>
      <c r="V2052" s="26"/>
      <c r="W2052" s="26"/>
      <c r="X2052" s="26"/>
    </row>
    <row r="2053">
      <c r="A2053" s="28"/>
      <c r="B2053" s="28"/>
      <c r="C2053" s="28"/>
      <c r="D2053" s="96"/>
      <c r="E2053" s="105"/>
      <c r="F2053" s="105"/>
      <c r="G2053" s="206"/>
      <c r="H2053" s="206"/>
      <c r="I2053" s="206"/>
      <c r="J2053" s="206"/>
      <c r="K2053" s="206"/>
      <c r="L2053" s="206"/>
      <c r="M2053" s="206"/>
      <c r="N2053" s="206"/>
      <c r="O2053" s="206"/>
      <c r="P2053" s="206"/>
      <c r="Q2053" s="262"/>
      <c r="R2053" s="262"/>
      <c r="S2053" s="207"/>
      <c r="T2053" s="263"/>
      <c r="U2053" s="26"/>
      <c r="V2053" s="26"/>
      <c r="W2053" s="26"/>
      <c r="X2053" s="26"/>
    </row>
    <row r="2054">
      <c r="A2054" s="28"/>
      <c r="B2054" s="28"/>
      <c r="C2054" s="28"/>
      <c r="D2054" s="96"/>
      <c r="E2054" s="105"/>
      <c r="F2054" s="105"/>
      <c r="G2054" s="206"/>
      <c r="H2054" s="206"/>
      <c r="I2054" s="206"/>
      <c r="J2054" s="206"/>
      <c r="K2054" s="206"/>
      <c r="L2054" s="206"/>
      <c r="M2054" s="206"/>
      <c r="N2054" s="206"/>
      <c r="O2054" s="206"/>
      <c r="P2054" s="206"/>
      <c r="Q2054" s="262"/>
      <c r="R2054" s="262"/>
      <c r="S2054" s="207"/>
      <c r="T2054" s="263"/>
      <c r="U2054" s="26"/>
      <c r="V2054" s="26"/>
      <c r="W2054" s="26"/>
      <c r="X2054" s="26"/>
    </row>
    <row r="2055">
      <c r="A2055" s="28"/>
      <c r="B2055" s="28"/>
      <c r="C2055" s="28"/>
      <c r="D2055" s="96"/>
      <c r="E2055" s="105"/>
      <c r="F2055" s="105"/>
      <c r="G2055" s="206"/>
      <c r="H2055" s="206"/>
      <c r="I2055" s="206"/>
      <c r="J2055" s="206"/>
      <c r="K2055" s="206"/>
      <c r="L2055" s="206"/>
      <c r="M2055" s="206"/>
      <c r="N2055" s="206"/>
      <c r="O2055" s="206"/>
      <c r="P2055" s="206"/>
      <c r="Q2055" s="262"/>
      <c r="R2055" s="262"/>
      <c r="S2055" s="207"/>
      <c r="T2055" s="263"/>
      <c r="U2055" s="26"/>
      <c r="V2055" s="26"/>
      <c r="W2055" s="26"/>
      <c r="X2055" s="26"/>
    </row>
    <row r="2056">
      <c r="A2056" s="28"/>
      <c r="B2056" s="28"/>
      <c r="C2056" s="28"/>
      <c r="D2056" s="96"/>
      <c r="E2056" s="105"/>
      <c r="F2056" s="105"/>
      <c r="G2056" s="206"/>
      <c r="H2056" s="206"/>
      <c r="I2056" s="206"/>
      <c r="J2056" s="206"/>
      <c r="K2056" s="206"/>
      <c r="L2056" s="206"/>
      <c r="M2056" s="206"/>
      <c r="N2056" s="206"/>
      <c r="O2056" s="206"/>
      <c r="P2056" s="206"/>
      <c r="Q2056" s="262"/>
      <c r="R2056" s="262"/>
      <c r="S2056" s="207"/>
      <c r="T2056" s="263"/>
      <c r="U2056" s="26"/>
      <c r="V2056" s="26"/>
      <c r="W2056" s="26"/>
      <c r="X2056" s="26"/>
    </row>
    <row r="2057">
      <c r="A2057" s="28"/>
      <c r="B2057" s="28"/>
      <c r="C2057" s="28"/>
      <c r="D2057" s="96"/>
      <c r="E2057" s="105"/>
      <c r="F2057" s="105"/>
      <c r="G2057" s="206"/>
      <c r="H2057" s="206"/>
      <c r="I2057" s="206"/>
      <c r="J2057" s="206"/>
      <c r="K2057" s="206"/>
      <c r="L2057" s="206"/>
      <c r="M2057" s="206"/>
      <c r="N2057" s="206"/>
      <c r="O2057" s="206"/>
      <c r="P2057" s="206"/>
      <c r="Q2057" s="262"/>
      <c r="R2057" s="262"/>
      <c r="S2057" s="207"/>
      <c r="T2057" s="263"/>
      <c r="U2057" s="26"/>
      <c r="V2057" s="26"/>
      <c r="W2057" s="26"/>
      <c r="X2057" s="26"/>
    </row>
    <row r="2058">
      <c r="A2058" s="28"/>
      <c r="B2058" s="28"/>
      <c r="C2058" s="28"/>
      <c r="D2058" s="96"/>
      <c r="E2058" s="105"/>
      <c r="F2058" s="105"/>
      <c r="G2058" s="206"/>
      <c r="H2058" s="206"/>
      <c r="I2058" s="206"/>
      <c r="J2058" s="206"/>
      <c r="K2058" s="206"/>
      <c r="L2058" s="206"/>
      <c r="M2058" s="206"/>
      <c r="N2058" s="206"/>
      <c r="O2058" s="206"/>
      <c r="P2058" s="206"/>
      <c r="Q2058" s="262"/>
      <c r="R2058" s="262"/>
      <c r="S2058" s="207"/>
      <c r="T2058" s="263"/>
      <c r="U2058" s="26"/>
      <c r="V2058" s="26"/>
      <c r="W2058" s="26"/>
      <c r="X2058" s="26"/>
    </row>
    <row r="2059">
      <c r="A2059" s="28"/>
      <c r="B2059" s="28"/>
      <c r="C2059" s="28"/>
      <c r="D2059" s="96"/>
      <c r="E2059" s="105"/>
      <c r="F2059" s="105"/>
      <c r="G2059" s="206"/>
      <c r="H2059" s="206"/>
      <c r="I2059" s="206"/>
      <c r="J2059" s="206"/>
      <c r="K2059" s="206"/>
      <c r="L2059" s="206"/>
      <c r="M2059" s="206"/>
      <c r="N2059" s="206"/>
      <c r="O2059" s="206"/>
      <c r="P2059" s="206"/>
      <c r="Q2059" s="262"/>
      <c r="R2059" s="262"/>
      <c r="S2059" s="207"/>
      <c r="T2059" s="263"/>
      <c r="U2059" s="26"/>
      <c r="V2059" s="26"/>
      <c r="W2059" s="26"/>
      <c r="X2059" s="26"/>
    </row>
    <row r="2060">
      <c r="A2060" s="28"/>
      <c r="B2060" s="28"/>
      <c r="C2060" s="28"/>
      <c r="D2060" s="96"/>
      <c r="E2060" s="105"/>
      <c r="F2060" s="105"/>
      <c r="G2060" s="206"/>
      <c r="H2060" s="206"/>
      <c r="I2060" s="206"/>
      <c r="J2060" s="206"/>
      <c r="K2060" s="206"/>
      <c r="L2060" s="206"/>
      <c r="M2060" s="206"/>
      <c r="N2060" s="206"/>
      <c r="O2060" s="206"/>
      <c r="P2060" s="206"/>
      <c r="Q2060" s="262"/>
      <c r="R2060" s="262"/>
      <c r="S2060" s="207"/>
      <c r="T2060" s="263"/>
      <c r="U2060" s="26"/>
      <c r="V2060" s="26"/>
      <c r="W2060" s="26"/>
      <c r="X2060" s="26"/>
    </row>
    <row r="2061">
      <c r="A2061" s="28"/>
      <c r="B2061" s="28"/>
      <c r="C2061" s="28"/>
      <c r="D2061" s="96"/>
      <c r="E2061" s="105"/>
      <c r="F2061" s="105"/>
      <c r="G2061" s="206"/>
      <c r="H2061" s="206"/>
      <c r="I2061" s="206"/>
      <c r="J2061" s="206"/>
      <c r="K2061" s="206"/>
      <c r="L2061" s="206"/>
      <c r="M2061" s="206"/>
      <c r="N2061" s="206"/>
      <c r="O2061" s="206"/>
      <c r="P2061" s="206"/>
      <c r="Q2061" s="262"/>
      <c r="R2061" s="262"/>
      <c r="S2061" s="207"/>
      <c r="T2061" s="263"/>
      <c r="U2061" s="26"/>
      <c r="V2061" s="26"/>
      <c r="W2061" s="26"/>
      <c r="X2061" s="26"/>
    </row>
    <row r="2062">
      <c r="A2062" s="28"/>
      <c r="B2062" s="28"/>
      <c r="C2062" s="28"/>
      <c r="D2062" s="96"/>
      <c r="E2062" s="105"/>
      <c r="F2062" s="105"/>
      <c r="G2062" s="206"/>
      <c r="H2062" s="206"/>
      <c r="I2062" s="206"/>
      <c r="J2062" s="206"/>
      <c r="K2062" s="206"/>
      <c r="L2062" s="206"/>
      <c r="M2062" s="206"/>
      <c r="N2062" s="206"/>
      <c r="O2062" s="206"/>
      <c r="P2062" s="206"/>
      <c r="Q2062" s="262"/>
      <c r="R2062" s="262"/>
      <c r="S2062" s="207"/>
      <c r="T2062" s="263"/>
      <c r="U2062" s="26"/>
      <c r="V2062" s="26"/>
      <c r="W2062" s="26"/>
      <c r="X2062" s="26"/>
    </row>
    <row r="2063">
      <c r="A2063" s="28"/>
      <c r="B2063" s="28"/>
      <c r="C2063" s="28"/>
      <c r="D2063" s="96"/>
      <c r="E2063" s="105"/>
      <c r="F2063" s="105"/>
      <c r="G2063" s="206"/>
      <c r="H2063" s="206"/>
      <c r="I2063" s="206"/>
      <c r="J2063" s="206"/>
      <c r="K2063" s="206"/>
      <c r="L2063" s="206"/>
      <c r="M2063" s="206"/>
      <c r="N2063" s="206"/>
      <c r="O2063" s="206"/>
      <c r="P2063" s="206"/>
      <c r="Q2063" s="262"/>
      <c r="R2063" s="262"/>
      <c r="S2063" s="207"/>
      <c r="T2063" s="263"/>
      <c r="U2063" s="26"/>
      <c r="V2063" s="26"/>
      <c r="W2063" s="26"/>
      <c r="X2063" s="26"/>
    </row>
    <row r="2064">
      <c r="A2064" s="28"/>
      <c r="B2064" s="28"/>
      <c r="C2064" s="28"/>
      <c r="D2064" s="96"/>
      <c r="E2064" s="105"/>
      <c r="F2064" s="105"/>
      <c r="G2064" s="206"/>
      <c r="H2064" s="206"/>
      <c r="I2064" s="206"/>
      <c r="J2064" s="206"/>
      <c r="K2064" s="206"/>
      <c r="L2064" s="206"/>
      <c r="M2064" s="206"/>
      <c r="N2064" s="206"/>
      <c r="O2064" s="206"/>
      <c r="P2064" s="206"/>
      <c r="Q2064" s="262"/>
      <c r="R2064" s="262"/>
      <c r="S2064" s="207"/>
      <c r="T2064" s="263"/>
      <c r="U2064" s="26"/>
      <c r="V2064" s="26"/>
      <c r="W2064" s="26"/>
      <c r="X2064" s="26"/>
    </row>
    <row r="2065">
      <c r="A2065" s="28"/>
      <c r="B2065" s="28"/>
      <c r="C2065" s="28"/>
      <c r="D2065" s="96"/>
      <c r="E2065" s="105"/>
      <c r="F2065" s="105"/>
      <c r="G2065" s="206"/>
      <c r="H2065" s="206"/>
      <c r="I2065" s="206"/>
      <c r="J2065" s="206"/>
      <c r="K2065" s="206"/>
      <c r="L2065" s="206"/>
      <c r="M2065" s="206"/>
      <c r="N2065" s="206"/>
      <c r="O2065" s="206"/>
      <c r="P2065" s="206"/>
      <c r="Q2065" s="262"/>
      <c r="R2065" s="262"/>
      <c r="S2065" s="207"/>
      <c r="T2065" s="263"/>
      <c r="U2065" s="26"/>
      <c r="V2065" s="26"/>
      <c r="W2065" s="26"/>
      <c r="X2065" s="26"/>
    </row>
    <row r="2066">
      <c r="A2066" s="28"/>
      <c r="B2066" s="28"/>
      <c r="C2066" s="28"/>
      <c r="D2066" s="96"/>
      <c r="E2066" s="105"/>
      <c r="F2066" s="105"/>
      <c r="G2066" s="206"/>
      <c r="H2066" s="206"/>
      <c r="I2066" s="206"/>
      <c r="J2066" s="206"/>
      <c r="K2066" s="206"/>
      <c r="L2066" s="206"/>
      <c r="M2066" s="206"/>
      <c r="N2066" s="206"/>
      <c r="O2066" s="206"/>
      <c r="P2066" s="206"/>
      <c r="Q2066" s="262"/>
      <c r="R2066" s="262"/>
      <c r="S2066" s="207"/>
      <c r="T2066" s="263"/>
      <c r="U2066" s="26"/>
      <c r="V2066" s="26"/>
      <c r="W2066" s="26"/>
      <c r="X2066" s="26"/>
    </row>
    <row r="2067">
      <c r="A2067" s="28"/>
      <c r="B2067" s="28"/>
      <c r="C2067" s="28"/>
      <c r="D2067" s="96"/>
      <c r="E2067" s="105"/>
      <c r="F2067" s="105"/>
      <c r="G2067" s="206"/>
      <c r="H2067" s="206"/>
      <c r="I2067" s="206"/>
      <c r="J2067" s="206"/>
      <c r="K2067" s="206"/>
      <c r="L2067" s="206"/>
      <c r="M2067" s="206"/>
      <c r="N2067" s="206"/>
      <c r="O2067" s="206"/>
      <c r="P2067" s="206"/>
      <c r="Q2067" s="262"/>
      <c r="R2067" s="262"/>
      <c r="S2067" s="207"/>
      <c r="T2067" s="263"/>
      <c r="U2067" s="26"/>
      <c r="V2067" s="26"/>
      <c r="W2067" s="26"/>
      <c r="X2067" s="26"/>
    </row>
    <row r="2068">
      <c r="A2068" s="28"/>
      <c r="B2068" s="28"/>
      <c r="C2068" s="28"/>
      <c r="D2068" s="96"/>
      <c r="E2068" s="105"/>
      <c r="F2068" s="105"/>
      <c r="G2068" s="206"/>
      <c r="H2068" s="206"/>
      <c r="I2068" s="206"/>
      <c r="J2068" s="206"/>
      <c r="K2068" s="206"/>
      <c r="L2068" s="206"/>
      <c r="M2068" s="206"/>
      <c r="N2068" s="206"/>
      <c r="O2068" s="206"/>
      <c r="P2068" s="206"/>
      <c r="Q2068" s="262"/>
      <c r="R2068" s="262"/>
      <c r="S2068" s="207"/>
      <c r="T2068" s="263"/>
      <c r="U2068" s="26"/>
      <c r="V2068" s="26"/>
      <c r="W2068" s="26"/>
      <c r="X2068" s="26"/>
    </row>
    <row r="2069">
      <c r="A2069" s="28"/>
      <c r="B2069" s="28"/>
      <c r="C2069" s="28"/>
      <c r="D2069" s="96"/>
      <c r="E2069" s="105"/>
      <c r="F2069" s="105"/>
      <c r="G2069" s="206"/>
      <c r="H2069" s="206"/>
      <c r="I2069" s="206"/>
      <c r="J2069" s="206"/>
      <c r="K2069" s="206"/>
      <c r="L2069" s="206"/>
      <c r="M2069" s="206"/>
      <c r="N2069" s="206"/>
      <c r="O2069" s="206"/>
      <c r="P2069" s="206"/>
      <c r="Q2069" s="262"/>
      <c r="R2069" s="262"/>
      <c r="S2069" s="207"/>
      <c r="T2069" s="263"/>
      <c r="U2069" s="26"/>
      <c r="V2069" s="26"/>
      <c r="W2069" s="26"/>
      <c r="X2069" s="26"/>
    </row>
    <row r="2070">
      <c r="A2070" s="28"/>
      <c r="B2070" s="28"/>
      <c r="C2070" s="28"/>
      <c r="D2070" s="96"/>
      <c r="E2070" s="105"/>
      <c r="F2070" s="105"/>
      <c r="G2070" s="206"/>
      <c r="H2070" s="206"/>
      <c r="I2070" s="206"/>
      <c r="J2070" s="206"/>
      <c r="K2070" s="206"/>
      <c r="L2070" s="206"/>
      <c r="M2070" s="206"/>
      <c r="N2070" s="206"/>
      <c r="O2070" s="206"/>
      <c r="P2070" s="206"/>
      <c r="Q2070" s="262"/>
      <c r="R2070" s="262"/>
      <c r="S2070" s="207"/>
      <c r="T2070" s="263"/>
      <c r="U2070" s="26"/>
      <c r="V2070" s="26"/>
      <c r="W2070" s="26"/>
      <c r="X2070" s="26"/>
    </row>
    <row r="2071">
      <c r="A2071" s="28"/>
      <c r="B2071" s="28"/>
      <c r="C2071" s="28"/>
      <c r="D2071" s="96"/>
      <c r="E2071" s="105"/>
      <c r="F2071" s="105"/>
      <c r="G2071" s="206"/>
      <c r="H2071" s="206"/>
      <c r="I2071" s="206"/>
      <c r="J2071" s="206"/>
      <c r="K2071" s="206"/>
      <c r="L2071" s="206"/>
      <c r="M2071" s="206"/>
      <c r="N2071" s="206"/>
      <c r="O2071" s="206"/>
      <c r="P2071" s="206"/>
      <c r="Q2071" s="262"/>
      <c r="R2071" s="262"/>
      <c r="S2071" s="207"/>
      <c r="T2071" s="263"/>
      <c r="U2071" s="26"/>
      <c r="V2071" s="26"/>
      <c r="W2071" s="26"/>
      <c r="X2071" s="26"/>
    </row>
    <row r="2072">
      <c r="A2072" s="28"/>
      <c r="B2072" s="28"/>
      <c r="C2072" s="28"/>
      <c r="D2072" s="96"/>
      <c r="E2072" s="105"/>
      <c r="F2072" s="105"/>
      <c r="G2072" s="206"/>
      <c r="H2072" s="206"/>
      <c r="I2072" s="206"/>
      <c r="J2072" s="206"/>
      <c r="K2072" s="206"/>
      <c r="L2072" s="206"/>
      <c r="M2072" s="206"/>
      <c r="N2072" s="206"/>
      <c r="O2072" s="206"/>
      <c r="P2072" s="206"/>
      <c r="Q2072" s="262"/>
      <c r="R2072" s="262"/>
      <c r="S2072" s="207"/>
      <c r="T2072" s="263"/>
      <c r="U2072" s="26"/>
      <c r="V2072" s="26"/>
      <c r="W2072" s="26"/>
      <c r="X2072" s="26"/>
    </row>
    <row r="2073">
      <c r="A2073" s="28"/>
      <c r="B2073" s="28"/>
      <c r="C2073" s="28"/>
      <c r="D2073" s="96"/>
      <c r="E2073" s="105"/>
      <c r="F2073" s="105"/>
      <c r="G2073" s="206"/>
      <c r="H2073" s="206"/>
      <c r="I2073" s="206"/>
      <c r="J2073" s="206"/>
      <c r="K2073" s="206"/>
      <c r="L2073" s="206"/>
      <c r="M2073" s="206"/>
      <c r="N2073" s="206"/>
      <c r="O2073" s="206"/>
      <c r="P2073" s="206"/>
      <c r="Q2073" s="262"/>
      <c r="R2073" s="262"/>
      <c r="S2073" s="207"/>
      <c r="T2073" s="263"/>
      <c r="U2073" s="26"/>
      <c r="V2073" s="26"/>
      <c r="W2073" s="26"/>
      <c r="X2073" s="26"/>
    </row>
    <row r="2074">
      <c r="A2074" s="28"/>
      <c r="B2074" s="28"/>
      <c r="C2074" s="28"/>
      <c r="D2074" s="96"/>
      <c r="E2074" s="105"/>
      <c r="F2074" s="105"/>
      <c r="G2074" s="206"/>
      <c r="H2074" s="206"/>
      <c r="I2074" s="206"/>
      <c r="J2074" s="206"/>
      <c r="K2074" s="206"/>
      <c r="L2074" s="206"/>
      <c r="M2074" s="206"/>
      <c r="N2074" s="206"/>
      <c r="O2074" s="206"/>
      <c r="P2074" s="206"/>
      <c r="Q2074" s="262"/>
      <c r="R2074" s="262"/>
      <c r="S2074" s="207"/>
      <c r="T2074" s="263"/>
      <c r="U2074" s="26"/>
      <c r="V2074" s="26"/>
      <c r="W2074" s="26"/>
      <c r="X2074" s="26"/>
    </row>
    <row r="2075">
      <c r="A2075" s="28"/>
      <c r="B2075" s="28"/>
      <c r="C2075" s="28"/>
      <c r="D2075" s="96"/>
      <c r="E2075" s="105"/>
      <c r="F2075" s="105"/>
      <c r="G2075" s="206"/>
      <c r="H2075" s="206"/>
      <c r="I2075" s="206"/>
      <c r="J2075" s="206"/>
      <c r="K2075" s="206"/>
      <c r="L2075" s="206"/>
      <c r="M2075" s="206"/>
      <c r="N2075" s="206"/>
      <c r="O2075" s="206"/>
      <c r="P2075" s="206"/>
      <c r="Q2075" s="262"/>
      <c r="R2075" s="262"/>
      <c r="S2075" s="207"/>
      <c r="T2075" s="263"/>
      <c r="U2075" s="26"/>
      <c r="V2075" s="26"/>
      <c r="W2075" s="26"/>
      <c r="X2075" s="26"/>
    </row>
    <row r="2076">
      <c r="A2076" s="28"/>
      <c r="B2076" s="28"/>
      <c r="C2076" s="28"/>
      <c r="D2076" s="96"/>
      <c r="E2076" s="105"/>
      <c r="F2076" s="105"/>
      <c r="G2076" s="206"/>
      <c r="H2076" s="206"/>
      <c r="I2076" s="206"/>
      <c r="J2076" s="206"/>
      <c r="K2076" s="206"/>
      <c r="L2076" s="206"/>
      <c r="M2076" s="206"/>
      <c r="N2076" s="206"/>
      <c r="O2076" s="206"/>
      <c r="P2076" s="206"/>
      <c r="Q2076" s="262"/>
      <c r="R2076" s="262"/>
      <c r="S2076" s="207"/>
      <c r="T2076" s="263"/>
      <c r="U2076" s="26"/>
      <c r="V2076" s="26"/>
      <c r="W2076" s="26"/>
      <c r="X2076" s="26"/>
    </row>
    <row r="2077">
      <c r="A2077" s="28"/>
      <c r="B2077" s="28"/>
      <c r="C2077" s="28"/>
      <c r="D2077" s="96"/>
      <c r="E2077" s="105"/>
      <c r="F2077" s="105"/>
      <c r="G2077" s="206"/>
      <c r="H2077" s="206"/>
      <c r="I2077" s="206"/>
      <c r="J2077" s="206"/>
      <c r="K2077" s="206"/>
      <c r="L2077" s="206"/>
      <c r="M2077" s="206"/>
      <c r="N2077" s="206"/>
      <c r="O2077" s="206"/>
      <c r="P2077" s="206"/>
      <c r="Q2077" s="262"/>
      <c r="R2077" s="262"/>
      <c r="S2077" s="207"/>
      <c r="T2077" s="263"/>
      <c r="U2077" s="26"/>
      <c r="V2077" s="26"/>
      <c r="W2077" s="26"/>
      <c r="X2077" s="26"/>
    </row>
    <row r="2078">
      <c r="A2078" s="28"/>
      <c r="B2078" s="28"/>
      <c r="C2078" s="28"/>
      <c r="D2078" s="96"/>
      <c r="E2078" s="105"/>
      <c r="F2078" s="105"/>
      <c r="G2078" s="206"/>
      <c r="H2078" s="206"/>
      <c r="I2078" s="206"/>
      <c r="J2078" s="206"/>
      <c r="K2078" s="206"/>
      <c r="L2078" s="206"/>
      <c r="M2078" s="206"/>
      <c r="N2078" s="206"/>
      <c r="O2078" s="206"/>
      <c r="P2078" s="206"/>
      <c r="Q2078" s="262"/>
      <c r="R2078" s="262"/>
      <c r="S2078" s="207"/>
      <c r="T2078" s="263"/>
      <c r="U2078" s="26"/>
      <c r="V2078" s="26"/>
      <c r="W2078" s="26"/>
      <c r="X2078" s="26"/>
    </row>
    <row r="2079">
      <c r="A2079" s="28"/>
      <c r="B2079" s="28"/>
      <c r="C2079" s="28"/>
      <c r="D2079" s="96"/>
      <c r="E2079" s="105"/>
      <c r="F2079" s="105"/>
      <c r="G2079" s="206"/>
      <c r="H2079" s="206"/>
      <c r="I2079" s="206"/>
      <c r="J2079" s="206"/>
      <c r="K2079" s="206"/>
      <c r="L2079" s="206"/>
      <c r="M2079" s="206"/>
      <c r="N2079" s="206"/>
      <c r="O2079" s="206"/>
      <c r="P2079" s="206"/>
      <c r="Q2079" s="262"/>
      <c r="R2079" s="262"/>
      <c r="S2079" s="207"/>
      <c r="T2079" s="263"/>
      <c r="U2079" s="26"/>
      <c r="V2079" s="26"/>
      <c r="W2079" s="26"/>
      <c r="X2079" s="26"/>
    </row>
    <row r="2080">
      <c r="A2080" s="28"/>
      <c r="B2080" s="28"/>
      <c r="C2080" s="28"/>
      <c r="D2080" s="96"/>
      <c r="E2080" s="105"/>
      <c r="F2080" s="105"/>
      <c r="G2080" s="206"/>
      <c r="H2080" s="206"/>
      <c r="I2080" s="206"/>
      <c r="J2080" s="206"/>
      <c r="K2080" s="206"/>
      <c r="L2080" s="206"/>
      <c r="M2080" s="206"/>
      <c r="N2080" s="206"/>
      <c r="O2080" s="206"/>
      <c r="P2080" s="206"/>
      <c r="Q2080" s="262"/>
      <c r="R2080" s="262"/>
      <c r="S2080" s="207"/>
      <c r="T2080" s="263"/>
      <c r="U2080" s="26"/>
      <c r="V2080" s="26"/>
      <c r="W2080" s="26"/>
      <c r="X2080" s="26"/>
    </row>
    <row r="2081">
      <c r="A2081" s="28"/>
      <c r="B2081" s="28"/>
      <c r="C2081" s="28"/>
      <c r="D2081" s="96"/>
      <c r="E2081" s="105"/>
      <c r="F2081" s="105"/>
      <c r="G2081" s="206"/>
      <c r="H2081" s="206"/>
      <c r="I2081" s="206"/>
      <c r="J2081" s="206"/>
      <c r="K2081" s="206"/>
      <c r="L2081" s="206"/>
      <c r="M2081" s="206"/>
      <c r="N2081" s="206"/>
      <c r="O2081" s="206"/>
      <c r="P2081" s="206"/>
      <c r="Q2081" s="262"/>
      <c r="R2081" s="262"/>
      <c r="S2081" s="207"/>
      <c r="T2081" s="263"/>
      <c r="U2081" s="26"/>
      <c r="V2081" s="26"/>
      <c r="W2081" s="26"/>
      <c r="X2081" s="26"/>
    </row>
    <row r="2082">
      <c r="A2082" s="28"/>
      <c r="B2082" s="28"/>
      <c r="C2082" s="28"/>
      <c r="D2082" s="96"/>
      <c r="E2082" s="105"/>
      <c r="F2082" s="105"/>
      <c r="G2082" s="206"/>
      <c r="H2082" s="206"/>
      <c r="I2082" s="206"/>
      <c r="J2082" s="206"/>
      <c r="K2082" s="206"/>
      <c r="L2082" s="206"/>
      <c r="M2082" s="206"/>
      <c r="N2082" s="206"/>
      <c r="O2082" s="206"/>
      <c r="P2082" s="206"/>
      <c r="Q2082" s="262"/>
      <c r="R2082" s="262"/>
      <c r="S2082" s="207"/>
      <c r="T2082" s="263"/>
      <c r="U2082" s="26"/>
      <c r="V2082" s="26"/>
      <c r="W2082" s="26"/>
      <c r="X2082" s="26"/>
    </row>
    <row r="2083">
      <c r="A2083" s="28"/>
      <c r="B2083" s="28"/>
      <c r="C2083" s="28"/>
      <c r="D2083" s="96"/>
      <c r="E2083" s="105"/>
      <c r="F2083" s="105"/>
      <c r="G2083" s="206"/>
      <c r="H2083" s="206"/>
      <c r="I2083" s="206"/>
      <c r="J2083" s="206"/>
      <c r="K2083" s="206"/>
      <c r="L2083" s="206"/>
      <c r="M2083" s="206"/>
      <c r="N2083" s="206"/>
      <c r="O2083" s="206"/>
      <c r="P2083" s="206"/>
      <c r="Q2083" s="262"/>
      <c r="R2083" s="262"/>
      <c r="S2083" s="207"/>
      <c r="T2083" s="263"/>
      <c r="U2083" s="26"/>
      <c r="V2083" s="26"/>
      <c r="W2083" s="26"/>
      <c r="X2083" s="26"/>
    </row>
    <row r="2084">
      <c r="A2084" s="28"/>
      <c r="B2084" s="28"/>
      <c r="C2084" s="28"/>
      <c r="D2084" s="96"/>
      <c r="E2084" s="105"/>
      <c r="F2084" s="105"/>
      <c r="G2084" s="206"/>
      <c r="H2084" s="206"/>
      <c r="I2084" s="206"/>
      <c r="J2084" s="206"/>
      <c r="K2084" s="206"/>
      <c r="L2084" s="206"/>
      <c r="M2084" s="206"/>
      <c r="N2084" s="206"/>
      <c r="O2084" s="206"/>
      <c r="P2084" s="206"/>
      <c r="Q2084" s="262"/>
      <c r="R2084" s="262"/>
      <c r="S2084" s="207"/>
      <c r="T2084" s="263"/>
      <c r="U2084" s="26"/>
      <c r="V2084" s="26"/>
      <c r="W2084" s="26"/>
      <c r="X2084" s="26"/>
    </row>
    <row r="2085">
      <c r="A2085" s="28"/>
      <c r="B2085" s="28"/>
      <c r="C2085" s="28"/>
      <c r="D2085" s="96"/>
      <c r="E2085" s="105"/>
      <c r="F2085" s="105"/>
      <c r="G2085" s="206"/>
      <c r="H2085" s="206"/>
      <c r="I2085" s="206"/>
      <c r="J2085" s="206"/>
      <c r="K2085" s="206"/>
      <c r="L2085" s="206"/>
      <c r="M2085" s="206"/>
      <c r="N2085" s="206"/>
      <c r="O2085" s="206"/>
      <c r="P2085" s="206"/>
      <c r="Q2085" s="262"/>
      <c r="R2085" s="262"/>
      <c r="S2085" s="207"/>
      <c r="T2085" s="263"/>
      <c r="U2085" s="26"/>
      <c r="V2085" s="26"/>
      <c r="W2085" s="26"/>
      <c r="X2085" s="26"/>
    </row>
    <row r="2086">
      <c r="A2086" s="28"/>
      <c r="B2086" s="28"/>
      <c r="C2086" s="28"/>
      <c r="D2086" s="96"/>
      <c r="E2086" s="105"/>
      <c r="F2086" s="105"/>
      <c r="G2086" s="206"/>
      <c r="H2086" s="206"/>
      <c r="I2086" s="206"/>
      <c r="J2086" s="206"/>
      <c r="K2086" s="206"/>
      <c r="L2086" s="206"/>
      <c r="M2086" s="206"/>
      <c r="N2086" s="206"/>
      <c r="O2086" s="206"/>
      <c r="P2086" s="206"/>
      <c r="Q2086" s="262"/>
      <c r="R2086" s="262"/>
      <c r="S2086" s="207"/>
      <c r="T2086" s="263"/>
      <c r="U2086" s="26"/>
      <c r="V2086" s="26"/>
      <c r="W2086" s="26"/>
      <c r="X2086" s="26"/>
    </row>
    <row r="2087">
      <c r="A2087" s="28"/>
      <c r="B2087" s="28"/>
      <c r="C2087" s="28"/>
      <c r="D2087" s="96"/>
      <c r="E2087" s="105"/>
      <c r="F2087" s="105"/>
      <c r="G2087" s="206"/>
      <c r="H2087" s="206"/>
      <c r="I2087" s="206"/>
      <c r="J2087" s="206"/>
      <c r="K2087" s="206"/>
      <c r="L2087" s="206"/>
      <c r="M2087" s="206"/>
      <c r="N2087" s="206"/>
      <c r="O2087" s="206"/>
      <c r="P2087" s="206"/>
      <c r="Q2087" s="262"/>
      <c r="R2087" s="262"/>
      <c r="S2087" s="207"/>
      <c r="T2087" s="263"/>
      <c r="U2087" s="26"/>
      <c r="V2087" s="26"/>
      <c r="W2087" s="26"/>
      <c r="X2087" s="26"/>
    </row>
    <row r="2088">
      <c r="A2088" s="28"/>
      <c r="B2088" s="28"/>
      <c r="C2088" s="28"/>
      <c r="D2088" s="96"/>
      <c r="E2088" s="105"/>
      <c r="F2088" s="105"/>
      <c r="G2088" s="206"/>
      <c r="H2088" s="206"/>
      <c r="I2088" s="206"/>
      <c r="J2088" s="206"/>
      <c r="K2088" s="206"/>
      <c r="L2088" s="206"/>
      <c r="M2088" s="206"/>
      <c r="N2088" s="206"/>
      <c r="O2088" s="206"/>
      <c r="P2088" s="206"/>
      <c r="Q2088" s="262"/>
      <c r="R2088" s="262"/>
      <c r="S2088" s="207"/>
      <c r="T2088" s="263"/>
      <c r="U2088" s="26"/>
      <c r="V2088" s="26"/>
      <c r="W2088" s="26"/>
      <c r="X2088" s="26"/>
    </row>
    <row r="2089">
      <c r="A2089" s="28"/>
      <c r="B2089" s="28"/>
      <c r="C2089" s="28"/>
      <c r="D2089" s="96"/>
      <c r="E2089" s="105"/>
      <c r="F2089" s="105"/>
      <c r="G2089" s="206"/>
      <c r="H2089" s="206"/>
      <c r="I2089" s="206"/>
      <c r="J2089" s="206"/>
      <c r="K2089" s="206"/>
      <c r="L2089" s="206"/>
      <c r="M2089" s="206"/>
      <c r="N2089" s="206"/>
      <c r="O2089" s="206"/>
      <c r="P2089" s="206"/>
      <c r="Q2089" s="262"/>
      <c r="R2089" s="262"/>
      <c r="S2089" s="207"/>
      <c r="T2089" s="263"/>
      <c r="U2089" s="26"/>
      <c r="V2089" s="26"/>
      <c r="W2089" s="26"/>
      <c r="X2089" s="26"/>
    </row>
    <row r="2090">
      <c r="A2090" s="28"/>
      <c r="B2090" s="28"/>
      <c r="C2090" s="28"/>
      <c r="D2090" s="96"/>
      <c r="E2090" s="105"/>
      <c r="F2090" s="105"/>
      <c r="G2090" s="206"/>
      <c r="H2090" s="206"/>
      <c r="I2090" s="206"/>
      <c r="J2090" s="206"/>
      <c r="K2090" s="206"/>
      <c r="L2090" s="206"/>
      <c r="M2090" s="206"/>
      <c r="N2090" s="206"/>
      <c r="O2090" s="206"/>
      <c r="P2090" s="206"/>
      <c r="Q2090" s="262"/>
      <c r="R2090" s="262"/>
      <c r="S2090" s="207"/>
      <c r="T2090" s="263"/>
      <c r="U2090" s="26"/>
      <c r="V2090" s="26"/>
      <c r="W2090" s="26"/>
      <c r="X2090" s="26"/>
    </row>
    <row r="2091">
      <c r="A2091" s="28"/>
      <c r="B2091" s="28"/>
      <c r="C2091" s="28"/>
      <c r="D2091" s="96"/>
      <c r="E2091" s="105"/>
      <c r="F2091" s="105"/>
      <c r="G2091" s="206"/>
      <c r="H2091" s="206"/>
      <c r="I2091" s="206"/>
      <c r="J2091" s="206"/>
      <c r="K2091" s="206"/>
      <c r="L2091" s="206"/>
      <c r="M2091" s="206"/>
      <c r="N2091" s="206"/>
      <c r="O2091" s="206"/>
      <c r="P2091" s="206"/>
      <c r="Q2091" s="262"/>
      <c r="R2091" s="262"/>
      <c r="S2091" s="207"/>
      <c r="T2091" s="263"/>
      <c r="U2091" s="26"/>
      <c r="V2091" s="26"/>
      <c r="W2091" s="26"/>
      <c r="X2091" s="26"/>
    </row>
    <row r="2092">
      <c r="A2092" s="28"/>
      <c r="B2092" s="28"/>
      <c r="C2092" s="28"/>
      <c r="D2092" s="96"/>
      <c r="E2092" s="105"/>
      <c r="F2092" s="105"/>
      <c r="G2092" s="206"/>
      <c r="H2092" s="206"/>
      <c r="I2092" s="206"/>
      <c r="J2092" s="206"/>
      <c r="K2092" s="206"/>
      <c r="L2092" s="206"/>
      <c r="M2092" s="206"/>
      <c r="N2092" s="206"/>
      <c r="O2092" s="206"/>
      <c r="P2092" s="206"/>
      <c r="Q2092" s="262"/>
      <c r="R2092" s="262"/>
      <c r="S2092" s="207"/>
      <c r="T2092" s="263"/>
      <c r="U2092" s="26"/>
      <c r="V2092" s="26"/>
      <c r="W2092" s="26"/>
      <c r="X2092" s="26"/>
    </row>
    <row r="2093">
      <c r="A2093" s="28"/>
      <c r="B2093" s="28"/>
      <c r="C2093" s="28"/>
      <c r="D2093" s="96"/>
      <c r="E2093" s="105"/>
      <c r="F2093" s="105"/>
      <c r="G2093" s="206"/>
      <c r="H2093" s="206"/>
      <c r="I2093" s="206"/>
      <c r="J2093" s="206"/>
      <c r="K2093" s="206"/>
      <c r="L2093" s="206"/>
      <c r="M2093" s="206"/>
      <c r="N2093" s="206"/>
      <c r="O2093" s="206"/>
      <c r="P2093" s="206"/>
      <c r="Q2093" s="262"/>
      <c r="R2093" s="262"/>
      <c r="S2093" s="207"/>
      <c r="T2093" s="263"/>
      <c r="U2093" s="26"/>
      <c r="V2093" s="26"/>
      <c r="W2093" s="26"/>
      <c r="X2093" s="26"/>
    </row>
    <row r="2094">
      <c r="A2094" s="28"/>
      <c r="B2094" s="28"/>
      <c r="C2094" s="28"/>
      <c r="D2094" s="96"/>
      <c r="E2094" s="105"/>
      <c r="F2094" s="105"/>
      <c r="G2094" s="206"/>
      <c r="H2094" s="206"/>
      <c r="I2094" s="206"/>
      <c r="J2094" s="206"/>
      <c r="K2094" s="206"/>
      <c r="L2094" s="206"/>
      <c r="M2094" s="206"/>
      <c r="N2094" s="206"/>
      <c r="O2094" s="206"/>
      <c r="P2094" s="206"/>
      <c r="Q2094" s="262"/>
      <c r="R2094" s="262"/>
      <c r="S2094" s="207"/>
      <c r="T2094" s="263"/>
      <c r="U2094" s="26"/>
      <c r="V2094" s="26"/>
      <c r="W2094" s="26"/>
      <c r="X2094" s="26"/>
    </row>
    <row r="2095">
      <c r="A2095" s="28"/>
      <c r="B2095" s="28"/>
      <c r="C2095" s="28"/>
      <c r="D2095" s="96"/>
      <c r="E2095" s="105"/>
      <c r="F2095" s="105"/>
      <c r="G2095" s="206"/>
      <c r="H2095" s="206"/>
      <c r="I2095" s="206"/>
      <c r="J2095" s="206"/>
      <c r="K2095" s="206"/>
      <c r="L2095" s="206"/>
      <c r="M2095" s="206"/>
      <c r="N2095" s="206"/>
      <c r="O2095" s="206"/>
      <c r="P2095" s="206"/>
      <c r="Q2095" s="262"/>
      <c r="R2095" s="262"/>
      <c r="S2095" s="207"/>
      <c r="T2095" s="263"/>
      <c r="U2095" s="26"/>
      <c r="V2095" s="26"/>
      <c r="W2095" s="26"/>
      <c r="X2095" s="26"/>
    </row>
    <row r="2096">
      <c r="A2096" s="28"/>
      <c r="B2096" s="28"/>
      <c r="C2096" s="28"/>
      <c r="D2096" s="96"/>
      <c r="E2096" s="105"/>
      <c r="F2096" s="105"/>
      <c r="G2096" s="206"/>
      <c r="H2096" s="206"/>
      <c r="I2096" s="206"/>
      <c r="J2096" s="206"/>
      <c r="K2096" s="206"/>
      <c r="L2096" s="206"/>
      <c r="M2096" s="206"/>
      <c r="N2096" s="206"/>
      <c r="O2096" s="206"/>
      <c r="P2096" s="206"/>
      <c r="Q2096" s="262"/>
      <c r="R2096" s="262"/>
      <c r="S2096" s="207"/>
      <c r="T2096" s="263"/>
      <c r="U2096" s="26"/>
      <c r="V2096" s="26"/>
      <c r="W2096" s="26"/>
      <c r="X2096" s="26"/>
    </row>
    <row r="2097">
      <c r="A2097" s="28"/>
      <c r="B2097" s="28"/>
      <c r="C2097" s="28"/>
      <c r="D2097" s="96"/>
      <c r="E2097" s="105"/>
      <c r="F2097" s="105"/>
      <c r="G2097" s="206"/>
      <c r="H2097" s="206"/>
      <c r="I2097" s="206"/>
      <c r="J2097" s="206"/>
      <c r="K2097" s="206"/>
      <c r="L2097" s="206"/>
      <c r="M2097" s="206"/>
      <c r="N2097" s="206"/>
      <c r="O2097" s="206"/>
      <c r="P2097" s="206"/>
      <c r="Q2097" s="262"/>
      <c r="R2097" s="262"/>
      <c r="S2097" s="207"/>
      <c r="T2097" s="263"/>
      <c r="U2097" s="26"/>
      <c r="V2097" s="26"/>
      <c r="W2097" s="26"/>
      <c r="X2097" s="26"/>
    </row>
    <row r="2098">
      <c r="A2098" s="28"/>
      <c r="B2098" s="28"/>
      <c r="C2098" s="28"/>
      <c r="D2098" s="96"/>
      <c r="E2098" s="105"/>
      <c r="F2098" s="105"/>
      <c r="G2098" s="206"/>
      <c r="H2098" s="206"/>
      <c r="I2098" s="206"/>
      <c r="J2098" s="206"/>
      <c r="K2098" s="206"/>
      <c r="L2098" s="206"/>
      <c r="M2098" s="206"/>
      <c r="N2098" s="206"/>
      <c r="O2098" s="206"/>
      <c r="P2098" s="206"/>
      <c r="Q2098" s="262"/>
      <c r="R2098" s="262"/>
      <c r="S2098" s="207"/>
      <c r="T2098" s="263"/>
      <c r="U2098" s="26"/>
      <c r="V2098" s="26"/>
      <c r="W2098" s="26"/>
      <c r="X2098" s="26"/>
    </row>
    <row r="2099">
      <c r="A2099" s="28"/>
      <c r="B2099" s="28"/>
      <c r="C2099" s="28"/>
      <c r="D2099" s="96"/>
      <c r="E2099" s="105"/>
      <c r="F2099" s="105"/>
      <c r="G2099" s="206"/>
      <c r="H2099" s="206"/>
      <c r="I2099" s="206"/>
      <c r="J2099" s="206"/>
      <c r="K2099" s="206"/>
      <c r="L2099" s="206"/>
      <c r="M2099" s="206"/>
      <c r="N2099" s="206"/>
      <c r="O2099" s="206"/>
      <c r="P2099" s="206"/>
      <c r="Q2099" s="262"/>
      <c r="R2099" s="262"/>
      <c r="S2099" s="207"/>
      <c r="T2099" s="263"/>
      <c r="U2099" s="26"/>
      <c r="V2099" s="26"/>
      <c r="W2099" s="26"/>
      <c r="X2099" s="26"/>
    </row>
    <row r="2100">
      <c r="A2100" s="28"/>
      <c r="B2100" s="28"/>
      <c r="C2100" s="28"/>
      <c r="D2100" s="96"/>
      <c r="E2100" s="105"/>
      <c r="F2100" s="105"/>
      <c r="G2100" s="206"/>
      <c r="H2100" s="206"/>
      <c r="I2100" s="206"/>
      <c r="J2100" s="206"/>
      <c r="K2100" s="206"/>
      <c r="L2100" s="206"/>
      <c r="M2100" s="206"/>
      <c r="N2100" s="206"/>
      <c r="O2100" s="206"/>
      <c r="P2100" s="206"/>
      <c r="Q2100" s="262"/>
      <c r="R2100" s="262"/>
      <c r="S2100" s="207"/>
      <c r="T2100" s="263"/>
      <c r="U2100" s="26"/>
      <c r="V2100" s="26"/>
      <c r="W2100" s="26"/>
      <c r="X2100" s="26"/>
    </row>
    <row r="2101">
      <c r="A2101" s="28"/>
      <c r="B2101" s="28"/>
      <c r="C2101" s="28"/>
      <c r="D2101" s="96"/>
      <c r="E2101" s="105"/>
      <c r="F2101" s="105"/>
      <c r="G2101" s="206"/>
      <c r="H2101" s="206"/>
      <c r="I2101" s="206"/>
      <c r="J2101" s="206"/>
      <c r="K2101" s="206"/>
      <c r="L2101" s="206"/>
      <c r="M2101" s="206"/>
      <c r="N2101" s="206"/>
      <c r="O2101" s="206"/>
      <c r="P2101" s="206"/>
      <c r="Q2101" s="262"/>
      <c r="R2101" s="262"/>
      <c r="S2101" s="207"/>
      <c r="T2101" s="263"/>
      <c r="U2101" s="26"/>
      <c r="V2101" s="26"/>
      <c r="W2101" s="26"/>
      <c r="X2101" s="26"/>
    </row>
    <row r="2102">
      <c r="A2102" s="28"/>
      <c r="B2102" s="28"/>
      <c r="C2102" s="28"/>
      <c r="D2102" s="96"/>
      <c r="E2102" s="105"/>
      <c r="F2102" s="105"/>
      <c r="G2102" s="206"/>
      <c r="H2102" s="206"/>
      <c r="I2102" s="206"/>
      <c r="J2102" s="206"/>
      <c r="K2102" s="206"/>
      <c r="L2102" s="206"/>
      <c r="M2102" s="206"/>
      <c r="N2102" s="206"/>
      <c r="O2102" s="206"/>
      <c r="P2102" s="206"/>
      <c r="Q2102" s="262"/>
      <c r="R2102" s="262"/>
      <c r="S2102" s="207"/>
      <c r="T2102" s="263"/>
      <c r="U2102" s="26"/>
      <c r="V2102" s="26"/>
      <c r="W2102" s="26"/>
      <c r="X2102" s="26"/>
    </row>
    <row r="2103">
      <c r="A2103" s="28"/>
      <c r="B2103" s="28"/>
      <c r="C2103" s="28"/>
      <c r="D2103" s="96"/>
      <c r="E2103" s="105"/>
      <c r="F2103" s="105"/>
      <c r="G2103" s="206"/>
      <c r="H2103" s="206"/>
      <c r="I2103" s="206"/>
      <c r="J2103" s="206"/>
      <c r="K2103" s="206"/>
      <c r="L2103" s="206"/>
      <c r="M2103" s="206"/>
      <c r="N2103" s="206"/>
      <c r="O2103" s="206"/>
      <c r="P2103" s="206"/>
      <c r="Q2103" s="262"/>
      <c r="R2103" s="262"/>
      <c r="S2103" s="207"/>
      <c r="T2103" s="263"/>
      <c r="U2103" s="26"/>
      <c r="V2103" s="26"/>
      <c r="W2103" s="26"/>
      <c r="X2103" s="26"/>
    </row>
    <row r="2104">
      <c r="A2104" s="28"/>
      <c r="B2104" s="28"/>
      <c r="C2104" s="28"/>
      <c r="D2104" s="96"/>
      <c r="E2104" s="105"/>
      <c r="F2104" s="105"/>
      <c r="G2104" s="206"/>
      <c r="H2104" s="206"/>
      <c r="I2104" s="206"/>
      <c r="J2104" s="206"/>
      <c r="K2104" s="206"/>
      <c r="L2104" s="206"/>
      <c r="M2104" s="206"/>
      <c r="N2104" s="206"/>
      <c r="O2104" s="206"/>
      <c r="P2104" s="206"/>
      <c r="Q2104" s="262"/>
      <c r="R2104" s="262"/>
      <c r="S2104" s="207"/>
      <c r="T2104" s="263"/>
      <c r="U2104" s="26"/>
      <c r="V2104" s="26"/>
      <c r="W2104" s="26"/>
      <c r="X2104" s="26"/>
    </row>
    <row r="2105">
      <c r="A2105" s="28"/>
      <c r="B2105" s="28"/>
      <c r="C2105" s="28"/>
      <c r="D2105" s="96"/>
      <c r="E2105" s="105"/>
      <c r="F2105" s="105"/>
      <c r="G2105" s="206"/>
      <c r="H2105" s="206"/>
      <c r="I2105" s="206"/>
      <c r="J2105" s="206"/>
      <c r="K2105" s="206"/>
      <c r="L2105" s="206"/>
      <c r="M2105" s="206"/>
      <c r="N2105" s="206"/>
      <c r="O2105" s="206"/>
      <c r="P2105" s="206"/>
      <c r="Q2105" s="262"/>
      <c r="R2105" s="262"/>
      <c r="S2105" s="207"/>
      <c r="T2105" s="263"/>
      <c r="U2105" s="26"/>
      <c r="V2105" s="26"/>
      <c r="W2105" s="26"/>
      <c r="X2105" s="26"/>
    </row>
    <row r="2106">
      <c r="A2106" s="28"/>
      <c r="B2106" s="28"/>
      <c r="C2106" s="28"/>
      <c r="D2106" s="96"/>
      <c r="E2106" s="105"/>
      <c r="F2106" s="105"/>
      <c r="G2106" s="206"/>
      <c r="H2106" s="206"/>
      <c r="I2106" s="206"/>
      <c r="J2106" s="206"/>
      <c r="K2106" s="206"/>
      <c r="L2106" s="206"/>
      <c r="M2106" s="206"/>
      <c r="N2106" s="206"/>
      <c r="O2106" s="206"/>
      <c r="P2106" s="206"/>
      <c r="Q2106" s="262"/>
      <c r="R2106" s="262"/>
      <c r="S2106" s="207"/>
      <c r="T2106" s="263"/>
      <c r="U2106" s="26"/>
      <c r="V2106" s="26"/>
      <c r="W2106" s="26"/>
      <c r="X2106" s="26"/>
    </row>
    <row r="2107">
      <c r="A2107" s="28"/>
      <c r="B2107" s="28"/>
      <c r="C2107" s="28"/>
      <c r="D2107" s="96"/>
      <c r="E2107" s="105"/>
      <c r="F2107" s="105"/>
      <c r="G2107" s="206"/>
      <c r="H2107" s="206"/>
      <c r="I2107" s="206"/>
      <c r="J2107" s="206"/>
      <c r="K2107" s="206"/>
      <c r="L2107" s="206"/>
      <c r="M2107" s="206"/>
      <c r="N2107" s="206"/>
      <c r="O2107" s="206"/>
      <c r="P2107" s="206"/>
      <c r="Q2107" s="262"/>
      <c r="R2107" s="262"/>
      <c r="S2107" s="207"/>
      <c r="T2107" s="263"/>
      <c r="U2107" s="26"/>
      <c r="V2107" s="26"/>
      <c r="W2107" s="26"/>
      <c r="X2107" s="26"/>
    </row>
    <row r="2108">
      <c r="A2108" s="28"/>
      <c r="B2108" s="28"/>
      <c r="C2108" s="28"/>
      <c r="D2108" s="96"/>
      <c r="E2108" s="105"/>
      <c r="F2108" s="105"/>
      <c r="G2108" s="206"/>
      <c r="H2108" s="206"/>
      <c r="I2108" s="206"/>
      <c r="J2108" s="206"/>
      <c r="K2108" s="206"/>
      <c r="L2108" s="206"/>
      <c r="M2108" s="206"/>
      <c r="N2108" s="206"/>
      <c r="O2108" s="206"/>
      <c r="P2108" s="206"/>
      <c r="Q2108" s="262"/>
      <c r="R2108" s="262"/>
      <c r="S2108" s="207"/>
      <c r="T2108" s="263"/>
      <c r="U2108" s="26"/>
      <c r="V2108" s="26"/>
      <c r="W2108" s="26"/>
      <c r="X2108" s="26"/>
    </row>
    <row r="2109">
      <c r="A2109" s="28"/>
      <c r="B2109" s="28"/>
      <c r="C2109" s="28"/>
      <c r="D2109" s="96"/>
      <c r="E2109" s="105"/>
      <c r="F2109" s="105"/>
      <c r="G2109" s="206"/>
      <c r="H2109" s="206"/>
      <c r="I2109" s="206"/>
      <c r="J2109" s="206"/>
      <c r="K2109" s="206"/>
      <c r="L2109" s="206"/>
      <c r="M2109" s="206"/>
      <c r="N2109" s="206"/>
      <c r="O2109" s="206"/>
      <c r="P2109" s="206"/>
      <c r="Q2109" s="262"/>
      <c r="R2109" s="262"/>
      <c r="S2109" s="207"/>
      <c r="T2109" s="263"/>
      <c r="U2109" s="26"/>
      <c r="V2109" s="26"/>
      <c r="W2109" s="26"/>
      <c r="X2109" s="26"/>
    </row>
    <row r="2110">
      <c r="A2110" s="28"/>
      <c r="B2110" s="28"/>
      <c r="C2110" s="28"/>
      <c r="D2110" s="96"/>
      <c r="E2110" s="105"/>
      <c r="F2110" s="105"/>
      <c r="G2110" s="206"/>
      <c r="H2110" s="206"/>
      <c r="I2110" s="206"/>
      <c r="J2110" s="206"/>
      <c r="K2110" s="206"/>
      <c r="L2110" s="206"/>
      <c r="M2110" s="206"/>
      <c r="N2110" s="206"/>
      <c r="O2110" s="206"/>
      <c r="P2110" s="206"/>
      <c r="Q2110" s="262"/>
      <c r="R2110" s="262"/>
      <c r="S2110" s="207"/>
      <c r="T2110" s="263"/>
      <c r="U2110" s="26"/>
      <c r="V2110" s="26"/>
      <c r="W2110" s="26"/>
      <c r="X2110" s="26"/>
    </row>
    <row r="2111">
      <c r="A2111" s="28"/>
      <c r="B2111" s="28"/>
      <c r="C2111" s="28"/>
      <c r="D2111" s="96"/>
      <c r="E2111" s="105"/>
      <c r="F2111" s="105"/>
      <c r="G2111" s="206"/>
      <c r="H2111" s="206"/>
      <c r="I2111" s="206"/>
      <c r="J2111" s="206"/>
      <c r="K2111" s="206"/>
      <c r="L2111" s="206"/>
      <c r="M2111" s="206"/>
      <c r="N2111" s="206"/>
      <c r="O2111" s="206"/>
      <c r="P2111" s="206"/>
      <c r="Q2111" s="262"/>
      <c r="R2111" s="262"/>
      <c r="S2111" s="207"/>
      <c r="T2111" s="263"/>
      <c r="U2111" s="26"/>
      <c r="V2111" s="26"/>
      <c r="W2111" s="26"/>
      <c r="X2111" s="26"/>
    </row>
    <row r="2112">
      <c r="A2112" s="28"/>
      <c r="B2112" s="28"/>
      <c r="C2112" s="28"/>
      <c r="D2112" s="96"/>
      <c r="E2112" s="105"/>
      <c r="F2112" s="105"/>
      <c r="G2112" s="206"/>
      <c r="H2112" s="206"/>
      <c r="I2112" s="206"/>
      <c r="J2112" s="206"/>
      <c r="K2112" s="206"/>
      <c r="L2112" s="206"/>
      <c r="M2112" s="206"/>
      <c r="N2112" s="206"/>
      <c r="O2112" s="206"/>
      <c r="P2112" s="206"/>
      <c r="Q2112" s="262"/>
      <c r="R2112" s="262"/>
      <c r="S2112" s="207"/>
      <c r="T2112" s="263"/>
      <c r="U2112" s="26"/>
      <c r="V2112" s="26"/>
      <c r="W2112" s="26"/>
      <c r="X2112" s="26"/>
    </row>
    <row r="2113">
      <c r="A2113" s="28"/>
      <c r="B2113" s="28"/>
      <c r="C2113" s="28"/>
      <c r="D2113" s="96"/>
      <c r="E2113" s="105"/>
      <c r="F2113" s="105"/>
      <c r="G2113" s="206"/>
      <c r="H2113" s="206"/>
      <c r="I2113" s="206"/>
      <c r="J2113" s="206"/>
      <c r="K2113" s="206"/>
      <c r="L2113" s="206"/>
      <c r="M2113" s="206"/>
      <c r="N2113" s="206"/>
      <c r="O2113" s="206"/>
      <c r="P2113" s="206"/>
      <c r="Q2113" s="262"/>
      <c r="R2113" s="262"/>
      <c r="S2113" s="207"/>
      <c r="T2113" s="263"/>
      <c r="U2113" s="26"/>
      <c r="V2113" s="26"/>
      <c r="W2113" s="26"/>
      <c r="X2113" s="26"/>
    </row>
    <row r="2114">
      <c r="A2114" s="28"/>
      <c r="B2114" s="28"/>
      <c r="C2114" s="28"/>
      <c r="D2114" s="96"/>
      <c r="E2114" s="105"/>
      <c r="F2114" s="105"/>
      <c r="G2114" s="206"/>
      <c r="H2114" s="206"/>
      <c r="I2114" s="206"/>
      <c r="J2114" s="206"/>
      <c r="K2114" s="206"/>
      <c r="L2114" s="206"/>
      <c r="M2114" s="206"/>
      <c r="N2114" s="206"/>
      <c r="O2114" s="206"/>
      <c r="P2114" s="206"/>
      <c r="Q2114" s="262"/>
      <c r="R2114" s="262"/>
      <c r="S2114" s="207"/>
      <c r="T2114" s="263"/>
      <c r="U2114" s="26"/>
      <c r="V2114" s="26"/>
      <c r="W2114" s="26"/>
      <c r="X2114" s="26"/>
    </row>
    <row r="2115">
      <c r="A2115" s="28"/>
      <c r="B2115" s="28"/>
      <c r="C2115" s="28"/>
      <c r="D2115" s="96"/>
      <c r="E2115" s="105"/>
      <c r="F2115" s="105"/>
      <c r="G2115" s="206"/>
      <c r="H2115" s="206"/>
      <c r="I2115" s="206"/>
      <c r="J2115" s="206"/>
      <c r="K2115" s="206"/>
      <c r="L2115" s="206"/>
      <c r="M2115" s="206"/>
      <c r="N2115" s="206"/>
      <c r="O2115" s="206"/>
      <c r="P2115" s="206"/>
      <c r="Q2115" s="262"/>
      <c r="R2115" s="262"/>
      <c r="S2115" s="207"/>
      <c r="T2115" s="263"/>
      <c r="U2115" s="26"/>
      <c r="V2115" s="26"/>
      <c r="W2115" s="26"/>
      <c r="X2115" s="26"/>
    </row>
    <row r="2116">
      <c r="A2116" s="28"/>
      <c r="B2116" s="28"/>
      <c r="C2116" s="28"/>
      <c r="D2116" s="96"/>
      <c r="E2116" s="105"/>
      <c r="F2116" s="105"/>
      <c r="G2116" s="206"/>
      <c r="H2116" s="206"/>
      <c r="I2116" s="206"/>
      <c r="J2116" s="206"/>
      <c r="K2116" s="206"/>
      <c r="L2116" s="206"/>
      <c r="M2116" s="206"/>
      <c r="N2116" s="206"/>
      <c r="O2116" s="206"/>
      <c r="P2116" s="206"/>
      <c r="Q2116" s="262"/>
      <c r="R2116" s="262"/>
      <c r="S2116" s="207"/>
      <c r="T2116" s="263"/>
      <c r="U2116" s="26"/>
      <c r="V2116" s="26"/>
      <c r="W2116" s="26"/>
      <c r="X2116" s="26"/>
    </row>
    <row r="2117">
      <c r="A2117" s="28"/>
      <c r="B2117" s="28"/>
      <c r="C2117" s="28"/>
      <c r="D2117" s="96"/>
      <c r="E2117" s="105"/>
      <c r="F2117" s="105"/>
      <c r="G2117" s="206"/>
      <c r="H2117" s="206"/>
      <c r="I2117" s="206"/>
      <c r="J2117" s="206"/>
      <c r="K2117" s="206"/>
      <c r="L2117" s="206"/>
      <c r="M2117" s="206"/>
      <c r="N2117" s="206"/>
      <c r="O2117" s="206"/>
      <c r="P2117" s="206"/>
      <c r="Q2117" s="262"/>
      <c r="R2117" s="262"/>
      <c r="S2117" s="207"/>
      <c r="T2117" s="263"/>
      <c r="U2117" s="26"/>
      <c r="V2117" s="26"/>
      <c r="W2117" s="26"/>
      <c r="X2117" s="26"/>
    </row>
    <row r="2118">
      <c r="A2118" s="28"/>
      <c r="B2118" s="28"/>
      <c r="C2118" s="28"/>
      <c r="D2118" s="96"/>
      <c r="E2118" s="105"/>
      <c r="F2118" s="105"/>
      <c r="G2118" s="206"/>
      <c r="H2118" s="206"/>
      <c r="I2118" s="206"/>
      <c r="J2118" s="206"/>
      <c r="K2118" s="206"/>
      <c r="L2118" s="206"/>
      <c r="M2118" s="206"/>
      <c r="N2118" s="206"/>
      <c r="O2118" s="206"/>
      <c r="P2118" s="206"/>
      <c r="Q2118" s="262"/>
      <c r="R2118" s="262"/>
      <c r="S2118" s="207"/>
      <c r="T2118" s="263"/>
      <c r="U2118" s="26"/>
      <c r="V2118" s="26"/>
      <c r="W2118" s="26"/>
      <c r="X2118" s="26"/>
    </row>
    <row r="2119">
      <c r="A2119" s="28"/>
      <c r="B2119" s="28"/>
      <c r="C2119" s="28"/>
      <c r="D2119" s="96"/>
      <c r="E2119" s="105"/>
      <c r="F2119" s="105"/>
      <c r="G2119" s="206"/>
      <c r="H2119" s="206"/>
      <c r="I2119" s="206"/>
      <c r="J2119" s="206"/>
      <c r="K2119" s="206"/>
      <c r="L2119" s="206"/>
      <c r="M2119" s="206"/>
      <c r="N2119" s="206"/>
      <c r="O2119" s="206"/>
      <c r="P2119" s="206"/>
      <c r="Q2119" s="262"/>
      <c r="R2119" s="262"/>
      <c r="S2119" s="207"/>
      <c r="T2119" s="263"/>
      <c r="U2119" s="26"/>
      <c r="V2119" s="26"/>
      <c r="W2119" s="26"/>
      <c r="X2119" s="26"/>
    </row>
    <row r="2120">
      <c r="A2120" s="28"/>
      <c r="B2120" s="28"/>
      <c r="C2120" s="28"/>
      <c r="D2120" s="96"/>
      <c r="E2120" s="105"/>
      <c r="F2120" s="105"/>
      <c r="G2120" s="206"/>
      <c r="H2120" s="206"/>
      <c r="I2120" s="206"/>
      <c r="J2120" s="206"/>
      <c r="K2120" s="206"/>
      <c r="L2120" s="206"/>
      <c r="M2120" s="206"/>
      <c r="N2120" s="206"/>
      <c r="O2120" s="206"/>
      <c r="P2120" s="206"/>
      <c r="Q2120" s="262"/>
      <c r="R2120" s="262"/>
      <c r="S2120" s="207"/>
      <c r="T2120" s="263"/>
      <c r="U2120" s="26"/>
      <c r="V2120" s="26"/>
      <c r="W2120" s="26"/>
      <c r="X2120" s="26"/>
    </row>
    <row r="2121">
      <c r="A2121" s="28"/>
      <c r="B2121" s="28"/>
      <c r="C2121" s="28"/>
      <c r="D2121" s="96"/>
      <c r="E2121" s="105"/>
      <c r="F2121" s="105"/>
      <c r="G2121" s="206"/>
      <c r="H2121" s="206"/>
      <c r="I2121" s="206"/>
      <c r="J2121" s="206"/>
      <c r="K2121" s="206"/>
      <c r="L2121" s="206"/>
      <c r="M2121" s="206"/>
      <c r="N2121" s="206"/>
      <c r="O2121" s="206"/>
      <c r="P2121" s="206"/>
      <c r="Q2121" s="262"/>
      <c r="R2121" s="262"/>
      <c r="S2121" s="207"/>
      <c r="T2121" s="263"/>
      <c r="U2121" s="26"/>
      <c r="V2121" s="26"/>
      <c r="W2121" s="26"/>
      <c r="X2121" s="26"/>
    </row>
    <row r="2122">
      <c r="A2122" s="28"/>
      <c r="B2122" s="28"/>
      <c r="C2122" s="28"/>
      <c r="D2122" s="96"/>
      <c r="E2122" s="105"/>
      <c r="F2122" s="105"/>
      <c r="G2122" s="206"/>
      <c r="H2122" s="206"/>
      <c r="I2122" s="206"/>
      <c r="J2122" s="206"/>
      <c r="K2122" s="206"/>
      <c r="L2122" s="206"/>
      <c r="M2122" s="206"/>
      <c r="N2122" s="206"/>
      <c r="O2122" s="206"/>
      <c r="P2122" s="206"/>
      <c r="Q2122" s="262"/>
      <c r="R2122" s="262"/>
      <c r="S2122" s="207"/>
      <c r="T2122" s="263"/>
      <c r="U2122" s="26"/>
      <c r="V2122" s="26"/>
      <c r="W2122" s="26"/>
      <c r="X2122" s="26"/>
    </row>
    <row r="2123">
      <c r="A2123" s="28"/>
      <c r="B2123" s="28"/>
      <c r="C2123" s="28"/>
      <c r="D2123" s="96"/>
      <c r="E2123" s="105"/>
      <c r="F2123" s="105"/>
      <c r="G2123" s="206"/>
      <c r="H2123" s="206"/>
      <c r="I2123" s="206"/>
      <c r="J2123" s="206"/>
      <c r="K2123" s="206"/>
      <c r="L2123" s="206"/>
      <c r="M2123" s="206"/>
      <c r="N2123" s="206"/>
      <c r="O2123" s="206"/>
      <c r="P2123" s="206"/>
      <c r="Q2123" s="262"/>
      <c r="R2123" s="262"/>
      <c r="S2123" s="207"/>
      <c r="T2123" s="263"/>
      <c r="U2123" s="26"/>
      <c r="V2123" s="26"/>
      <c r="W2123" s="26"/>
      <c r="X2123" s="26"/>
    </row>
    <row r="2124">
      <c r="A2124" s="28"/>
      <c r="B2124" s="28"/>
      <c r="C2124" s="28"/>
      <c r="D2124" s="96"/>
      <c r="E2124" s="105"/>
      <c r="F2124" s="105"/>
      <c r="G2124" s="206"/>
      <c r="H2124" s="206"/>
      <c r="I2124" s="206"/>
      <c r="J2124" s="206"/>
      <c r="K2124" s="206"/>
      <c r="L2124" s="206"/>
      <c r="M2124" s="206"/>
      <c r="N2124" s="206"/>
      <c r="O2124" s="206"/>
      <c r="P2124" s="206"/>
      <c r="Q2124" s="262"/>
      <c r="R2124" s="262"/>
      <c r="S2124" s="207"/>
      <c r="T2124" s="263"/>
      <c r="U2124" s="26"/>
      <c r="V2124" s="26"/>
      <c r="W2124" s="26"/>
      <c r="X2124" s="26"/>
    </row>
    <row r="2125">
      <c r="A2125" s="28"/>
      <c r="B2125" s="28"/>
      <c r="C2125" s="28"/>
      <c r="D2125" s="96"/>
      <c r="E2125" s="105"/>
      <c r="F2125" s="105"/>
      <c r="G2125" s="206"/>
      <c r="H2125" s="206"/>
      <c r="I2125" s="206"/>
      <c r="J2125" s="206"/>
      <c r="K2125" s="206"/>
      <c r="L2125" s="206"/>
      <c r="M2125" s="206"/>
      <c r="N2125" s="206"/>
      <c r="O2125" s="206"/>
      <c r="P2125" s="206"/>
      <c r="Q2125" s="262"/>
      <c r="R2125" s="262"/>
      <c r="S2125" s="207"/>
      <c r="T2125" s="263"/>
      <c r="U2125" s="26"/>
      <c r="V2125" s="26"/>
      <c r="W2125" s="26"/>
      <c r="X2125" s="26"/>
    </row>
    <row r="2126">
      <c r="A2126" s="28"/>
      <c r="B2126" s="28"/>
      <c r="C2126" s="28"/>
      <c r="D2126" s="96"/>
      <c r="E2126" s="105"/>
      <c r="F2126" s="105"/>
      <c r="G2126" s="206"/>
      <c r="H2126" s="206"/>
      <c r="I2126" s="206"/>
      <c r="J2126" s="206"/>
      <c r="K2126" s="206"/>
      <c r="L2126" s="206"/>
      <c r="M2126" s="206"/>
      <c r="N2126" s="206"/>
      <c r="O2126" s="206"/>
      <c r="P2126" s="206"/>
      <c r="Q2126" s="262"/>
      <c r="R2126" s="262"/>
      <c r="S2126" s="207"/>
      <c r="T2126" s="263"/>
      <c r="U2126" s="26"/>
      <c r="V2126" s="26"/>
      <c r="W2126" s="26"/>
      <c r="X2126" s="26"/>
    </row>
    <row r="2127">
      <c r="A2127" s="28"/>
      <c r="B2127" s="28"/>
      <c r="C2127" s="28"/>
      <c r="D2127" s="96"/>
      <c r="E2127" s="105"/>
      <c r="F2127" s="105"/>
      <c r="G2127" s="206"/>
      <c r="H2127" s="206"/>
      <c r="I2127" s="206"/>
      <c r="J2127" s="206"/>
      <c r="K2127" s="206"/>
      <c r="L2127" s="206"/>
      <c r="M2127" s="206"/>
      <c r="N2127" s="206"/>
      <c r="O2127" s="206"/>
      <c r="P2127" s="206"/>
      <c r="Q2127" s="262"/>
      <c r="R2127" s="262"/>
      <c r="S2127" s="207"/>
      <c r="T2127" s="263"/>
      <c r="U2127" s="26"/>
      <c r="V2127" s="26"/>
      <c r="W2127" s="26"/>
      <c r="X2127" s="26"/>
    </row>
    <row r="2128">
      <c r="A2128" s="28"/>
      <c r="B2128" s="28"/>
      <c r="C2128" s="28"/>
      <c r="D2128" s="96"/>
      <c r="E2128" s="105"/>
      <c r="F2128" s="105"/>
      <c r="G2128" s="206"/>
      <c r="H2128" s="206"/>
      <c r="I2128" s="206"/>
      <c r="J2128" s="206"/>
      <c r="K2128" s="206"/>
      <c r="L2128" s="206"/>
      <c r="M2128" s="206"/>
      <c r="N2128" s="206"/>
      <c r="O2128" s="206"/>
      <c r="P2128" s="206"/>
      <c r="Q2128" s="262"/>
      <c r="R2128" s="262"/>
      <c r="S2128" s="207"/>
      <c r="T2128" s="263"/>
      <c r="U2128" s="26"/>
      <c r="V2128" s="26"/>
      <c r="W2128" s="26"/>
      <c r="X2128" s="26"/>
    </row>
    <row r="2129">
      <c r="A2129" s="28"/>
      <c r="B2129" s="28"/>
      <c r="C2129" s="28"/>
      <c r="D2129" s="96"/>
      <c r="E2129" s="105"/>
      <c r="F2129" s="105"/>
      <c r="G2129" s="206"/>
      <c r="H2129" s="206"/>
      <c r="I2129" s="206"/>
      <c r="J2129" s="206"/>
      <c r="K2129" s="206"/>
      <c r="L2129" s="206"/>
      <c r="M2129" s="206"/>
      <c r="N2129" s="206"/>
      <c r="O2129" s="206"/>
      <c r="P2129" s="206"/>
      <c r="Q2129" s="262"/>
      <c r="R2129" s="262"/>
      <c r="S2129" s="207"/>
      <c r="T2129" s="263"/>
      <c r="U2129" s="26"/>
      <c r="V2129" s="26"/>
      <c r="W2129" s="26"/>
      <c r="X2129" s="26"/>
    </row>
    <row r="2130">
      <c r="A2130" s="28"/>
      <c r="B2130" s="28"/>
      <c r="C2130" s="28"/>
      <c r="D2130" s="96"/>
      <c r="E2130" s="105"/>
      <c r="F2130" s="105"/>
      <c r="G2130" s="206"/>
      <c r="H2130" s="206"/>
      <c r="I2130" s="206"/>
      <c r="J2130" s="206"/>
      <c r="K2130" s="206"/>
      <c r="L2130" s="206"/>
      <c r="M2130" s="206"/>
      <c r="N2130" s="206"/>
      <c r="O2130" s="206"/>
      <c r="P2130" s="206"/>
      <c r="Q2130" s="262"/>
      <c r="R2130" s="262"/>
      <c r="S2130" s="207"/>
      <c r="T2130" s="263"/>
      <c r="U2130" s="26"/>
      <c r="V2130" s="26"/>
      <c r="W2130" s="26"/>
      <c r="X2130" s="26"/>
    </row>
    <row r="2131">
      <c r="A2131" s="28"/>
      <c r="B2131" s="28"/>
      <c r="C2131" s="28"/>
      <c r="D2131" s="96"/>
      <c r="E2131" s="105"/>
      <c r="F2131" s="105"/>
      <c r="G2131" s="206"/>
      <c r="H2131" s="206"/>
      <c r="I2131" s="206"/>
      <c r="J2131" s="206"/>
      <c r="K2131" s="206"/>
      <c r="L2131" s="206"/>
      <c r="M2131" s="206"/>
      <c r="N2131" s="206"/>
      <c r="O2131" s="206"/>
      <c r="P2131" s="206"/>
      <c r="Q2131" s="262"/>
      <c r="R2131" s="262"/>
      <c r="S2131" s="207"/>
      <c r="T2131" s="263"/>
      <c r="U2131" s="26"/>
      <c r="V2131" s="26"/>
      <c r="W2131" s="26"/>
      <c r="X2131" s="26"/>
    </row>
    <row r="2132">
      <c r="A2132" s="28"/>
      <c r="B2132" s="28"/>
      <c r="C2132" s="28"/>
      <c r="D2132" s="96"/>
      <c r="E2132" s="105"/>
      <c r="F2132" s="105"/>
      <c r="G2132" s="206"/>
      <c r="H2132" s="206"/>
      <c r="I2132" s="206"/>
      <c r="J2132" s="206"/>
      <c r="K2132" s="206"/>
      <c r="L2132" s="206"/>
      <c r="M2132" s="206"/>
      <c r="N2132" s="206"/>
      <c r="O2132" s="206"/>
      <c r="P2132" s="206"/>
      <c r="Q2132" s="262"/>
      <c r="R2132" s="262"/>
      <c r="S2132" s="207"/>
      <c r="T2132" s="263"/>
      <c r="U2132" s="26"/>
      <c r="V2132" s="26"/>
      <c r="W2132" s="26"/>
      <c r="X2132" s="26"/>
    </row>
    <row r="2133">
      <c r="A2133" s="28"/>
      <c r="B2133" s="28"/>
      <c r="C2133" s="28"/>
      <c r="D2133" s="96"/>
      <c r="E2133" s="105"/>
      <c r="F2133" s="105"/>
      <c r="G2133" s="206"/>
      <c r="H2133" s="206"/>
      <c r="I2133" s="206"/>
      <c r="J2133" s="206"/>
      <c r="K2133" s="206"/>
      <c r="L2133" s="206"/>
      <c r="M2133" s="206"/>
      <c r="N2133" s="206"/>
      <c r="O2133" s="206"/>
      <c r="P2133" s="206"/>
      <c r="Q2133" s="262"/>
      <c r="R2133" s="262"/>
      <c r="S2133" s="207"/>
      <c r="T2133" s="263"/>
      <c r="U2133" s="26"/>
      <c r="V2133" s="26"/>
      <c r="W2133" s="26"/>
      <c r="X2133" s="26"/>
    </row>
    <row r="2134">
      <c r="A2134" s="28"/>
      <c r="B2134" s="28"/>
      <c r="C2134" s="28"/>
      <c r="D2134" s="96"/>
      <c r="E2134" s="105"/>
      <c r="F2134" s="105"/>
      <c r="G2134" s="206"/>
      <c r="H2134" s="206"/>
      <c r="I2134" s="206"/>
      <c r="J2134" s="206"/>
      <c r="K2134" s="206"/>
      <c r="L2134" s="206"/>
      <c r="M2134" s="206"/>
      <c r="N2134" s="206"/>
      <c r="O2134" s="206"/>
      <c r="P2134" s="206"/>
      <c r="Q2134" s="262"/>
      <c r="R2134" s="262"/>
      <c r="S2134" s="207"/>
      <c r="T2134" s="263"/>
      <c r="U2134" s="26"/>
      <c r="V2134" s="26"/>
      <c r="W2134" s="26"/>
      <c r="X2134" s="26"/>
    </row>
    <row r="2135">
      <c r="A2135" s="28"/>
      <c r="B2135" s="28"/>
      <c r="C2135" s="28"/>
      <c r="D2135" s="96"/>
      <c r="E2135" s="105"/>
      <c r="F2135" s="105"/>
      <c r="G2135" s="206"/>
      <c r="H2135" s="206"/>
      <c r="I2135" s="206"/>
      <c r="J2135" s="206"/>
      <c r="K2135" s="206"/>
      <c r="L2135" s="206"/>
      <c r="M2135" s="206"/>
      <c r="N2135" s="206"/>
      <c r="O2135" s="206"/>
      <c r="P2135" s="206"/>
      <c r="Q2135" s="262"/>
      <c r="R2135" s="262"/>
      <c r="S2135" s="207"/>
      <c r="T2135" s="263"/>
      <c r="U2135" s="26"/>
      <c r="V2135" s="26"/>
      <c r="W2135" s="26"/>
      <c r="X2135" s="26"/>
    </row>
    <row r="2136">
      <c r="A2136" s="28"/>
      <c r="B2136" s="28"/>
      <c r="C2136" s="28"/>
      <c r="D2136" s="96"/>
      <c r="E2136" s="105"/>
      <c r="F2136" s="105"/>
      <c r="G2136" s="206"/>
      <c r="H2136" s="206"/>
      <c r="I2136" s="206"/>
      <c r="J2136" s="206"/>
      <c r="K2136" s="206"/>
      <c r="L2136" s="206"/>
      <c r="M2136" s="206"/>
      <c r="N2136" s="206"/>
      <c r="O2136" s="206"/>
      <c r="P2136" s="206"/>
      <c r="Q2136" s="262"/>
      <c r="R2136" s="262"/>
      <c r="S2136" s="207"/>
      <c r="T2136" s="263"/>
      <c r="U2136" s="26"/>
      <c r="V2136" s="26"/>
      <c r="W2136" s="26"/>
      <c r="X2136" s="26"/>
    </row>
    <row r="2137">
      <c r="A2137" s="28"/>
      <c r="B2137" s="28"/>
      <c r="C2137" s="28"/>
      <c r="D2137" s="96"/>
      <c r="E2137" s="105"/>
      <c r="F2137" s="105"/>
      <c r="G2137" s="206"/>
      <c r="H2137" s="206"/>
      <c r="I2137" s="206"/>
      <c r="J2137" s="206"/>
      <c r="K2137" s="206"/>
      <c r="L2137" s="206"/>
      <c r="M2137" s="206"/>
      <c r="N2137" s="206"/>
      <c r="O2137" s="206"/>
      <c r="P2137" s="206"/>
      <c r="Q2137" s="262"/>
      <c r="R2137" s="262"/>
      <c r="S2137" s="207"/>
      <c r="T2137" s="263"/>
      <c r="U2137" s="26"/>
      <c r="V2137" s="26"/>
      <c r="W2137" s="26"/>
      <c r="X2137" s="26"/>
    </row>
    <row r="2138">
      <c r="A2138" s="28"/>
      <c r="B2138" s="28"/>
      <c r="C2138" s="28"/>
      <c r="D2138" s="96"/>
      <c r="E2138" s="105"/>
      <c r="F2138" s="105"/>
      <c r="G2138" s="206"/>
      <c r="H2138" s="206"/>
      <c r="I2138" s="206"/>
      <c r="J2138" s="206"/>
      <c r="K2138" s="206"/>
      <c r="L2138" s="206"/>
      <c r="M2138" s="206"/>
      <c r="N2138" s="206"/>
      <c r="O2138" s="206"/>
      <c r="P2138" s="206"/>
      <c r="Q2138" s="262"/>
      <c r="R2138" s="262"/>
      <c r="S2138" s="207"/>
      <c r="T2138" s="263"/>
      <c r="U2138" s="26"/>
      <c r="V2138" s="26"/>
      <c r="W2138" s="26"/>
      <c r="X2138" s="26"/>
    </row>
    <row r="2139">
      <c r="A2139" s="28"/>
      <c r="B2139" s="28"/>
      <c r="C2139" s="28"/>
      <c r="D2139" s="96"/>
      <c r="E2139" s="105"/>
      <c r="F2139" s="105"/>
      <c r="G2139" s="206"/>
      <c r="H2139" s="206"/>
      <c r="I2139" s="206"/>
      <c r="J2139" s="206"/>
      <c r="K2139" s="206"/>
      <c r="L2139" s="206"/>
      <c r="M2139" s="206"/>
      <c r="N2139" s="206"/>
      <c r="O2139" s="206"/>
      <c r="P2139" s="206"/>
      <c r="Q2139" s="262"/>
      <c r="R2139" s="262"/>
      <c r="S2139" s="207"/>
      <c r="T2139" s="263"/>
      <c r="U2139" s="26"/>
      <c r="V2139" s="26"/>
      <c r="W2139" s="26"/>
      <c r="X2139" s="26"/>
    </row>
    <row r="2140">
      <c r="A2140" s="28"/>
      <c r="B2140" s="28"/>
      <c r="C2140" s="28"/>
      <c r="D2140" s="96"/>
      <c r="E2140" s="105"/>
      <c r="F2140" s="105"/>
      <c r="G2140" s="206"/>
      <c r="H2140" s="206"/>
      <c r="I2140" s="206"/>
      <c r="J2140" s="206"/>
      <c r="K2140" s="206"/>
      <c r="L2140" s="206"/>
      <c r="M2140" s="206"/>
      <c r="N2140" s="206"/>
      <c r="O2140" s="206"/>
      <c r="P2140" s="206"/>
      <c r="Q2140" s="262"/>
      <c r="R2140" s="262"/>
      <c r="S2140" s="207"/>
      <c r="T2140" s="263"/>
      <c r="U2140" s="26"/>
      <c r="V2140" s="26"/>
      <c r="W2140" s="26"/>
      <c r="X2140" s="26"/>
    </row>
    <row r="2141">
      <c r="A2141" s="28"/>
      <c r="B2141" s="28"/>
      <c r="C2141" s="28"/>
      <c r="D2141" s="96"/>
      <c r="E2141" s="105"/>
      <c r="F2141" s="105"/>
      <c r="G2141" s="206"/>
      <c r="H2141" s="206"/>
      <c r="I2141" s="206"/>
      <c r="J2141" s="206"/>
      <c r="K2141" s="206"/>
      <c r="L2141" s="206"/>
      <c r="M2141" s="206"/>
      <c r="N2141" s="206"/>
      <c r="O2141" s="206"/>
      <c r="P2141" s="206"/>
      <c r="Q2141" s="262"/>
      <c r="R2141" s="262"/>
      <c r="S2141" s="207"/>
      <c r="T2141" s="263"/>
      <c r="U2141" s="26"/>
      <c r="V2141" s="26"/>
      <c r="W2141" s="26"/>
      <c r="X2141" s="26"/>
    </row>
    <row r="2142">
      <c r="A2142" s="28"/>
      <c r="B2142" s="28"/>
      <c r="C2142" s="28"/>
      <c r="D2142" s="96"/>
      <c r="E2142" s="105"/>
      <c r="F2142" s="105"/>
      <c r="G2142" s="206"/>
      <c r="H2142" s="206"/>
      <c r="I2142" s="206"/>
      <c r="J2142" s="206"/>
      <c r="K2142" s="206"/>
      <c r="L2142" s="206"/>
      <c r="M2142" s="206"/>
      <c r="N2142" s="206"/>
      <c r="O2142" s="206"/>
      <c r="P2142" s="206"/>
      <c r="Q2142" s="262"/>
      <c r="R2142" s="262"/>
      <c r="S2142" s="207"/>
      <c r="T2142" s="263"/>
      <c r="U2142" s="26"/>
      <c r="V2142" s="26"/>
      <c r="W2142" s="26"/>
      <c r="X2142" s="26"/>
    </row>
    <row r="2143">
      <c r="A2143" s="28"/>
      <c r="B2143" s="28"/>
      <c r="C2143" s="28"/>
      <c r="D2143" s="96"/>
      <c r="E2143" s="105"/>
      <c r="F2143" s="105"/>
      <c r="G2143" s="206"/>
      <c r="H2143" s="206"/>
      <c r="I2143" s="206"/>
      <c r="J2143" s="206"/>
      <c r="K2143" s="206"/>
      <c r="L2143" s="206"/>
      <c r="M2143" s="206"/>
      <c r="N2143" s="206"/>
      <c r="O2143" s="206"/>
      <c r="P2143" s="206"/>
      <c r="Q2143" s="262"/>
      <c r="R2143" s="262"/>
      <c r="S2143" s="207"/>
      <c r="T2143" s="263"/>
      <c r="U2143" s="26"/>
      <c r="V2143" s="26"/>
      <c r="W2143" s="26"/>
      <c r="X2143" s="26"/>
    </row>
    <row r="2144">
      <c r="A2144" s="28"/>
      <c r="B2144" s="28"/>
      <c r="C2144" s="28"/>
      <c r="D2144" s="96"/>
      <c r="E2144" s="105"/>
      <c r="F2144" s="105"/>
      <c r="G2144" s="206"/>
      <c r="H2144" s="206"/>
      <c r="I2144" s="206"/>
      <c r="J2144" s="206"/>
      <c r="K2144" s="206"/>
      <c r="L2144" s="206"/>
      <c r="M2144" s="206"/>
      <c r="N2144" s="206"/>
      <c r="O2144" s="206"/>
      <c r="P2144" s="206"/>
      <c r="Q2144" s="262"/>
      <c r="R2144" s="262"/>
      <c r="S2144" s="207"/>
      <c r="T2144" s="263"/>
      <c r="U2144" s="26"/>
      <c r="V2144" s="26"/>
      <c r="W2144" s="26"/>
      <c r="X2144" s="26"/>
    </row>
    <row r="2145">
      <c r="A2145" s="28"/>
      <c r="B2145" s="28"/>
      <c r="C2145" s="28"/>
      <c r="D2145" s="96"/>
      <c r="E2145" s="105"/>
      <c r="F2145" s="105"/>
      <c r="G2145" s="206"/>
      <c r="H2145" s="206"/>
      <c r="I2145" s="206"/>
      <c r="J2145" s="206"/>
      <c r="K2145" s="206"/>
      <c r="L2145" s="206"/>
      <c r="M2145" s="206"/>
      <c r="N2145" s="206"/>
      <c r="O2145" s="206"/>
      <c r="P2145" s="206"/>
      <c r="Q2145" s="262"/>
      <c r="R2145" s="262"/>
      <c r="S2145" s="207"/>
      <c r="T2145" s="263"/>
      <c r="U2145" s="26"/>
      <c r="V2145" s="26"/>
      <c r="W2145" s="26"/>
      <c r="X2145" s="26"/>
    </row>
    <row r="2146">
      <c r="A2146" s="28"/>
      <c r="B2146" s="28"/>
      <c r="C2146" s="28"/>
      <c r="D2146" s="96"/>
      <c r="E2146" s="105"/>
      <c r="F2146" s="105"/>
      <c r="G2146" s="206"/>
      <c r="H2146" s="206"/>
      <c r="I2146" s="206"/>
      <c r="J2146" s="206"/>
      <c r="K2146" s="206"/>
      <c r="L2146" s="206"/>
      <c r="M2146" s="206"/>
      <c r="N2146" s="206"/>
      <c r="O2146" s="206"/>
      <c r="P2146" s="206"/>
      <c r="Q2146" s="262"/>
      <c r="R2146" s="262"/>
      <c r="S2146" s="207"/>
      <c r="T2146" s="263"/>
      <c r="U2146" s="26"/>
      <c r="V2146" s="26"/>
      <c r="W2146" s="26"/>
      <c r="X2146" s="26"/>
    </row>
    <row r="2147">
      <c r="A2147" s="28"/>
      <c r="B2147" s="28"/>
      <c r="C2147" s="28"/>
      <c r="D2147" s="96"/>
      <c r="E2147" s="105"/>
      <c r="F2147" s="105"/>
      <c r="G2147" s="206"/>
      <c r="H2147" s="206"/>
      <c r="I2147" s="206"/>
      <c r="J2147" s="206"/>
      <c r="K2147" s="206"/>
      <c r="L2147" s="206"/>
      <c r="M2147" s="206"/>
      <c r="N2147" s="206"/>
      <c r="O2147" s="206"/>
      <c r="P2147" s="206"/>
      <c r="Q2147" s="262"/>
      <c r="R2147" s="262"/>
      <c r="S2147" s="207"/>
      <c r="T2147" s="263"/>
      <c r="U2147" s="26"/>
      <c r="V2147" s="26"/>
      <c r="W2147" s="26"/>
      <c r="X2147" s="26"/>
    </row>
    <row r="2148">
      <c r="A2148" s="28"/>
      <c r="B2148" s="28"/>
      <c r="C2148" s="28"/>
      <c r="D2148" s="96"/>
      <c r="E2148" s="105"/>
      <c r="F2148" s="105"/>
      <c r="G2148" s="206"/>
      <c r="H2148" s="206"/>
      <c r="I2148" s="206"/>
      <c r="J2148" s="206"/>
      <c r="K2148" s="206"/>
      <c r="L2148" s="206"/>
      <c r="M2148" s="206"/>
      <c r="N2148" s="206"/>
      <c r="O2148" s="206"/>
      <c r="P2148" s="206"/>
      <c r="Q2148" s="262"/>
      <c r="R2148" s="262"/>
      <c r="S2148" s="207"/>
      <c r="T2148" s="263"/>
      <c r="U2148" s="26"/>
      <c r="V2148" s="26"/>
      <c r="W2148" s="26"/>
      <c r="X2148" s="26"/>
    </row>
    <row r="2149">
      <c r="A2149" s="28"/>
      <c r="B2149" s="28"/>
      <c r="C2149" s="28"/>
      <c r="D2149" s="96"/>
      <c r="E2149" s="105"/>
      <c r="F2149" s="105"/>
      <c r="G2149" s="206"/>
      <c r="H2149" s="206"/>
      <c r="I2149" s="206"/>
      <c r="J2149" s="206"/>
      <c r="K2149" s="206"/>
      <c r="L2149" s="206"/>
      <c r="M2149" s="206"/>
      <c r="N2149" s="206"/>
      <c r="O2149" s="206"/>
      <c r="P2149" s="206"/>
      <c r="Q2149" s="262"/>
      <c r="R2149" s="262"/>
      <c r="S2149" s="207"/>
      <c r="T2149" s="263"/>
      <c r="U2149" s="26"/>
      <c r="V2149" s="26"/>
      <c r="W2149" s="26"/>
      <c r="X2149" s="26"/>
    </row>
    <row r="2150">
      <c r="A2150" s="28"/>
      <c r="B2150" s="28"/>
      <c r="C2150" s="28"/>
      <c r="D2150" s="96"/>
      <c r="E2150" s="105"/>
      <c r="F2150" s="105"/>
      <c r="G2150" s="206"/>
      <c r="H2150" s="206"/>
      <c r="I2150" s="206"/>
      <c r="J2150" s="206"/>
      <c r="K2150" s="206"/>
      <c r="L2150" s="206"/>
      <c r="M2150" s="206"/>
      <c r="N2150" s="206"/>
      <c r="O2150" s="206"/>
      <c r="P2150" s="206"/>
      <c r="Q2150" s="262"/>
      <c r="R2150" s="262"/>
      <c r="S2150" s="207"/>
      <c r="T2150" s="263"/>
      <c r="U2150" s="26"/>
      <c r="V2150" s="26"/>
      <c r="W2150" s="26"/>
      <c r="X2150" s="26"/>
    </row>
    <row r="2151">
      <c r="A2151" s="28"/>
      <c r="B2151" s="28"/>
      <c r="C2151" s="28"/>
      <c r="D2151" s="96"/>
      <c r="E2151" s="105"/>
      <c r="F2151" s="105"/>
      <c r="G2151" s="206"/>
      <c r="H2151" s="206"/>
      <c r="I2151" s="206"/>
      <c r="J2151" s="206"/>
      <c r="K2151" s="206"/>
      <c r="L2151" s="206"/>
      <c r="M2151" s="206"/>
      <c r="N2151" s="206"/>
      <c r="O2151" s="206"/>
      <c r="P2151" s="206"/>
      <c r="Q2151" s="262"/>
      <c r="R2151" s="262"/>
      <c r="S2151" s="207"/>
      <c r="T2151" s="263"/>
      <c r="U2151" s="26"/>
      <c r="V2151" s="26"/>
      <c r="W2151" s="26"/>
      <c r="X2151" s="26"/>
    </row>
    <row r="2152">
      <c r="A2152" s="28"/>
      <c r="B2152" s="28"/>
      <c r="C2152" s="28"/>
      <c r="D2152" s="96"/>
      <c r="E2152" s="105"/>
      <c r="F2152" s="105"/>
      <c r="G2152" s="206"/>
      <c r="H2152" s="206"/>
      <c r="I2152" s="206"/>
      <c r="J2152" s="206"/>
      <c r="K2152" s="206"/>
      <c r="L2152" s="206"/>
      <c r="M2152" s="206"/>
      <c r="N2152" s="206"/>
      <c r="O2152" s="206"/>
      <c r="P2152" s="206"/>
      <c r="Q2152" s="262"/>
      <c r="R2152" s="262"/>
      <c r="S2152" s="207"/>
      <c r="T2152" s="263"/>
      <c r="U2152" s="26"/>
      <c r="V2152" s="26"/>
      <c r="W2152" s="26"/>
      <c r="X2152" s="26"/>
    </row>
    <row r="2153">
      <c r="A2153" s="28"/>
      <c r="B2153" s="28"/>
      <c r="C2153" s="28"/>
      <c r="D2153" s="96"/>
      <c r="E2153" s="105"/>
      <c r="F2153" s="105"/>
      <c r="G2153" s="206"/>
      <c r="H2153" s="206"/>
      <c r="I2153" s="206"/>
      <c r="J2153" s="206"/>
      <c r="K2153" s="206"/>
      <c r="L2153" s="206"/>
      <c r="M2153" s="206"/>
      <c r="N2153" s="206"/>
      <c r="O2153" s="206"/>
      <c r="P2153" s="206"/>
      <c r="Q2153" s="262"/>
      <c r="R2153" s="262"/>
      <c r="S2153" s="207"/>
      <c r="T2153" s="263"/>
      <c r="U2153" s="26"/>
      <c r="V2153" s="26"/>
      <c r="W2153" s="26"/>
      <c r="X2153" s="26"/>
    </row>
    <row r="2154">
      <c r="A2154" s="28"/>
      <c r="B2154" s="28"/>
      <c r="C2154" s="28"/>
      <c r="D2154" s="96"/>
      <c r="E2154" s="105"/>
      <c r="F2154" s="105"/>
      <c r="G2154" s="206"/>
      <c r="H2154" s="206"/>
      <c r="I2154" s="206"/>
      <c r="J2154" s="206"/>
      <c r="K2154" s="206"/>
      <c r="L2154" s="206"/>
      <c r="M2154" s="206"/>
      <c r="N2154" s="206"/>
      <c r="O2154" s="206"/>
      <c r="P2154" s="206"/>
      <c r="Q2154" s="262"/>
      <c r="R2154" s="262"/>
      <c r="S2154" s="207"/>
      <c r="T2154" s="263"/>
      <c r="U2154" s="26"/>
      <c r="V2154" s="26"/>
      <c r="W2154" s="26"/>
      <c r="X2154" s="26"/>
    </row>
    <row r="2155">
      <c r="A2155" s="28"/>
      <c r="B2155" s="28"/>
      <c r="C2155" s="28"/>
      <c r="D2155" s="96"/>
      <c r="E2155" s="105"/>
      <c r="F2155" s="105"/>
      <c r="G2155" s="206"/>
      <c r="H2155" s="206"/>
      <c r="I2155" s="206"/>
      <c r="J2155" s="206"/>
      <c r="K2155" s="206"/>
      <c r="L2155" s="206"/>
      <c r="M2155" s="206"/>
      <c r="N2155" s="206"/>
      <c r="O2155" s="206"/>
      <c r="P2155" s="206"/>
      <c r="Q2155" s="262"/>
      <c r="R2155" s="262"/>
      <c r="S2155" s="207"/>
      <c r="T2155" s="263"/>
      <c r="U2155" s="26"/>
      <c r="V2155" s="26"/>
      <c r="W2155" s="26"/>
      <c r="X2155" s="26"/>
    </row>
    <row r="2156">
      <c r="A2156" s="28"/>
      <c r="B2156" s="28"/>
      <c r="C2156" s="28"/>
      <c r="D2156" s="96"/>
      <c r="E2156" s="105"/>
      <c r="F2156" s="105"/>
      <c r="G2156" s="206"/>
      <c r="H2156" s="206"/>
      <c r="I2156" s="206"/>
      <c r="J2156" s="206"/>
      <c r="K2156" s="206"/>
      <c r="L2156" s="206"/>
      <c r="M2156" s="206"/>
      <c r="N2156" s="206"/>
      <c r="O2156" s="206"/>
      <c r="P2156" s="206"/>
      <c r="Q2156" s="262"/>
      <c r="R2156" s="262"/>
      <c r="S2156" s="207"/>
      <c r="T2156" s="263"/>
      <c r="U2156" s="26"/>
      <c r="V2156" s="26"/>
      <c r="W2156" s="26"/>
      <c r="X2156" s="26"/>
    </row>
    <row r="2157">
      <c r="A2157" s="28"/>
      <c r="B2157" s="28"/>
      <c r="C2157" s="28"/>
      <c r="D2157" s="96"/>
      <c r="E2157" s="105"/>
      <c r="F2157" s="105"/>
      <c r="G2157" s="206"/>
      <c r="H2157" s="206"/>
      <c r="I2157" s="206"/>
      <c r="J2157" s="206"/>
      <c r="K2157" s="206"/>
      <c r="L2157" s="206"/>
      <c r="M2157" s="206"/>
      <c r="N2157" s="206"/>
      <c r="O2157" s="206"/>
      <c r="P2157" s="206"/>
      <c r="Q2157" s="262"/>
      <c r="R2157" s="262"/>
      <c r="S2157" s="207"/>
      <c r="T2157" s="263"/>
      <c r="U2157" s="26"/>
      <c r="V2157" s="26"/>
      <c r="W2157" s="26"/>
      <c r="X2157" s="26"/>
    </row>
    <row r="2158">
      <c r="A2158" s="28"/>
      <c r="B2158" s="28"/>
      <c r="C2158" s="28"/>
      <c r="D2158" s="96"/>
      <c r="E2158" s="105"/>
      <c r="F2158" s="105"/>
      <c r="G2158" s="206"/>
      <c r="H2158" s="206"/>
      <c r="I2158" s="206"/>
      <c r="J2158" s="206"/>
      <c r="K2158" s="206"/>
      <c r="L2158" s="206"/>
      <c r="M2158" s="206"/>
      <c r="N2158" s="206"/>
      <c r="O2158" s="206"/>
      <c r="P2158" s="206"/>
      <c r="Q2158" s="262"/>
      <c r="R2158" s="262"/>
      <c r="S2158" s="207"/>
      <c r="T2158" s="263"/>
      <c r="U2158" s="26"/>
      <c r="V2158" s="26"/>
      <c r="W2158" s="26"/>
      <c r="X2158" s="26"/>
    </row>
    <row r="2159">
      <c r="A2159" s="28"/>
      <c r="B2159" s="28"/>
      <c r="C2159" s="28"/>
      <c r="D2159" s="96"/>
      <c r="E2159" s="105"/>
      <c r="F2159" s="105"/>
      <c r="G2159" s="206"/>
      <c r="H2159" s="206"/>
      <c r="I2159" s="206"/>
      <c r="J2159" s="206"/>
      <c r="K2159" s="206"/>
      <c r="L2159" s="206"/>
      <c r="M2159" s="206"/>
      <c r="N2159" s="206"/>
      <c r="O2159" s="206"/>
      <c r="P2159" s="206"/>
      <c r="Q2159" s="262"/>
      <c r="R2159" s="262"/>
      <c r="S2159" s="207"/>
      <c r="T2159" s="263"/>
      <c r="U2159" s="26"/>
      <c r="V2159" s="26"/>
      <c r="W2159" s="26"/>
      <c r="X2159" s="26"/>
    </row>
    <row r="2160">
      <c r="A2160" s="28"/>
      <c r="B2160" s="28"/>
      <c r="C2160" s="28"/>
      <c r="D2160" s="96"/>
      <c r="E2160" s="105"/>
      <c r="F2160" s="105"/>
      <c r="G2160" s="206"/>
      <c r="H2160" s="206"/>
      <c r="I2160" s="206"/>
      <c r="J2160" s="206"/>
      <c r="K2160" s="206"/>
      <c r="L2160" s="206"/>
      <c r="M2160" s="206"/>
      <c r="N2160" s="206"/>
      <c r="O2160" s="206"/>
      <c r="P2160" s="206"/>
      <c r="Q2160" s="262"/>
      <c r="R2160" s="262"/>
      <c r="S2160" s="207"/>
      <c r="T2160" s="263"/>
      <c r="U2160" s="26"/>
      <c r="V2160" s="26"/>
      <c r="W2160" s="26"/>
      <c r="X2160" s="26"/>
    </row>
    <row r="2161">
      <c r="A2161" s="28"/>
      <c r="B2161" s="28"/>
      <c r="C2161" s="28"/>
      <c r="D2161" s="96"/>
      <c r="E2161" s="105"/>
      <c r="F2161" s="105"/>
      <c r="G2161" s="206"/>
      <c r="H2161" s="206"/>
      <c r="I2161" s="206"/>
      <c r="J2161" s="206"/>
      <c r="K2161" s="206"/>
      <c r="L2161" s="206"/>
      <c r="M2161" s="206"/>
      <c r="N2161" s="206"/>
      <c r="O2161" s="206"/>
      <c r="P2161" s="206"/>
      <c r="Q2161" s="262"/>
      <c r="R2161" s="262"/>
      <c r="S2161" s="207"/>
      <c r="T2161" s="263"/>
      <c r="U2161" s="26"/>
      <c r="V2161" s="26"/>
      <c r="W2161" s="26"/>
      <c r="X2161" s="26"/>
    </row>
    <row r="2162">
      <c r="A2162" s="28"/>
      <c r="B2162" s="28"/>
      <c r="C2162" s="28"/>
      <c r="D2162" s="96"/>
      <c r="E2162" s="105"/>
      <c r="F2162" s="105"/>
      <c r="G2162" s="206"/>
      <c r="H2162" s="206"/>
      <c r="I2162" s="206"/>
      <c r="J2162" s="206"/>
      <c r="K2162" s="206"/>
      <c r="L2162" s="206"/>
      <c r="M2162" s="206"/>
      <c r="N2162" s="206"/>
      <c r="O2162" s="206"/>
      <c r="P2162" s="206"/>
      <c r="Q2162" s="262"/>
      <c r="R2162" s="262"/>
      <c r="S2162" s="207"/>
      <c r="T2162" s="263"/>
      <c r="U2162" s="26"/>
      <c r="V2162" s="26"/>
      <c r="W2162" s="26"/>
      <c r="X2162" s="26"/>
    </row>
    <row r="2163">
      <c r="A2163" s="28"/>
      <c r="B2163" s="28"/>
      <c r="C2163" s="28"/>
      <c r="D2163" s="96"/>
      <c r="E2163" s="105"/>
      <c r="F2163" s="105"/>
      <c r="G2163" s="206"/>
      <c r="H2163" s="206"/>
      <c r="I2163" s="206"/>
      <c r="J2163" s="206"/>
      <c r="K2163" s="206"/>
      <c r="L2163" s="206"/>
      <c r="M2163" s="206"/>
      <c r="N2163" s="206"/>
      <c r="O2163" s="206"/>
      <c r="P2163" s="206"/>
      <c r="Q2163" s="262"/>
      <c r="R2163" s="262"/>
      <c r="S2163" s="207"/>
      <c r="T2163" s="263"/>
      <c r="U2163" s="26"/>
      <c r="V2163" s="26"/>
      <c r="W2163" s="26"/>
      <c r="X2163" s="26"/>
    </row>
    <row r="2164">
      <c r="A2164" s="28"/>
      <c r="B2164" s="28"/>
      <c r="C2164" s="28"/>
      <c r="D2164" s="96"/>
      <c r="E2164" s="105"/>
      <c r="F2164" s="105"/>
      <c r="G2164" s="206"/>
      <c r="H2164" s="206"/>
      <c r="I2164" s="206"/>
      <c r="J2164" s="206"/>
      <c r="K2164" s="206"/>
      <c r="L2164" s="206"/>
      <c r="M2164" s="206"/>
      <c r="N2164" s="206"/>
      <c r="O2164" s="206"/>
      <c r="P2164" s="206"/>
      <c r="Q2164" s="262"/>
      <c r="R2164" s="262"/>
      <c r="S2164" s="207"/>
      <c r="T2164" s="263"/>
      <c r="U2164" s="26"/>
      <c r="V2164" s="26"/>
      <c r="W2164" s="26"/>
      <c r="X2164" s="26"/>
    </row>
    <row r="2165">
      <c r="A2165" s="28"/>
      <c r="B2165" s="28"/>
      <c r="C2165" s="28"/>
      <c r="D2165" s="96"/>
      <c r="E2165" s="105"/>
      <c r="F2165" s="105"/>
      <c r="G2165" s="206"/>
      <c r="H2165" s="206"/>
      <c r="I2165" s="206"/>
      <c r="J2165" s="206"/>
      <c r="K2165" s="206"/>
      <c r="L2165" s="206"/>
      <c r="M2165" s="206"/>
      <c r="N2165" s="206"/>
      <c r="O2165" s="206"/>
      <c r="P2165" s="206"/>
      <c r="Q2165" s="262"/>
      <c r="R2165" s="262"/>
      <c r="S2165" s="207"/>
      <c r="T2165" s="263"/>
      <c r="U2165" s="26"/>
      <c r="V2165" s="26"/>
      <c r="W2165" s="26"/>
      <c r="X2165" s="26"/>
    </row>
    <row r="2166">
      <c r="A2166" s="28"/>
      <c r="B2166" s="28"/>
      <c r="C2166" s="28"/>
      <c r="D2166" s="96"/>
      <c r="E2166" s="105"/>
      <c r="F2166" s="105"/>
      <c r="G2166" s="206"/>
      <c r="H2166" s="206"/>
      <c r="I2166" s="206"/>
      <c r="J2166" s="206"/>
      <c r="K2166" s="206"/>
      <c r="L2166" s="206"/>
      <c r="M2166" s="206"/>
      <c r="N2166" s="206"/>
      <c r="O2166" s="206"/>
      <c r="P2166" s="206"/>
      <c r="Q2166" s="262"/>
      <c r="R2166" s="262"/>
      <c r="S2166" s="207"/>
      <c r="T2166" s="263"/>
      <c r="U2166" s="26"/>
      <c r="V2166" s="26"/>
      <c r="W2166" s="26"/>
      <c r="X2166" s="26"/>
    </row>
    <row r="2167">
      <c r="A2167" s="28"/>
      <c r="B2167" s="28"/>
      <c r="C2167" s="28"/>
      <c r="D2167" s="96"/>
      <c r="E2167" s="105"/>
      <c r="F2167" s="105"/>
      <c r="G2167" s="206"/>
      <c r="H2167" s="206"/>
      <c r="I2167" s="206"/>
      <c r="J2167" s="206"/>
      <c r="K2167" s="206"/>
      <c r="L2167" s="206"/>
      <c r="M2167" s="206"/>
      <c r="N2167" s="206"/>
      <c r="O2167" s="206"/>
      <c r="P2167" s="206"/>
      <c r="Q2167" s="262"/>
      <c r="R2167" s="262"/>
      <c r="S2167" s="207"/>
      <c r="T2167" s="263"/>
      <c r="U2167" s="26"/>
      <c r="V2167" s="26"/>
      <c r="W2167" s="26"/>
      <c r="X2167" s="26"/>
    </row>
    <row r="2168">
      <c r="A2168" s="28"/>
      <c r="B2168" s="28"/>
      <c r="C2168" s="28"/>
      <c r="D2168" s="96"/>
      <c r="E2168" s="105"/>
      <c r="F2168" s="105"/>
      <c r="G2168" s="206"/>
      <c r="H2168" s="206"/>
      <c r="I2168" s="206"/>
      <c r="J2168" s="206"/>
      <c r="K2168" s="206"/>
      <c r="L2168" s="206"/>
      <c r="M2168" s="206"/>
      <c r="N2168" s="206"/>
      <c r="O2168" s="206"/>
      <c r="P2168" s="206"/>
      <c r="Q2168" s="262"/>
      <c r="R2168" s="262"/>
      <c r="S2168" s="207"/>
      <c r="T2168" s="263"/>
      <c r="U2168" s="26"/>
      <c r="V2168" s="26"/>
      <c r="W2168" s="26"/>
      <c r="X2168" s="26"/>
    </row>
    <row r="2169">
      <c r="A2169" s="28"/>
      <c r="B2169" s="28"/>
      <c r="C2169" s="28"/>
      <c r="D2169" s="96"/>
      <c r="E2169" s="105"/>
      <c r="F2169" s="105"/>
      <c r="G2169" s="206"/>
      <c r="H2169" s="206"/>
      <c r="I2169" s="206"/>
      <c r="J2169" s="206"/>
      <c r="K2169" s="206"/>
      <c r="L2169" s="206"/>
      <c r="M2169" s="206"/>
      <c r="N2169" s="206"/>
      <c r="O2169" s="206"/>
      <c r="P2169" s="206"/>
      <c r="Q2169" s="262"/>
      <c r="R2169" s="262"/>
      <c r="S2169" s="207"/>
      <c r="T2169" s="263"/>
      <c r="U2169" s="26"/>
      <c r="V2169" s="26"/>
      <c r="W2169" s="26"/>
      <c r="X2169" s="26"/>
    </row>
    <row r="2170">
      <c r="A2170" s="28"/>
      <c r="B2170" s="28"/>
      <c r="C2170" s="28"/>
      <c r="D2170" s="96"/>
      <c r="E2170" s="105"/>
      <c r="F2170" s="105"/>
      <c r="G2170" s="206"/>
      <c r="H2170" s="206"/>
      <c r="I2170" s="206"/>
      <c r="J2170" s="206"/>
      <c r="K2170" s="206"/>
      <c r="L2170" s="206"/>
      <c r="M2170" s="206"/>
      <c r="N2170" s="206"/>
      <c r="O2170" s="206"/>
      <c r="P2170" s="206"/>
      <c r="Q2170" s="262"/>
      <c r="R2170" s="262"/>
      <c r="S2170" s="207"/>
      <c r="T2170" s="263"/>
      <c r="U2170" s="26"/>
      <c r="V2170" s="26"/>
      <c r="W2170" s="26"/>
      <c r="X2170" s="26"/>
    </row>
    <row r="2171">
      <c r="A2171" s="28"/>
      <c r="B2171" s="28"/>
      <c r="C2171" s="28"/>
      <c r="D2171" s="96"/>
      <c r="E2171" s="105"/>
      <c r="F2171" s="105"/>
      <c r="G2171" s="206"/>
      <c r="H2171" s="206"/>
      <c r="I2171" s="206"/>
      <c r="J2171" s="206"/>
      <c r="K2171" s="206"/>
      <c r="L2171" s="206"/>
      <c r="M2171" s="206"/>
      <c r="N2171" s="206"/>
      <c r="O2171" s="206"/>
      <c r="P2171" s="206"/>
      <c r="Q2171" s="262"/>
      <c r="R2171" s="262"/>
      <c r="S2171" s="207"/>
      <c r="T2171" s="263"/>
      <c r="U2171" s="26"/>
      <c r="V2171" s="26"/>
      <c r="W2171" s="26"/>
      <c r="X2171" s="26"/>
    </row>
    <row r="2172">
      <c r="A2172" s="28"/>
      <c r="B2172" s="28"/>
      <c r="C2172" s="28"/>
      <c r="D2172" s="96"/>
      <c r="E2172" s="105"/>
      <c r="F2172" s="105"/>
      <c r="G2172" s="206"/>
      <c r="H2172" s="206"/>
      <c r="I2172" s="206"/>
      <c r="J2172" s="206"/>
      <c r="K2172" s="206"/>
      <c r="L2172" s="206"/>
      <c r="M2172" s="206"/>
      <c r="N2172" s="206"/>
      <c r="O2172" s="206"/>
      <c r="P2172" s="206"/>
      <c r="Q2172" s="262"/>
      <c r="R2172" s="262"/>
      <c r="S2172" s="207"/>
      <c r="T2172" s="263"/>
      <c r="U2172" s="26"/>
      <c r="V2172" s="26"/>
      <c r="W2172" s="26"/>
      <c r="X2172" s="26"/>
    </row>
    <row r="2173">
      <c r="A2173" s="28"/>
      <c r="B2173" s="28"/>
      <c r="C2173" s="28"/>
      <c r="D2173" s="96"/>
      <c r="E2173" s="105"/>
      <c r="F2173" s="105"/>
      <c r="G2173" s="206"/>
      <c r="H2173" s="206"/>
      <c r="I2173" s="206"/>
      <c r="J2173" s="206"/>
      <c r="K2173" s="206"/>
      <c r="L2173" s="206"/>
      <c r="M2173" s="206"/>
      <c r="N2173" s="206"/>
      <c r="O2173" s="206"/>
      <c r="P2173" s="206"/>
      <c r="Q2173" s="262"/>
      <c r="R2173" s="262"/>
      <c r="S2173" s="207"/>
      <c r="T2173" s="263"/>
      <c r="U2173" s="26"/>
      <c r="V2173" s="26"/>
      <c r="W2173" s="26"/>
      <c r="X2173" s="26"/>
    </row>
    <row r="2174">
      <c r="A2174" s="28"/>
      <c r="B2174" s="28"/>
      <c r="C2174" s="28"/>
      <c r="D2174" s="96"/>
      <c r="E2174" s="105"/>
      <c r="F2174" s="105"/>
      <c r="G2174" s="206"/>
      <c r="H2174" s="206"/>
      <c r="I2174" s="206"/>
      <c r="J2174" s="206"/>
      <c r="K2174" s="206"/>
      <c r="L2174" s="206"/>
      <c r="M2174" s="206"/>
      <c r="N2174" s="206"/>
      <c r="O2174" s="206"/>
      <c r="P2174" s="206"/>
      <c r="Q2174" s="262"/>
      <c r="R2174" s="262"/>
      <c r="S2174" s="207"/>
      <c r="T2174" s="263"/>
      <c r="U2174" s="26"/>
      <c r="V2174" s="26"/>
      <c r="W2174" s="26"/>
      <c r="X2174" s="26"/>
    </row>
    <row r="2175">
      <c r="A2175" s="28"/>
      <c r="B2175" s="28"/>
      <c r="C2175" s="28"/>
      <c r="D2175" s="96"/>
      <c r="E2175" s="105"/>
      <c r="F2175" s="105"/>
      <c r="G2175" s="206"/>
      <c r="H2175" s="206"/>
      <c r="I2175" s="206"/>
      <c r="J2175" s="206"/>
      <c r="K2175" s="206"/>
      <c r="L2175" s="206"/>
      <c r="M2175" s="206"/>
      <c r="N2175" s="206"/>
      <c r="O2175" s="206"/>
      <c r="P2175" s="206"/>
      <c r="Q2175" s="262"/>
      <c r="R2175" s="262"/>
      <c r="S2175" s="207"/>
      <c r="T2175" s="263"/>
      <c r="U2175" s="26"/>
      <c r="V2175" s="26"/>
      <c r="W2175" s="26"/>
      <c r="X2175" s="26"/>
    </row>
    <row r="2176">
      <c r="A2176" s="28"/>
      <c r="B2176" s="28"/>
      <c r="C2176" s="28"/>
      <c r="D2176" s="96"/>
      <c r="E2176" s="105"/>
      <c r="F2176" s="105"/>
      <c r="G2176" s="206"/>
      <c r="H2176" s="206"/>
      <c r="I2176" s="206"/>
      <c r="J2176" s="206"/>
      <c r="K2176" s="206"/>
      <c r="L2176" s="206"/>
      <c r="M2176" s="206"/>
      <c r="N2176" s="206"/>
      <c r="O2176" s="206"/>
      <c r="P2176" s="206"/>
      <c r="Q2176" s="262"/>
      <c r="R2176" s="262"/>
      <c r="S2176" s="207"/>
      <c r="T2176" s="263"/>
      <c r="U2176" s="26"/>
      <c r="V2176" s="26"/>
      <c r="W2176" s="26"/>
      <c r="X2176" s="26"/>
    </row>
    <row r="2177">
      <c r="A2177" s="28"/>
      <c r="B2177" s="28"/>
      <c r="C2177" s="28"/>
      <c r="D2177" s="96"/>
      <c r="E2177" s="105"/>
      <c r="F2177" s="105"/>
      <c r="G2177" s="206"/>
      <c r="H2177" s="206"/>
      <c r="I2177" s="206"/>
      <c r="J2177" s="206"/>
      <c r="K2177" s="206"/>
      <c r="L2177" s="206"/>
      <c r="M2177" s="206"/>
      <c r="N2177" s="206"/>
      <c r="O2177" s="206"/>
      <c r="P2177" s="206"/>
      <c r="Q2177" s="262"/>
      <c r="R2177" s="262"/>
      <c r="S2177" s="207"/>
      <c r="T2177" s="263"/>
      <c r="U2177" s="26"/>
      <c r="V2177" s="26"/>
      <c r="W2177" s="26"/>
      <c r="X2177" s="26"/>
    </row>
    <row r="2178">
      <c r="A2178" s="28"/>
      <c r="B2178" s="28"/>
      <c r="C2178" s="28"/>
      <c r="D2178" s="96"/>
      <c r="E2178" s="105"/>
      <c r="F2178" s="105"/>
      <c r="G2178" s="206"/>
      <c r="H2178" s="206"/>
      <c r="I2178" s="206"/>
      <c r="J2178" s="206"/>
      <c r="K2178" s="206"/>
      <c r="L2178" s="206"/>
      <c r="M2178" s="206"/>
      <c r="N2178" s="206"/>
      <c r="O2178" s="206"/>
      <c r="P2178" s="206"/>
      <c r="Q2178" s="262"/>
      <c r="R2178" s="262"/>
      <c r="S2178" s="207"/>
      <c r="T2178" s="263"/>
      <c r="U2178" s="26"/>
      <c r="V2178" s="26"/>
      <c r="W2178" s="26"/>
      <c r="X2178" s="26"/>
    </row>
    <row r="2179">
      <c r="A2179" s="28"/>
      <c r="B2179" s="28"/>
      <c r="C2179" s="28"/>
      <c r="D2179" s="96"/>
      <c r="E2179" s="105"/>
      <c r="F2179" s="105"/>
      <c r="G2179" s="206"/>
      <c r="H2179" s="206"/>
      <c r="I2179" s="206"/>
      <c r="J2179" s="206"/>
      <c r="K2179" s="206"/>
      <c r="L2179" s="206"/>
      <c r="M2179" s="206"/>
      <c r="N2179" s="206"/>
      <c r="O2179" s="206"/>
      <c r="P2179" s="206"/>
      <c r="Q2179" s="262"/>
      <c r="R2179" s="262"/>
      <c r="S2179" s="207"/>
      <c r="T2179" s="263"/>
      <c r="U2179" s="26"/>
      <c r="V2179" s="26"/>
      <c r="W2179" s="26"/>
      <c r="X2179" s="26"/>
    </row>
    <row r="2180">
      <c r="A2180" s="28"/>
      <c r="B2180" s="28"/>
      <c r="C2180" s="28"/>
      <c r="D2180" s="96"/>
      <c r="E2180" s="105"/>
      <c r="F2180" s="105"/>
      <c r="G2180" s="206"/>
      <c r="H2180" s="206"/>
      <c r="I2180" s="206"/>
      <c r="J2180" s="206"/>
      <c r="K2180" s="206"/>
      <c r="L2180" s="206"/>
      <c r="M2180" s="206"/>
      <c r="N2180" s="206"/>
      <c r="O2180" s="206"/>
      <c r="P2180" s="206"/>
      <c r="Q2180" s="262"/>
      <c r="R2180" s="262"/>
      <c r="S2180" s="207"/>
      <c r="T2180" s="263"/>
      <c r="U2180" s="26"/>
      <c r="V2180" s="26"/>
      <c r="W2180" s="26"/>
      <c r="X2180" s="26"/>
    </row>
    <row r="2181">
      <c r="A2181" s="28"/>
      <c r="B2181" s="28"/>
      <c r="C2181" s="28"/>
      <c r="D2181" s="96"/>
      <c r="E2181" s="105"/>
      <c r="F2181" s="105"/>
      <c r="G2181" s="206"/>
      <c r="H2181" s="206"/>
      <c r="I2181" s="206"/>
      <c r="J2181" s="206"/>
      <c r="K2181" s="206"/>
      <c r="L2181" s="206"/>
      <c r="M2181" s="206"/>
      <c r="N2181" s="206"/>
      <c r="O2181" s="206"/>
      <c r="P2181" s="206"/>
      <c r="Q2181" s="262"/>
      <c r="R2181" s="262"/>
      <c r="S2181" s="207"/>
      <c r="T2181" s="263"/>
      <c r="U2181" s="26"/>
      <c r="V2181" s="26"/>
      <c r="W2181" s="26"/>
      <c r="X2181" s="26"/>
    </row>
    <row r="2182">
      <c r="A2182" s="28"/>
      <c r="B2182" s="28"/>
      <c r="C2182" s="28"/>
      <c r="D2182" s="96"/>
      <c r="E2182" s="105"/>
      <c r="F2182" s="105"/>
      <c r="G2182" s="206"/>
      <c r="H2182" s="206"/>
      <c r="I2182" s="206"/>
      <c r="J2182" s="206"/>
      <c r="K2182" s="206"/>
      <c r="L2182" s="206"/>
      <c r="M2182" s="206"/>
      <c r="N2182" s="206"/>
      <c r="O2182" s="206"/>
      <c r="P2182" s="206"/>
      <c r="Q2182" s="262"/>
      <c r="R2182" s="262"/>
      <c r="S2182" s="207"/>
      <c r="T2182" s="263"/>
      <c r="U2182" s="26"/>
      <c r="V2182" s="26"/>
      <c r="W2182" s="26"/>
      <c r="X2182" s="26"/>
    </row>
    <row r="2183">
      <c r="A2183" s="28"/>
      <c r="B2183" s="28"/>
      <c r="C2183" s="28"/>
      <c r="D2183" s="96"/>
      <c r="E2183" s="105"/>
      <c r="F2183" s="105"/>
      <c r="G2183" s="206"/>
      <c r="H2183" s="206"/>
      <c r="I2183" s="206"/>
      <c r="J2183" s="206"/>
      <c r="K2183" s="206"/>
      <c r="L2183" s="206"/>
      <c r="M2183" s="206"/>
      <c r="N2183" s="206"/>
      <c r="O2183" s="206"/>
      <c r="P2183" s="206"/>
      <c r="Q2183" s="262"/>
      <c r="R2183" s="262"/>
      <c r="S2183" s="207"/>
      <c r="T2183" s="263"/>
      <c r="U2183" s="26"/>
      <c r="V2183" s="26"/>
      <c r="W2183" s="26"/>
      <c r="X2183" s="26"/>
    </row>
    <row r="2184">
      <c r="A2184" s="28"/>
      <c r="B2184" s="28"/>
      <c r="C2184" s="28"/>
      <c r="D2184" s="96"/>
      <c r="E2184" s="105"/>
      <c r="F2184" s="105"/>
      <c r="G2184" s="206"/>
      <c r="H2184" s="206"/>
      <c r="I2184" s="206"/>
      <c r="J2184" s="206"/>
      <c r="K2184" s="206"/>
      <c r="L2184" s="206"/>
      <c r="M2184" s="206"/>
      <c r="N2184" s="206"/>
      <c r="O2184" s="206"/>
      <c r="P2184" s="206"/>
      <c r="Q2184" s="262"/>
      <c r="R2184" s="262"/>
      <c r="S2184" s="207"/>
      <c r="T2184" s="263"/>
      <c r="U2184" s="26"/>
      <c r="V2184" s="26"/>
      <c r="W2184" s="26"/>
      <c r="X2184" s="26"/>
    </row>
    <row r="2185">
      <c r="A2185" s="28"/>
      <c r="B2185" s="28"/>
      <c r="C2185" s="28"/>
      <c r="D2185" s="96"/>
      <c r="E2185" s="105"/>
      <c r="F2185" s="105"/>
      <c r="G2185" s="206"/>
      <c r="H2185" s="206"/>
      <c r="I2185" s="206"/>
      <c r="J2185" s="206"/>
      <c r="K2185" s="206"/>
      <c r="L2185" s="206"/>
      <c r="M2185" s="206"/>
      <c r="N2185" s="206"/>
      <c r="O2185" s="206"/>
      <c r="P2185" s="206"/>
      <c r="Q2185" s="262"/>
      <c r="R2185" s="262"/>
      <c r="S2185" s="207"/>
      <c r="T2185" s="263"/>
      <c r="U2185" s="26"/>
      <c r="V2185" s="26"/>
      <c r="W2185" s="26"/>
      <c r="X2185" s="26"/>
    </row>
    <row r="2186">
      <c r="A2186" s="28"/>
      <c r="B2186" s="28"/>
      <c r="C2186" s="28"/>
      <c r="D2186" s="96"/>
      <c r="E2186" s="105"/>
      <c r="F2186" s="105"/>
      <c r="G2186" s="206"/>
      <c r="H2186" s="206"/>
      <c r="I2186" s="206"/>
      <c r="J2186" s="206"/>
      <c r="K2186" s="206"/>
      <c r="L2186" s="206"/>
      <c r="M2186" s="206"/>
      <c r="N2186" s="206"/>
      <c r="O2186" s="206"/>
      <c r="P2186" s="206"/>
      <c r="Q2186" s="262"/>
      <c r="R2186" s="262"/>
      <c r="S2186" s="207"/>
      <c r="T2186" s="263"/>
      <c r="U2186" s="26"/>
      <c r="V2186" s="26"/>
      <c r="W2186" s="26"/>
      <c r="X2186" s="26"/>
    </row>
    <row r="2187">
      <c r="A2187" s="28"/>
      <c r="B2187" s="28"/>
      <c r="C2187" s="28"/>
      <c r="D2187" s="96"/>
      <c r="E2187" s="105"/>
      <c r="F2187" s="105"/>
      <c r="G2187" s="206"/>
      <c r="H2187" s="206"/>
      <c r="I2187" s="206"/>
      <c r="J2187" s="206"/>
      <c r="K2187" s="206"/>
      <c r="L2187" s="206"/>
      <c r="M2187" s="206"/>
      <c r="N2187" s="206"/>
      <c r="O2187" s="206"/>
      <c r="P2187" s="206"/>
      <c r="Q2187" s="262"/>
      <c r="R2187" s="262"/>
      <c r="S2187" s="207"/>
      <c r="T2187" s="263"/>
      <c r="U2187" s="26"/>
      <c r="V2187" s="26"/>
      <c r="W2187" s="26"/>
      <c r="X2187" s="26"/>
    </row>
    <row r="2188">
      <c r="A2188" s="28"/>
      <c r="B2188" s="28"/>
      <c r="C2188" s="28"/>
      <c r="D2188" s="96"/>
      <c r="E2188" s="105"/>
      <c r="F2188" s="105"/>
      <c r="G2188" s="206"/>
      <c r="H2188" s="206"/>
      <c r="I2188" s="206"/>
      <c r="J2188" s="206"/>
      <c r="K2188" s="206"/>
      <c r="L2188" s="206"/>
      <c r="M2188" s="206"/>
      <c r="N2188" s="206"/>
      <c r="O2188" s="206"/>
      <c r="P2188" s="206"/>
      <c r="Q2188" s="262"/>
      <c r="R2188" s="262"/>
      <c r="S2188" s="207"/>
      <c r="T2188" s="263"/>
      <c r="U2188" s="26"/>
      <c r="V2188" s="26"/>
      <c r="W2188" s="26"/>
      <c r="X2188" s="26"/>
    </row>
    <row r="2189">
      <c r="A2189" s="28"/>
      <c r="B2189" s="28"/>
      <c r="C2189" s="28"/>
      <c r="D2189" s="96"/>
      <c r="E2189" s="105"/>
      <c r="F2189" s="105"/>
      <c r="G2189" s="206"/>
      <c r="H2189" s="206"/>
      <c r="I2189" s="206"/>
      <c r="J2189" s="206"/>
      <c r="K2189" s="206"/>
      <c r="L2189" s="206"/>
      <c r="M2189" s="206"/>
      <c r="N2189" s="206"/>
      <c r="O2189" s="206"/>
      <c r="P2189" s="206"/>
      <c r="Q2189" s="262"/>
      <c r="R2189" s="262"/>
      <c r="S2189" s="207"/>
      <c r="T2189" s="263"/>
      <c r="U2189" s="26"/>
      <c r="V2189" s="26"/>
      <c r="W2189" s="26"/>
      <c r="X2189" s="26"/>
    </row>
    <row r="2190">
      <c r="A2190" s="28"/>
      <c r="B2190" s="28"/>
      <c r="C2190" s="28"/>
      <c r="D2190" s="96"/>
      <c r="E2190" s="105"/>
      <c r="F2190" s="105"/>
      <c r="G2190" s="206"/>
      <c r="H2190" s="206"/>
      <c r="I2190" s="206"/>
      <c r="J2190" s="206"/>
      <c r="K2190" s="206"/>
      <c r="L2190" s="206"/>
      <c r="M2190" s="206"/>
      <c r="N2190" s="206"/>
      <c r="O2190" s="206"/>
      <c r="P2190" s="206"/>
      <c r="Q2190" s="262"/>
      <c r="R2190" s="262"/>
      <c r="S2190" s="207"/>
      <c r="T2190" s="263"/>
      <c r="U2190" s="26"/>
      <c r="V2190" s="26"/>
      <c r="W2190" s="26"/>
      <c r="X2190" s="26"/>
    </row>
    <row r="2191">
      <c r="A2191" s="28"/>
      <c r="B2191" s="28"/>
      <c r="C2191" s="28"/>
      <c r="D2191" s="96"/>
      <c r="E2191" s="105"/>
      <c r="F2191" s="105"/>
      <c r="G2191" s="206"/>
      <c r="H2191" s="206"/>
      <c r="I2191" s="206"/>
      <c r="J2191" s="206"/>
      <c r="K2191" s="206"/>
      <c r="L2191" s="206"/>
      <c r="M2191" s="206"/>
      <c r="N2191" s="206"/>
      <c r="O2191" s="206"/>
      <c r="P2191" s="206"/>
      <c r="Q2191" s="262"/>
      <c r="R2191" s="262"/>
      <c r="S2191" s="207"/>
      <c r="T2191" s="263"/>
      <c r="U2191" s="26"/>
      <c r="V2191" s="26"/>
      <c r="W2191" s="26"/>
      <c r="X2191" s="26"/>
    </row>
    <row r="2192">
      <c r="A2192" s="28"/>
      <c r="B2192" s="28"/>
      <c r="C2192" s="28"/>
      <c r="D2192" s="96"/>
      <c r="E2192" s="105"/>
      <c r="F2192" s="105"/>
      <c r="G2192" s="206"/>
      <c r="H2192" s="206"/>
      <c r="I2192" s="206"/>
      <c r="J2192" s="206"/>
      <c r="K2192" s="206"/>
      <c r="L2192" s="206"/>
      <c r="M2192" s="206"/>
      <c r="N2192" s="206"/>
      <c r="O2192" s="206"/>
      <c r="P2192" s="206"/>
      <c r="Q2192" s="262"/>
      <c r="R2192" s="262"/>
      <c r="S2192" s="207"/>
      <c r="T2192" s="263"/>
      <c r="U2192" s="26"/>
      <c r="V2192" s="26"/>
      <c r="W2192" s="26"/>
      <c r="X2192" s="26"/>
    </row>
    <row r="2193">
      <c r="A2193" s="28"/>
      <c r="B2193" s="28"/>
      <c r="C2193" s="28"/>
      <c r="D2193" s="96"/>
      <c r="E2193" s="105"/>
      <c r="F2193" s="105"/>
      <c r="G2193" s="206"/>
      <c r="H2193" s="206"/>
      <c r="I2193" s="206"/>
      <c r="J2193" s="206"/>
      <c r="K2193" s="206"/>
      <c r="L2193" s="206"/>
      <c r="M2193" s="206"/>
      <c r="N2193" s="206"/>
      <c r="O2193" s="206"/>
      <c r="P2193" s="206"/>
      <c r="Q2193" s="262"/>
      <c r="R2193" s="262"/>
      <c r="S2193" s="207"/>
      <c r="T2193" s="263"/>
      <c r="U2193" s="26"/>
      <c r="V2193" s="26"/>
      <c r="W2193" s="26"/>
      <c r="X2193" s="26"/>
    </row>
    <row r="2194">
      <c r="A2194" s="28"/>
      <c r="B2194" s="28"/>
      <c r="C2194" s="28"/>
      <c r="D2194" s="96"/>
      <c r="E2194" s="105"/>
      <c r="F2194" s="105"/>
      <c r="G2194" s="206"/>
      <c r="H2194" s="206"/>
      <c r="I2194" s="206"/>
      <c r="J2194" s="206"/>
      <c r="K2194" s="206"/>
      <c r="L2194" s="206"/>
      <c r="M2194" s="206"/>
      <c r="N2194" s="206"/>
      <c r="O2194" s="206"/>
      <c r="P2194" s="206"/>
      <c r="Q2194" s="262"/>
      <c r="R2194" s="262"/>
      <c r="S2194" s="207"/>
      <c r="T2194" s="263"/>
      <c r="U2194" s="26"/>
      <c r="V2194" s="26"/>
      <c r="W2194" s="26"/>
      <c r="X2194" s="26"/>
    </row>
    <row r="2195">
      <c r="A2195" s="28"/>
      <c r="B2195" s="28"/>
      <c r="C2195" s="28"/>
      <c r="D2195" s="96"/>
      <c r="E2195" s="105"/>
      <c r="F2195" s="105"/>
      <c r="G2195" s="206"/>
      <c r="H2195" s="206"/>
      <c r="I2195" s="206"/>
      <c r="J2195" s="206"/>
      <c r="K2195" s="206"/>
      <c r="L2195" s="206"/>
      <c r="M2195" s="206"/>
      <c r="N2195" s="206"/>
      <c r="O2195" s="206"/>
      <c r="P2195" s="206"/>
      <c r="Q2195" s="262"/>
      <c r="R2195" s="262"/>
      <c r="S2195" s="207"/>
      <c r="T2195" s="263"/>
      <c r="U2195" s="26"/>
      <c r="V2195" s="26"/>
      <c r="W2195" s="26"/>
      <c r="X2195" s="26"/>
    </row>
    <row r="2196">
      <c r="A2196" s="28"/>
      <c r="B2196" s="28"/>
      <c r="C2196" s="28"/>
      <c r="D2196" s="96"/>
      <c r="E2196" s="105"/>
      <c r="F2196" s="105"/>
      <c r="G2196" s="206"/>
      <c r="H2196" s="206"/>
      <c r="I2196" s="206"/>
      <c r="J2196" s="206"/>
      <c r="K2196" s="206"/>
      <c r="L2196" s="206"/>
      <c r="M2196" s="206"/>
      <c r="N2196" s="206"/>
      <c r="O2196" s="206"/>
      <c r="P2196" s="206"/>
      <c r="Q2196" s="262"/>
      <c r="R2196" s="262"/>
      <c r="S2196" s="207"/>
      <c r="T2196" s="263"/>
      <c r="U2196" s="26"/>
      <c r="V2196" s="26"/>
      <c r="W2196" s="26"/>
      <c r="X2196" s="26"/>
    </row>
    <row r="2197">
      <c r="A2197" s="28"/>
      <c r="B2197" s="28"/>
      <c r="C2197" s="28"/>
      <c r="D2197" s="96"/>
      <c r="E2197" s="105"/>
      <c r="F2197" s="105"/>
      <c r="G2197" s="206"/>
      <c r="H2197" s="206"/>
      <c r="I2197" s="206"/>
      <c r="J2197" s="206"/>
      <c r="K2197" s="206"/>
      <c r="L2197" s="206"/>
      <c r="M2197" s="206"/>
      <c r="N2197" s="206"/>
      <c r="O2197" s="206"/>
      <c r="P2197" s="206"/>
      <c r="Q2197" s="262"/>
      <c r="R2197" s="262"/>
      <c r="S2197" s="207"/>
      <c r="T2197" s="263"/>
      <c r="U2197" s="26"/>
      <c r="V2197" s="26"/>
      <c r="W2197" s="26"/>
      <c r="X2197" s="26"/>
    </row>
    <row r="2198">
      <c r="A2198" s="28"/>
      <c r="B2198" s="28"/>
      <c r="C2198" s="28"/>
      <c r="D2198" s="96"/>
      <c r="E2198" s="105"/>
      <c r="F2198" s="105"/>
      <c r="G2198" s="206"/>
      <c r="H2198" s="206"/>
      <c r="I2198" s="206"/>
      <c r="J2198" s="206"/>
      <c r="K2198" s="206"/>
      <c r="L2198" s="206"/>
      <c r="M2198" s="206"/>
      <c r="N2198" s="206"/>
      <c r="O2198" s="206"/>
      <c r="P2198" s="206"/>
      <c r="Q2198" s="262"/>
      <c r="R2198" s="262"/>
      <c r="S2198" s="207"/>
      <c r="T2198" s="263"/>
      <c r="U2198" s="26"/>
      <c r="V2198" s="26"/>
      <c r="W2198" s="26"/>
      <c r="X2198" s="26"/>
    </row>
    <row r="2199">
      <c r="A2199" s="28"/>
      <c r="B2199" s="28"/>
      <c r="C2199" s="28"/>
      <c r="D2199" s="96"/>
      <c r="E2199" s="105"/>
      <c r="F2199" s="105"/>
      <c r="G2199" s="206"/>
      <c r="H2199" s="206"/>
      <c r="I2199" s="206"/>
      <c r="J2199" s="206"/>
      <c r="K2199" s="206"/>
      <c r="L2199" s="206"/>
      <c r="M2199" s="206"/>
      <c r="N2199" s="206"/>
      <c r="O2199" s="206"/>
      <c r="P2199" s="206"/>
      <c r="Q2199" s="262"/>
      <c r="R2199" s="262"/>
      <c r="S2199" s="207"/>
      <c r="T2199" s="263"/>
      <c r="U2199" s="26"/>
      <c r="V2199" s="26"/>
      <c r="W2199" s="26"/>
      <c r="X2199" s="26"/>
    </row>
    <row r="2200">
      <c r="A2200" s="28"/>
      <c r="B2200" s="28"/>
      <c r="C2200" s="28"/>
      <c r="D2200" s="96"/>
      <c r="E2200" s="105"/>
      <c r="F2200" s="105"/>
      <c r="G2200" s="206"/>
      <c r="H2200" s="206"/>
      <c r="I2200" s="206"/>
      <c r="J2200" s="206"/>
      <c r="K2200" s="206"/>
      <c r="L2200" s="206"/>
      <c r="M2200" s="206"/>
      <c r="N2200" s="206"/>
      <c r="O2200" s="206"/>
      <c r="P2200" s="206"/>
      <c r="Q2200" s="262"/>
      <c r="R2200" s="262"/>
      <c r="S2200" s="207"/>
      <c r="T2200" s="263"/>
      <c r="U2200" s="26"/>
      <c r="V2200" s="26"/>
      <c r="W2200" s="26"/>
      <c r="X2200" s="26"/>
    </row>
    <row r="2201">
      <c r="A2201" s="28"/>
      <c r="B2201" s="28"/>
      <c r="C2201" s="28"/>
      <c r="D2201" s="96"/>
      <c r="E2201" s="105"/>
      <c r="F2201" s="105"/>
      <c r="G2201" s="206"/>
      <c r="H2201" s="206"/>
      <c r="I2201" s="206"/>
      <c r="J2201" s="206"/>
      <c r="K2201" s="206"/>
      <c r="L2201" s="206"/>
      <c r="M2201" s="206"/>
      <c r="N2201" s="206"/>
      <c r="O2201" s="206"/>
      <c r="P2201" s="206"/>
      <c r="Q2201" s="262"/>
      <c r="R2201" s="262"/>
      <c r="S2201" s="207"/>
      <c r="T2201" s="263"/>
      <c r="U2201" s="26"/>
      <c r="V2201" s="26"/>
      <c r="W2201" s="26"/>
      <c r="X2201" s="26"/>
    </row>
    <row r="2202">
      <c r="A2202" s="28"/>
      <c r="B2202" s="28"/>
      <c r="C2202" s="28"/>
      <c r="D2202" s="96"/>
      <c r="E2202" s="105"/>
      <c r="F2202" s="105"/>
      <c r="G2202" s="206"/>
      <c r="H2202" s="206"/>
      <c r="I2202" s="206"/>
      <c r="J2202" s="206"/>
      <c r="K2202" s="206"/>
      <c r="L2202" s="206"/>
      <c r="M2202" s="206"/>
      <c r="N2202" s="206"/>
      <c r="O2202" s="206"/>
      <c r="P2202" s="206"/>
      <c r="Q2202" s="262"/>
      <c r="R2202" s="262"/>
      <c r="S2202" s="207"/>
      <c r="T2202" s="263"/>
      <c r="U2202" s="26"/>
      <c r="V2202" s="26"/>
      <c r="W2202" s="26"/>
      <c r="X2202" s="26"/>
    </row>
    <row r="2203">
      <c r="A2203" s="28"/>
      <c r="B2203" s="28"/>
      <c r="C2203" s="28"/>
      <c r="D2203" s="96"/>
      <c r="E2203" s="105"/>
      <c r="F2203" s="105"/>
      <c r="G2203" s="206"/>
      <c r="H2203" s="206"/>
      <c r="I2203" s="206"/>
      <c r="J2203" s="206"/>
      <c r="K2203" s="206"/>
      <c r="L2203" s="206"/>
      <c r="M2203" s="206"/>
      <c r="N2203" s="206"/>
      <c r="O2203" s="206"/>
      <c r="P2203" s="206"/>
      <c r="Q2203" s="262"/>
      <c r="R2203" s="262"/>
      <c r="S2203" s="207"/>
      <c r="T2203" s="263"/>
      <c r="U2203" s="26"/>
      <c r="V2203" s="26"/>
      <c r="W2203" s="26"/>
      <c r="X2203" s="26"/>
    </row>
    <row r="2204">
      <c r="A2204" s="28"/>
      <c r="B2204" s="28"/>
      <c r="C2204" s="28"/>
      <c r="D2204" s="96"/>
      <c r="E2204" s="105"/>
      <c r="F2204" s="105"/>
      <c r="G2204" s="206"/>
      <c r="H2204" s="206"/>
      <c r="I2204" s="206"/>
      <c r="J2204" s="206"/>
      <c r="K2204" s="206"/>
      <c r="L2204" s="206"/>
      <c r="M2204" s="206"/>
      <c r="N2204" s="206"/>
      <c r="O2204" s="206"/>
      <c r="P2204" s="206"/>
      <c r="Q2204" s="262"/>
      <c r="R2204" s="262"/>
      <c r="S2204" s="207"/>
      <c r="T2204" s="263"/>
      <c r="U2204" s="26"/>
      <c r="V2204" s="26"/>
      <c r="W2204" s="26"/>
      <c r="X2204" s="26"/>
    </row>
    <row r="2205">
      <c r="A2205" s="28"/>
      <c r="B2205" s="28"/>
      <c r="C2205" s="28"/>
      <c r="D2205" s="96"/>
      <c r="E2205" s="105"/>
      <c r="F2205" s="105"/>
      <c r="G2205" s="206"/>
      <c r="H2205" s="206"/>
      <c r="I2205" s="206"/>
      <c r="J2205" s="206"/>
      <c r="K2205" s="206"/>
      <c r="L2205" s="206"/>
      <c r="M2205" s="206"/>
      <c r="N2205" s="206"/>
      <c r="O2205" s="206"/>
      <c r="P2205" s="206"/>
      <c r="Q2205" s="262"/>
      <c r="R2205" s="262"/>
      <c r="S2205" s="207"/>
      <c r="T2205" s="263"/>
      <c r="U2205" s="26"/>
      <c r="V2205" s="26"/>
      <c r="W2205" s="26"/>
      <c r="X2205" s="26"/>
    </row>
    <row r="2206">
      <c r="A2206" s="28"/>
      <c r="B2206" s="28"/>
      <c r="C2206" s="28"/>
      <c r="D2206" s="96"/>
      <c r="E2206" s="105"/>
      <c r="F2206" s="105"/>
      <c r="G2206" s="206"/>
      <c r="H2206" s="206"/>
      <c r="I2206" s="206"/>
      <c r="J2206" s="206"/>
      <c r="K2206" s="206"/>
      <c r="L2206" s="206"/>
      <c r="M2206" s="206"/>
      <c r="N2206" s="206"/>
      <c r="O2206" s="206"/>
      <c r="P2206" s="206"/>
      <c r="Q2206" s="262"/>
      <c r="R2206" s="262"/>
      <c r="S2206" s="207"/>
      <c r="T2206" s="263"/>
      <c r="U2206" s="26"/>
      <c r="V2206" s="26"/>
      <c r="W2206" s="26"/>
      <c r="X2206" s="26"/>
    </row>
    <row r="2207">
      <c r="A2207" s="28"/>
      <c r="B2207" s="28"/>
      <c r="C2207" s="28"/>
      <c r="D2207" s="96"/>
      <c r="E2207" s="105"/>
      <c r="F2207" s="105"/>
      <c r="G2207" s="206"/>
      <c r="H2207" s="206"/>
      <c r="I2207" s="206"/>
      <c r="J2207" s="206"/>
      <c r="K2207" s="206"/>
      <c r="L2207" s="206"/>
      <c r="M2207" s="206"/>
      <c r="N2207" s="206"/>
      <c r="O2207" s="206"/>
      <c r="P2207" s="206"/>
      <c r="Q2207" s="262"/>
      <c r="R2207" s="262"/>
      <c r="S2207" s="207"/>
      <c r="T2207" s="263"/>
      <c r="U2207" s="26"/>
      <c r="V2207" s="26"/>
      <c r="W2207" s="26"/>
      <c r="X2207" s="26"/>
    </row>
    <row r="2208">
      <c r="A2208" s="28"/>
      <c r="B2208" s="28"/>
      <c r="C2208" s="28"/>
      <c r="D2208" s="96"/>
      <c r="E2208" s="105"/>
      <c r="F2208" s="105"/>
      <c r="G2208" s="206"/>
      <c r="H2208" s="206"/>
      <c r="I2208" s="206"/>
      <c r="J2208" s="206"/>
      <c r="K2208" s="206"/>
      <c r="L2208" s="206"/>
      <c r="M2208" s="206"/>
      <c r="N2208" s="206"/>
      <c r="O2208" s="206"/>
      <c r="P2208" s="206"/>
      <c r="Q2208" s="262"/>
      <c r="R2208" s="262"/>
      <c r="S2208" s="207"/>
      <c r="T2208" s="263"/>
      <c r="U2208" s="26"/>
      <c r="V2208" s="26"/>
      <c r="W2208" s="26"/>
      <c r="X2208" s="26"/>
    </row>
    <row r="2209">
      <c r="A2209" s="28"/>
      <c r="B2209" s="28"/>
      <c r="C2209" s="28"/>
      <c r="D2209" s="96"/>
      <c r="E2209" s="105"/>
      <c r="F2209" s="105"/>
      <c r="G2209" s="206"/>
      <c r="H2209" s="206"/>
      <c r="I2209" s="206"/>
      <c r="J2209" s="206"/>
      <c r="K2209" s="206"/>
      <c r="L2209" s="206"/>
      <c r="M2209" s="206"/>
      <c r="N2209" s="206"/>
      <c r="O2209" s="206"/>
      <c r="P2209" s="206"/>
      <c r="Q2209" s="262"/>
      <c r="R2209" s="262"/>
      <c r="S2209" s="207"/>
      <c r="T2209" s="263"/>
      <c r="U2209" s="26"/>
      <c r="V2209" s="26"/>
      <c r="W2209" s="26"/>
      <c r="X2209" s="26"/>
    </row>
    <row r="2210">
      <c r="A2210" s="28"/>
      <c r="B2210" s="28"/>
      <c r="C2210" s="28"/>
      <c r="D2210" s="96"/>
      <c r="E2210" s="105"/>
      <c r="F2210" s="105"/>
      <c r="G2210" s="206"/>
      <c r="H2210" s="206"/>
      <c r="I2210" s="206"/>
      <c r="J2210" s="206"/>
      <c r="K2210" s="206"/>
      <c r="L2210" s="206"/>
      <c r="M2210" s="206"/>
      <c r="N2210" s="206"/>
      <c r="O2210" s="206"/>
      <c r="P2210" s="206"/>
      <c r="Q2210" s="262"/>
      <c r="R2210" s="262"/>
      <c r="S2210" s="207"/>
      <c r="T2210" s="263"/>
      <c r="U2210" s="26"/>
      <c r="V2210" s="26"/>
      <c r="W2210" s="26"/>
      <c r="X2210" s="26"/>
    </row>
    <row r="2211">
      <c r="A2211" s="28"/>
      <c r="B2211" s="28"/>
      <c r="C2211" s="28"/>
      <c r="D2211" s="96"/>
      <c r="E2211" s="105"/>
      <c r="F2211" s="105"/>
      <c r="G2211" s="206"/>
      <c r="H2211" s="206"/>
      <c r="I2211" s="206"/>
      <c r="J2211" s="206"/>
      <c r="K2211" s="206"/>
      <c r="L2211" s="206"/>
      <c r="M2211" s="206"/>
      <c r="N2211" s="206"/>
      <c r="O2211" s="206"/>
      <c r="P2211" s="206"/>
      <c r="Q2211" s="262"/>
      <c r="R2211" s="262"/>
      <c r="S2211" s="207"/>
      <c r="T2211" s="263"/>
      <c r="U2211" s="26"/>
      <c r="V2211" s="26"/>
      <c r="W2211" s="26"/>
      <c r="X2211" s="26"/>
    </row>
    <row r="2212">
      <c r="A2212" s="28"/>
      <c r="B2212" s="28"/>
      <c r="C2212" s="28"/>
      <c r="D2212" s="96"/>
      <c r="E2212" s="105"/>
      <c r="F2212" s="105"/>
      <c r="G2212" s="206"/>
      <c r="H2212" s="206"/>
      <c r="I2212" s="206"/>
      <c r="J2212" s="206"/>
      <c r="K2212" s="206"/>
      <c r="L2212" s="206"/>
      <c r="M2212" s="206"/>
      <c r="N2212" s="206"/>
      <c r="O2212" s="206"/>
      <c r="P2212" s="206"/>
      <c r="Q2212" s="262"/>
      <c r="R2212" s="262"/>
      <c r="S2212" s="207"/>
      <c r="T2212" s="263"/>
      <c r="U2212" s="26"/>
      <c r="V2212" s="26"/>
      <c r="W2212" s="26"/>
      <c r="X2212" s="26"/>
    </row>
    <row r="2213">
      <c r="A2213" s="28"/>
      <c r="B2213" s="28"/>
      <c r="C2213" s="28"/>
      <c r="D2213" s="96"/>
      <c r="E2213" s="105"/>
      <c r="F2213" s="105"/>
      <c r="G2213" s="206"/>
      <c r="H2213" s="206"/>
      <c r="I2213" s="206"/>
      <c r="J2213" s="206"/>
      <c r="K2213" s="206"/>
      <c r="L2213" s="206"/>
      <c r="M2213" s="206"/>
      <c r="N2213" s="206"/>
      <c r="O2213" s="206"/>
      <c r="P2213" s="206"/>
      <c r="Q2213" s="262"/>
      <c r="R2213" s="262"/>
      <c r="S2213" s="207"/>
      <c r="T2213" s="263"/>
      <c r="U2213" s="26"/>
      <c r="V2213" s="26"/>
      <c r="W2213" s="26"/>
      <c r="X2213" s="26"/>
    </row>
    <row r="2214">
      <c r="A2214" s="28"/>
      <c r="B2214" s="28"/>
      <c r="C2214" s="28"/>
      <c r="D2214" s="96"/>
      <c r="E2214" s="105"/>
      <c r="F2214" s="105"/>
      <c r="G2214" s="206"/>
      <c r="H2214" s="206"/>
      <c r="I2214" s="206"/>
      <c r="J2214" s="206"/>
      <c r="K2214" s="206"/>
      <c r="L2214" s="206"/>
      <c r="M2214" s="206"/>
      <c r="N2214" s="206"/>
      <c r="O2214" s="206"/>
      <c r="P2214" s="206"/>
      <c r="Q2214" s="262"/>
      <c r="R2214" s="262"/>
      <c r="S2214" s="207"/>
      <c r="T2214" s="263"/>
      <c r="U2214" s="26"/>
      <c r="V2214" s="26"/>
      <c r="W2214" s="26"/>
      <c r="X2214" s="26"/>
    </row>
    <row r="2215">
      <c r="A2215" s="28"/>
      <c r="B2215" s="28"/>
      <c r="C2215" s="28"/>
      <c r="D2215" s="96"/>
      <c r="E2215" s="105"/>
      <c r="F2215" s="105"/>
      <c r="G2215" s="206"/>
      <c r="H2215" s="206"/>
      <c r="I2215" s="206"/>
      <c r="J2215" s="206"/>
      <c r="K2215" s="206"/>
      <c r="L2215" s="206"/>
      <c r="M2215" s="206"/>
      <c r="N2215" s="206"/>
      <c r="O2215" s="206"/>
      <c r="P2215" s="206"/>
      <c r="Q2215" s="262"/>
      <c r="R2215" s="262"/>
      <c r="S2215" s="207"/>
      <c r="T2215" s="263"/>
      <c r="U2215" s="26"/>
      <c r="V2215" s="26"/>
      <c r="W2215" s="26"/>
      <c r="X2215" s="26"/>
    </row>
    <row r="2216">
      <c r="A2216" s="28"/>
      <c r="B2216" s="28"/>
      <c r="C2216" s="28"/>
      <c r="D2216" s="96"/>
      <c r="E2216" s="105"/>
      <c r="F2216" s="105"/>
      <c r="G2216" s="206"/>
      <c r="H2216" s="206"/>
      <c r="I2216" s="206"/>
      <c r="J2216" s="206"/>
      <c r="K2216" s="206"/>
      <c r="L2216" s="206"/>
      <c r="M2216" s="206"/>
      <c r="N2216" s="206"/>
      <c r="O2216" s="206"/>
      <c r="P2216" s="206"/>
      <c r="Q2216" s="262"/>
      <c r="R2216" s="262"/>
      <c r="S2216" s="207"/>
      <c r="T2216" s="263"/>
      <c r="U2216" s="26"/>
      <c r="V2216" s="26"/>
      <c r="W2216" s="26"/>
      <c r="X2216" s="26"/>
    </row>
    <row r="2217">
      <c r="A2217" s="28"/>
      <c r="B2217" s="28"/>
      <c r="C2217" s="28"/>
      <c r="D2217" s="96"/>
      <c r="E2217" s="105"/>
      <c r="F2217" s="105"/>
      <c r="G2217" s="206"/>
      <c r="H2217" s="206"/>
      <c r="I2217" s="206"/>
      <c r="J2217" s="206"/>
      <c r="K2217" s="206"/>
      <c r="L2217" s="206"/>
      <c r="M2217" s="206"/>
      <c r="N2217" s="206"/>
      <c r="O2217" s="206"/>
      <c r="P2217" s="206"/>
      <c r="Q2217" s="262"/>
      <c r="R2217" s="262"/>
      <c r="S2217" s="207"/>
      <c r="T2217" s="263"/>
      <c r="U2217" s="26"/>
      <c r="V2217" s="26"/>
      <c r="W2217" s="26"/>
      <c r="X2217" s="26"/>
    </row>
    <row r="2218">
      <c r="A2218" s="28"/>
      <c r="B2218" s="28"/>
      <c r="C2218" s="28"/>
      <c r="D2218" s="96"/>
      <c r="E2218" s="105"/>
      <c r="F2218" s="105"/>
      <c r="G2218" s="206"/>
      <c r="H2218" s="206"/>
      <c r="I2218" s="206"/>
      <c r="J2218" s="206"/>
      <c r="K2218" s="206"/>
      <c r="L2218" s="206"/>
      <c r="M2218" s="206"/>
      <c r="N2218" s="206"/>
      <c r="O2218" s="206"/>
      <c r="P2218" s="206"/>
      <c r="Q2218" s="262"/>
      <c r="R2218" s="262"/>
      <c r="S2218" s="207"/>
      <c r="T2218" s="263"/>
      <c r="U2218" s="26"/>
      <c r="V2218" s="26"/>
      <c r="W2218" s="26"/>
      <c r="X2218" s="26"/>
    </row>
    <row r="2219">
      <c r="A2219" s="28"/>
      <c r="B2219" s="28"/>
      <c r="C2219" s="28"/>
      <c r="D2219" s="96"/>
      <c r="E2219" s="105"/>
      <c r="F2219" s="105"/>
      <c r="G2219" s="206"/>
      <c r="H2219" s="206"/>
      <c r="I2219" s="206"/>
      <c r="J2219" s="206"/>
      <c r="K2219" s="206"/>
      <c r="L2219" s="206"/>
      <c r="M2219" s="206"/>
      <c r="N2219" s="206"/>
      <c r="O2219" s="206"/>
      <c r="P2219" s="206"/>
      <c r="Q2219" s="262"/>
      <c r="R2219" s="262"/>
      <c r="S2219" s="207"/>
      <c r="T2219" s="263"/>
      <c r="U2219" s="26"/>
      <c r="V2219" s="26"/>
      <c r="W2219" s="26"/>
      <c r="X2219" s="26"/>
    </row>
    <row r="2220">
      <c r="A2220" s="28"/>
      <c r="B2220" s="28"/>
      <c r="C2220" s="28"/>
      <c r="D2220" s="96"/>
      <c r="E2220" s="105"/>
      <c r="F2220" s="105"/>
      <c r="G2220" s="206"/>
      <c r="H2220" s="206"/>
      <c r="I2220" s="206"/>
      <c r="J2220" s="206"/>
      <c r="K2220" s="206"/>
      <c r="L2220" s="206"/>
      <c r="M2220" s="206"/>
      <c r="N2220" s="206"/>
      <c r="O2220" s="206"/>
      <c r="P2220" s="206"/>
      <c r="Q2220" s="262"/>
      <c r="R2220" s="262"/>
      <c r="S2220" s="207"/>
      <c r="T2220" s="263"/>
      <c r="U2220" s="26"/>
      <c r="V2220" s="26"/>
      <c r="W2220" s="26"/>
      <c r="X2220" s="26"/>
    </row>
    <row r="2221">
      <c r="A2221" s="28"/>
      <c r="B2221" s="28"/>
      <c r="C2221" s="28"/>
      <c r="D2221" s="96"/>
      <c r="E2221" s="105"/>
      <c r="F2221" s="105"/>
      <c r="G2221" s="206"/>
      <c r="H2221" s="206"/>
      <c r="I2221" s="206"/>
      <c r="J2221" s="206"/>
      <c r="K2221" s="206"/>
      <c r="L2221" s="206"/>
      <c r="M2221" s="206"/>
      <c r="N2221" s="206"/>
      <c r="O2221" s="206"/>
      <c r="P2221" s="206"/>
      <c r="Q2221" s="262"/>
      <c r="R2221" s="262"/>
      <c r="S2221" s="207"/>
      <c r="T2221" s="263"/>
      <c r="U2221" s="26"/>
      <c r="V2221" s="26"/>
      <c r="W2221" s="26"/>
      <c r="X2221" s="26"/>
    </row>
    <row r="2222">
      <c r="A2222" s="28"/>
      <c r="B2222" s="28"/>
      <c r="C2222" s="28"/>
      <c r="D2222" s="96"/>
      <c r="E2222" s="105"/>
      <c r="F2222" s="105"/>
      <c r="G2222" s="206"/>
      <c r="H2222" s="206"/>
      <c r="I2222" s="206"/>
      <c r="J2222" s="206"/>
      <c r="K2222" s="206"/>
      <c r="L2222" s="206"/>
      <c r="M2222" s="206"/>
      <c r="N2222" s="206"/>
      <c r="O2222" s="206"/>
      <c r="P2222" s="206"/>
      <c r="Q2222" s="262"/>
      <c r="R2222" s="262"/>
      <c r="S2222" s="207"/>
      <c r="T2222" s="263"/>
      <c r="U2222" s="26"/>
      <c r="V2222" s="26"/>
      <c r="W2222" s="26"/>
      <c r="X2222" s="26"/>
    </row>
    <row r="2223">
      <c r="A2223" s="28"/>
      <c r="B2223" s="28"/>
      <c r="C2223" s="28"/>
      <c r="D2223" s="96"/>
      <c r="E2223" s="105"/>
      <c r="F2223" s="105"/>
      <c r="G2223" s="206"/>
      <c r="H2223" s="206"/>
      <c r="I2223" s="206"/>
      <c r="J2223" s="206"/>
      <c r="K2223" s="206"/>
      <c r="L2223" s="206"/>
      <c r="M2223" s="206"/>
      <c r="N2223" s="206"/>
      <c r="O2223" s="206"/>
      <c r="P2223" s="206"/>
      <c r="Q2223" s="262"/>
      <c r="R2223" s="262"/>
      <c r="S2223" s="207"/>
      <c r="T2223" s="263"/>
      <c r="U2223" s="26"/>
      <c r="V2223" s="26"/>
      <c r="W2223" s="26"/>
      <c r="X2223" s="26"/>
    </row>
    <row r="2224">
      <c r="A2224" s="28"/>
      <c r="B2224" s="28"/>
      <c r="C2224" s="28"/>
      <c r="D2224" s="96"/>
      <c r="E2224" s="105"/>
      <c r="F2224" s="105"/>
      <c r="G2224" s="206"/>
      <c r="H2224" s="206"/>
      <c r="I2224" s="206"/>
      <c r="J2224" s="206"/>
      <c r="K2224" s="206"/>
      <c r="L2224" s="206"/>
      <c r="M2224" s="206"/>
      <c r="N2224" s="206"/>
      <c r="O2224" s="206"/>
      <c r="P2224" s="206"/>
      <c r="Q2224" s="262"/>
      <c r="R2224" s="262"/>
      <c r="S2224" s="207"/>
      <c r="T2224" s="263"/>
      <c r="U2224" s="26"/>
      <c r="V2224" s="26"/>
      <c r="W2224" s="26"/>
      <c r="X2224" s="26"/>
    </row>
    <row r="2225">
      <c r="A2225" s="28"/>
      <c r="B2225" s="28"/>
      <c r="C2225" s="28"/>
      <c r="D2225" s="96"/>
      <c r="E2225" s="105"/>
      <c r="F2225" s="105"/>
      <c r="G2225" s="206"/>
      <c r="H2225" s="206"/>
      <c r="I2225" s="206"/>
      <c r="J2225" s="206"/>
      <c r="K2225" s="206"/>
      <c r="L2225" s="206"/>
      <c r="M2225" s="206"/>
      <c r="N2225" s="206"/>
      <c r="O2225" s="206"/>
      <c r="P2225" s="206"/>
      <c r="Q2225" s="262"/>
      <c r="R2225" s="262"/>
      <c r="S2225" s="207"/>
      <c r="T2225" s="263"/>
      <c r="U2225" s="26"/>
      <c r="V2225" s="26"/>
      <c r="W2225" s="26"/>
      <c r="X2225" s="26"/>
    </row>
    <row r="2226">
      <c r="A2226" s="28"/>
      <c r="B2226" s="28"/>
      <c r="C2226" s="28"/>
      <c r="D2226" s="96"/>
      <c r="E2226" s="105"/>
      <c r="F2226" s="105"/>
      <c r="G2226" s="206"/>
      <c r="H2226" s="206"/>
      <c r="I2226" s="206"/>
      <c r="J2226" s="206"/>
      <c r="K2226" s="206"/>
      <c r="L2226" s="206"/>
      <c r="M2226" s="206"/>
      <c r="N2226" s="206"/>
      <c r="O2226" s="206"/>
      <c r="P2226" s="206"/>
      <c r="Q2226" s="262"/>
      <c r="R2226" s="262"/>
      <c r="S2226" s="207"/>
      <c r="T2226" s="263"/>
      <c r="U2226" s="26"/>
      <c r="V2226" s="26"/>
      <c r="W2226" s="26"/>
      <c r="X2226" s="26"/>
    </row>
    <row r="2227">
      <c r="A2227" s="28"/>
      <c r="B2227" s="28"/>
      <c r="C2227" s="28"/>
      <c r="D2227" s="96"/>
      <c r="E2227" s="105"/>
      <c r="F2227" s="105"/>
      <c r="G2227" s="206"/>
      <c r="H2227" s="206"/>
      <c r="I2227" s="206"/>
      <c r="J2227" s="206"/>
      <c r="K2227" s="206"/>
      <c r="L2227" s="206"/>
      <c r="M2227" s="206"/>
      <c r="N2227" s="206"/>
      <c r="O2227" s="206"/>
      <c r="P2227" s="206"/>
      <c r="Q2227" s="262"/>
      <c r="R2227" s="262"/>
      <c r="S2227" s="207"/>
      <c r="T2227" s="263"/>
      <c r="U2227" s="26"/>
      <c r="V2227" s="26"/>
      <c r="W2227" s="26"/>
      <c r="X2227" s="26"/>
    </row>
    <row r="2228">
      <c r="A2228" s="28"/>
      <c r="B2228" s="28"/>
      <c r="C2228" s="28"/>
      <c r="D2228" s="96"/>
      <c r="E2228" s="105"/>
      <c r="F2228" s="105"/>
      <c r="G2228" s="206"/>
      <c r="H2228" s="206"/>
      <c r="I2228" s="206"/>
      <c r="J2228" s="206"/>
      <c r="K2228" s="206"/>
      <c r="L2228" s="206"/>
      <c r="M2228" s="206"/>
      <c r="N2228" s="206"/>
      <c r="O2228" s="206"/>
      <c r="P2228" s="206"/>
      <c r="Q2228" s="262"/>
      <c r="R2228" s="262"/>
      <c r="S2228" s="207"/>
      <c r="T2228" s="263"/>
      <c r="U2228" s="26"/>
      <c r="V2228" s="26"/>
      <c r="W2228" s="26"/>
      <c r="X2228" s="26"/>
    </row>
    <row r="2229">
      <c r="A2229" s="28"/>
      <c r="B2229" s="28"/>
      <c r="C2229" s="28"/>
      <c r="D2229" s="96"/>
      <c r="E2229" s="105"/>
      <c r="F2229" s="105"/>
      <c r="G2229" s="206"/>
      <c r="H2229" s="206"/>
      <c r="I2229" s="206"/>
      <c r="J2229" s="206"/>
      <c r="K2229" s="206"/>
      <c r="L2229" s="206"/>
      <c r="M2229" s="206"/>
      <c r="N2229" s="206"/>
      <c r="O2229" s="206"/>
      <c r="P2229" s="206"/>
      <c r="Q2229" s="262"/>
      <c r="R2229" s="262"/>
      <c r="S2229" s="207"/>
      <c r="T2229" s="263"/>
      <c r="U2229" s="26"/>
      <c r="V2229" s="26"/>
      <c r="W2229" s="26"/>
      <c r="X2229" s="26"/>
    </row>
    <row r="2230">
      <c r="A2230" s="28"/>
      <c r="B2230" s="28"/>
      <c r="C2230" s="28"/>
      <c r="D2230" s="96"/>
      <c r="E2230" s="105"/>
      <c r="F2230" s="105"/>
      <c r="G2230" s="206"/>
      <c r="H2230" s="206"/>
      <c r="I2230" s="206"/>
      <c r="J2230" s="206"/>
      <c r="K2230" s="206"/>
      <c r="L2230" s="206"/>
      <c r="M2230" s="206"/>
      <c r="N2230" s="206"/>
      <c r="O2230" s="206"/>
      <c r="P2230" s="206"/>
      <c r="Q2230" s="262"/>
      <c r="R2230" s="262"/>
      <c r="S2230" s="207"/>
      <c r="T2230" s="263"/>
      <c r="U2230" s="26"/>
      <c r="V2230" s="26"/>
      <c r="W2230" s="26"/>
      <c r="X2230" s="26"/>
    </row>
    <row r="2231">
      <c r="A2231" s="28"/>
      <c r="B2231" s="28"/>
      <c r="C2231" s="28"/>
      <c r="D2231" s="96"/>
      <c r="E2231" s="105"/>
      <c r="F2231" s="105"/>
      <c r="G2231" s="206"/>
      <c r="H2231" s="206"/>
      <c r="I2231" s="206"/>
      <c r="J2231" s="206"/>
      <c r="K2231" s="206"/>
      <c r="L2231" s="206"/>
      <c r="M2231" s="206"/>
      <c r="N2231" s="206"/>
      <c r="O2231" s="206"/>
      <c r="P2231" s="206"/>
      <c r="Q2231" s="262"/>
      <c r="R2231" s="262"/>
      <c r="S2231" s="207"/>
      <c r="T2231" s="263"/>
      <c r="U2231" s="26"/>
      <c r="V2231" s="26"/>
      <c r="W2231" s="26"/>
      <c r="X2231" s="26"/>
    </row>
    <row r="2232">
      <c r="A2232" s="28"/>
      <c r="B2232" s="28"/>
      <c r="C2232" s="28"/>
      <c r="D2232" s="96"/>
      <c r="E2232" s="105"/>
      <c r="F2232" s="105"/>
      <c r="G2232" s="206"/>
      <c r="H2232" s="206"/>
      <c r="I2232" s="206"/>
      <c r="J2232" s="206"/>
      <c r="K2232" s="206"/>
      <c r="L2232" s="206"/>
      <c r="M2232" s="206"/>
      <c r="N2232" s="206"/>
      <c r="O2232" s="206"/>
      <c r="P2232" s="206"/>
      <c r="Q2232" s="262"/>
      <c r="R2232" s="262"/>
      <c r="S2232" s="207"/>
      <c r="T2232" s="263"/>
      <c r="U2232" s="26"/>
      <c r="V2232" s="26"/>
      <c r="W2232" s="26"/>
      <c r="X2232" s="26"/>
    </row>
    <row r="2233">
      <c r="A2233" s="28"/>
      <c r="B2233" s="28"/>
      <c r="C2233" s="28"/>
      <c r="D2233" s="96"/>
      <c r="E2233" s="105"/>
      <c r="F2233" s="105"/>
      <c r="G2233" s="206"/>
      <c r="H2233" s="206"/>
      <c r="I2233" s="206"/>
      <c r="J2233" s="206"/>
      <c r="K2233" s="206"/>
      <c r="L2233" s="206"/>
      <c r="M2233" s="206"/>
      <c r="N2233" s="206"/>
      <c r="O2233" s="206"/>
      <c r="P2233" s="206"/>
      <c r="Q2233" s="262"/>
      <c r="R2233" s="262"/>
      <c r="S2233" s="207"/>
      <c r="T2233" s="263"/>
      <c r="U2233" s="26"/>
      <c r="V2233" s="26"/>
      <c r="W2233" s="26"/>
      <c r="X2233" s="26"/>
    </row>
    <row r="2234">
      <c r="A2234" s="28"/>
      <c r="B2234" s="28"/>
      <c r="C2234" s="28"/>
      <c r="D2234" s="96"/>
      <c r="E2234" s="105"/>
      <c r="F2234" s="105"/>
      <c r="G2234" s="206"/>
      <c r="H2234" s="206"/>
      <c r="I2234" s="206"/>
      <c r="J2234" s="206"/>
      <c r="K2234" s="206"/>
      <c r="L2234" s="206"/>
      <c r="M2234" s="206"/>
      <c r="N2234" s="206"/>
      <c r="O2234" s="206"/>
      <c r="P2234" s="206"/>
      <c r="Q2234" s="262"/>
      <c r="R2234" s="262"/>
      <c r="S2234" s="207"/>
      <c r="T2234" s="263"/>
      <c r="U2234" s="26"/>
      <c r="V2234" s="26"/>
      <c r="W2234" s="26"/>
      <c r="X2234" s="26"/>
    </row>
    <row r="2235">
      <c r="A2235" s="28"/>
      <c r="B2235" s="28"/>
      <c r="C2235" s="28"/>
      <c r="D2235" s="96"/>
      <c r="E2235" s="105"/>
      <c r="F2235" s="105"/>
      <c r="G2235" s="206"/>
      <c r="H2235" s="206"/>
      <c r="I2235" s="206"/>
      <c r="J2235" s="206"/>
      <c r="K2235" s="206"/>
      <c r="L2235" s="206"/>
      <c r="M2235" s="206"/>
      <c r="N2235" s="206"/>
      <c r="O2235" s="206"/>
      <c r="P2235" s="206"/>
      <c r="Q2235" s="262"/>
      <c r="R2235" s="262"/>
      <c r="S2235" s="207"/>
      <c r="T2235" s="263"/>
      <c r="U2235" s="26"/>
      <c r="V2235" s="26"/>
      <c r="W2235" s="26"/>
      <c r="X2235" s="26"/>
    </row>
    <row r="2236">
      <c r="A2236" s="28"/>
      <c r="B2236" s="28"/>
      <c r="C2236" s="28"/>
      <c r="D2236" s="96"/>
      <c r="E2236" s="105"/>
      <c r="F2236" s="105"/>
      <c r="G2236" s="206"/>
      <c r="H2236" s="206"/>
      <c r="I2236" s="206"/>
      <c r="J2236" s="206"/>
      <c r="K2236" s="206"/>
      <c r="L2236" s="206"/>
      <c r="M2236" s="206"/>
      <c r="N2236" s="206"/>
      <c r="O2236" s="206"/>
      <c r="P2236" s="206"/>
      <c r="Q2236" s="262"/>
      <c r="R2236" s="262"/>
      <c r="S2236" s="207"/>
      <c r="T2236" s="263"/>
      <c r="U2236" s="26"/>
      <c r="V2236" s="26"/>
      <c r="W2236" s="26"/>
      <c r="X2236" s="26"/>
    </row>
    <row r="2237">
      <c r="A2237" s="28"/>
      <c r="B2237" s="28"/>
      <c r="C2237" s="28"/>
      <c r="D2237" s="96"/>
      <c r="E2237" s="105"/>
      <c r="F2237" s="105"/>
      <c r="G2237" s="206"/>
      <c r="H2237" s="206"/>
      <c r="I2237" s="206"/>
      <c r="J2237" s="206"/>
      <c r="K2237" s="206"/>
      <c r="L2237" s="206"/>
      <c r="M2237" s="206"/>
      <c r="N2237" s="206"/>
      <c r="O2237" s="206"/>
      <c r="P2237" s="206"/>
      <c r="Q2237" s="262"/>
      <c r="R2237" s="262"/>
      <c r="S2237" s="207"/>
      <c r="T2237" s="263"/>
      <c r="U2237" s="26"/>
      <c r="V2237" s="26"/>
      <c r="W2237" s="26"/>
      <c r="X2237" s="26"/>
    </row>
    <row r="2238">
      <c r="A2238" s="28"/>
      <c r="B2238" s="28"/>
      <c r="C2238" s="28"/>
      <c r="D2238" s="96"/>
      <c r="E2238" s="105"/>
      <c r="F2238" s="105"/>
      <c r="G2238" s="206"/>
      <c r="H2238" s="206"/>
      <c r="I2238" s="206"/>
      <c r="J2238" s="206"/>
      <c r="K2238" s="206"/>
      <c r="L2238" s="206"/>
      <c r="M2238" s="206"/>
      <c r="N2238" s="206"/>
      <c r="O2238" s="206"/>
      <c r="P2238" s="206"/>
      <c r="Q2238" s="262"/>
      <c r="R2238" s="262"/>
      <c r="S2238" s="207"/>
      <c r="T2238" s="263"/>
      <c r="U2238" s="26"/>
      <c r="V2238" s="26"/>
      <c r="W2238" s="26"/>
      <c r="X2238" s="26"/>
    </row>
    <row r="2239">
      <c r="A2239" s="28"/>
      <c r="B2239" s="28"/>
      <c r="C2239" s="28"/>
      <c r="D2239" s="96"/>
      <c r="E2239" s="105"/>
      <c r="F2239" s="105"/>
      <c r="G2239" s="206"/>
      <c r="H2239" s="206"/>
      <c r="I2239" s="206"/>
      <c r="J2239" s="206"/>
      <c r="K2239" s="206"/>
      <c r="L2239" s="206"/>
      <c r="M2239" s="206"/>
      <c r="N2239" s="206"/>
      <c r="O2239" s="206"/>
      <c r="P2239" s="206"/>
      <c r="Q2239" s="262"/>
      <c r="R2239" s="262"/>
      <c r="S2239" s="207"/>
      <c r="T2239" s="263"/>
      <c r="U2239" s="26"/>
      <c r="V2239" s="26"/>
      <c r="W2239" s="26"/>
      <c r="X2239" s="26"/>
    </row>
    <row r="2240">
      <c r="A2240" s="28"/>
      <c r="B2240" s="28"/>
      <c r="C2240" s="28"/>
      <c r="D2240" s="96"/>
      <c r="E2240" s="105"/>
      <c r="F2240" s="105"/>
      <c r="G2240" s="206"/>
      <c r="H2240" s="206"/>
      <c r="I2240" s="206"/>
      <c r="J2240" s="206"/>
      <c r="K2240" s="206"/>
      <c r="L2240" s="206"/>
      <c r="M2240" s="206"/>
      <c r="N2240" s="206"/>
      <c r="O2240" s="206"/>
      <c r="P2240" s="206"/>
      <c r="Q2240" s="262"/>
      <c r="R2240" s="262"/>
      <c r="S2240" s="207"/>
      <c r="T2240" s="263"/>
      <c r="U2240" s="26"/>
      <c r="V2240" s="26"/>
      <c r="W2240" s="26"/>
      <c r="X2240" s="26"/>
    </row>
    <row r="2241">
      <c r="A2241" s="28"/>
      <c r="B2241" s="28"/>
      <c r="C2241" s="28"/>
      <c r="D2241" s="96"/>
      <c r="E2241" s="105"/>
      <c r="F2241" s="105"/>
      <c r="G2241" s="206"/>
      <c r="H2241" s="206"/>
      <c r="I2241" s="206"/>
      <c r="J2241" s="206"/>
      <c r="K2241" s="206"/>
      <c r="L2241" s="206"/>
      <c r="M2241" s="206"/>
      <c r="N2241" s="206"/>
      <c r="O2241" s="206"/>
      <c r="P2241" s="206"/>
      <c r="Q2241" s="262"/>
      <c r="R2241" s="262"/>
      <c r="S2241" s="207"/>
      <c r="T2241" s="263"/>
      <c r="U2241" s="26"/>
      <c r="V2241" s="26"/>
      <c r="W2241" s="26"/>
      <c r="X2241" s="26"/>
    </row>
    <row r="2242">
      <c r="A2242" s="28"/>
      <c r="B2242" s="28"/>
      <c r="C2242" s="28"/>
      <c r="D2242" s="96"/>
      <c r="E2242" s="105"/>
      <c r="F2242" s="105"/>
      <c r="G2242" s="206"/>
      <c r="H2242" s="206"/>
      <c r="I2242" s="206"/>
      <c r="J2242" s="206"/>
      <c r="K2242" s="206"/>
      <c r="L2242" s="206"/>
      <c r="M2242" s="206"/>
      <c r="N2242" s="206"/>
      <c r="O2242" s="206"/>
      <c r="P2242" s="206"/>
      <c r="Q2242" s="262"/>
      <c r="R2242" s="262"/>
      <c r="S2242" s="207"/>
      <c r="T2242" s="263"/>
      <c r="U2242" s="26"/>
      <c r="V2242" s="26"/>
      <c r="W2242" s="26"/>
      <c r="X2242" s="26"/>
    </row>
    <row r="2243">
      <c r="A2243" s="28"/>
      <c r="B2243" s="28"/>
      <c r="C2243" s="28"/>
      <c r="D2243" s="96"/>
      <c r="E2243" s="105"/>
      <c r="F2243" s="105"/>
      <c r="G2243" s="206"/>
      <c r="H2243" s="206"/>
      <c r="I2243" s="206"/>
      <c r="J2243" s="206"/>
      <c r="K2243" s="206"/>
      <c r="L2243" s="206"/>
      <c r="M2243" s="206"/>
      <c r="N2243" s="206"/>
      <c r="O2243" s="206"/>
      <c r="P2243" s="206"/>
      <c r="Q2243" s="262"/>
      <c r="R2243" s="262"/>
      <c r="S2243" s="207"/>
      <c r="T2243" s="263"/>
      <c r="U2243" s="26"/>
      <c r="V2243" s="26"/>
      <c r="W2243" s="26"/>
      <c r="X2243" s="26"/>
    </row>
    <row r="2244">
      <c r="A2244" s="28"/>
      <c r="B2244" s="28"/>
      <c r="C2244" s="28"/>
      <c r="D2244" s="96"/>
      <c r="E2244" s="105"/>
      <c r="F2244" s="105"/>
      <c r="G2244" s="206"/>
      <c r="H2244" s="206"/>
      <c r="I2244" s="206"/>
      <c r="J2244" s="206"/>
      <c r="K2244" s="206"/>
      <c r="L2244" s="206"/>
      <c r="M2244" s="206"/>
      <c r="N2244" s="206"/>
      <c r="O2244" s="206"/>
      <c r="P2244" s="206"/>
      <c r="Q2244" s="262"/>
      <c r="R2244" s="262"/>
      <c r="S2244" s="207"/>
      <c r="T2244" s="263"/>
      <c r="U2244" s="26"/>
      <c r="V2244" s="26"/>
      <c r="W2244" s="26"/>
      <c r="X2244" s="26"/>
    </row>
    <row r="2245">
      <c r="A2245" s="28"/>
      <c r="B2245" s="28"/>
      <c r="C2245" s="28"/>
      <c r="D2245" s="96"/>
      <c r="E2245" s="105"/>
      <c r="F2245" s="105"/>
      <c r="G2245" s="206"/>
      <c r="H2245" s="206"/>
      <c r="I2245" s="206"/>
      <c r="J2245" s="206"/>
      <c r="K2245" s="206"/>
      <c r="L2245" s="206"/>
      <c r="M2245" s="206"/>
      <c r="N2245" s="206"/>
      <c r="O2245" s="206"/>
      <c r="P2245" s="206"/>
      <c r="Q2245" s="262"/>
      <c r="R2245" s="262"/>
      <c r="S2245" s="207"/>
      <c r="T2245" s="263"/>
      <c r="U2245" s="26"/>
      <c r="V2245" s="26"/>
      <c r="W2245" s="26"/>
      <c r="X2245" s="26"/>
    </row>
    <row r="2246">
      <c r="A2246" s="28"/>
      <c r="B2246" s="28"/>
      <c r="C2246" s="28"/>
      <c r="D2246" s="96"/>
      <c r="E2246" s="105"/>
      <c r="F2246" s="105"/>
      <c r="G2246" s="206"/>
      <c r="H2246" s="206"/>
      <c r="I2246" s="206"/>
      <c r="J2246" s="206"/>
      <c r="K2246" s="206"/>
      <c r="L2246" s="206"/>
      <c r="M2246" s="206"/>
      <c r="N2246" s="206"/>
      <c r="O2246" s="206"/>
      <c r="P2246" s="206"/>
      <c r="Q2246" s="262"/>
      <c r="R2246" s="262"/>
      <c r="S2246" s="207"/>
      <c r="T2246" s="263"/>
      <c r="U2246" s="26"/>
      <c r="V2246" s="26"/>
      <c r="W2246" s="26"/>
      <c r="X2246" s="26"/>
    </row>
    <row r="2247">
      <c r="A2247" s="28"/>
      <c r="B2247" s="28"/>
      <c r="C2247" s="28"/>
      <c r="D2247" s="96"/>
      <c r="E2247" s="105"/>
      <c r="F2247" s="105"/>
      <c r="G2247" s="206"/>
      <c r="H2247" s="206"/>
      <c r="I2247" s="206"/>
      <c r="J2247" s="206"/>
      <c r="K2247" s="206"/>
      <c r="L2247" s="206"/>
      <c r="M2247" s="206"/>
      <c r="N2247" s="206"/>
      <c r="O2247" s="206"/>
      <c r="P2247" s="206"/>
      <c r="Q2247" s="262"/>
      <c r="R2247" s="262"/>
      <c r="S2247" s="207"/>
      <c r="T2247" s="263"/>
      <c r="U2247" s="26"/>
      <c r="V2247" s="26"/>
      <c r="W2247" s="26"/>
      <c r="X2247" s="26"/>
    </row>
    <row r="2248">
      <c r="A2248" s="28"/>
      <c r="B2248" s="28"/>
      <c r="C2248" s="28"/>
      <c r="D2248" s="96"/>
      <c r="E2248" s="105"/>
      <c r="F2248" s="105"/>
      <c r="G2248" s="206"/>
      <c r="H2248" s="206"/>
      <c r="I2248" s="206"/>
      <c r="J2248" s="206"/>
      <c r="K2248" s="206"/>
      <c r="L2248" s="206"/>
      <c r="M2248" s="206"/>
      <c r="N2248" s="206"/>
      <c r="O2248" s="206"/>
      <c r="P2248" s="206"/>
      <c r="Q2248" s="262"/>
      <c r="R2248" s="262"/>
      <c r="S2248" s="207"/>
      <c r="T2248" s="263"/>
      <c r="U2248" s="26"/>
      <c r="V2248" s="26"/>
      <c r="W2248" s="26"/>
      <c r="X2248" s="26"/>
    </row>
    <row r="2249">
      <c r="A2249" s="28"/>
      <c r="B2249" s="28"/>
      <c r="C2249" s="28"/>
      <c r="D2249" s="96"/>
      <c r="E2249" s="105"/>
      <c r="F2249" s="105"/>
      <c r="G2249" s="206"/>
      <c r="H2249" s="206"/>
      <c r="I2249" s="206"/>
      <c r="J2249" s="206"/>
      <c r="K2249" s="206"/>
      <c r="L2249" s="206"/>
      <c r="M2249" s="206"/>
      <c r="N2249" s="206"/>
      <c r="O2249" s="206"/>
      <c r="P2249" s="206"/>
      <c r="Q2249" s="262"/>
      <c r="R2249" s="262"/>
      <c r="S2249" s="207"/>
      <c r="T2249" s="263"/>
      <c r="U2249" s="26"/>
      <c r="V2249" s="26"/>
      <c r="W2249" s="26"/>
      <c r="X2249" s="26"/>
    </row>
    <row r="2250">
      <c r="A2250" s="28"/>
      <c r="B2250" s="28"/>
      <c r="C2250" s="28"/>
      <c r="D2250" s="96"/>
      <c r="E2250" s="105"/>
      <c r="F2250" s="105"/>
      <c r="G2250" s="206"/>
      <c r="H2250" s="206"/>
      <c r="I2250" s="206"/>
      <c r="J2250" s="206"/>
      <c r="K2250" s="206"/>
      <c r="L2250" s="206"/>
      <c r="M2250" s="206"/>
      <c r="N2250" s="206"/>
      <c r="O2250" s="206"/>
      <c r="P2250" s="206"/>
      <c r="Q2250" s="262"/>
      <c r="R2250" s="262"/>
      <c r="S2250" s="207"/>
      <c r="T2250" s="263"/>
      <c r="U2250" s="26"/>
      <c r="V2250" s="26"/>
      <c r="W2250" s="26"/>
      <c r="X2250" s="26"/>
    </row>
    <row r="2251">
      <c r="A2251" s="28"/>
      <c r="B2251" s="28"/>
      <c r="C2251" s="28"/>
      <c r="D2251" s="96"/>
      <c r="E2251" s="105"/>
      <c r="F2251" s="105"/>
      <c r="G2251" s="206"/>
      <c r="H2251" s="206"/>
      <c r="I2251" s="206"/>
      <c r="J2251" s="206"/>
      <c r="K2251" s="206"/>
      <c r="L2251" s="206"/>
      <c r="M2251" s="206"/>
      <c r="N2251" s="206"/>
      <c r="O2251" s="206"/>
      <c r="P2251" s="206"/>
      <c r="Q2251" s="262"/>
      <c r="R2251" s="262"/>
      <c r="S2251" s="207"/>
      <c r="T2251" s="263"/>
      <c r="U2251" s="26"/>
      <c r="V2251" s="26"/>
      <c r="W2251" s="26"/>
      <c r="X2251" s="26"/>
    </row>
    <row r="2252">
      <c r="A2252" s="28"/>
      <c r="B2252" s="28"/>
      <c r="C2252" s="28"/>
      <c r="D2252" s="96"/>
      <c r="E2252" s="105"/>
      <c r="F2252" s="105"/>
      <c r="G2252" s="206"/>
      <c r="H2252" s="206"/>
      <c r="I2252" s="206"/>
      <c r="J2252" s="206"/>
      <c r="K2252" s="206"/>
      <c r="L2252" s="206"/>
      <c r="M2252" s="206"/>
      <c r="N2252" s="206"/>
      <c r="O2252" s="206"/>
      <c r="P2252" s="206"/>
      <c r="Q2252" s="262"/>
      <c r="R2252" s="262"/>
      <c r="S2252" s="207"/>
      <c r="T2252" s="263"/>
      <c r="U2252" s="26"/>
      <c r="V2252" s="26"/>
      <c r="W2252" s="26"/>
      <c r="X2252" s="26"/>
    </row>
    <row r="2253">
      <c r="A2253" s="28"/>
      <c r="B2253" s="28"/>
      <c r="C2253" s="28"/>
      <c r="D2253" s="96"/>
      <c r="E2253" s="105"/>
      <c r="F2253" s="105"/>
      <c r="G2253" s="206"/>
      <c r="H2253" s="206"/>
      <c r="I2253" s="206"/>
      <c r="J2253" s="206"/>
      <c r="K2253" s="206"/>
      <c r="L2253" s="206"/>
      <c r="M2253" s="206"/>
      <c r="N2253" s="206"/>
      <c r="O2253" s="206"/>
      <c r="P2253" s="206"/>
      <c r="Q2253" s="262"/>
      <c r="R2253" s="262"/>
      <c r="S2253" s="207"/>
      <c r="T2253" s="263"/>
      <c r="U2253" s="26"/>
      <c r="V2253" s="26"/>
      <c r="W2253" s="26"/>
      <c r="X2253" s="26"/>
    </row>
    <row r="2254">
      <c r="A2254" s="28"/>
      <c r="B2254" s="28"/>
      <c r="C2254" s="28"/>
      <c r="D2254" s="96"/>
      <c r="E2254" s="105"/>
      <c r="F2254" s="105"/>
      <c r="G2254" s="206"/>
      <c r="H2254" s="206"/>
      <c r="I2254" s="206"/>
      <c r="J2254" s="206"/>
      <c r="K2254" s="206"/>
      <c r="L2254" s="206"/>
      <c r="M2254" s="206"/>
      <c r="N2254" s="206"/>
      <c r="O2254" s="206"/>
      <c r="P2254" s="206"/>
      <c r="Q2254" s="262"/>
      <c r="R2254" s="262"/>
      <c r="S2254" s="207"/>
      <c r="T2254" s="263"/>
      <c r="U2254" s="26"/>
      <c r="V2254" s="26"/>
      <c r="W2254" s="26"/>
      <c r="X2254" s="26"/>
    </row>
    <row r="2255">
      <c r="A2255" s="28"/>
      <c r="B2255" s="28"/>
      <c r="C2255" s="28"/>
      <c r="D2255" s="96"/>
      <c r="E2255" s="105"/>
      <c r="F2255" s="105"/>
      <c r="G2255" s="206"/>
      <c r="H2255" s="206"/>
      <c r="I2255" s="206"/>
      <c r="J2255" s="206"/>
      <c r="K2255" s="206"/>
      <c r="L2255" s="206"/>
      <c r="M2255" s="206"/>
      <c r="N2255" s="206"/>
      <c r="O2255" s="206"/>
      <c r="P2255" s="206"/>
      <c r="Q2255" s="262"/>
      <c r="R2255" s="262"/>
      <c r="S2255" s="207"/>
      <c r="T2255" s="263"/>
      <c r="U2255" s="26"/>
      <c r="V2255" s="26"/>
      <c r="W2255" s="26"/>
      <c r="X2255" s="26"/>
    </row>
    <row r="2256">
      <c r="A2256" s="28"/>
      <c r="B2256" s="28"/>
      <c r="C2256" s="28"/>
      <c r="D2256" s="96"/>
      <c r="E2256" s="105"/>
      <c r="F2256" s="105"/>
      <c r="G2256" s="206"/>
      <c r="H2256" s="206"/>
      <c r="I2256" s="206"/>
      <c r="J2256" s="206"/>
      <c r="K2256" s="206"/>
      <c r="L2256" s="206"/>
      <c r="M2256" s="206"/>
      <c r="N2256" s="206"/>
      <c r="O2256" s="206"/>
      <c r="P2256" s="206"/>
      <c r="Q2256" s="262"/>
      <c r="R2256" s="262"/>
      <c r="S2256" s="207"/>
      <c r="T2256" s="263"/>
      <c r="U2256" s="26"/>
      <c r="V2256" s="26"/>
      <c r="W2256" s="26"/>
      <c r="X2256" s="26"/>
    </row>
    <row r="2257">
      <c r="A2257" s="28"/>
      <c r="B2257" s="28"/>
      <c r="C2257" s="28"/>
      <c r="D2257" s="96"/>
      <c r="E2257" s="105"/>
      <c r="F2257" s="105"/>
      <c r="G2257" s="206"/>
      <c r="H2257" s="206"/>
      <c r="I2257" s="206"/>
      <c r="J2257" s="206"/>
      <c r="K2257" s="206"/>
      <c r="L2257" s="206"/>
      <c r="M2257" s="206"/>
      <c r="N2257" s="206"/>
      <c r="O2257" s="206"/>
      <c r="P2257" s="206"/>
      <c r="Q2257" s="262"/>
      <c r="R2257" s="262"/>
      <c r="S2257" s="207"/>
      <c r="T2257" s="263"/>
      <c r="U2257" s="26"/>
      <c r="V2257" s="26"/>
      <c r="W2257" s="26"/>
      <c r="X2257" s="26"/>
    </row>
    <row r="2258">
      <c r="A2258" s="28"/>
      <c r="B2258" s="28"/>
      <c r="C2258" s="28"/>
      <c r="D2258" s="96"/>
      <c r="E2258" s="105"/>
      <c r="F2258" s="105"/>
      <c r="G2258" s="206"/>
      <c r="H2258" s="206"/>
      <c r="I2258" s="206"/>
      <c r="J2258" s="206"/>
      <c r="K2258" s="206"/>
      <c r="L2258" s="206"/>
      <c r="M2258" s="206"/>
      <c r="N2258" s="206"/>
      <c r="O2258" s="206"/>
      <c r="P2258" s="206"/>
      <c r="Q2258" s="262"/>
      <c r="R2258" s="262"/>
      <c r="S2258" s="207"/>
      <c r="T2258" s="263"/>
      <c r="U2258" s="26"/>
      <c r="V2258" s="26"/>
      <c r="W2258" s="26"/>
      <c r="X2258" s="26"/>
    </row>
    <row r="2259">
      <c r="A2259" s="28"/>
      <c r="B2259" s="28"/>
      <c r="C2259" s="28"/>
      <c r="D2259" s="96"/>
      <c r="E2259" s="105"/>
      <c r="F2259" s="105"/>
      <c r="G2259" s="206"/>
      <c r="H2259" s="206"/>
      <c r="I2259" s="206"/>
      <c r="J2259" s="206"/>
      <c r="K2259" s="206"/>
      <c r="L2259" s="206"/>
      <c r="M2259" s="206"/>
      <c r="N2259" s="206"/>
      <c r="O2259" s="206"/>
      <c r="P2259" s="206"/>
      <c r="Q2259" s="262"/>
      <c r="R2259" s="262"/>
      <c r="S2259" s="207"/>
      <c r="T2259" s="263"/>
      <c r="U2259" s="26"/>
      <c r="V2259" s="26"/>
      <c r="W2259" s="26"/>
      <c r="X2259" s="26"/>
    </row>
    <row r="2260">
      <c r="A2260" s="28"/>
      <c r="B2260" s="28"/>
      <c r="C2260" s="28"/>
      <c r="D2260" s="96"/>
      <c r="E2260" s="105"/>
      <c r="F2260" s="105"/>
      <c r="G2260" s="206"/>
      <c r="H2260" s="206"/>
      <c r="I2260" s="206"/>
      <c r="J2260" s="206"/>
      <c r="K2260" s="206"/>
      <c r="L2260" s="206"/>
      <c r="M2260" s="206"/>
      <c r="N2260" s="206"/>
      <c r="O2260" s="206"/>
      <c r="P2260" s="206"/>
      <c r="Q2260" s="262"/>
      <c r="R2260" s="262"/>
      <c r="S2260" s="207"/>
      <c r="T2260" s="263"/>
      <c r="U2260" s="26"/>
      <c r="V2260" s="26"/>
      <c r="W2260" s="26"/>
      <c r="X2260" s="26"/>
    </row>
    <row r="2261">
      <c r="A2261" s="28"/>
      <c r="B2261" s="28"/>
      <c r="C2261" s="28"/>
      <c r="D2261" s="96"/>
      <c r="E2261" s="105"/>
      <c r="F2261" s="105"/>
      <c r="G2261" s="206"/>
      <c r="H2261" s="206"/>
      <c r="I2261" s="206"/>
      <c r="J2261" s="206"/>
      <c r="K2261" s="206"/>
      <c r="L2261" s="206"/>
      <c r="M2261" s="206"/>
      <c r="N2261" s="206"/>
      <c r="O2261" s="206"/>
      <c r="P2261" s="206"/>
      <c r="Q2261" s="262"/>
      <c r="R2261" s="262"/>
      <c r="S2261" s="207"/>
      <c r="T2261" s="263"/>
      <c r="U2261" s="26"/>
      <c r="V2261" s="26"/>
      <c r="W2261" s="26"/>
      <c r="X2261" s="26"/>
    </row>
    <row r="2262">
      <c r="A2262" s="28"/>
      <c r="B2262" s="28"/>
      <c r="C2262" s="28"/>
      <c r="D2262" s="96"/>
      <c r="E2262" s="105"/>
      <c r="F2262" s="105"/>
      <c r="G2262" s="206"/>
      <c r="H2262" s="206"/>
      <c r="I2262" s="206"/>
      <c r="J2262" s="206"/>
      <c r="K2262" s="206"/>
      <c r="L2262" s="206"/>
      <c r="M2262" s="206"/>
      <c r="N2262" s="206"/>
      <c r="O2262" s="206"/>
      <c r="P2262" s="206"/>
      <c r="Q2262" s="262"/>
      <c r="R2262" s="262"/>
      <c r="S2262" s="207"/>
      <c r="T2262" s="263"/>
      <c r="U2262" s="26"/>
      <c r="V2262" s="26"/>
      <c r="W2262" s="26"/>
      <c r="X2262" s="26"/>
    </row>
    <row r="2263">
      <c r="A2263" s="28"/>
      <c r="B2263" s="28"/>
      <c r="C2263" s="28"/>
      <c r="D2263" s="96"/>
      <c r="E2263" s="105"/>
      <c r="F2263" s="105"/>
      <c r="G2263" s="206"/>
      <c r="H2263" s="206"/>
      <c r="I2263" s="206"/>
      <c r="J2263" s="206"/>
      <c r="K2263" s="206"/>
      <c r="L2263" s="206"/>
      <c r="M2263" s="206"/>
      <c r="N2263" s="206"/>
      <c r="O2263" s="206"/>
      <c r="P2263" s="206"/>
      <c r="Q2263" s="262"/>
      <c r="R2263" s="262"/>
      <c r="S2263" s="207"/>
      <c r="T2263" s="263"/>
      <c r="U2263" s="26"/>
      <c r="V2263" s="26"/>
      <c r="W2263" s="26"/>
      <c r="X2263" s="26"/>
    </row>
    <row r="2264">
      <c r="A2264" s="28"/>
      <c r="B2264" s="28"/>
      <c r="C2264" s="28"/>
      <c r="D2264" s="96"/>
      <c r="E2264" s="105"/>
      <c r="F2264" s="105"/>
      <c r="G2264" s="206"/>
      <c r="H2264" s="206"/>
      <c r="I2264" s="206"/>
      <c r="J2264" s="206"/>
      <c r="K2264" s="206"/>
      <c r="L2264" s="206"/>
      <c r="M2264" s="206"/>
      <c r="N2264" s="206"/>
      <c r="O2264" s="206"/>
      <c r="P2264" s="206"/>
      <c r="Q2264" s="262"/>
      <c r="R2264" s="262"/>
      <c r="S2264" s="207"/>
      <c r="T2264" s="263"/>
      <c r="U2264" s="26"/>
      <c r="V2264" s="26"/>
      <c r="W2264" s="26"/>
      <c r="X2264" s="26"/>
    </row>
    <row r="2265">
      <c r="A2265" s="28"/>
      <c r="B2265" s="28"/>
      <c r="C2265" s="28"/>
      <c r="D2265" s="96"/>
      <c r="E2265" s="105"/>
      <c r="F2265" s="105"/>
      <c r="G2265" s="206"/>
      <c r="H2265" s="206"/>
      <c r="I2265" s="206"/>
      <c r="J2265" s="206"/>
      <c r="K2265" s="206"/>
      <c r="L2265" s="206"/>
      <c r="M2265" s="206"/>
      <c r="N2265" s="206"/>
      <c r="O2265" s="206"/>
      <c r="P2265" s="206"/>
      <c r="Q2265" s="262"/>
      <c r="R2265" s="262"/>
      <c r="S2265" s="207"/>
      <c r="T2265" s="263"/>
      <c r="U2265" s="26"/>
      <c r="V2265" s="26"/>
      <c r="W2265" s="26"/>
      <c r="X2265" s="26"/>
    </row>
    <row r="2266">
      <c r="A2266" s="28"/>
      <c r="B2266" s="28"/>
      <c r="C2266" s="28"/>
      <c r="D2266" s="96"/>
      <c r="E2266" s="105"/>
      <c r="F2266" s="105"/>
      <c r="G2266" s="206"/>
      <c r="H2266" s="206"/>
      <c r="I2266" s="206"/>
      <c r="J2266" s="206"/>
      <c r="K2266" s="206"/>
      <c r="L2266" s="206"/>
      <c r="M2266" s="206"/>
      <c r="N2266" s="206"/>
      <c r="O2266" s="206"/>
      <c r="P2266" s="206"/>
      <c r="Q2266" s="262"/>
      <c r="R2266" s="262"/>
      <c r="S2266" s="207"/>
      <c r="T2266" s="263"/>
      <c r="U2266" s="26"/>
      <c r="V2266" s="26"/>
      <c r="W2266" s="26"/>
      <c r="X2266" s="26"/>
    </row>
    <row r="2267">
      <c r="A2267" s="28"/>
      <c r="B2267" s="28"/>
      <c r="C2267" s="28"/>
      <c r="D2267" s="96"/>
      <c r="E2267" s="105"/>
      <c r="F2267" s="105"/>
      <c r="G2267" s="206"/>
      <c r="H2267" s="206"/>
      <c r="I2267" s="206"/>
      <c r="J2267" s="206"/>
      <c r="K2267" s="206"/>
      <c r="L2267" s="206"/>
      <c r="M2267" s="206"/>
      <c r="N2267" s="206"/>
      <c r="O2267" s="206"/>
      <c r="P2267" s="206"/>
      <c r="Q2267" s="262"/>
      <c r="R2267" s="262"/>
      <c r="S2267" s="207"/>
      <c r="T2267" s="263"/>
      <c r="U2267" s="26"/>
      <c r="V2267" s="26"/>
      <c r="W2267" s="26"/>
      <c r="X2267" s="26"/>
    </row>
    <row r="2268">
      <c r="A2268" s="28"/>
      <c r="B2268" s="28"/>
      <c r="C2268" s="28"/>
      <c r="D2268" s="96"/>
      <c r="E2268" s="105"/>
      <c r="F2268" s="105"/>
      <c r="G2268" s="206"/>
      <c r="H2268" s="206"/>
      <c r="I2268" s="206"/>
      <c r="J2268" s="206"/>
      <c r="K2268" s="206"/>
      <c r="L2268" s="206"/>
      <c r="M2268" s="206"/>
      <c r="N2268" s="206"/>
      <c r="O2268" s="206"/>
      <c r="P2268" s="206"/>
      <c r="Q2268" s="262"/>
      <c r="R2268" s="262"/>
      <c r="S2268" s="207"/>
      <c r="T2268" s="263"/>
      <c r="U2268" s="26"/>
      <c r="V2268" s="26"/>
      <c r="W2268" s="26"/>
      <c r="X2268" s="26"/>
    </row>
    <row r="2269">
      <c r="A2269" s="28"/>
      <c r="B2269" s="28"/>
      <c r="C2269" s="28"/>
      <c r="D2269" s="96"/>
      <c r="E2269" s="105"/>
      <c r="F2269" s="105"/>
      <c r="G2269" s="206"/>
      <c r="H2269" s="206"/>
      <c r="I2269" s="206"/>
      <c r="J2269" s="206"/>
      <c r="K2269" s="206"/>
      <c r="L2269" s="206"/>
      <c r="M2269" s="206"/>
      <c r="N2269" s="206"/>
      <c r="O2269" s="206"/>
      <c r="P2269" s="206"/>
      <c r="Q2269" s="262"/>
      <c r="R2269" s="262"/>
      <c r="S2269" s="207"/>
      <c r="T2269" s="263"/>
      <c r="U2269" s="26"/>
      <c r="V2269" s="26"/>
      <c r="W2269" s="26"/>
      <c r="X2269" s="26"/>
    </row>
    <row r="2270">
      <c r="A2270" s="28"/>
      <c r="B2270" s="28"/>
      <c r="C2270" s="28"/>
      <c r="D2270" s="96"/>
      <c r="E2270" s="105"/>
      <c r="F2270" s="105"/>
      <c r="G2270" s="206"/>
      <c r="H2270" s="206"/>
      <c r="I2270" s="206"/>
      <c r="J2270" s="206"/>
      <c r="K2270" s="206"/>
      <c r="L2270" s="206"/>
      <c r="M2270" s="206"/>
      <c r="N2270" s="206"/>
      <c r="O2270" s="206"/>
      <c r="P2270" s="206"/>
      <c r="Q2270" s="262"/>
      <c r="R2270" s="262"/>
      <c r="S2270" s="207"/>
      <c r="T2270" s="263"/>
      <c r="U2270" s="26"/>
      <c r="V2270" s="26"/>
      <c r="W2270" s="26"/>
      <c r="X2270" s="26"/>
    </row>
    <row r="2271">
      <c r="A2271" s="28"/>
      <c r="B2271" s="28"/>
      <c r="C2271" s="28"/>
      <c r="D2271" s="96"/>
      <c r="E2271" s="105"/>
      <c r="F2271" s="105"/>
      <c r="G2271" s="206"/>
      <c r="H2271" s="206"/>
      <c r="I2271" s="206"/>
      <c r="J2271" s="206"/>
      <c r="K2271" s="206"/>
      <c r="L2271" s="206"/>
      <c r="M2271" s="206"/>
      <c r="N2271" s="206"/>
      <c r="O2271" s="206"/>
      <c r="P2271" s="206"/>
      <c r="Q2271" s="262"/>
      <c r="R2271" s="262"/>
      <c r="S2271" s="207"/>
      <c r="T2271" s="263"/>
      <c r="U2271" s="26"/>
      <c r="V2271" s="26"/>
      <c r="W2271" s="26"/>
      <c r="X2271" s="26"/>
    </row>
    <row r="2272">
      <c r="A2272" s="28"/>
      <c r="B2272" s="28"/>
      <c r="C2272" s="28"/>
      <c r="D2272" s="96"/>
      <c r="E2272" s="105"/>
      <c r="F2272" s="105"/>
      <c r="G2272" s="206"/>
      <c r="H2272" s="206"/>
      <c r="I2272" s="206"/>
      <c r="J2272" s="206"/>
      <c r="K2272" s="206"/>
      <c r="L2272" s="206"/>
      <c r="M2272" s="206"/>
      <c r="N2272" s="206"/>
      <c r="O2272" s="206"/>
      <c r="P2272" s="206"/>
      <c r="Q2272" s="262"/>
      <c r="R2272" s="262"/>
      <c r="S2272" s="207"/>
      <c r="T2272" s="263"/>
      <c r="U2272" s="26"/>
      <c r="V2272" s="26"/>
      <c r="W2272" s="26"/>
      <c r="X2272" s="26"/>
    </row>
    <row r="2273">
      <c r="A2273" s="28"/>
      <c r="B2273" s="28"/>
      <c r="C2273" s="28"/>
      <c r="D2273" s="96"/>
      <c r="E2273" s="105"/>
      <c r="F2273" s="105"/>
      <c r="G2273" s="206"/>
      <c r="H2273" s="206"/>
      <c r="I2273" s="206"/>
      <c r="J2273" s="206"/>
      <c r="K2273" s="206"/>
      <c r="L2273" s="206"/>
      <c r="M2273" s="206"/>
      <c r="N2273" s="206"/>
      <c r="O2273" s="206"/>
      <c r="P2273" s="206"/>
      <c r="Q2273" s="262"/>
      <c r="R2273" s="262"/>
      <c r="S2273" s="207"/>
      <c r="T2273" s="263"/>
      <c r="U2273" s="26"/>
      <c r="V2273" s="26"/>
      <c r="W2273" s="26"/>
      <c r="X2273" s="26"/>
    </row>
    <row r="2274">
      <c r="A2274" s="28"/>
      <c r="B2274" s="28"/>
      <c r="C2274" s="28"/>
      <c r="D2274" s="96"/>
      <c r="E2274" s="105"/>
      <c r="F2274" s="105"/>
      <c r="G2274" s="206"/>
      <c r="H2274" s="206"/>
      <c r="I2274" s="206"/>
      <c r="J2274" s="206"/>
      <c r="K2274" s="206"/>
      <c r="L2274" s="206"/>
      <c r="M2274" s="206"/>
      <c r="N2274" s="206"/>
      <c r="O2274" s="206"/>
      <c r="P2274" s="206"/>
      <c r="Q2274" s="262"/>
      <c r="R2274" s="262"/>
      <c r="S2274" s="207"/>
      <c r="T2274" s="263"/>
      <c r="U2274" s="26"/>
      <c r="V2274" s="26"/>
      <c r="W2274" s="26"/>
      <c r="X2274" s="26"/>
    </row>
    <row r="2275">
      <c r="A2275" s="28"/>
      <c r="B2275" s="28"/>
      <c r="C2275" s="28"/>
      <c r="D2275" s="96"/>
      <c r="E2275" s="105"/>
      <c r="F2275" s="105"/>
      <c r="G2275" s="206"/>
      <c r="H2275" s="206"/>
      <c r="I2275" s="206"/>
      <c r="J2275" s="206"/>
      <c r="K2275" s="206"/>
      <c r="L2275" s="206"/>
      <c r="M2275" s="206"/>
      <c r="N2275" s="206"/>
      <c r="O2275" s="206"/>
      <c r="P2275" s="206"/>
      <c r="Q2275" s="262"/>
      <c r="R2275" s="262"/>
      <c r="S2275" s="207"/>
      <c r="T2275" s="263"/>
      <c r="U2275" s="26"/>
      <c r="V2275" s="26"/>
      <c r="W2275" s="26"/>
      <c r="X2275" s="26"/>
    </row>
    <row r="2276">
      <c r="A2276" s="28"/>
      <c r="B2276" s="28"/>
      <c r="C2276" s="28"/>
      <c r="D2276" s="96"/>
      <c r="E2276" s="105"/>
      <c r="F2276" s="105"/>
      <c r="G2276" s="206"/>
      <c r="H2276" s="206"/>
      <c r="I2276" s="206"/>
      <c r="J2276" s="206"/>
      <c r="K2276" s="206"/>
      <c r="L2276" s="206"/>
      <c r="M2276" s="206"/>
      <c r="N2276" s="206"/>
      <c r="O2276" s="206"/>
      <c r="P2276" s="206"/>
      <c r="Q2276" s="262"/>
      <c r="R2276" s="262"/>
      <c r="S2276" s="207"/>
      <c r="T2276" s="263"/>
      <c r="U2276" s="26"/>
      <c r="V2276" s="26"/>
      <c r="W2276" s="26"/>
      <c r="X2276" s="26"/>
    </row>
    <row r="2277">
      <c r="A2277" s="28"/>
      <c r="B2277" s="28"/>
      <c r="C2277" s="28"/>
      <c r="D2277" s="96"/>
      <c r="E2277" s="105"/>
      <c r="F2277" s="105"/>
      <c r="G2277" s="206"/>
      <c r="H2277" s="206"/>
      <c r="I2277" s="206"/>
      <c r="J2277" s="206"/>
      <c r="K2277" s="206"/>
      <c r="L2277" s="206"/>
      <c r="M2277" s="206"/>
      <c r="N2277" s="206"/>
      <c r="O2277" s="206"/>
      <c r="P2277" s="206"/>
      <c r="Q2277" s="262"/>
      <c r="R2277" s="262"/>
      <c r="S2277" s="207"/>
      <c r="T2277" s="263"/>
      <c r="U2277" s="26"/>
      <c r="V2277" s="26"/>
      <c r="W2277" s="26"/>
      <c r="X2277" s="26"/>
    </row>
    <row r="2278">
      <c r="A2278" s="28"/>
      <c r="B2278" s="28"/>
      <c r="C2278" s="28"/>
      <c r="D2278" s="96"/>
      <c r="E2278" s="105"/>
      <c r="F2278" s="105"/>
      <c r="G2278" s="206"/>
      <c r="H2278" s="206"/>
      <c r="I2278" s="206"/>
      <c r="J2278" s="206"/>
      <c r="K2278" s="206"/>
      <c r="L2278" s="206"/>
      <c r="M2278" s="206"/>
      <c r="N2278" s="206"/>
      <c r="O2278" s="206"/>
      <c r="P2278" s="206"/>
      <c r="Q2278" s="262"/>
      <c r="R2278" s="262"/>
      <c r="S2278" s="207"/>
      <c r="T2278" s="263"/>
      <c r="U2278" s="26"/>
      <c r="V2278" s="26"/>
      <c r="W2278" s="26"/>
      <c r="X2278" s="26"/>
    </row>
    <row r="2279">
      <c r="A2279" s="28"/>
      <c r="B2279" s="28"/>
      <c r="C2279" s="28"/>
      <c r="D2279" s="96"/>
      <c r="E2279" s="105"/>
      <c r="F2279" s="105"/>
      <c r="G2279" s="206"/>
      <c r="H2279" s="206"/>
      <c r="I2279" s="206"/>
      <c r="J2279" s="206"/>
      <c r="K2279" s="206"/>
      <c r="L2279" s="206"/>
      <c r="M2279" s="206"/>
      <c r="N2279" s="206"/>
      <c r="O2279" s="206"/>
      <c r="P2279" s="206"/>
      <c r="Q2279" s="262"/>
      <c r="R2279" s="262"/>
      <c r="S2279" s="207"/>
      <c r="T2279" s="263"/>
      <c r="U2279" s="26"/>
      <c r="V2279" s="26"/>
      <c r="W2279" s="26"/>
      <c r="X2279" s="26"/>
    </row>
    <row r="2280">
      <c r="A2280" s="28"/>
      <c r="B2280" s="28"/>
      <c r="C2280" s="28"/>
      <c r="D2280" s="96"/>
      <c r="E2280" s="105"/>
      <c r="F2280" s="105"/>
      <c r="G2280" s="206"/>
      <c r="H2280" s="206"/>
      <c r="I2280" s="206"/>
      <c r="J2280" s="206"/>
      <c r="K2280" s="206"/>
      <c r="L2280" s="206"/>
      <c r="M2280" s="206"/>
      <c r="N2280" s="206"/>
      <c r="O2280" s="206"/>
      <c r="P2280" s="206"/>
      <c r="Q2280" s="262"/>
      <c r="R2280" s="262"/>
      <c r="S2280" s="207"/>
      <c r="T2280" s="263"/>
      <c r="U2280" s="26"/>
      <c r="V2280" s="26"/>
      <c r="W2280" s="26"/>
      <c r="X2280" s="26"/>
    </row>
    <row r="2281">
      <c r="A2281" s="28"/>
      <c r="B2281" s="28"/>
      <c r="C2281" s="28"/>
      <c r="D2281" s="96"/>
      <c r="E2281" s="105"/>
      <c r="F2281" s="105"/>
      <c r="G2281" s="206"/>
      <c r="H2281" s="206"/>
      <c r="I2281" s="206"/>
      <c r="J2281" s="206"/>
      <c r="K2281" s="206"/>
      <c r="L2281" s="206"/>
      <c r="M2281" s="206"/>
      <c r="N2281" s="206"/>
      <c r="O2281" s="206"/>
      <c r="P2281" s="206"/>
      <c r="Q2281" s="262"/>
      <c r="R2281" s="262"/>
      <c r="S2281" s="207"/>
      <c r="T2281" s="263"/>
      <c r="U2281" s="26"/>
      <c r="V2281" s="26"/>
      <c r="W2281" s="26"/>
      <c r="X2281" s="26"/>
    </row>
    <row r="2282">
      <c r="A2282" s="28"/>
      <c r="B2282" s="28"/>
      <c r="C2282" s="28"/>
      <c r="D2282" s="96"/>
      <c r="E2282" s="105"/>
      <c r="F2282" s="105"/>
      <c r="G2282" s="206"/>
      <c r="H2282" s="206"/>
      <c r="I2282" s="206"/>
      <c r="J2282" s="206"/>
      <c r="K2282" s="206"/>
      <c r="L2282" s="206"/>
      <c r="M2282" s="206"/>
      <c r="N2282" s="206"/>
      <c r="O2282" s="206"/>
      <c r="P2282" s="206"/>
      <c r="Q2282" s="262"/>
      <c r="R2282" s="262"/>
      <c r="S2282" s="207"/>
      <c r="T2282" s="263"/>
      <c r="U2282" s="26"/>
      <c r="V2282" s="26"/>
      <c r="W2282" s="26"/>
      <c r="X2282" s="26"/>
    </row>
    <row r="2283">
      <c r="A2283" s="28"/>
      <c r="B2283" s="28"/>
      <c r="C2283" s="28"/>
      <c r="D2283" s="96"/>
      <c r="E2283" s="105"/>
      <c r="F2283" s="105"/>
      <c r="G2283" s="206"/>
      <c r="H2283" s="206"/>
      <c r="I2283" s="206"/>
      <c r="J2283" s="206"/>
      <c r="K2283" s="206"/>
      <c r="L2283" s="206"/>
      <c r="M2283" s="206"/>
      <c r="N2283" s="206"/>
      <c r="O2283" s="206"/>
      <c r="P2283" s="206"/>
      <c r="Q2283" s="262"/>
      <c r="R2283" s="262"/>
      <c r="S2283" s="207"/>
      <c r="T2283" s="263"/>
      <c r="U2283" s="26"/>
      <c r="V2283" s="26"/>
      <c r="W2283" s="26"/>
      <c r="X2283" s="26"/>
    </row>
    <row r="2284">
      <c r="A2284" s="28"/>
      <c r="B2284" s="28"/>
      <c r="C2284" s="28"/>
      <c r="D2284" s="96"/>
      <c r="E2284" s="105"/>
      <c r="F2284" s="105"/>
      <c r="G2284" s="206"/>
      <c r="H2284" s="206"/>
      <c r="I2284" s="206"/>
      <c r="J2284" s="206"/>
      <c r="K2284" s="206"/>
      <c r="L2284" s="206"/>
      <c r="M2284" s="206"/>
      <c r="N2284" s="206"/>
      <c r="O2284" s="206"/>
      <c r="P2284" s="206"/>
      <c r="Q2284" s="262"/>
      <c r="R2284" s="262"/>
      <c r="S2284" s="207"/>
      <c r="T2284" s="263"/>
      <c r="U2284" s="26"/>
      <c r="V2284" s="26"/>
      <c r="W2284" s="26"/>
      <c r="X2284" s="26"/>
    </row>
    <row r="2285">
      <c r="A2285" s="28"/>
      <c r="B2285" s="28"/>
      <c r="C2285" s="28"/>
      <c r="D2285" s="96"/>
      <c r="E2285" s="105"/>
      <c r="F2285" s="105"/>
      <c r="G2285" s="206"/>
      <c r="H2285" s="206"/>
      <c r="I2285" s="206"/>
      <c r="J2285" s="206"/>
      <c r="K2285" s="206"/>
      <c r="L2285" s="206"/>
      <c r="M2285" s="206"/>
      <c r="N2285" s="206"/>
      <c r="O2285" s="206"/>
      <c r="P2285" s="206"/>
      <c r="Q2285" s="262"/>
      <c r="R2285" s="262"/>
      <c r="S2285" s="207"/>
      <c r="T2285" s="263"/>
      <c r="U2285" s="26"/>
      <c r="V2285" s="26"/>
      <c r="W2285" s="26"/>
      <c r="X2285" s="26"/>
    </row>
    <row r="2286">
      <c r="A2286" s="28"/>
      <c r="B2286" s="28"/>
      <c r="C2286" s="28"/>
      <c r="D2286" s="96"/>
      <c r="E2286" s="105"/>
      <c r="F2286" s="105"/>
      <c r="G2286" s="206"/>
      <c r="H2286" s="206"/>
      <c r="I2286" s="206"/>
      <c r="J2286" s="206"/>
      <c r="K2286" s="206"/>
      <c r="L2286" s="206"/>
      <c r="M2286" s="206"/>
      <c r="N2286" s="206"/>
      <c r="O2286" s="206"/>
      <c r="P2286" s="206"/>
      <c r="Q2286" s="262"/>
      <c r="R2286" s="262"/>
      <c r="S2286" s="207"/>
      <c r="T2286" s="263"/>
      <c r="U2286" s="26"/>
      <c r="V2286" s="26"/>
      <c r="W2286" s="26"/>
      <c r="X2286" s="26"/>
    </row>
    <row r="2287">
      <c r="A2287" s="28"/>
      <c r="B2287" s="28"/>
      <c r="C2287" s="28"/>
      <c r="D2287" s="96"/>
      <c r="E2287" s="105"/>
      <c r="F2287" s="105"/>
      <c r="G2287" s="206"/>
      <c r="H2287" s="206"/>
      <c r="I2287" s="206"/>
      <c r="J2287" s="206"/>
      <c r="K2287" s="206"/>
      <c r="L2287" s="206"/>
      <c r="M2287" s="206"/>
      <c r="N2287" s="206"/>
      <c r="O2287" s="206"/>
      <c r="P2287" s="206"/>
      <c r="Q2287" s="262"/>
      <c r="R2287" s="262"/>
      <c r="S2287" s="207"/>
      <c r="T2287" s="263"/>
      <c r="U2287" s="26"/>
      <c r="V2287" s="26"/>
      <c r="W2287" s="26"/>
      <c r="X2287" s="26"/>
    </row>
    <row r="2288">
      <c r="A2288" s="28"/>
      <c r="B2288" s="28"/>
      <c r="C2288" s="28"/>
      <c r="D2288" s="96"/>
      <c r="E2288" s="105"/>
      <c r="F2288" s="105"/>
      <c r="G2288" s="206"/>
      <c r="H2288" s="206"/>
      <c r="I2288" s="206"/>
      <c r="J2288" s="206"/>
      <c r="K2288" s="206"/>
      <c r="L2288" s="206"/>
      <c r="M2288" s="206"/>
      <c r="N2288" s="206"/>
      <c r="O2288" s="206"/>
      <c r="P2288" s="206"/>
      <c r="Q2288" s="262"/>
      <c r="R2288" s="262"/>
      <c r="S2288" s="207"/>
      <c r="T2288" s="263"/>
      <c r="U2288" s="26"/>
      <c r="V2288" s="26"/>
      <c r="W2288" s="26"/>
      <c r="X2288" s="26"/>
    </row>
    <row r="2289">
      <c r="A2289" s="28"/>
      <c r="B2289" s="28"/>
      <c r="C2289" s="28"/>
      <c r="D2289" s="96"/>
      <c r="E2289" s="105"/>
      <c r="F2289" s="105"/>
      <c r="G2289" s="206"/>
      <c r="H2289" s="206"/>
      <c r="I2289" s="206"/>
      <c r="J2289" s="206"/>
      <c r="K2289" s="206"/>
      <c r="L2289" s="206"/>
      <c r="M2289" s="206"/>
      <c r="N2289" s="206"/>
      <c r="O2289" s="206"/>
      <c r="P2289" s="206"/>
      <c r="Q2289" s="262"/>
      <c r="R2289" s="262"/>
      <c r="S2289" s="207"/>
      <c r="T2289" s="263"/>
      <c r="U2289" s="26"/>
      <c r="V2289" s="26"/>
      <c r="W2289" s="26"/>
      <c r="X2289" s="26"/>
    </row>
    <row r="2290">
      <c r="A2290" s="28"/>
      <c r="B2290" s="28"/>
      <c r="C2290" s="28"/>
      <c r="D2290" s="96"/>
      <c r="E2290" s="105"/>
      <c r="F2290" s="105"/>
      <c r="G2290" s="206"/>
      <c r="H2290" s="206"/>
      <c r="I2290" s="206"/>
      <c r="J2290" s="206"/>
      <c r="K2290" s="206"/>
      <c r="L2290" s="206"/>
      <c r="M2290" s="206"/>
      <c r="N2290" s="206"/>
      <c r="O2290" s="206"/>
      <c r="P2290" s="206"/>
      <c r="Q2290" s="262"/>
      <c r="R2290" s="262"/>
      <c r="S2290" s="207"/>
      <c r="T2290" s="263"/>
      <c r="U2290" s="26"/>
      <c r="V2290" s="26"/>
      <c r="W2290" s="26"/>
      <c r="X2290" s="26"/>
    </row>
    <row r="2291">
      <c r="A2291" s="28"/>
      <c r="B2291" s="28"/>
      <c r="C2291" s="28"/>
      <c r="D2291" s="96"/>
      <c r="E2291" s="105"/>
      <c r="F2291" s="105"/>
      <c r="G2291" s="206"/>
      <c r="H2291" s="206"/>
      <c r="I2291" s="206"/>
      <c r="J2291" s="206"/>
      <c r="K2291" s="206"/>
      <c r="L2291" s="206"/>
      <c r="M2291" s="206"/>
      <c r="N2291" s="206"/>
      <c r="O2291" s="206"/>
      <c r="P2291" s="206"/>
      <c r="Q2291" s="262"/>
      <c r="R2291" s="262"/>
      <c r="S2291" s="207"/>
      <c r="T2291" s="263"/>
      <c r="U2291" s="26"/>
      <c r="V2291" s="26"/>
      <c r="W2291" s="26"/>
      <c r="X2291" s="26"/>
    </row>
    <row r="2292">
      <c r="A2292" s="28"/>
      <c r="B2292" s="28"/>
      <c r="C2292" s="28"/>
      <c r="D2292" s="96"/>
      <c r="E2292" s="105"/>
      <c r="F2292" s="105"/>
      <c r="G2292" s="206"/>
      <c r="H2292" s="206"/>
      <c r="I2292" s="206"/>
      <c r="J2292" s="206"/>
      <c r="K2292" s="206"/>
      <c r="L2292" s="206"/>
      <c r="M2292" s="206"/>
      <c r="N2292" s="206"/>
      <c r="O2292" s="206"/>
      <c r="P2292" s="206"/>
      <c r="Q2292" s="262"/>
      <c r="R2292" s="262"/>
      <c r="S2292" s="207"/>
      <c r="T2292" s="263"/>
      <c r="U2292" s="26"/>
      <c r="V2292" s="26"/>
      <c r="W2292" s="26"/>
      <c r="X2292" s="26"/>
    </row>
    <row r="2293">
      <c r="A2293" s="28"/>
      <c r="B2293" s="28"/>
      <c r="C2293" s="28"/>
      <c r="D2293" s="96"/>
      <c r="E2293" s="105"/>
      <c r="F2293" s="105"/>
      <c r="G2293" s="206"/>
      <c r="H2293" s="206"/>
      <c r="I2293" s="206"/>
      <c r="J2293" s="206"/>
      <c r="K2293" s="206"/>
      <c r="L2293" s="206"/>
      <c r="M2293" s="206"/>
      <c r="N2293" s="206"/>
      <c r="O2293" s="206"/>
      <c r="P2293" s="206"/>
      <c r="Q2293" s="262"/>
      <c r="R2293" s="262"/>
      <c r="S2293" s="207"/>
      <c r="T2293" s="263"/>
      <c r="U2293" s="26"/>
      <c r="V2293" s="26"/>
      <c r="W2293" s="26"/>
      <c r="X2293" s="26"/>
    </row>
    <row r="2294">
      <c r="A2294" s="28"/>
      <c r="B2294" s="28"/>
      <c r="C2294" s="28"/>
      <c r="D2294" s="96"/>
      <c r="E2294" s="105"/>
      <c r="F2294" s="105"/>
      <c r="G2294" s="206"/>
      <c r="H2294" s="206"/>
      <c r="I2294" s="206"/>
      <c r="J2294" s="206"/>
      <c r="K2294" s="206"/>
      <c r="L2294" s="206"/>
      <c r="M2294" s="206"/>
      <c r="N2294" s="206"/>
      <c r="O2294" s="206"/>
      <c r="P2294" s="206"/>
      <c r="Q2294" s="262"/>
      <c r="R2294" s="262"/>
      <c r="S2294" s="207"/>
      <c r="T2294" s="263"/>
      <c r="U2294" s="26"/>
      <c r="V2294" s="26"/>
      <c r="W2294" s="26"/>
      <c r="X2294" s="26"/>
    </row>
    <row r="2295">
      <c r="A2295" s="28"/>
      <c r="B2295" s="28"/>
      <c r="C2295" s="28"/>
      <c r="D2295" s="96"/>
      <c r="E2295" s="105"/>
      <c r="F2295" s="105"/>
      <c r="G2295" s="206"/>
      <c r="H2295" s="206"/>
      <c r="I2295" s="206"/>
      <c r="J2295" s="206"/>
      <c r="K2295" s="206"/>
      <c r="L2295" s="206"/>
      <c r="M2295" s="206"/>
      <c r="N2295" s="206"/>
      <c r="O2295" s="206"/>
      <c r="P2295" s="206"/>
      <c r="Q2295" s="262"/>
      <c r="R2295" s="262"/>
      <c r="S2295" s="207"/>
      <c r="T2295" s="263"/>
      <c r="U2295" s="26"/>
      <c r="V2295" s="26"/>
      <c r="W2295" s="26"/>
      <c r="X2295" s="26"/>
    </row>
    <row r="2296">
      <c r="A2296" s="28"/>
      <c r="B2296" s="28"/>
      <c r="C2296" s="28"/>
      <c r="D2296" s="96"/>
      <c r="E2296" s="105"/>
      <c r="F2296" s="105"/>
      <c r="G2296" s="206"/>
      <c r="H2296" s="206"/>
      <c r="I2296" s="206"/>
      <c r="J2296" s="206"/>
      <c r="K2296" s="206"/>
      <c r="L2296" s="206"/>
      <c r="M2296" s="206"/>
      <c r="N2296" s="206"/>
      <c r="O2296" s="206"/>
      <c r="P2296" s="206"/>
      <c r="Q2296" s="262"/>
      <c r="R2296" s="262"/>
      <c r="S2296" s="207"/>
      <c r="T2296" s="263"/>
      <c r="U2296" s="26"/>
      <c r="V2296" s="26"/>
      <c r="W2296" s="26"/>
      <c r="X2296" s="26"/>
    </row>
    <row r="2297">
      <c r="A2297" s="28"/>
      <c r="B2297" s="28"/>
      <c r="C2297" s="28"/>
      <c r="D2297" s="96"/>
      <c r="E2297" s="105"/>
      <c r="F2297" s="105"/>
      <c r="G2297" s="206"/>
      <c r="H2297" s="206"/>
      <c r="I2297" s="206"/>
      <c r="J2297" s="206"/>
      <c r="K2297" s="206"/>
      <c r="L2297" s="206"/>
      <c r="M2297" s="206"/>
      <c r="N2297" s="206"/>
      <c r="O2297" s="206"/>
      <c r="P2297" s="206"/>
      <c r="Q2297" s="262"/>
      <c r="R2297" s="262"/>
      <c r="S2297" s="207"/>
      <c r="T2297" s="263"/>
      <c r="U2297" s="26"/>
      <c r="V2297" s="26"/>
      <c r="W2297" s="26"/>
      <c r="X2297" s="26"/>
    </row>
    <row r="2298">
      <c r="A2298" s="28"/>
      <c r="B2298" s="28"/>
      <c r="C2298" s="28"/>
      <c r="D2298" s="96"/>
      <c r="E2298" s="105"/>
      <c r="F2298" s="105"/>
      <c r="G2298" s="206"/>
      <c r="H2298" s="206"/>
      <c r="I2298" s="206"/>
      <c r="J2298" s="206"/>
      <c r="K2298" s="206"/>
      <c r="L2298" s="206"/>
      <c r="M2298" s="206"/>
      <c r="N2298" s="206"/>
      <c r="O2298" s="206"/>
      <c r="P2298" s="206"/>
      <c r="Q2298" s="262"/>
      <c r="R2298" s="262"/>
      <c r="S2298" s="207"/>
      <c r="T2298" s="263"/>
      <c r="U2298" s="26"/>
      <c r="V2298" s="26"/>
      <c r="W2298" s="26"/>
      <c r="X2298" s="26"/>
    </row>
    <row r="2299">
      <c r="A2299" s="28"/>
      <c r="B2299" s="28"/>
      <c r="C2299" s="28"/>
      <c r="D2299" s="96"/>
      <c r="E2299" s="105"/>
      <c r="F2299" s="105"/>
      <c r="G2299" s="206"/>
      <c r="H2299" s="206"/>
      <c r="I2299" s="206"/>
      <c r="J2299" s="206"/>
      <c r="K2299" s="206"/>
      <c r="L2299" s="206"/>
      <c r="M2299" s="206"/>
      <c r="N2299" s="206"/>
      <c r="O2299" s="206"/>
      <c r="P2299" s="206"/>
      <c r="Q2299" s="262"/>
      <c r="R2299" s="262"/>
      <c r="S2299" s="207"/>
      <c r="T2299" s="263"/>
      <c r="U2299" s="26"/>
      <c r="V2299" s="26"/>
      <c r="W2299" s="26"/>
      <c r="X2299" s="26"/>
    </row>
    <row r="2300">
      <c r="A2300" s="28"/>
      <c r="B2300" s="28"/>
      <c r="C2300" s="28"/>
      <c r="D2300" s="96"/>
      <c r="E2300" s="105"/>
      <c r="F2300" s="105"/>
      <c r="G2300" s="206"/>
      <c r="H2300" s="206"/>
      <c r="I2300" s="206"/>
      <c r="J2300" s="206"/>
      <c r="K2300" s="206"/>
      <c r="L2300" s="206"/>
      <c r="M2300" s="206"/>
      <c r="N2300" s="206"/>
      <c r="O2300" s="206"/>
      <c r="P2300" s="206"/>
      <c r="Q2300" s="262"/>
      <c r="R2300" s="262"/>
      <c r="S2300" s="207"/>
      <c r="T2300" s="263"/>
      <c r="U2300" s="26"/>
      <c r="V2300" s="26"/>
      <c r="W2300" s="26"/>
      <c r="X2300" s="26"/>
    </row>
    <row r="2301">
      <c r="A2301" s="28"/>
      <c r="B2301" s="28"/>
      <c r="C2301" s="28"/>
      <c r="D2301" s="96"/>
      <c r="E2301" s="105"/>
      <c r="F2301" s="105"/>
      <c r="G2301" s="206"/>
      <c r="H2301" s="206"/>
      <c r="I2301" s="206"/>
      <c r="J2301" s="206"/>
      <c r="K2301" s="206"/>
      <c r="L2301" s="206"/>
      <c r="M2301" s="206"/>
      <c r="N2301" s="206"/>
      <c r="O2301" s="206"/>
      <c r="P2301" s="206"/>
      <c r="Q2301" s="262"/>
      <c r="R2301" s="262"/>
      <c r="S2301" s="207"/>
      <c r="T2301" s="263"/>
      <c r="U2301" s="26"/>
      <c r="V2301" s="26"/>
      <c r="W2301" s="26"/>
      <c r="X2301" s="26"/>
    </row>
    <row r="2302">
      <c r="A2302" s="28"/>
      <c r="B2302" s="28"/>
      <c r="C2302" s="28"/>
      <c r="D2302" s="96"/>
      <c r="E2302" s="105"/>
      <c r="F2302" s="105"/>
      <c r="G2302" s="206"/>
      <c r="H2302" s="206"/>
      <c r="I2302" s="206"/>
      <c r="J2302" s="206"/>
      <c r="K2302" s="206"/>
      <c r="L2302" s="206"/>
      <c r="M2302" s="206"/>
      <c r="N2302" s="206"/>
      <c r="O2302" s="206"/>
      <c r="P2302" s="206"/>
      <c r="Q2302" s="262"/>
      <c r="R2302" s="262"/>
      <c r="S2302" s="207"/>
      <c r="T2302" s="263"/>
      <c r="U2302" s="26"/>
      <c r="V2302" s="26"/>
      <c r="W2302" s="26"/>
      <c r="X2302" s="26"/>
    </row>
    <row r="2303">
      <c r="A2303" s="28"/>
      <c r="B2303" s="28"/>
      <c r="C2303" s="28"/>
      <c r="D2303" s="96"/>
      <c r="E2303" s="105"/>
      <c r="F2303" s="105"/>
      <c r="G2303" s="206"/>
      <c r="H2303" s="206"/>
      <c r="I2303" s="206"/>
      <c r="J2303" s="206"/>
      <c r="K2303" s="206"/>
      <c r="L2303" s="206"/>
      <c r="M2303" s="206"/>
      <c r="N2303" s="206"/>
      <c r="O2303" s="206"/>
      <c r="P2303" s="206"/>
      <c r="Q2303" s="262"/>
      <c r="R2303" s="262"/>
      <c r="S2303" s="207"/>
      <c r="T2303" s="263"/>
      <c r="U2303" s="26"/>
      <c r="V2303" s="26"/>
      <c r="W2303" s="26"/>
      <c r="X2303" s="26"/>
    </row>
    <row r="2304">
      <c r="A2304" s="28"/>
      <c r="B2304" s="28"/>
      <c r="C2304" s="28"/>
      <c r="D2304" s="96"/>
      <c r="E2304" s="105"/>
      <c r="F2304" s="105"/>
      <c r="G2304" s="206"/>
      <c r="H2304" s="206"/>
      <c r="I2304" s="206"/>
      <c r="J2304" s="206"/>
      <c r="K2304" s="206"/>
      <c r="L2304" s="206"/>
      <c r="M2304" s="206"/>
      <c r="N2304" s="206"/>
      <c r="O2304" s="206"/>
      <c r="P2304" s="206"/>
      <c r="Q2304" s="262"/>
      <c r="R2304" s="262"/>
      <c r="S2304" s="207"/>
      <c r="T2304" s="263"/>
      <c r="U2304" s="26"/>
      <c r="V2304" s="26"/>
      <c r="W2304" s="26"/>
      <c r="X2304" s="26"/>
    </row>
    <row r="2305">
      <c r="A2305" s="28"/>
      <c r="B2305" s="28"/>
      <c r="C2305" s="28"/>
      <c r="D2305" s="96"/>
      <c r="E2305" s="105"/>
      <c r="F2305" s="105"/>
      <c r="G2305" s="206"/>
      <c r="H2305" s="206"/>
      <c r="I2305" s="206"/>
      <c r="J2305" s="206"/>
      <c r="K2305" s="206"/>
      <c r="L2305" s="206"/>
      <c r="M2305" s="206"/>
      <c r="N2305" s="206"/>
      <c r="O2305" s="206"/>
      <c r="P2305" s="206"/>
      <c r="Q2305" s="262"/>
      <c r="R2305" s="262"/>
      <c r="S2305" s="207"/>
      <c r="T2305" s="263"/>
      <c r="U2305" s="26"/>
      <c r="V2305" s="26"/>
      <c r="W2305" s="26"/>
      <c r="X2305" s="26"/>
    </row>
    <row r="2306">
      <c r="A2306" s="28"/>
      <c r="B2306" s="28"/>
      <c r="C2306" s="28"/>
      <c r="D2306" s="96"/>
      <c r="E2306" s="105"/>
      <c r="F2306" s="105"/>
      <c r="G2306" s="206"/>
      <c r="H2306" s="206"/>
      <c r="I2306" s="206"/>
      <c r="J2306" s="206"/>
      <c r="K2306" s="206"/>
      <c r="L2306" s="206"/>
      <c r="M2306" s="206"/>
      <c r="N2306" s="206"/>
      <c r="O2306" s="206"/>
      <c r="P2306" s="206"/>
      <c r="Q2306" s="262"/>
      <c r="R2306" s="262"/>
      <c r="S2306" s="207"/>
      <c r="T2306" s="263"/>
      <c r="U2306" s="26"/>
      <c r="V2306" s="26"/>
      <c r="W2306" s="26"/>
      <c r="X2306" s="26"/>
    </row>
    <row r="2307">
      <c r="A2307" s="28"/>
      <c r="B2307" s="28"/>
      <c r="C2307" s="28"/>
      <c r="D2307" s="96"/>
      <c r="E2307" s="105"/>
      <c r="F2307" s="105"/>
      <c r="G2307" s="206"/>
      <c r="H2307" s="206"/>
      <c r="I2307" s="206"/>
      <c r="J2307" s="206"/>
      <c r="K2307" s="206"/>
      <c r="L2307" s="206"/>
      <c r="M2307" s="206"/>
      <c r="N2307" s="206"/>
      <c r="O2307" s="206"/>
      <c r="P2307" s="206"/>
      <c r="Q2307" s="262"/>
      <c r="R2307" s="262"/>
      <c r="S2307" s="207"/>
      <c r="T2307" s="263"/>
      <c r="U2307" s="26"/>
      <c r="V2307" s="26"/>
      <c r="W2307" s="26"/>
      <c r="X2307" s="26"/>
    </row>
    <row r="2308">
      <c r="A2308" s="28"/>
      <c r="B2308" s="28"/>
      <c r="C2308" s="28"/>
      <c r="D2308" s="96"/>
      <c r="E2308" s="105"/>
      <c r="F2308" s="105"/>
      <c r="G2308" s="206"/>
      <c r="H2308" s="206"/>
      <c r="I2308" s="206"/>
      <c r="J2308" s="206"/>
      <c r="K2308" s="206"/>
      <c r="L2308" s="206"/>
      <c r="M2308" s="206"/>
      <c r="N2308" s="206"/>
      <c r="O2308" s="206"/>
      <c r="P2308" s="206"/>
      <c r="Q2308" s="262"/>
      <c r="R2308" s="262"/>
      <c r="S2308" s="207"/>
      <c r="T2308" s="263"/>
      <c r="U2308" s="26"/>
      <c r="V2308" s="26"/>
      <c r="W2308" s="26"/>
      <c r="X2308" s="26"/>
    </row>
    <row r="2309">
      <c r="A2309" s="28"/>
      <c r="B2309" s="28"/>
      <c r="C2309" s="28"/>
      <c r="D2309" s="96"/>
      <c r="E2309" s="105"/>
      <c r="F2309" s="105"/>
      <c r="G2309" s="206"/>
      <c r="H2309" s="206"/>
      <c r="I2309" s="206"/>
      <c r="J2309" s="206"/>
      <c r="K2309" s="206"/>
      <c r="L2309" s="206"/>
      <c r="M2309" s="206"/>
      <c r="N2309" s="206"/>
      <c r="O2309" s="206"/>
      <c r="P2309" s="206"/>
      <c r="Q2309" s="262"/>
      <c r="R2309" s="262"/>
      <c r="S2309" s="207"/>
      <c r="T2309" s="263"/>
      <c r="U2309" s="26"/>
      <c r="V2309" s="26"/>
      <c r="W2309" s="26"/>
      <c r="X2309" s="26"/>
    </row>
    <row r="2310">
      <c r="A2310" s="28"/>
      <c r="B2310" s="28"/>
      <c r="C2310" s="28"/>
      <c r="D2310" s="96"/>
      <c r="E2310" s="105"/>
      <c r="F2310" s="105"/>
      <c r="G2310" s="206"/>
      <c r="H2310" s="206"/>
      <c r="I2310" s="206"/>
      <c r="J2310" s="206"/>
      <c r="K2310" s="206"/>
      <c r="L2310" s="206"/>
      <c r="M2310" s="206"/>
      <c r="N2310" s="206"/>
      <c r="O2310" s="206"/>
      <c r="P2310" s="206"/>
      <c r="Q2310" s="262"/>
      <c r="R2310" s="262"/>
      <c r="S2310" s="207"/>
      <c r="T2310" s="263"/>
      <c r="U2310" s="26"/>
      <c r="V2310" s="26"/>
      <c r="W2310" s="26"/>
      <c r="X2310" s="26"/>
    </row>
    <row r="2311">
      <c r="A2311" s="28"/>
      <c r="B2311" s="28"/>
      <c r="C2311" s="28"/>
      <c r="D2311" s="96"/>
      <c r="E2311" s="105"/>
      <c r="F2311" s="105"/>
      <c r="G2311" s="206"/>
      <c r="H2311" s="206"/>
      <c r="I2311" s="206"/>
      <c r="J2311" s="206"/>
      <c r="K2311" s="206"/>
      <c r="L2311" s="206"/>
      <c r="M2311" s="206"/>
      <c r="N2311" s="206"/>
      <c r="O2311" s="206"/>
      <c r="P2311" s="206"/>
      <c r="Q2311" s="262"/>
      <c r="R2311" s="262"/>
      <c r="S2311" s="207"/>
      <c r="T2311" s="263"/>
      <c r="U2311" s="26"/>
      <c r="V2311" s="26"/>
      <c r="W2311" s="26"/>
      <c r="X2311" s="26"/>
    </row>
    <row r="2312">
      <c r="A2312" s="28"/>
      <c r="B2312" s="28"/>
      <c r="C2312" s="28"/>
      <c r="D2312" s="96"/>
      <c r="E2312" s="105"/>
      <c r="F2312" s="105"/>
      <c r="G2312" s="206"/>
      <c r="H2312" s="206"/>
      <c r="I2312" s="206"/>
      <c r="J2312" s="206"/>
      <c r="K2312" s="206"/>
      <c r="L2312" s="206"/>
      <c r="M2312" s="206"/>
      <c r="N2312" s="206"/>
      <c r="O2312" s="206"/>
      <c r="P2312" s="206"/>
      <c r="Q2312" s="262"/>
      <c r="R2312" s="262"/>
      <c r="S2312" s="207"/>
      <c r="T2312" s="263"/>
      <c r="U2312" s="26"/>
      <c r="V2312" s="26"/>
      <c r="W2312" s="26"/>
      <c r="X2312" s="26"/>
    </row>
    <row r="2313">
      <c r="A2313" s="28"/>
      <c r="B2313" s="28"/>
      <c r="C2313" s="28"/>
      <c r="D2313" s="96"/>
      <c r="E2313" s="105"/>
      <c r="F2313" s="105"/>
      <c r="G2313" s="206"/>
      <c r="H2313" s="206"/>
      <c r="I2313" s="206"/>
      <c r="J2313" s="206"/>
      <c r="K2313" s="206"/>
      <c r="L2313" s="206"/>
      <c r="M2313" s="206"/>
      <c r="N2313" s="206"/>
      <c r="O2313" s="206"/>
      <c r="P2313" s="206"/>
      <c r="Q2313" s="262"/>
      <c r="R2313" s="262"/>
      <c r="S2313" s="207"/>
      <c r="T2313" s="263"/>
      <c r="U2313" s="26"/>
      <c r="V2313" s="26"/>
      <c r="W2313" s="26"/>
      <c r="X2313" s="26"/>
    </row>
    <row r="2314">
      <c r="A2314" s="28"/>
      <c r="B2314" s="28"/>
      <c r="C2314" s="28"/>
      <c r="D2314" s="96"/>
      <c r="E2314" s="105"/>
      <c r="F2314" s="105"/>
      <c r="G2314" s="206"/>
      <c r="H2314" s="206"/>
      <c r="I2314" s="206"/>
      <c r="J2314" s="206"/>
      <c r="K2314" s="206"/>
      <c r="L2314" s="206"/>
      <c r="M2314" s="206"/>
      <c r="N2314" s="206"/>
      <c r="O2314" s="206"/>
      <c r="P2314" s="206"/>
      <c r="Q2314" s="262"/>
      <c r="R2314" s="262"/>
      <c r="S2314" s="207"/>
      <c r="T2314" s="263"/>
      <c r="U2314" s="26"/>
      <c r="V2314" s="26"/>
      <c r="W2314" s="26"/>
      <c r="X2314" s="26"/>
    </row>
    <row r="2315">
      <c r="A2315" s="28"/>
      <c r="B2315" s="28"/>
      <c r="C2315" s="28"/>
      <c r="D2315" s="96"/>
      <c r="E2315" s="105"/>
      <c r="F2315" s="105"/>
      <c r="G2315" s="206"/>
      <c r="H2315" s="206"/>
      <c r="I2315" s="206"/>
      <c r="J2315" s="206"/>
      <c r="K2315" s="206"/>
      <c r="L2315" s="206"/>
      <c r="M2315" s="206"/>
      <c r="N2315" s="206"/>
      <c r="O2315" s="206"/>
      <c r="P2315" s="206"/>
      <c r="Q2315" s="262"/>
      <c r="R2315" s="262"/>
      <c r="S2315" s="207"/>
      <c r="T2315" s="263"/>
      <c r="U2315" s="26"/>
      <c r="V2315" s="26"/>
      <c r="W2315" s="26"/>
      <c r="X2315" s="26"/>
    </row>
    <row r="2316">
      <c r="A2316" s="28"/>
      <c r="B2316" s="28"/>
      <c r="C2316" s="28"/>
      <c r="D2316" s="96"/>
      <c r="E2316" s="105"/>
      <c r="F2316" s="105"/>
      <c r="G2316" s="206"/>
      <c r="H2316" s="206"/>
      <c r="I2316" s="206"/>
      <c r="J2316" s="206"/>
      <c r="K2316" s="206"/>
      <c r="L2316" s="206"/>
      <c r="M2316" s="206"/>
      <c r="N2316" s="206"/>
      <c r="O2316" s="206"/>
      <c r="P2316" s="206"/>
      <c r="Q2316" s="262"/>
      <c r="R2316" s="262"/>
      <c r="S2316" s="207"/>
      <c r="T2316" s="263"/>
      <c r="U2316" s="26"/>
      <c r="V2316" s="26"/>
      <c r="W2316" s="26"/>
      <c r="X2316" s="26"/>
    </row>
    <row r="2317">
      <c r="A2317" s="28"/>
      <c r="B2317" s="28"/>
      <c r="C2317" s="28"/>
      <c r="D2317" s="96"/>
      <c r="E2317" s="105"/>
      <c r="F2317" s="105"/>
      <c r="G2317" s="206"/>
      <c r="H2317" s="206"/>
      <c r="I2317" s="206"/>
      <c r="J2317" s="206"/>
      <c r="K2317" s="206"/>
      <c r="L2317" s="206"/>
      <c r="M2317" s="206"/>
      <c r="N2317" s="206"/>
      <c r="O2317" s="206"/>
      <c r="P2317" s="206"/>
      <c r="Q2317" s="262"/>
      <c r="R2317" s="262"/>
      <c r="S2317" s="207"/>
      <c r="T2317" s="263"/>
      <c r="U2317" s="26"/>
      <c r="V2317" s="26"/>
      <c r="W2317" s="26"/>
      <c r="X2317" s="26"/>
    </row>
    <row r="2318">
      <c r="A2318" s="28"/>
      <c r="B2318" s="28"/>
      <c r="C2318" s="28"/>
      <c r="D2318" s="96"/>
      <c r="E2318" s="105"/>
      <c r="F2318" s="105"/>
      <c r="G2318" s="206"/>
      <c r="H2318" s="206"/>
      <c r="I2318" s="206"/>
      <c r="J2318" s="206"/>
      <c r="K2318" s="206"/>
      <c r="L2318" s="206"/>
      <c r="M2318" s="206"/>
      <c r="N2318" s="206"/>
      <c r="O2318" s="206"/>
      <c r="P2318" s="206"/>
      <c r="Q2318" s="262"/>
      <c r="R2318" s="262"/>
      <c r="S2318" s="207"/>
      <c r="T2318" s="263"/>
      <c r="U2318" s="26"/>
      <c r="V2318" s="26"/>
      <c r="W2318" s="26"/>
      <c r="X2318" s="26"/>
    </row>
    <row r="2319">
      <c r="A2319" s="28"/>
      <c r="B2319" s="28"/>
      <c r="C2319" s="28"/>
      <c r="D2319" s="96"/>
      <c r="E2319" s="105"/>
      <c r="F2319" s="105"/>
      <c r="G2319" s="206"/>
      <c r="H2319" s="206"/>
      <c r="I2319" s="206"/>
      <c r="J2319" s="206"/>
      <c r="K2319" s="206"/>
      <c r="L2319" s="206"/>
      <c r="M2319" s="206"/>
      <c r="N2319" s="206"/>
      <c r="O2319" s="206"/>
      <c r="P2319" s="206"/>
      <c r="Q2319" s="262"/>
      <c r="R2319" s="262"/>
      <c r="S2319" s="207"/>
      <c r="T2319" s="263"/>
      <c r="U2319" s="26"/>
      <c r="V2319" s="26"/>
      <c r="W2319" s="26"/>
      <c r="X2319" s="26"/>
    </row>
    <row r="2320">
      <c r="A2320" s="28"/>
      <c r="B2320" s="28"/>
      <c r="C2320" s="28"/>
      <c r="D2320" s="96"/>
      <c r="E2320" s="105"/>
      <c r="F2320" s="105"/>
      <c r="G2320" s="206"/>
      <c r="H2320" s="206"/>
      <c r="I2320" s="206"/>
      <c r="J2320" s="206"/>
      <c r="K2320" s="206"/>
      <c r="L2320" s="206"/>
      <c r="M2320" s="206"/>
      <c r="N2320" s="206"/>
      <c r="O2320" s="206"/>
      <c r="P2320" s="206"/>
      <c r="Q2320" s="262"/>
      <c r="R2320" s="262"/>
      <c r="S2320" s="207"/>
      <c r="T2320" s="263"/>
      <c r="U2320" s="26"/>
      <c r="V2320" s="26"/>
      <c r="W2320" s="26"/>
      <c r="X2320" s="26"/>
    </row>
    <row r="2321">
      <c r="A2321" s="28"/>
      <c r="B2321" s="28"/>
      <c r="C2321" s="28"/>
      <c r="D2321" s="96"/>
      <c r="E2321" s="105"/>
      <c r="F2321" s="105"/>
      <c r="G2321" s="206"/>
      <c r="H2321" s="206"/>
      <c r="I2321" s="206"/>
      <c r="J2321" s="206"/>
      <c r="K2321" s="206"/>
      <c r="L2321" s="206"/>
      <c r="M2321" s="206"/>
      <c r="N2321" s="206"/>
      <c r="O2321" s="206"/>
      <c r="P2321" s="206"/>
      <c r="Q2321" s="262"/>
      <c r="R2321" s="262"/>
      <c r="S2321" s="207"/>
      <c r="T2321" s="263"/>
      <c r="U2321" s="26"/>
      <c r="V2321" s="26"/>
      <c r="W2321" s="26"/>
      <c r="X2321" s="26"/>
    </row>
    <row r="2322">
      <c r="A2322" s="28"/>
      <c r="B2322" s="28"/>
      <c r="C2322" s="28"/>
      <c r="D2322" s="96"/>
      <c r="E2322" s="105"/>
      <c r="F2322" s="105"/>
      <c r="G2322" s="206"/>
      <c r="H2322" s="206"/>
      <c r="I2322" s="206"/>
      <c r="J2322" s="206"/>
      <c r="K2322" s="206"/>
      <c r="L2322" s="206"/>
      <c r="M2322" s="206"/>
      <c r="N2322" s="206"/>
      <c r="O2322" s="206"/>
      <c r="P2322" s="206"/>
      <c r="Q2322" s="262"/>
      <c r="R2322" s="262"/>
      <c r="S2322" s="207"/>
      <c r="T2322" s="263"/>
      <c r="U2322" s="26"/>
      <c r="V2322" s="26"/>
      <c r="W2322" s="26"/>
      <c r="X2322" s="26"/>
    </row>
    <row r="2323">
      <c r="A2323" s="28"/>
      <c r="B2323" s="28"/>
      <c r="C2323" s="28"/>
      <c r="D2323" s="96"/>
      <c r="E2323" s="105"/>
      <c r="F2323" s="105"/>
      <c r="G2323" s="206"/>
      <c r="H2323" s="206"/>
      <c r="I2323" s="206"/>
      <c r="J2323" s="206"/>
      <c r="K2323" s="206"/>
      <c r="L2323" s="206"/>
      <c r="M2323" s="206"/>
      <c r="N2323" s="206"/>
      <c r="O2323" s="206"/>
      <c r="P2323" s="206"/>
      <c r="Q2323" s="262"/>
      <c r="R2323" s="262"/>
      <c r="S2323" s="207"/>
      <c r="T2323" s="263"/>
      <c r="U2323" s="26"/>
      <c r="V2323" s="26"/>
      <c r="W2323" s="26"/>
      <c r="X2323" s="26"/>
    </row>
    <row r="2324">
      <c r="A2324" s="28"/>
      <c r="B2324" s="28"/>
      <c r="C2324" s="28"/>
      <c r="D2324" s="96"/>
      <c r="E2324" s="105"/>
      <c r="F2324" s="105"/>
      <c r="G2324" s="206"/>
      <c r="H2324" s="206"/>
      <c r="I2324" s="206"/>
      <c r="J2324" s="206"/>
      <c r="K2324" s="206"/>
      <c r="L2324" s="206"/>
      <c r="M2324" s="206"/>
      <c r="N2324" s="206"/>
      <c r="O2324" s="206"/>
      <c r="P2324" s="206"/>
      <c r="Q2324" s="262"/>
      <c r="R2324" s="262"/>
      <c r="S2324" s="207"/>
      <c r="T2324" s="263"/>
      <c r="U2324" s="26"/>
      <c r="V2324" s="26"/>
      <c r="W2324" s="26"/>
      <c r="X2324" s="26"/>
    </row>
    <row r="2325">
      <c r="A2325" s="28"/>
      <c r="B2325" s="28"/>
      <c r="C2325" s="28"/>
      <c r="D2325" s="96"/>
      <c r="E2325" s="105"/>
      <c r="F2325" s="105"/>
      <c r="G2325" s="206"/>
      <c r="H2325" s="206"/>
      <c r="I2325" s="206"/>
      <c r="J2325" s="206"/>
      <c r="K2325" s="206"/>
      <c r="L2325" s="206"/>
      <c r="M2325" s="206"/>
      <c r="N2325" s="206"/>
      <c r="O2325" s="206"/>
      <c r="P2325" s="206"/>
      <c r="Q2325" s="262"/>
      <c r="R2325" s="262"/>
      <c r="S2325" s="207"/>
      <c r="T2325" s="263"/>
      <c r="U2325" s="26"/>
      <c r="V2325" s="26"/>
      <c r="W2325" s="26"/>
      <c r="X2325" s="26"/>
    </row>
    <row r="2326">
      <c r="A2326" s="28"/>
      <c r="B2326" s="28"/>
      <c r="C2326" s="28"/>
      <c r="D2326" s="96"/>
      <c r="E2326" s="105"/>
      <c r="F2326" s="105"/>
      <c r="G2326" s="206"/>
      <c r="H2326" s="206"/>
      <c r="I2326" s="206"/>
      <c r="J2326" s="206"/>
      <c r="K2326" s="206"/>
      <c r="L2326" s="206"/>
      <c r="M2326" s="206"/>
      <c r="N2326" s="206"/>
      <c r="O2326" s="206"/>
      <c r="P2326" s="206"/>
      <c r="Q2326" s="262"/>
      <c r="R2326" s="262"/>
      <c r="S2326" s="207"/>
      <c r="T2326" s="263"/>
      <c r="U2326" s="26"/>
      <c r="V2326" s="26"/>
      <c r="W2326" s="26"/>
      <c r="X2326" s="26"/>
    </row>
    <row r="2327">
      <c r="A2327" s="28"/>
      <c r="B2327" s="28"/>
      <c r="C2327" s="28"/>
      <c r="D2327" s="96"/>
      <c r="E2327" s="105"/>
      <c r="F2327" s="105"/>
      <c r="G2327" s="206"/>
      <c r="H2327" s="206"/>
      <c r="I2327" s="206"/>
      <c r="J2327" s="206"/>
      <c r="K2327" s="206"/>
      <c r="L2327" s="206"/>
      <c r="M2327" s="206"/>
      <c r="N2327" s="206"/>
      <c r="O2327" s="206"/>
      <c r="P2327" s="206"/>
      <c r="Q2327" s="262"/>
      <c r="R2327" s="262"/>
      <c r="S2327" s="207"/>
      <c r="T2327" s="263"/>
      <c r="U2327" s="26"/>
      <c r="V2327" s="26"/>
      <c r="W2327" s="26"/>
      <c r="X2327" s="26"/>
    </row>
    <row r="2328">
      <c r="A2328" s="28"/>
      <c r="B2328" s="28"/>
      <c r="C2328" s="28"/>
      <c r="D2328" s="96"/>
      <c r="E2328" s="105"/>
      <c r="F2328" s="105"/>
      <c r="G2328" s="206"/>
      <c r="H2328" s="206"/>
      <c r="I2328" s="206"/>
      <c r="J2328" s="206"/>
      <c r="K2328" s="206"/>
      <c r="L2328" s="206"/>
      <c r="M2328" s="206"/>
      <c r="N2328" s="206"/>
      <c r="O2328" s="206"/>
      <c r="P2328" s="206"/>
      <c r="Q2328" s="262"/>
      <c r="R2328" s="262"/>
      <c r="S2328" s="207"/>
      <c r="T2328" s="263"/>
      <c r="U2328" s="26"/>
      <c r="V2328" s="26"/>
      <c r="W2328" s="26"/>
      <c r="X2328" s="26"/>
    </row>
    <row r="2329">
      <c r="A2329" s="28"/>
      <c r="B2329" s="28"/>
      <c r="C2329" s="28"/>
      <c r="D2329" s="96"/>
      <c r="E2329" s="105"/>
      <c r="F2329" s="105"/>
      <c r="G2329" s="206"/>
      <c r="H2329" s="206"/>
      <c r="I2329" s="206"/>
      <c r="J2329" s="206"/>
      <c r="K2329" s="206"/>
      <c r="L2329" s="206"/>
      <c r="M2329" s="206"/>
      <c r="N2329" s="206"/>
      <c r="O2329" s="206"/>
      <c r="P2329" s="206"/>
      <c r="Q2329" s="262"/>
      <c r="R2329" s="262"/>
      <c r="S2329" s="207"/>
      <c r="T2329" s="263"/>
      <c r="U2329" s="26"/>
      <c r="V2329" s="26"/>
      <c r="W2329" s="26"/>
      <c r="X2329" s="26"/>
    </row>
    <row r="2330">
      <c r="A2330" s="28"/>
      <c r="B2330" s="28"/>
      <c r="C2330" s="28"/>
      <c r="D2330" s="96"/>
      <c r="E2330" s="105"/>
      <c r="F2330" s="105"/>
      <c r="G2330" s="206"/>
      <c r="H2330" s="206"/>
      <c r="I2330" s="206"/>
      <c r="J2330" s="206"/>
      <c r="K2330" s="206"/>
      <c r="L2330" s="206"/>
      <c r="M2330" s="206"/>
      <c r="N2330" s="206"/>
      <c r="O2330" s="206"/>
      <c r="P2330" s="206"/>
      <c r="Q2330" s="262"/>
      <c r="R2330" s="262"/>
      <c r="S2330" s="207"/>
      <c r="T2330" s="263"/>
      <c r="U2330" s="26"/>
      <c r="V2330" s="26"/>
      <c r="W2330" s="26"/>
      <c r="X2330" s="26"/>
    </row>
    <row r="2331">
      <c r="A2331" s="28"/>
      <c r="B2331" s="28"/>
      <c r="C2331" s="28"/>
      <c r="D2331" s="96"/>
      <c r="E2331" s="105"/>
      <c r="F2331" s="105"/>
      <c r="G2331" s="206"/>
      <c r="H2331" s="206"/>
      <c r="I2331" s="206"/>
      <c r="J2331" s="206"/>
      <c r="K2331" s="206"/>
      <c r="L2331" s="206"/>
      <c r="M2331" s="206"/>
      <c r="N2331" s="206"/>
      <c r="O2331" s="206"/>
      <c r="P2331" s="206"/>
      <c r="Q2331" s="262"/>
      <c r="R2331" s="262"/>
      <c r="S2331" s="207"/>
      <c r="T2331" s="263"/>
      <c r="U2331" s="26"/>
      <c r="V2331" s="26"/>
      <c r="W2331" s="26"/>
      <c r="X2331" s="26"/>
    </row>
    <row r="2332">
      <c r="A2332" s="28"/>
      <c r="B2332" s="28"/>
      <c r="C2332" s="28"/>
      <c r="D2332" s="96"/>
      <c r="E2332" s="105"/>
      <c r="F2332" s="105"/>
      <c r="G2332" s="206"/>
      <c r="H2332" s="206"/>
      <c r="I2332" s="206"/>
      <c r="J2332" s="206"/>
      <c r="K2332" s="206"/>
      <c r="L2332" s="206"/>
      <c r="M2332" s="206"/>
      <c r="N2332" s="206"/>
      <c r="O2332" s="206"/>
      <c r="P2332" s="206"/>
      <c r="Q2332" s="262"/>
      <c r="R2332" s="262"/>
      <c r="S2332" s="207"/>
      <c r="T2332" s="263"/>
      <c r="U2332" s="26"/>
      <c r="V2332" s="26"/>
      <c r="W2332" s="26"/>
      <c r="X2332" s="26"/>
    </row>
    <row r="2333">
      <c r="A2333" s="28"/>
      <c r="B2333" s="28"/>
      <c r="C2333" s="28"/>
      <c r="D2333" s="96"/>
      <c r="E2333" s="105"/>
      <c r="F2333" s="105"/>
      <c r="G2333" s="206"/>
      <c r="H2333" s="206"/>
      <c r="I2333" s="206"/>
      <c r="J2333" s="206"/>
      <c r="K2333" s="206"/>
      <c r="L2333" s="206"/>
      <c r="M2333" s="206"/>
      <c r="N2333" s="206"/>
      <c r="O2333" s="206"/>
      <c r="P2333" s="206"/>
      <c r="Q2333" s="262"/>
      <c r="R2333" s="262"/>
      <c r="S2333" s="207"/>
      <c r="T2333" s="263"/>
      <c r="U2333" s="26"/>
      <c r="V2333" s="26"/>
      <c r="W2333" s="26"/>
      <c r="X2333" s="26"/>
    </row>
    <row r="2334">
      <c r="A2334" s="28"/>
      <c r="B2334" s="28"/>
      <c r="C2334" s="28"/>
      <c r="D2334" s="96"/>
      <c r="E2334" s="105"/>
      <c r="F2334" s="105"/>
      <c r="G2334" s="206"/>
      <c r="H2334" s="206"/>
      <c r="I2334" s="206"/>
      <c r="J2334" s="206"/>
      <c r="K2334" s="206"/>
      <c r="L2334" s="206"/>
      <c r="M2334" s="206"/>
      <c r="N2334" s="206"/>
      <c r="O2334" s="206"/>
      <c r="P2334" s="206"/>
      <c r="Q2334" s="262"/>
      <c r="R2334" s="262"/>
      <c r="S2334" s="207"/>
      <c r="T2334" s="263"/>
      <c r="U2334" s="26"/>
      <c r="V2334" s="26"/>
      <c r="W2334" s="26"/>
      <c r="X2334" s="26"/>
    </row>
    <row r="2335">
      <c r="A2335" s="28"/>
      <c r="B2335" s="28"/>
      <c r="C2335" s="28"/>
      <c r="D2335" s="96"/>
      <c r="E2335" s="105"/>
      <c r="F2335" s="105"/>
      <c r="G2335" s="206"/>
      <c r="H2335" s="206"/>
      <c r="I2335" s="206"/>
      <c r="J2335" s="206"/>
      <c r="K2335" s="206"/>
      <c r="L2335" s="206"/>
      <c r="M2335" s="206"/>
      <c r="N2335" s="206"/>
      <c r="O2335" s="206"/>
      <c r="P2335" s="206"/>
      <c r="Q2335" s="262"/>
      <c r="R2335" s="262"/>
      <c r="S2335" s="207"/>
      <c r="T2335" s="263"/>
      <c r="U2335" s="26"/>
      <c r="V2335" s="26"/>
      <c r="W2335" s="26"/>
      <c r="X2335" s="26"/>
    </row>
    <row r="2336">
      <c r="A2336" s="28"/>
      <c r="B2336" s="28"/>
      <c r="C2336" s="28"/>
      <c r="D2336" s="96"/>
      <c r="E2336" s="105"/>
      <c r="F2336" s="105"/>
      <c r="G2336" s="206"/>
      <c r="H2336" s="206"/>
      <c r="I2336" s="206"/>
      <c r="J2336" s="206"/>
      <c r="K2336" s="206"/>
      <c r="L2336" s="206"/>
      <c r="M2336" s="206"/>
      <c r="N2336" s="206"/>
      <c r="O2336" s="206"/>
      <c r="P2336" s="206"/>
      <c r="Q2336" s="262"/>
      <c r="R2336" s="262"/>
      <c r="S2336" s="207"/>
      <c r="T2336" s="263"/>
      <c r="U2336" s="26"/>
      <c r="V2336" s="26"/>
      <c r="W2336" s="26"/>
      <c r="X2336" s="26"/>
    </row>
    <row r="2337">
      <c r="A2337" s="28"/>
      <c r="B2337" s="28"/>
      <c r="C2337" s="28"/>
      <c r="D2337" s="96"/>
      <c r="E2337" s="105"/>
      <c r="F2337" s="105"/>
      <c r="G2337" s="206"/>
      <c r="H2337" s="206"/>
      <c r="I2337" s="206"/>
      <c r="J2337" s="206"/>
      <c r="K2337" s="206"/>
      <c r="L2337" s="206"/>
      <c r="M2337" s="206"/>
      <c r="N2337" s="206"/>
      <c r="O2337" s="206"/>
      <c r="P2337" s="206"/>
      <c r="Q2337" s="262"/>
      <c r="R2337" s="262"/>
      <c r="S2337" s="207"/>
      <c r="T2337" s="263"/>
      <c r="U2337" s="26"/>
      <c r="V2337" s="26"/>
      <c r="W2337" s="26"/>
      <c r="X2337" s="26"/>
    </row>
    <row r="2338">
      <c r="A2338" s="28"/>
      <c r="B2338" s="28"/>
      <c r="C2338" s="28"/>
      <c r="D2338" s="96"/>
      <c r="E2338" s="105"/>
      <c r="F2338" s="105"/>
      <c r="G2338" s="206"/>
      <c r="H2338" s="206"/>
      <c r="I2338" s="206"/>
      <c r="J2338" s="206"/>
      <c r="K2338" s="206"/>
      <c r="L2338" s="206"/>
      <c r="M2338" s="206"/>
      <c r="N2338" s="206"/>
      <c r="O2338" s="206"/>
      <c r="P2338" s="206"/>
      <c r="Q2338" s="262"/>
      <c r="R2338" s="262"/>
      <c r="S2338" s="207"/>
      <c r="T2338" s="263"/>
      <c r="U2338" s="26"/>
      <c r="V2338" s="26"/>
      <c r="W2338" s="26"/>
      <c r="X2338" s="26"/>
    </row>
    <row r="2339">
      <c r="A2339" s="28"/>
      <c r="B2339" s="28"/>
      <c r="C2339" s="28"/>
      <c r="D2339" s="96"/>
      <c r="E2339" s="105"/>
      <c r="F2339" s="105"/>
      <c r="G2339" s="206"/>
      <c r="H2339" s="206"/>
      <c r="I2339" s="206"/>
      <c r="J2339" s="206"/>
      <c r="K2339" s="206"/>
      <c r="L2339" s="206"/>
      <c r="M2339" s="206"/>
      <c r="N2339" s="206"/>
      <c r="O2339" s="206"/>
      <c r="P2339" s="206"/>
      <c r="Q2339" s="262"/>
      <c r="R2339" s="262"/>
      <c r="S2339" s="207"/>
      <c r="T2339" s="263"/>
      <c r="U2339" s="26"/>
      <c r="V2339" s="26"/>
      <c r="W2339" s="26"/>
      <c r="X2339" s="26"/>
    </row>
    <row r="2340">
      <c r="A2340" s="28"/>
      <c r="B2340" s="28"/>
      <c r="C2340" s="28"/>
      <c r="D2340" s="96"/>
      <c r="E2340" s="105"/>
      <c r="F2340" s="105"/>
      <c r="G2340" s="206"/>
      <c r="H2340" s="206"/>
      <c r="I2340" s="206"/>
      <c r="J2340" s="206"/>
      <c r="K2340" s="206"/>
      <c r="L2340" s="206"/>
      <c r="M2340" s="206"/>
      <c r="N2340" s="206"/>
      <c r="O2340" s="206"/>
      <c r="P2340" s="206"/>
      <c r="Q2340" s="262"/>
      <c r="R2340" s="262"/>
      <c r="S2340" s="207"/>
      <c r="T2340" s="263"/>
      <c r="U2340" s="26"/>
      <c r="V2340" s="26"/>
      <c r="W2340" s="26"/>
      <c r="X2340" s="26"/>
    </row>
    <row r="2341">
      <c r="A2341" s="28"/>
      <c r="B2341" s="28"/>
      <c r="C2341" s="28"/>
      <c r="D2341" s="96"/>
      <c r="E2341" s="105"/>
      <c r="F2341" s="105"/>
      <c r="G2341" s="206"/>
      <c r="H2341" s="206"/>
      <c r="I2341" s="206"/>
      <c r="J2341" s="206"/>
      <c r="K2341" s="206"/>
      <c r="L2341" s="206"/>
      <c r="M2341" s="206"/>
      <c r="N2341" s="206"/>
      <c r="O2341" s="206"/>
      <c r="P2341" s="206"/>
      <c r="Q2341" s="262"/>
      <c r="R2341" s="262"/>
      <c r="S2341" s="207"/>
      <c r="T2341" s="263"/>
      <c r="U2341" s="26"/>
      <c r="V2341" s="26"/>
      <c r="W2341" s="26"/>
      <c r="X2341" s="26"/>
    </row>
    <row r="2342">
      <c r="A2342" s="28"/>
      <c r="B2342" s="28"/>
      <c r="C2342" s="28"/>
      <c r="D2342" s="96"/>
      <c r="E2342" s="105"/>
      <c r="F2342" s="105"/>
      <c r="G2342" s="206"/>
      <c r="H2342" s="206"/>
      <c r="I2342" s="206"/>
      <c r="J2342" s="206"/>
      <c r="K2342" s="206"/>
      <c r="L2342" s="206"/>
      <c r="M2342" s="206"/>
      <c r="N2342" s="206"/>
      <c r="O2342" s="206"/>
      <c r="P2342" s="206"/>
      <c r="Q2342" s="262"/>
      <c r="R2342" s="262"/>
      <c r="S2342" s="207"/>
      <c r="T2342" s="263"/>
      <c r="U2342" s="26"/>
      <c r="V2342" s="26"/>
      <c r="W2342" s="26"/>
      <c r="X2342" s="26"/>
    </row>
    <row r="2343">
      <c r="A2343" s="28"/>
      <c r="B2343" s="28"/>
      <c r="C2343" s="28"/>
      <c r="D2343" s="96"/>
      <c r="E2343" s="105"/>
      <c r="F2343" s="105"/>
      <c r="G2343" s="206"/>
      <c r="H2343" s="206"/>
      <c r="I2343" s="206"/>
      <c r="J2343" s="206"/>
      <c r="K2343" s="206"/>
      <c r="L2343" s="206"/>
      <c r="M2343" s="206"/>
      <c r="N2343" s="206"/>
      <c r="O2343" s="206"/>
      <c r="P2343" s="206"/>
      <c r="Q2343" s="262"/>
      <c r="R2343" s="262"/>
      <c r="S2343" s="207"/>
      <c r="T2343" s="263"/>
      <c r="U2343" s="26"/>
      <c r="V2343" s="26"/>
      <c r="W2343" s="26"/>
      <c r="X2343" s="26"/>
    </row>
    <row r="2344">
      <c r="A2344" s="28"/>
      <c r="B2344" s="28"/>
      <c r="C2344" s="28"/>
      <c r="D2344" s="96"/>
      <c r="E2344" s="105"/>
      <c r="F2344" s="105"/>
      <c r="G2344" s="206"/>
      <c r="H2344" s="206"/>
      <c r="I2344" s="206"/>
      <c r="J2344" s="206"/>
      <c r="K2344" s="206"/>
      <c r="L2344" s="206"/>
      <c r="M2344" s="206"/>
      <c r="N2344" s="206"/>
      <c r="O2344" s="206"/>
      <c r="P2344" s="206"/>
      <c r="Q2344" s="262"/>
      <c r="R2344" s="262"/>
      <c r="S2344" s="207"/>
      <c r="T2344" s="263"/>
      <c r="U2344" s="26"/>
      <c r="V2344" s="26"/>
      <c r="W2344" s="26"/>
      <c r="X2344" s="26"/>
    </row>
    <row r="2345">
      <c r="A2345" s="28"/>
      <c r="B2345" s="28"/>
      <c r="C2345" s="28"/>
      <c r="D2345" s="96"/>
      <c r="E2345" s="105"/>
      <c r="F2345" s="105"/>
      <c r="G2345" s="206"/>
      <c r="H2345" s="206"/>
      <c r="I2345" s="206"/>
      <c r="J2345" s="206"/>
      <c r="K2345" s="206"/>
      <c r="L2345" s="206"/>
      <c r="M2345" s="206"/>
      <c r="N2345" s="206"/>
      <c r="O2345" s="206"/>
      <c r="P2345" s="206"/>
      <c r="Q2345" s="262"/>
      <c r="R2345" s="262"/>
      <c r="S2345" s="207"/>
      <c r="T2345" s="263"/>
      <c r="U2345" s="26"/>
      <c r="V2345" s="26"/>
      <c r="W2345" s="26"/>
      <c r="X2345" s="26"/>
    </row>
    <row r="2346">
      <c r="A2346" s="28"/>
      <c r="B2346" s="28"/>
      <c r="C2346" s="28"/>
      <c r="D2346" s="96"/>
      <c r="E2346" s="105"/>
      <c r="F2346" s="105"/>
      <c r="G2346" s="206"/>
      <c r="H2346" s="206"/>
      <c r="I2346" s="206"/>
      <c r="J2346" s="206"/>
      <c r="K2346" s="206"/>
      <c r="L2346" s="206"/>
      <c r="M2346" s="206"/>
      <c r="N2346" s="206"/>
      <c r="O2346" s="206"/>
      <c r="P2346" s="206"/>
      <c r="Q2346" s="262"/>
      <c r="R2346" s="262"/>
      <c r="S2346" s="207"/>
      <c r="T2346" s="263"/>
      <c r="U2346" s="26"/>
      <c r="V2346" s="26"/>
      <c r="W2346" s="26"/>
      <c r="X2346" s="26"/>
    </row>
    <row r="2347">
      <c r="A2347" s="28"/>
      <c r="B2347" s="28"/>
      <c r="C2347" s="28"/>
      <c r="D2347" s="96"/>
      <c r="E2347" s="105"/>
      <c r="F2347" s="105"/>
      <c r="G2347" s="206"/>
      <c r="H2347" s="206"/>
      <c r="I2347" s="206"/>
      <c r="J2347" s="206"/>
      <c r="K2347" s="206"/>
      <c r="L2347" s="206"/>
      <c r="M2347" s="206"/>
      <c r="N2347" s="206"/>
      <c r="O2347" s="206"/>
      <c r="P2347" s="206"/>
      <c r="Q2347" s="262"/>
      <c r="R2347" s="262"/>
      <c r="S2347" s="207"/>
      <c r="T2347" s="263"/>
      <c r="U2347" s="26"/>
      <c r="V2347" s="26"/>
      <c r="W2347" s="26"/>
      <c r="X2347" s="26"/>
    </row>
    <row r="2348">
      <c r="A2348" s="28"/>
      <c r="B2348" s="28"/>
      <c r="C2348" s="28"/>
      <c r="D2348" s="96"/>
      <c r="E2348" s="105"/>
      <c r="F2348" s="105"/>
      <c r="G2348" s="206"/>
      <c r="H2348" s="206"/>
      <c r="I2348" s="206"/>
      <c r="J2348" s="206"/>
      <c r="K2348" s="206"/>
      <c r="L2348" s="206"/>
      <c r="M2348" s="206"/>
      <c r="N2348" s="206"/>
      <c r="O2348" s="206"/>
      <c r="P2348" s="206"/>
      <c r="Q2348" s="262"/>
      <c r="R2348" s="262"/>
      <c r="S2348" s="207"/>
      <c r="T2348" s="263"/>
      <c r="U2348" s="26"/>
      <c r="V2348" s="26"/>
      <c r="W2348" s="26"/>
      <c r="X2348" s="26"/>
    </row>
    <row r="2349">
      <c r="A2349" s="28"/>
      <c r="B2349" s="28"/>
      <c r="C2349" s="28"/>
      <c r="D2349" s="96"/>
      <c r="E2349" s="105"/>
      <c r="F2349" s="105"/>
      <c r="G2349" s="206"/>
      <c r="H2349" s="206"/>
      <c r="I2349" s="206"/>
      <c r="J2349" s="206"/>
      <c r="K2349" s="206"/>
      <c r="L2349" s="206"/>
      <c r="M2349" s="206"/>
      <c r="N2349" s="206"/>
      <c r="O2349" s="206"/>
      <c r="P2349" s="206"/>
      <c r="Q2349" s="262"/>
      <c r="R2349" s="262"/>
      <c r="S2349" s="207"/>
      <c r="T2349" s="263"/>
      <c r="U2349" s="26"/>
      <c r="V2349" s="26"/>
      <c r="W2349" s="26"/>
      <c r="X2349" s="26"/>
    </row>
    <row r="2350">
      <c r="A2350" s="28"/>
      <c r="B2350" s="28"/>
      <c r="C2350" s="28"/>
      <c r="D2350" s="96"/>
      <c r="E2350" s="105"/>
      <c r="F2350" s="105"/>
      <c r="G2350" s="206"/>
      <c r="H2350" s="206"/>
      <c r="I2350" s="206"/>
      <c r="J2350" s="206"/>
      <c r="K2350" s="206"/>
      <c r="L2350" s="206"/>
      <c r="M2350" s="206"/>
      <c r="N2350" s="206"/>
      <c r="O2350" s="206"/>
      <c r="P2350" s="206"/>
      <c r="Q2350" s="262"/>
      <c r="R2350" s="262"/>
      <c r="S2350" s="207"/>
      <c r="T2350" s="263"/>
      <c r="U2350" s="26"/>
      <c r="V2350" s="26"/>
      <c r="W2350" s="26"/>
      <c r="X2350" s="26"/>
    </row>
    <row r="2351">
      <c r="A2351" s="28"/>
      <c r="B2351" s="28"/>
      <c r="C2351" s="28"/>
      <c r="D2351" s="96"/>
      <c r="E2351" s="105"/>
      <c r="F2351" s="105"/>
      <c r="G2351" s="206"/>
      <c r="H2351" s="206"/>
      <c r="I2351" s="206"/>
      <c r="J2351" s="206"/>
      <c r="K2351" s="206"/>
      <c r="L2351" s="206"/>
      <c r="M2351" s="206"/>
      <c r="N2351" s="206"/>
      <c r="O2351" s="206"/>
      <c r="P2351" s="206"/>
      <c r="Q2351" s="262"/>
      <c r="R2351" s="262"/>
      <c r="S2351" s="207"/>
      <c r="T2351" s="263"/>
      <c r="U2351" s="26"/>
      <c r="V2351" s="26"/>
      <c r="W2351" s="26"/>
      <c r="X2351" s="26"/>
    </row>
    <row r="2352">
      <c r="A2352" s="28"/>
      <c r="B2352" s="28"/>
      <c r="C2352" s="28"/>
      <c r="D2352" s="96"/>
      <c r="E2352" s="105"/>
      <c r="F2352" s="105"/>
      <c r="G2352" s="206"/>
      <c r="H2352" s="206"/>
      <c r="I2352" s="206"/>
      <c r="J2352" s="206"/>
      <c r="K2352" s="206"/>
      <c r="L2352" s="206"/>
      <c r="M2352" s="206"/>
      <c r="N2352" s="206"/>
      <c r="O2352" s="206"/>
      <c r="P2352" s="206"/>
      <c r="Q2352" s="262"/>
      <c r="R2352" s="262"/>
      <c r="S2352" s="207"/>
      <c r="T2352" s="263"/>
      <c r="U2352" s="26"/>
      <c r="V2352" s="26"/>
      <c r="W2352" s="26"/>
      <c r="X2352" s="26"/>
    </row>
    <row r="2353">
      <c r="A2353" s="28"/>
      <c r="B2353" s="28"/>
      <c r="C2353" s="28"/>
      <c r="D2353" s="96"/>
      <c r="E2353" s="105"/>
      <c r="F2353" s="105"/>
      <c r="G2353" s="206"/>
      <c r="H2353" s="206"/>
      <c r="I2353" s="206"/>
      <c r="J2353" s="206"/>
      <c r="K2353" s="206"/>
      <c r="L2353" s="206"/>
      <c r="M2353" s="206"/>
      <c r="N2353" s="206"/>
      <c r="O2353" s="206"/>
      <c r="P2353" s="206"/>
      <c r="Q2353" s="262"/>
      <c r="R2353" s="262"/>
      <c r="S2353" s="207"/>
      <c r="T2353" s="263"/>
      <c r="U2353" s="26"/>
      <c r="V2353" s="26"/>
      <c r="W2353" s="26"/>
      <c r="X2353" s="26"/>
    </row>
    <row r="2354">
      <c r="A2354" s="28"/>
      <c r="B2354" s="28"/>
      <c r="C2354" s="28"/>
      <c r="D2354" s="96"/>
      <c r="E2354" s="105"/>
      <c r="F2354" s="105"/>
      <c r="G2354" s="206"/>
      <c r="H2354" s="206"/>
      <c r="I2354" s="206"/>
      <c r="J2354" s="206"/>
      <c r="K2354" s="206"/>
      <c r="L2354" s="206"/>
      <c r="M2354" s="206"/>
      <c r="N2354" s="206"/>
      <c r="O2354" s="206"/>
      <c r="P2354" s="206"/>
      <c r="Q2354" s="262"/>
      <c r="R2354" s="262"/>
      <c r="S2354" s="207"/>
      <c r="T2354" s="263"/>
      <c r="U2354" s="26"/>
      <c r="V2354" s="26"/>
      <c r="W2354" s="26"/>
      <c r="X2354" s="26"/>
    </row>
    <row r="2355">
      <c r="A2355" s="28"/>
      <c r="B2355" s="28"/>
      <c r="C2355" s="28"/>
      <c r="D2355" s="96"/>
      <c r="E2355" s="105"/>
      <c r="F2355" s="105"/>
      <c r="G2355" s="206"/>
      <c r="H2355" s="206"/>
      <c r="I2355" s="206"/>
      <c r="J2355" s="206"/>
      <c r="K2355" s="206"/>
      <c r="L2355" s="206"/>
      <c r="M2355" s="206"/>
      <c r="N2355" s="206"/>
      <c r="O2355" s="206"/>
      <c r="P2355" s="206"/>
      <c r="Q2355" s="262"/>
      <c r="R2355" s="262"/>
      <c r="S2355" s="207"/>
      <c r="T2355" s="263"/>
      <c r="U2355" s="26"/>
      <c r="V2355" s="26"/>
      <c r="W2355" s="26"/>
      <c r="X2355" s="26"/>
    </row>
    <row r="2356">
      <c r="A2356" s="28"/>
      <c r="B2356" s="28"/>
      <c r="C2356" s="28"/>
      <c r="D2356" s="96"/>
      <c r="E2356" s="105"/>
      <c r="F2356" s="105"/>
      <c r="G2356" s="206"/>
      <c r="H2356" s="206"/>
      <c r="I2356" s="206"/>
      <c r="J2356" s="206"/>
      <c r="K2356" s="206"/>
      <c r="L2356" s="206"/>
      <c r="M2356" s="206"/>
      <c r="N2356" s="206"/>
      <c r="O2356" s="206"/>
      <c r="P2356" s="206"/>
      <c r="Q2356" s="262"/>
      <c r="R2356" s="262"/>
      <c r="S2356" s="207"/>
      <c r="T2356" s="263"/>
      <c r="U2356" s="26"/>
      <c r="V2356" s="26"/>
      <c r="W2356" s="26"/>
      <c r="X2356" s="26"/>
    </row>
    <row r="2357">
      <c r="A2357" s="28"/>
      <c r="B2357" s="28"/>
      <c r="C2357" s="28"/>
      <c r="D2357" s="96"/>
      <c r="E2357" s="105"/>
      <c r="F2357" s="105"/>
      <c r="G2357" s="206"/>
      <c r="H2357" s="206"/>
      <c r="I2357" s="206"/>
      <c r="J2357" s="206"/>
      <c r="K2357" s="206"/>
      <c r="L2357" s="206"/>
      <c r="M2357" s="206"/>
      <c r="N2357" s="206"/>
      <c r="O2357" s="206"/>
      <c r="P2357" s="206"/>
      <c r="Q2357" s="262"/>
      <c r="R2357" s="262"/>
      <c r="S2357" s="207"/>
      <c r="T2357" s="263"/>
      <c r="U2357" s="26"/>
      <c r="V2357" s="26"/>
      <c r="W2357" s="26"/>
      <c r="X2357" s="26"/>
    </row>
    <row r="2358">
      <c r="A2358" s="28"/>
      <c r="B2358" s="28"/>
      <c r="C2358" s="28"/>
      <c r="D2358" s="96"/>
      <c r="E2358" s="105"/>
      <c r="F2358" s="105"/>
      <c r="G2358" s="206"/>
      <c r="H2358" s="206"/>
      <c r="I2358" s="206"/>
      <c r="J2358" s="206"/>
      <c r="K2358" s="206"/>
      <c r="L2358" s="206"/>
      <c r="M2358" s="206"/>
      <c r="N2358" s="206"/>
      <c r="O2358" s="206"/>
      <c r="P2358" s="206"/>
      <c r="Q2358" s="262"/>
      <c r="R2358" s="262"/>
      <c r="S2358" s="207"/>
      <c r="T2358" s="263"/>
      <c r="U2358" s="26"/>
      <c r="V2358" s="26"/>
      <c r="W2358" s="26"/>
      <c r="X2358" s="26"/>
    </row>
    <row r="2359">
      <c r="A2359" s="28"/>
      <c r="B2359" s="28"/>
      <c r="C2359" s="28"/>
      <c r="D2359" s="96"/>
      <c r="E2359" s="105"/>
      <c r="F2359" s="105"/>
      <c r="G2359" s="206"/>
      <c r="H2359" s="206"/>
      <c r="I2359" s="206"/>
      <c r="J2359" s="206"/>
      <c r="K2359" s="206"/>
      <c r="L2359" s="206"/>
      <c r="M2359" s="206"/>
      <c r="N2359" s="206"/>
      <c r="O2359" s="206"/>
      <c r="P2359" s="206"/>
      <c r="Q2359" s="262"/>
      <c r="R2359" s="262"/>
      <c r="S2359" s="207"/>
      <c r="T2359" s="263"/>
      <c r="U2359" s="26"/>
      <c r="V2359" s="26"/>
      <c r="W2359" s="26"/>
      <c r="X2359" s="26"/>
    </row>
    <row r="2360">
      <c r="A2360" s="28"/>
      <c r="B2360" s="28"/>
      <c r="C2360" s="28"/>
      <c r="D2360" s="96"/>
      <c r="E2360" s="105"/>
      <c r="F2360" s="105"/>
      <c r="G2360" s="206"/>
      <c r="H2360" s="206"/>
      <c r="I2360" s="206"/>
      <c r="J2360" s="206"/>
      <c r="K2360" s="206"/>
      <c r="L2360" s="206"/>
      <c r="M2360" s="206"/>
      <c r="N2360" s="206"/>
      <c r="O2360" s="206"/>
      <c r="P2360" s="206"/>
      <c r="Q2360" s="262"/>
      <c r="R2360" s="262"/>
      <c r="S2360" s="207"/>
      <c r="T2360" s="263"/>
      <c r="U2360" s="26"/>
      <c r="V2360" s="26"/>
      <c r="W2360" s="26"/>
      <c r="X2360" s="26"/>
    </row>
    <row r="2361">
      <c r="A2361" s="28"/>
      <c r="B2361" s="28"/>
      <c r="C2361" s="28"/>
      <c r="D2361" s="96"/>
      <c r="E2361" s="105"/>
      <c r="F2361" s="105"/>
      <c r="G2361" s="206"/>
      <c r="H2361" s="206"/>
      <c r="I2361" s="206"/>
      <c r="J2361" s="206"/>
      <c r="K2361" s="206"/>
      <c r="L2361" s="206"/>
      <c r="M2361" s="206"/>
      <c r="N2361" s="206"/>
      <c r="O2361" s="206"/>
      <c r="P2361" s="206"/>
      <c r="Q2361" s="262"/>
      <c r="R2361" s="262"/>
      <c r="S2361" s="207"/>
      <c r="T2361" s="263"/>
      <c r="U2361" s="26"/>
      <c r="V2361" s="26"/>
      <c r="W2361" s="26"/>
      <c r="X2361" s="26"/>
    </row>
    <row r="2362">
      <c r="A2362" s="28"/>
      <c r="B2362" s="28"/>
      <c r="C2362" s="28"/>
      <c r="D2362" s="96"/>
      <c r="E2362" s="105"/>
      <c r="F2362" s="105"/>
      <c r="G2362" s="206"/>
      <c r="H2362" s="206"/>
      <c r="I2362" s="206"/>
      <c r="J2362" s="206"/>
      <c r="K2362" s="206"/>
      <c r="L2362" s="206"/>
      <c r="M2362" s="206"/>
      <c r="N2362" s="206"/>
      <c r="O2362" s="206"/>
      <c r="P2362" s="206"/>
      <c r="Q2362" s="262"/>
      <c r="R2362" s="262"/>
      <c r="S2362" s="207"/>
      <c r="T2362" s="263"/>
      <c r="U2362" s="26"/>
      <c r="V2362" s="26"/>
      <c r="W2362" s="26"/>
      <c r="X2362" s="26"/>
    </row>
    <row r="2363">
      <c r="A2363" s="28"/>
      <c r="B2363" s="28"/>
      <c r="C2363" s="28"/>
      <c r="D2363" s="96"/>
      <c r="E2363" s="105"/>
      <c r="F2363" s="105"/>
      <c r="G2363" s="206"/>
      <c r="H2363" s="206"/>
      <c r="I2363" s="206"/>
      <c r="J2363" s="206"/>
      <c r="K2363" s="206"/>
      <c r="L2363" s="206"/>
      <c r="M2363" s="206"/>
      <c r="N2363" s="206"/>
      <c r="O2363" s="206"/>
      <c r="P2363" s="206"/>
      <c r="Q2363" s="262"/>
      <c r="R2363" s="262"/>
      <c r="S2363" s="207"/>
      <c r="T2363" s="263"/>
      <c r="U2363" s="26"/>
      <c r="V2363" s="26"/>
      <c r="W2363" s="26"/>
      <c r="X2363" s="26"/>
    </row>
    <row r="2364">
      <c r="A2364" s="28"/>
      <c r="B2364" s="28"/>
      <c r="C2364" s="28"/>
      <c r="D2364" s="96"/>
      <c r="E2364" s="105"/>
      <c r="F2364" s="105"/>
      <c r="G2364" s="206"/>
      <c r="H2364" s="206"/>
      <c r="I2364" s="206"/>
      <c r="J2364" s="206"/>
      <c r="K2364" s="206"/>
      <c r="L2364" s="206"/>
      <c r="M2364" s="206"/>
      <c r="N2364" s="206"/>
      <c r="O2364" s="206"/>
      <c r="P2364" s="206"/>
      <c r="Q2364" s="262"/>
      <c r="R2364" s="262"/>
      <c r="S2364" s="207"/>
      <c r="T2364" s="263"/>
      <c r="U2364" s="26"/>
      <c r="V2364" s="26"/>
      <c r="W2364" s="26"/>
      <c r="X2364" s="26"/>
    </row>
    <row r="2365">
      <c r="A2365" s="28"/>
      <c r="B2365" s="28"/>
      <c r="C2365" s="28"/>
      <c r="D2365" s="96"/>
      <c r="E2365" s="105"/>
      <c r="F2365" s="105"/>
      <c r="G2365" s="206"/>
      <c r="H2365" s="206"/>
      <c r="I2365" s="206"/>
      <c r="J2365" s="206"/>
      <c r="K2365" s="206"/>
      <c r="L2365" s="206"/>
      <c r="M2365" s="206"/>
      <c r="N2365" s="206"/>
      <c r="O2365" s="206"/>
      <c r="P2365" s="206"/>
      <c r="Q2365" s="262"/>
      <c r="R2365" s="262"/>
      <c r="S2365" s="207"/>
      <c r="T2365" s="263"/>
      <c r="U2365" s="26"/>
      <c r="V2365" s="26"/>
      <c r="W2365" s="26"/>
      <c r="X2365" s="26"/>
    </row>
    <row r="2366">
      <c r="A2366" s="28"/>
      <c r="B2366" s="28"/>
      <c r="C2366" s="28"/>
      <c r="D2366" s="96"/>
      <c r="E2366" s="105"/>
      <c r="F2366" s="105"/>
      <c r="G2366" s="206"/>
      <c r="H2366" s="206"/>
      <c r="I2366" s="206"/>
      <c r="J2366" s="206"/>
      <c r="K2366" s="206"/>
      <c r="L2366" s="206"/>
      <c r="M2366" s="206"/>
      <c r="N2366" s="206"/>
      <c r="O2366" s="206"/>
      <c r="P2366" s="206"/>
      <c r="Q2366" s="262"/>
      <c r="R2366" s="262"/>
      <c r="S2366" s="207"/>
      <c r="T2366" s="263"/>
      <c r="U2366" s="26"/>
      <c r="V2366" s="26"/>
      <c r="W2366" s="26"/>
      <c r="X2366" s="26"/>
    </row>
    <row r="2367">
      <c r="A2367" s="28"/>
      <c r="B2367" s="28"/>
      <c r="C2367" s="28"/>
      <c r="D2367" s="96"/>
      <c r="E2367" s="105"/>
      <c r="F2367" s="105"/>
      <c r="G2367" s="206"/>
      <c r="H2367" s="206"/>
      <c r="I2367" s="206"/>
      <c r="J2367" s="206"/>
      <c r="K2367" s="206"/>
      <c r="L2367" s="206"/>
      <c r="M2367" s="206"/>
      <c r="N2367" s="206"/>
      <c r="O2367" s="206"/>
      <c r="P2367" s="206"/>
      <c r="Q2367" s="262"/>
      <c r="R2367" s="262"/>
      <c r="S2367" s="207"/>
      <c r="T2367" s="263"/>
      <c r="U2367" s="26"/>
      <c r="V2367" s="26"/>
      <c r="W2367" s="26"/>
      <c r="X2367" s="26"/>
    </row>
    <row r="2368">
      <c r="A2368" s="28"/>
      <c r="B2368" s="28"/>
      <c r="C2368" s="28"/>
      <c r="D2368" s="96"/>
      <c r="E2368" s="105"/>
      <c r="F2368" s="105"/>
      <c r="G2368" s="206"/>
      <c r="H2368" s="206"/>
      <c r="I2368" s="206"/>
      <c r="J2368" s="206"/>
      <c r="K2368" s="206"/>
      <c r="L2368" s="206"/>
      <c r="M2368" s="206"/>
      <c r="N2368" s="206"/>
      <c r="O2368" s="206"/>
      <c r="P2368" s="206"/>
      <c r="Q2368" s="262"/>
      <c r="R2368" s="262"/>
      <c r="S2368" s="207"/>
      <c r="T2368" s="263"/>
      <c r="U2368" s="26"/>
      <c r="V2368" s="26"/>
      <c r="W2368" s="26"/>
      <c r="X2368" s="26"/>
    </row>
    <row r="2369">
      <c r="A2369" s="28"/>
      <c r="B2369" s="28"/>
      <c r="C2369" s="28"/>
      <c r="D2369" s="96"/>
      <c r="E2369" s="105"/>
      <c r="F2369" s="105"/>
      <c r="G2369" s="206"/>
      <c r="H2369" s="206"/>
      <c r="I2369" s="206"/>
      <c r="J2369" s="206"/>
      <c r="K2369" s="206"/>
      <c r="L2369" s="206"/>
      <c r="M2369" s="206"/>
      <c r="N2369" s="206"/>
      <c r="O2369" s="206"/>
      <c r="P2369" s="206"/>
      <c r="Q2369" s="262"/>
      <c r="R2369" s="262"/>
      <c r="S2369" s="207"/>
      <c r="T2369" s="263"/>
      <c r="U2369" s="26"/>
      <c r="V2369" s="26"/>
      <c r="W2369" s="26"/>
      <c r="X2369" s="26"/>
    </row>
    <row r="2370">
      <c r="A2370" s="28"/>
      <c r="B2370" s="28"/>
      <c r="C2370" s="28"/>
      <c r="D2370" s="96"/>
      <c r="E2370" s="105"/>
      <c r="F2370" s="105"/>
      <c r="G2370" s="206"/>
      <c r="H2370" s="206"/>
      <c r="I2370" s="206"/>
      <c r="J2370" s="206"/>
      <c r="K2370" s="206"/>
      <c r="L2370" s="206"/>
      <c r="M2370" s="206"/>
      <c r="N2370" s="206"/>
      <c r="O2370" s="206"/>
      <c r="P2370" s="206"/>
      <c r="Q2370" s="262"/>
      <c r="R2370" s="262"/>
      <c r="S2370" s="207"/>
      <c r="T2370" s="263"/>
      <c r="U2370" s="26"/>
      <c r="V2370" s="26"/>
      <c r="W2370" s="26"/>
      <c r="X2370" s="26"/>
    </row>
    <row r="2371">
      <c r="A2371" s="28"/>
      <c r="B2371" s="28"/>
      <c r="C2371" s="28"/>
      <c r="D2371" s="96"/>
      <c r="E2371" s="105"/>
      <c r="F2371" s="105"/>
      <c r="G2371" s="206"/>
      <c r="H2371" s="206"/>
      <c r="I2371" s="206"/>
      <c r="J2371" s="206"/>
      <c r="K2371" s="206"/>
      <c r="L2371" s="206"/>
      <c r="M2371" s="206"/>
      <c r="N2371" s="206"/>
      <c r="O2371" s="206"/>
      <c r="P2371" s="206"/>
      <c r="Q2371" s="262"/>
      <c r="R2371" s="262"/>
      <c r="S2371" s="207"/>
      <c r="T2371" s="263"/>
      <c r="U2371" s="26"/>
      <c r="V2371" s="26"/>
      <c r="W2371" s="26"/>
      <c r="X2371" s="26"/>
    </row>
    <row r="2372">
      <c r="A2372" s="28"/>
      <c r="B2372" s="28"/>
      <c r="C2372" s="28"/>
      <c r="D2372" s="96"/>
      <c r="E2372" s="105"/>
      <c r="F2372" s="105"/>
      <c r="G2372" s="206"/>
      <c r="H2372" s="206"/>
      <c r="I2372" s="206"/>
      <c r="J2372" s="206"/>
      <c r="K2372" s="206"/>
      <c r="L2372" s="206"/>
      <c r="M2372" s="206"/>
      <c r="N2372" s="206"/>
      <c r="O2372" s="206"/>
      <c r="P2372" s="206"/>
      <c r="Q2372" s="262"/>
      <c r="R2372" s="262"/>
      <c r="S2372" s="207"/>
      <c r="T2372" s="263"/>
      <c r="U2372" s="26"/>
      <c r="V2372" s="26"/>
      <c r="W2372" s="26"/>
      <c r="X2372" s="26"/>
    </row>
    <row r="2373">
      <c r="A2373" s="28"/>
      <c r="B2373" s="28"/>
      <c r="C2373" s="28"/>
      <c r="D2373" s="96"/>
      <c r="E2373" s="105"/>
      <c r="F2373" s="105"/>
      <c r="G2373" s="206"/>
      <c r="H2373" s="206"/>
      <c r="I2373" s="206"/>
      <c r="J2373" s="206"/>
      <c r="K2373" s="206"/>
      <c r="L2373" s="206"/>
      <c r="M2373" s="206"/>
      <c r="N2373" s="206"/>
      <c r="O2373" s="206"/>
      <c r="P2373" s="206"/>
      <c r="Q2373" s="262"/>
      <c r="R2373" s="262"/>
      <c r="S2373" s="207"/>
      <c r="T2373" s="263"/>
      <c r="U2373" s="26"/>
      <c r="V2373" s="26"/>
      <c r="W2373" s="26"/>
      <c r="X2373" s="26"/>
    </row>
    <row r="2374">
      <c r="A2374" s="28"/>
      <c r="B2374" s="28"/>
      <c r="C2374" s="28"/>
      <c r="D2374" s="96"/>
      <c r="E2374" s="105"/>
      <c r="F2374" s="105"/>
      <c r="G2374" s="206"/>
      <c r="H2374" s="206"/>
      <c r="I2374" s="206"/>
      <c r="J2374" s="206"/>
      <c r="K2374" s="206"/>
      <c r="L2374" s="206"/>
      <c r="M2374" s="206"/>
      <c r="N2374" s="206"/>
      <c r="O2374" s="206"/>
      <c r="P2374" s="206"/>
      <c r="Q2374" s="262"/>
      <c r="R2374" s="262"/>
      <c r="S2374" s="207"/>
      <c r="T2374" s="263"/>
      <c r="U2374" s="26"/>
      <c r="V2374" s="26"/>
      <c r="W2374" s="26"/>
      <c r="X2374" s="26"/>
    </row>
    <row r="2375">
      <c r="A2375" s="28"/>
      <c r="B2375" s="28"/>
      <c r="C2375" s="28"/>
      <c r="D2375" s="96"/>
      <c r="E2375" s="105"/>
      <c r="F2375" s="105"/>
      <c r="G2375" s="206"/>
      <c r="H2375" s="206"/>
      <c r="I2375" s="206"/>
      <c r="J2375" s="206"/>
      <c r="K2375" s="206"/>
      <c r="L2375" s="206"/>
      <c r="M2375" s="206"/>
      <c r="N2375" s="206"/>
      <c r="O2375" s="206"/>
      <c r="P2375" s="206"/>
      <c r="Q2375" s="262"/>
      <c r="R2375" s="262"/>
      <c r="S2375" s="207"/>
      <c r="T2375" s="263"/>
      <c r="U2375" s="26"/>
      <c r="V2375" s="26"/>
      <c r="W2375" s="26"/>
      <c r="X2375" s="26"/>
    </row>
    <row r="2376">
      <c r="A2376" s="28"/>
      <c r="B2376" s="28"/>
      <c r="C2376" s="28"/>
      <c r="D2376" s="96"/>
      <c r="E2376" s="105"/>
      <c r="F2376" s="105"/>
      <c r="G2376" s="206"/>
      <c r="H2376" s="206"/>
      <c r="I2376" s="206"/>
      <c r="J2376" s="206"/>
      <c r="K2376" s="206"/>
      <c r="L2376" s="206"/>
      <c r="M2376" s="206"/>
      <c r="N2376" s="206"/>
      <c r="O2376" s="206"/>
      <c r="P2376" s="206"/>
      <c r="Q2376" s="262"/>
      <c r="R2376" s="262"/>
      <c r="S2376" s="207"/>
      <c r="T2376" s="263"/>
      <c r="U2376" s="26"/>
      <c r="V2376" s="26"/>
      <c r="W2376" s="26"/>
      <c r="X2376" s="26"/>
    </row>
    <row r="2377">
      <c r="A2377" s="28"/>
      <c r="B2377" s="28"/>
      <c r="C2377" s="28"/>
      <c r="D2377" s="96"/>
      <c r="E2377" s="105"/>
      <c r="F2377" s="105"/>
      <c r="G2377" s="206"/>
      <c r="H2377" s="206"/>
      <c r="I2377" s="206"/>
      <c r="J2377" s="206"/>
      <c r="K2377" s="206"/>
      <c r="L2377" s="206"/>
      <c r="M2377" s="206"/>
      <c r="N2377" s="206"/>
      <c r="O2377" s="206"/>
      <c r="P2377" s="206"/>
      <c r="Q2377" s="262"/>
      <c r="R2377" s="262"/>
      <c r="S2377" s="207"/>
      <c r="T2377" s="263"/>
      <c r="U2377" s="26"/>
      <c r="V2377" s="26"/>
      <c r="W2377" s="26"/>
      <c r="X2377" s="26"/>
    </row>
    <row r="2378">
      <c r="A2378" s="28"/>
      <c r="B2378" s="28"/>
      <c r="C2378" s="28"/>
      <c r="D2378" s="96"/>
      <c r="E2378" s="105"/>
      <c r="F2378" s="105"/>
      <c r="G2378" s="206"/>
      <c r="H2378" s="206"/>
      <c r="I2378" s="206"/>
      <c r="J2378" s="206"/>
      <c r="K2378" s="206"/>
      <c r="L2378" s="206"/>
      <c r="M2378" s="206"/>
      <c r="N2378" s="206"/>
      <c r="O2378" s="206"/>
      <c r="P2378" s="206"/>
      <c r="Q2378" s="262"/>
      <c r="R2378" s="262"/>
      <c r="S2378" s="207"/>
      <c r="T2378" s="263"/>
      <c r="U2378" s="26"/>
      <c r="V2378" s="26"/>
      <c r="W2378" s="26"/>
      <c r="X2378" s="26"/>
    </row>
    <row r="2379">
      <c r="A2379" s="28"/>
      <c r="B2379" s="28"/>
      <c r="C2379" s="28"/>
      <c r="D2379" s="96"/>
      <c r="E2379" s="105"/>
      <c r="F2379" s="105"/>
      <c r="G2379" s="206"/>
      <c r="H2379" s="206"/>
      <c r="I2379" s="206"/>
      <c r="J2379" s="206"/>
      <c r="K2379" s="206"/>
      <c r="L2379" s="206"/>
      <c r="M2379" s="206"/>
      <c r="N2379" s="206"/>
      <c r="O2379" s="206"/>
      <c r="P2379" s="206"/>
      <c r="Q2379" s="262"/>
      <c r="R2379" s="262"/>
      <c r="S2379" s="207"/>
      <c r="T2379" s="263"/>
      <c r="U2379" s="26"/>
      <c r="V2379" s="26"/>
      <c r="W2379" s="26"/>
      <c r="X2379" s="26"/>
    </row>
    <row r="2380">
      <c r="A2380" s="28"/>
      <c r="B2380" s="28"/>
      <c r="C2380" s="28"/>
      <c r="D2380" s="96"/>
      <c r="E2380" s="105"/>
      <c r="F2380" s="105"/>
      <c r="G2380" s="206"/>
      <c r="H2380" s="206"/>
      <c r="I2380" s="206"/>
      <c r="J2380" s="206"/>
      <c r="K2380" s="206"/>
      <c r="L2380" s="206"/>
      <c r="M2380" s="206"/>
      <c r="N2380" s="206"/>
      <c r="O2380" s="206"/>
      <c r="P2380" s="206"/>
      <c r="Q2380" s="262"/>
      <c r="R2380" s="262"/>
      <c r="S2380" s="207"/>
      <c r="T2380" s="263"/>
      <c r="U2380" s="26"/>
      <c r="V2380" s="26"/>
      <c r="W2380" s="26"/>
      <c r="X2380" s="26"/>
    </row>
    <row r="2381">
      <c r="A2381" s="28"/>
      <c r="B2381" s="28"/>
      <c r="C2381" s="28"/>
      <c r="D2381" s="96"/>
      <c r="E2381" s="105"/>
      <c r="F2381" s="105"/>
      <c r="G2381" s="206"/>
      <c r="H2381" s="206"/>
      <c r="I2381" s="206"/>
      <c r="J2381" s="206"/>
      <c r="K2381" s="206"/>
      <c r="L2381" s="206"/>
      <c r="M2381" s="206"/>
      <c r="N2381" s="206"/>
      <c r="O2381" s="206"/>
      <c r="P2381" s="206"/>
      <c r="Q2381" s="262"/>
      <c r="R2381" s="262"/>
      <c r="S2381" s="207"/>
      <c r="T2381" s="263"/>
      <c r="U2381" s="26"/>
      <c r="V2381" s="26"/>
      <c r="W2381" s="26"/>
      <c r="X2381" s="26"/>
    </row>
    <row r="2382">
      <c r="A2382" s="28"/>
      <c r="B2382" s="28"/>
      <c r="C2382" s="28"/>
      <c r="D2382" s="96"/>
      <c r="E2382" s="105"/>
      <c r="F2382" s="105"/>
      <c r="G2382" s="206"/>
      <c r="H2382" s="206"/>
      <c r="I2382" s="206"/>
      <c r="J2382" s="206"/>
      <c r="K2382" s="206"/>
      <c r="L2382" s="206"/>
      <c r="M2382" s="206"/>
      <c r="N2382" s="206"/>
      <c r="O2382" s="206"/>
      <c r="P2382" s="206"/>
      <c r="Q2382" s="262"/>
      <c r="R2382" s="262"/>
      <c r="S2382" s="207"/>
      <c r="T2382" s="263"/>
      <c r="U2382" s="26"/>
      <c r="V2382" s="26"/>
      <c r="W2382" s="26"/>
      <c r="X2382" s="26"/>
    </row>
    <row r="2383">
      <c r="A2383" s="28"/>
      <c r="B2383" s="28"/>
      <c r="C2383" s="28"/>
      <c r="D2383" s="96"/>
      <c r="E2383" s="105"/>
      <c r="F2383" s="105"/>
      <c r="G2383" s="206"/>
      <c r="H2383" s="206"/>
      <c r="I2383" s="206"/>
      <c r="J2383" s="206"/>
      <c r="K2383" s="206"/>
      <c r="L2383" s="206"/>
      <c r="M2383" s="206"/>
      <c r="N2383" s="206"/>
      <c r="O2383" s="206"/>
      <c r="P2383" s="206"/>
      <c r="Q2383" s="262"/>
      <c r="R2383" s="262"/>
      <c r="S2383" s="207"/>
      <c r="T2383" s="263"/>
      <c r="U2383" s="26"/>
      <c r="V2383" s="26"/>
      <c r="W2383" s="26"/>
      <c r="X2383" s="26"/>
    </row>
    <row r="2384">
      <c r="A2384" s="28"/>
      <c r="B2384" s="28"/>
      <c r="C2384" s="28"/>
      <c r="D2384" s="96"/>
      <c r="E2384" s="105"/>
      <c r="F2384" s="105"/>
      <c r="G2384" s="206"/>
      <c r="H2384" s="206"/>
      <c r="I2384" s="206"/>
      <c r="J2384" s="206"/>
      <c r="K2384" s="206"/>
      <c r="L2384" s="206"/>
      <c r="M2384" s="206"/>
      <c r="N2384" s="206"/>
      <c r="O2384" s="206"/>
      <c r="P2384" s="206"/>
      <c r="Q2384" s="262"/>
      <c r="R2384" s="262"/>
      <c r="S2384" s="207"/>
      <c r="T2384" s="263"/>
      <c r="U2384" s="26"/>
      <c r="V2384" s="26"/>
      <c r="W2384" s="26"/>
      <c r="X2384" s="26"/>
    </row>
    <row r="2385">
      <c r="A2385" s="28"/>
      <c r="B2385" s="28"/>
      <c r="C2385" s="28"/>
      <c r="D2385" s="96"/>
      <c r="E2385" s="105"/>
      <c r="F2385" s="105"/>
      <c r="G2385" s="206"/>
      <c r="H2385" s="206"/>
      <c r="I2385" s="206"/>
      <c r="J2385" s="206"/>
      <c r="K2385" s="206"/>
      <c r="L2385" s="206"/>
      <c r="M2385" s="206"/>
      <c r="N2385" s="206"/>
      <c r="O2385" s="206"/>
      <c r="P2385" s="206"/>
      <c r="Q2385" s="262"/>
      <c r="R2385" s="262"/>
      <c r="S2385" s="207"/>
      <c r="T2385" s="263"/>
      <c r="U2385" s="26"/>
      <c r="V2385" s="26"/>
      <c r="W2385" s="26"/>
      <c r="X2385" s="26"/>
    </row>
    <row r="2386">
      <c r="A2386" s="28"/>
      <c r="B2386" s="28"/>
      <c r="C2386" s="28"/>
      <c r="D2386" s="96"/>
      <c r="E2386" s="105"/>
      <c r="F2386" s="105"/>
      <c r="G2386" s="206"/>
      <c r="H2386" s="206"/>
      <c r="I2386" s="206"/>
      <c r="J2386" s="206"/>
      <c r="K2386" s="206"/>
      <c r="L2386" s="206"/>
      <c r="M2386" s="206"/>
      <c r="N2386" s="206"/>
      <c r="O2386" s="206"/>
      <c r="P2386" s="206"/>
      <c r="Q2386" s="262"/>
      <c r="R2386" s="262"/>
      <c r="S2386" s="207"/>
      <c r="T2386" s="263"/>
      <c r="U2386" s="26"/>
      <c r="V2386" s="26"/>
      <c r="W2386" s="26"/>
      <c r="X2386" s="26"/>
    </row>
    <row r="2387">
      <c r="A2387" s="28"/>
      <c r="B2387" s="28"/>
      <c r="C2387" s="28"/>
      <c r="D2387" s="96"/>
      <c r="E2387" s="105"/>
      <c r="F2387" s="105"/>
      <c r="G2387" s="206"/>
      <c r="H2387" s="206"/>
      <c r="I2387" s="206"/>
      <c r="J2387" s="206"/>
      <c r="K2387" s="206"/>
      <c r="L2387" s="206"/>
      <c r="M2387" s="206"/>
      <c r="N2387" s="206"/>
      <c r="O2387" s="206"/>
      <c r="P2387" s="206"/>
      <c r="Q2387" s="262"/>
      <c r="R2387" s="262"/>
      <c r="S2387" s="207"/>
      <c r="T2387" s="263"/>
      <c r="U2387" s="26"/>
      <c r="V2387" s="26"/>
      <c r="W2387" s="26"/>
      <c r="X2387" s="26"/>
    </row>
    <row r="2388">
      <c r="A2388" s="28"/>
      <c r="B2388" s="28"/>
      <c r="C2388" s="28"/>
      <c r="D2388" s="96"/>
      <c r="E2388" s="105"/>
      <c r="F2388" s="105"/>
      <c r="G2388" s="206"/>
      <c r="H2388" s="206"/>
      <c r="I2388" s="206"/>
      <c r="J2388" s="206"/>
      <c r="K2388" s="206"/>
      <c r="L2388" s="206"/>
      <c r="M2388" s="206"/>
      <c r="N2388" s="206"/>
      <c r="O2388" s="206"/>
      <c r="P2388" s="206"/>
      <c r="Q2388" s="262"/>
      <c r="R2388" s="262"/>
      <c r="S2388" s="207"/>
      <c r="T2388" s="263"/>
      <c r="U2388" s="26"/>
      <c r="V2388" s="26"/>
      <c r="W2388" s="26"/>
      <c r="X2388" s="26"/>
    </row>
    <row r="2389">
      <c r="A2389" s="28"/>
      <c r="B2389" s="28"/>
      <c r="C2389" s="28"/>
      <c r="D2389" s="96"/>
      <c r="E2389" s="105"/>
      <c r="F2389" s="105"/>
      <c r="G2389" s="206"/>
      <c r="H2389" s="206"/>
      <c r="I2389" s="206"/>
      <c r="J2389" s="206"/>
      <c r="K2389" s="206"/>
      <c r="L2389" s="206"/>
      <c r="M2389" s="206"/>
      <c r="N2389" s="206"/>
      <c r="O2389" s="206"/>
      <c r="P2389" s="206"/>
      <c r="Q2389" s="262"/>
      <c r="R2389" s="262"/>
      <c r="S2389" s="207"/>
      <c r="T2389" s="263"/>
      <c r="U2389" s="26"/>
      <c r="V2389" s="26"/>
      <c r="W2389" s="26"/>
      <c r="X2389" s="26"/>
    </row>
    <row r="2390">
      <c r="A2390" s="28"/>
      <c r="B2390" s="28"/>
      <c r="C2390" s="28"/>
      <c r="D2390" s="96"/>
      <c r="E2390" s="105"/>
      <c r="F2390" s="105"/>
      <c r="G2390" s="206"/>
      <c r="H2390" s="206"/>
      <c r="I2390" s="206"/>
      <c r="J2390" s="206"/>
      <c r="K2390" s="206"/>
      <c r="L2390" s="206"/>
      <c r="M2390" s="206"/>
      <c r="N2390" s="206"/>
      <c r="O2390" s="206"/>
      <c r="P2390" s="206"/>
      <c r="Q2390" s="262"/>
      <c r="R2390" s="262"/>
      <c r="S2390" s="207"/>
      <c r="T2390" s="263"/>
      <c r="U2390" s="26"/>
      <c r="V2390" s="26"/>
      <c r="W2390" s="26"/>
      <c r="X2390" s="26"/>
    </row>
    <row r="2391">
      <c r="A2391" s="28"/>
      <c r="B2391" s="28"/>
      <c r="C2391" s="28"/>
      <c r="D2391" s="96"/>
      <c r="E2391" s="105"/>
      <c r="F2391" s="105"/>
      <c r="G2391" s="206"/>
      <c r="H2391" s="206"/>
      <c r="I2391" s="206"/>
      <c r="J2391" s="206"/>
      <c r="K2391" s="206"/>
      <c r="L2391" s="206"/>
      <c r="M2391" s="206"/>
      <c r="N2391" s="206"/>
      <c r="O2391" s="206"/>
      <c r="P2391" s="206"/>
      <c r="Q2391" s="262"/>
      <c r="R2391" s="262"/>
      <c r="S2391" s="207"/>
      <c r="T2391" s="263"/>
      <c r="U2391" s="26"/>
      <c r="V2391" s="26"/>
      <c r="W2391" s="26"/>
      <c r="X2391" s="26"/>
    </row>
    <row r="2392">
      <c r="A2392" s="28"/>
      <c r="B2392" s="28"/>
      <c r="C2392" s="28"/>
      <c r="D2392" s="96"/>
      <c r="E2392" s="105"/>
      <c r="F2392" s="105"/>
      <c r="G2392" s="206"/>
      <c r="H2392" s="206"/>
      <c r="I2392" s="206"/>
      <c r="J2392" s="206"/>
      <c r="K2392" s="206"/>
      <c r="L2392" s="206"/>
      <c r="M2392" s="206"/>
      <c r="N2392" s="206"/>
      <c r="O2392" s="206"/>
      <c r="P2392" s="206"/>
      <c r="Q2392" s="262"/>
      <c r="R2392" s="262"/>
      <c r="S2392" s="207"/>
      <c r="T2392" s="263"/>
      <c r="U2392" s="26"/>
      <c r="V2392" s="26"/>
      <c r="W2392" s="26"/>
      <c r="X2392" s="26"/>
    </row>
    <row r="2393">
      <c r="A2393" s="28"/>
      <c r="B2393" s="28"/>
      <c r="C2393" s="28"/>
      <c r="D2393" s="96"/>
      <c r="E2393" s="105"/>
      <c r="F2393" s="105"/>
      <c r="G2393" s="206"/>
      <c r="H2393" s="206"/>
      <c r="I2393" s="206"/>
      <c r="J2393" s="206"/>
      <c r="K2393" s="206"/>
      <c r="L2393" s="206"/>
      <c r="M2393" s="206"/>
      <c r="N2393" s="206"/>
      <c r="O2393" s="206"/>
      <c r="P2393" s="206"/>
      <c r="Q2393" s="262"/>
      <c r="R2393" s="262"/>
      <c r="S2393" s="207"/>
      <c r="T2393" s="263"/>
      <c r="U2393" s="26"/>
      <c r="V2393" s="26"/>
      <c r="W2393" s="26"/>
      <c r="X2393" s="26"/>
    </row>
    <row r="2394">
      <c r="A2394" s="28"/>
      <c r="B2394" s="28"/>
      <c r="C2394" s="28"/>
      <c r="D2394" s="96"/>
      <c r="E2394" s="105"/>
      <c r="F2394" s="105"/>
      <c r="G2394" s="206"/>
      <c r="H2394" s="206"/>
      <c r="I2394" s="206"/>
      <c r="J2394" s="206"/>
      <c r="K2394" s="206"/>
      <c r="L2394" s="206"/>
      <c r="M2394" s="206"/>
      <c r="N2394" s="206"/>
      <c r="O2394" s="206"/>
      <c r="P2394" s="206"/>
      <c r="Q2394" s="262"/>
      <c r="R2394" s="262"/>
      <c r="S2394" s="207"/>
      <c r="T2394" s="263"/>
      <c r="U2394" s="26"/>
      <c r="V2394" s="26"/>
      <c r="W2394" s="26"/>
      <c r="X2394" s="26"/>
    </row>
    <row r="2395">
      <c r="A2395" s="28"/>
      <c r="B2395" s="28"/>
      <c r="C2395" s="28"/>
      <c r="D2395" s="96"/>
      <c r="E2395" s="105"/>
      <c r="F2395" s="105"/>
      <c r="G2395" s="206"/>
      <c r="H2395" s="206"/>
      <c r="I2395" s="206"/>
      <c r="J2395" s="206"/>
      <c r="K2395" s="206"/>
      <c r="L2395" s="206"/>
      <c r="M2395" s="206"/>
      <c r="N2395" s="206"/>
      <c r="O2395" s="206"/>
      <c r="P2395" s="206"/>
      <c r="Q2395" s="262"/>
      <c r="R2395" s="262"/>
      <c r="S2395" s="207"/>
      <c r="T2395" s="263"/>
      <c r="U2395" s="26"/>
      <c r="V2395" s="26"/>
      <c r="W2395" s="26"/>
      <c r="X2395" s="26"/>
    </row>
    <row r="2396">
      <c r="A2396" s="28"/>
      <c r="B2396" s="28"/>
      <c r="C2396" s="28"/>
      <c r="D2396" s="96"/>
      <c r="E2396" s="105"/>
      <c r="F2396" s="105"/>
      <c r="G2396" s="206"/>
      <c r="H2396" s="206"/>
      <c r="I2396" s="206"/>
      <c r="J2396" s="206"/>
      <c r="K2396" s="206"/>
      <c r="L2396" s="206"/>
      <c r="M2396" s="206"/>
      <c r="N2396" s="206"/>
      <c r="O2396" s="206"/>
      <c r="P2396" s="206"/>
      <c r="Q2396" s="262"/>
      <c r="R2396" s="262"/>
      <c r="S2396" s="207"/>
      <c r="T2396" s="263"/>
      <c r="U2396" s="26"/>
      <c r="V2396" s="26"/>
      <c r="W2396" s="26"/>
      <c r="X2396" s="26"/>
    </row>
    <row r="2397">
      <c r="A2397" s="28"/>
      <c r="B2397" s="28"/>
      <c r="C2397" s="28"/>
      <c r="D2397" s="96"/>
      <c r="E2397" s="105"/>
      <c r="F2397" s="105"/>
      <c r="G2397" s="206"/>
      <c r="H2397" s="206"/>
      <c r="I2397" s="206"/>
      <c r="J2397" s="206"/>
      <c r="K2397" s="206"/>
      <c r="L2397" s="206"/>
      <c r="M2397" s="206"/>
      <c r="N2397" s="206"/>
      <c r="O2397" s="206"/>
      <c r="P2397" s="206"/>
      <c r="Q2397" s="262"/>
      <c r="R2397" s="262"/>
      <c r="S2397" s="207"/>
      <c r="T2397" s="263"/>
      <c r="U2397" s="26"/>
      <c r="V2397" s="26"/>
      <c r="W2397" s="26"/>
      <c r="X2397" s="26"/>
    </row>
    <row r="2398">
      <c r="A2398" s="28"/>
      <c r="B2398" s="28"/>
      <c r="C2398" s="28"/>
      <c r="D2398" s="96"/>
      <c r="E2398" s="105"/>
      <c r="F2398" s="105"/>
      <c r="G2398" s="206"/>
      <c r="H2398" s="206"/>
      <c r="I2398" s="206"/>
      <c r="J2398" s="206"/>
      <c r="K2398" s="206"/>
      <c r="L2398" s="206"/>
      <c r="M2398" s="206"/>
      <c r="N2398" s="206"/>
      <c r="O2398" s="206"/>
      <c r="P2398" s="206"/>
      <c r="Q2398" s="262"/>
      <c r="R2398" s="262"/>
      <c r="S2398" s="207"/>
      <c r="T2398" s="263"/>
      <c r="U2398" s="26"/>
      <c r="V2398" s="26"/>
      <c r="W2398" s="26"/>
      <c r="X2398" s="26"/>
    </row>
    <row r="2399">
      <c r="A2399" s="28"/>
      <c r="B2399" s="28"/>
      <c r="C2399" s="28"/>
      <c r="D2399" s="96"/>
      <c r="E2399" s="105"/>
      <c r="F2399" s="105"/>
      <c r="G2399" s="206"/>
      <c r="H2399" s="206"/>
      <c r="I2399" s="206"/>
      <c r="J2399" s="206"/>
      <c r="K2399" s="206"/>
      <c r="L2399" s="206"/>
      <c r="M2399" s="206"/>
      <c r="N2399" s="206"/>
      <c r="O2399" s="206"/>
      <c r="P2399" s="206"/>
      <c r="Q2399" s="262"/>
      <c r="R2399" s="262"/>
      <c r="S2399" s="207"/>
      <c r="T2399" s="263"/>
      <c r="U2399" s="26"/>
      <c r="V2399" s="26"/>
      <c r="W2399" s="26"/>
      <c r="X2399" s="26"/>
    </row>
    <row r="2400">
      <c r="A2400" s="28"/>
      <c r="B2400" s="28"/>
      <c r="C2400" s="28"/>
      <c r="D2400" s="96"/>
      <c r="E2400" s="105"/>
      <c r="F2400" s="105"/>
      <c r="G2400" s="206"/>
      <c r="H2400" s="206"/>
      <c r="I2400" s="206"/>
      <c r="J2400" s="206"/>
      <c r="K2400" s="206"/>
      <c r="L2400" s="206"/>
      <c r="M2400" s="206"/>
      <c r="N2400" s="206"/>
      <c r="O2400" s="206"/>
      <c r="P2400" s="206"/>
      <c r="Q2400" s="262"/>
      <c r="R2400" s="262"/>
      <c r="S2400" s="207"/>
      <c r="T2400" s="263"/>
      <c r="U2400" s="26"/>
      <c r="V2400" s="26"/>
      <c r="W2400" s="26"/>
      <c r="X2400" s="26"/>
    </row>
    <row r="2401">
      <c r="A2401" s="28"/>
      <c r="B2401" s="28"/>
      <c r="C2401" s="28"/>
      <c r="D2401" s="96"/>
      <c r="E2401" s="105"/>
      <c r="F2401" s="105"/>
      <c r="G2401" s="206"/>
      <c r="H2401" s="206"/>
      <c r="I2401" s="206"/>
      <c r="J2401" s="206"/>
      <c r="K2401" s="206"/>
      <c r="L2401" s="206"/>
      <c r="M2401" s="206"/>
      <c r="N2401" s="206"/>
      <c r="O2401" s="206"/>
      <c r="P2401" s="206"/>
      <c r="Q2401" s="262"/>
      <c r="R2401" s="262"/>
      <c r="S2401" s="207"/>
      <c r="T2401" s="263"/>
      <c r="U2401" s="26"/>
      <c r="V2401" s="26"/>
      <c r="W2401" s="26"/>
      <c r="X2401" s="26"/>
    </row>
    <row r="2402">
      <c r="A2402" s="28"/>
      <c r="B2402" s="28"/>
      <c r="C2402" s="28"/>
      <c r="D2402" s="96"/>
      <c r="E2402" s="105"/>
      <c r="F2402" s="105"/>
      <c r="G2402" s="206"/>
      <c r="H2402" s="206"/>
      <c r="I2402" s="206"/>
      <c r="J2402" s="206"/>
      <c r="K2402" s="206"/>
      <c r="L2402" s="206"/>
      <c r="M2402" s="206"/>
      <c r="N2402" s="206"/>
      <c r="O2402" s="206"/>
      <c r="P2402" s="206"/>
      <c r="Q2402" s="262"/>
      <c r="R2402" s="262"/>
      <c r="S2402" s="207"/>
      <c r="T2402" s="263"/>
      <c r="U2402" s="26"/>
      <c r="V2402" s="26"/>
      <c r="W2402" s="26"/>
      <c r="X2402" s="26"/>
    </row>
    <row r="2403">
      <c r="A2403" s="28"/>
      <c r="B2403" s="28"/>
      <c r="C2403" s="28"/>
      <c r="D2403" s="96"/>
      <c r="E2403" s="105"/>
      <c r="F2403" s="105"/>
      <c r="G2403" s="206"/>
      <c r="H2403" s="206"/>
      <c r="I2403" s="206"/>
      <c r="J2403" s="206"/>
      <c r="K2403" s="206"/>
      <c r="L2403" s="206"/>
      <c r="M2403" s="206"/>
      <c r="N2403" s="206"/>
      <c r="O2403" s="206"/>
      <c r="P2403" s="206"/>
      <c r="Q2403" s="262"/>
      <c r="R2403" s="262"/>
      <c r="S2403" s="207"/>
      <c r="T2403" s="263"/>
      <c r="U2403" s="26"/>
      <c r="V2403" s="26"/>
      <c r="W2403" s="26"/>
      <c r="X2403" s="26"/>
    </row>
    <row r="2404">
      <c r="A2404" s="28"/>
      <c r="B2404" s="28"/>
      <c r="C2404" s="28"/>
      <c r="D2404" s="96"/>
      <c r="E2404" s="105"/>
      <c r="F2404" s="105"/>
      <c r="G2404" s="206"/>
      <c r="H2404" s="206"/>
      <c r="I2404" s="206"/>
      <c r="J2404" s="206"/>
      <c r="K2404" s="206"/>
      <c r="L2404" s="206"/>
      <c r="M2404" s="206"/>
      <c r="N2404" s="206"/>
      <c r="O2404" s="206"/>
      <c r="P2404" s="206"/>
      <c r="Q2404" s="262"/>
      <c r="R2404" s="262"/>
      <c r="S2404" s="207"/>
      <c r="T2404" s="263"/>
      <c r="U2404" s="26"/>
      <c r="V2404" s="26"/>
      <c r="W2404" s="26"/>
      <c r="X2404" s="26"/>
    </row>
    <row r="2405">
      <c r="A2405" s="28"/>
      <c r="B2405" s="28"/>
      <c r="C2405" s="28"/>
      <c r="D2405" s="96"/>
      <c r="E2405" s="105"/>
      <c r="F2405" s="105"/>
      <c r="G2405" s="206"/>
      <c r="H2405" s="206"/>
      <c r="I2405" s="206"/>
      <c r="J2405" s="206"/>
      <c r="K2405" s="206"/>
      <c r="L2405" s="206"/>
      <c r="M2405" s="206"/>
      <c r="N2405" s="206"/>
      <c r="O2405" s="206"/>
      <c r="P2405" s="206"/>
      <c r="Q2405" s="262"/>
      <c r="R2405" s="262"/>
      <c r="S2405" s="207"/>
      <c r="T2405" s="263"/>
      <c r="U2405" s="26"/>
      <c r="V2405" s="26"/>
      <c r="W2405" s="26"/>
      <c r="X2405" s="26"/>
    </row>
    <row r="2406">
      <c r="A2406" s="28"/>
      <c r="B2406" s="28"/>
      <c r="C2406" s="28"/>
      <c r="D2406" s="96"/>
      <c r="E2406" s="105"/>
      <c r="F2406" s="105"/>
      <c r="G2406" s="206"/>
      <c r="H2406" s="206"/>
      <c r="I2406" s="206"/>
      <c r="J2406" s="206"/>
      <c r="K2406" s="206"/>
      <c r="L2406" s="206"/>
      <c r="M2406" s="206"/>
      <c r="N2406" s="206"/>
      <c r="O2406" s="206"/>
      <c r="P2406" s="206"/>
      <c r="Q2406" s="262"/>
      <c r="R2406" s="262"/>
      <c r="S2406" s="207"/>
      <c r="T2406" s="263"/>
      <c r="U2406" s="26"/>
      <c r="V2406" s="26"/>
      <c r="W2406" s="26"/>
      <c r="X2406" s="26"/>
    </row>
    <row r="2407">
      <c r="A2407" s="28"/>
      <c r="B2407" s="28"/>
      <c r="C2407" s="28"/>
      <c r="D2407" s="96"/>
      <c r="E2407" s="105"/>
      <c r="F2407" s="105"/>
      <c r="G2407" s="206"/>
      <c r="H2407" s="206"/>
      <c r="I2407" s="206"/>
      <c r="J2407" s="206"/>
      <c r="K2407" s="206"/>
      <c r="L2407" s="206"/>
      <c r="M2407" s="206"/>
      <c r="N2407" s="206"/>
      <c r="O2407" s="206"/>
      <c r="P2407" s="206"/>
      <c r="Q2407" s="262"/>
      <c r="R2407" s="262"/>
      <c r="S2407" s="207"/>
      <c r="T2407" s="263"/>
      <c r="U2407" s="26"/>
      <c r="V2407" s="26"/>
      <c r="W2407" s="26"/>
      <c r="X2407" s="26"/>
    </row>
    <row r="2408">
      <c r="A2408" s="28"/>
      <c r="B2408" s="28"/>
      <c r="C2408" s="28"/>
      <c r="D2408" s="96"/>
      <c r="E2408" s="105"/>
      <c r="F2408" s="105"/>
      <c r="G2408" s="206"/>
      <c r="H2408" s="206"/>
      <c r="I2408" s="206"/>
      <c r="J2408" s="206"/>
      <c r="K2408" s="206"/>
      <c r="L2408" s="206"/>
      <c r="M2408" s="206"/>
      <c r="N2408" s="206"/>
      <c r="O2408" s="206"/>
      <c r="P2408" s="206"/>
      <c r="Q2408" s="262"/>
      <c r="R2408" s="262"/>
      <c r="S2408" s="207"/>
      <c r="T2408" s="263"/>
      <c r="U2408" s="26"/>
      <c r="V2408" s="26"/>
      <c r="W2408" s="26"/>
      <c r="X2408" s="26"/>
    </row>
    <row r="2409">
      <c r="A2409" s="28"/>
      <c r="B2409" s="28"/>
      <c r="C2409" s="28"/>
      <c r="D2409" s="96"/>
      <c r="E2409" s="105"/>
      <c r="F2409" s="105"/>
      <c r="G2409" s="206"/>
      <c r="H2409" s="206"/>
      <c r="I2409" s="206"/>
      <c r="J2409" s="206"/>
      <c r="K2409" s="206"/>
      <c r="L2409" s="206"/>
      <c r="M2409" s="206"/>
      <c r="N2409" s="206"/>
      <c r="O2409" s="206"/>
      <c r="P2409" s="206"/>
      <c r="Q2409" s="262"/>
      <c r="R2409" s="262"/>
      <c r="S2409" s="207"/>
      <c r="T2409" s="263"/>
      <c r="U2409" s="26"/>
      <c r="V2409" s="26"/>
      <c r="W2409" s="26"/>
      <c r="X2409" s="26"/>
    </row>
    <row r="2410">
      <c r="A2410" s="28"/>
      <c r="B2410" s="28"/>
      <c r="C2410" s="28"/>
      <c r="D2410" s="96"/>
      <c r="E2410" s="105"/>
      <c r="F2410" s="105"/>
      <c r="G2410" s="206"/>
      <c r="H2410" s="206"/>
      <c r="I2410" s="206"/>
      <c r="J2410" s="206"/>
      <c r="K2410" s="206"/>
      <c r="L2410" s="206"/>
      <c r="M2410" s="206"/>
      <c r="N2410" s="206"/>
      <c r="O2410" s="206"/>
      <c r="P2410" s="206"/>
      <c r="Q2410" s="262"/>
      <c r="R2410" s="262"/>
      <c r="S2410" s="207"/>
      <c r="T2410" s="263"/>
      <c r="U2410" s="26"/>
      <c r="V2410" s="26"/>
      <c r="W2410" s="26"/>
      <c r="X2410" s="26"/>
    </row>
    <row r="2411">
      <c r="A2411" s="28"/>
      <c r="B2411" s="28"/>
      <c r="C2411" s="28"/>
      <c r="D2411" s="96"/>
      <c r="E2411" s="105"/>
      <c r="F2411" s="105"/>
      <c r="G2411" s="206"/>
      <c r="H2411" s="206"/>
      <c r="I2411" s="206"/>
      <c r="J2411" s="206"/>
      <c r="K2411" s="206"/>
      <c r="L2411" s="206"/>
      <c r="M2411" s="206"/>
      <c r="N2411" s="206"/>
      <c r="O2411" s="206"/>
      <c r="P2411" s="206"/>
      <c r="Q2411" s="262"/>
      <c r="R2411" s="262"/>
      <c r="S2411" s="207"/>
      <c r="T2411" s="263"/>
      <c r="U2411" s="26"/>
      <c r="V2411" s="26"/>
      <c r="W2411" s="26"/>
      <c r="X2411" s="26"/>
    </row>
    <row r="2412">
      <c r="A2412" s="28"/>
      <c r="B2412" s="28"/>
      <c r="C2412" s="28"/>
      <c r="D2412" s="96"/>
      <c r="E2412" s="105"/>
      <c r="F2412" s="105"/>
      <c r="G2412" s="206"/>
      <c r="H2412" s="206"/>
      <c r="I2412" s="206"/>
      <c r="J2412" s="206"/>
      <c r="K2412" s="206"/>
      <c r="L2412" s="206"/>
      <c r="M2412" s="206"/>
      <c r="N2412" s="206"/>
      <c r="O2412" s="206"/>
      <c r="P2412" s="206"/>
      <c r="Q2412" s="262"/>
      <c r="R2412" s="262"/>
      <c r="S2412" s="207"/>
      <c r="T2412" s="263"/>
      <c r="U2412" s="26"/>
      <c r="V2412" s="26"/>
      <c r="W2412" s="26"/>
      <c r="X2412" s="26"/>
    </row>
    <row r="2413">
      <c r="A2413" s="28"/>
      <c r="B2413" s="28"/>
      <c r="C2413" s="28"/>
      <c r="D2413" s="96"/>
      <c r="E2413" s="105"/>
      <c r="F2413" s="105"/>
      <c r="G2413" s="206"/>
      <c r="H2413" s="206"/>
      <c r="I2413" s="206"/>
      <c r="J2413" s="206"/>
      <c r="K2413" s="206"/>
      <c r="L2413" s="206"/>
      <c r="M2413" s="206"/>
      <c r="N2413" s="206"/>
      <c r="O2413" s="206"/>
      <c r="P2413" s="206"/>
      <c r="Q2413" s="262"/>
      <c r="R2413" s="262"/>
      <c r="S2413" s="207"/>
      <c r="T2413" s="263"/>
      <c r="U2413" s="26"/>
      <c r="V2413" s="26"/>
      <c r="W2413" s="26"/>
      <c r="X2413" s="26"/>
    </row>
    <row r="2414">
      <c r="A2414" s="28"/>
      <c r="B2414" s="28"/>
      <c r="C2414" s="28"/>
      <c r="D2414" s="96"/>
      <c r="E2414" s="105"/>
      <c r="F2414" s="105"/>
      <c r="G2414" s="206"/>
      <c r="H2414" s="206"/>
      <c r="I2414" s="206"/>
      <c r="J2414" s="206"/>
      <c r="K2414" s="206"/>
      <c r="L2414" s="206"/>
      <c r="M2414" s="206"/>
      <c r="N2414" s="206"/>
      <c r="O2414" s="206"/>
      <c r="P2414" s="206"/>
      <c r="Q2414" s="262"/>
      <c r="R2414" s="262"/>
      <c r="S2414" s="207"/>
      <c r="T2414" s="263"/>
      <c r="U2414" s="26"/>
      <c r="V2414" s="26"/>
      <c r="W2414" s="26"/>
      <c r="X2414" s="26"/>
    </row>
    <row r="2415">
      <c r="A2415" s="28"/>
      <c r="B2415" s="28"/>
      <c r="C2415" s="28"/>
      <c r="D2415" s="96"/>
      <c r="E2415" s="105"/>
      <c r="F2415" s="105"/>
      <c r="G2415" s="206"/>
      <c r="H2415" s="206"/>
      <c r="I2415" s="206"/>
      <c r="J2415" s="206"/>
      <c r="K2415" s="206"/>
      <c r="L2415" s="206"/>
      <c r="M2415" s="206"/>
      <c r="N2415" s="206"/>
      <c r="O2415" s="206"/>
      <c r="P2415" s="206"/>
      <c r="Q2415" s="262"/>
      <c r="R2415" s="262"/>
      <c r="S2415" s="207"/>
      <c r="T2415" s="263"/>
      <c r="U2415" s="26"/>
      <c r="V2415" s="26"/>
      <c r="W2415" s="26"/>
      <c r="X2415" s="26"/>
    </row>
    <row r="2416">
      <c r="A2416" s="28"/>
      <c r="B2416" s="28"/>
      <c r="C2416" s="28"/>
      <c r="D2416" s="96"/>
      <c r="E2416" s="105"/>
      <c r="F2416" s="105"/>
      <c r="G2416" s="206"/>
      <c r="H2416" s="206"/>
      <c r="I2416" s="206"/>
      <c r="J2416" s="206"/>
      <c r="K2416" s="206"/>
      <c r="L2416" s="206"/>
      <c r="M2416" s="206"/>
      <c r="N2416" s="206"/>
      <c r="O2416" s="206"/>
      <c r="P2416" s="206"/>
      <c r="Q2416" s="262"/>
      <c r="R2416" s="262"/>
      <c r="S2416" s="207"/>
      <c r="T2416" s="263"/>
      <c r="U2416" s="26"/>
      <c r="V2416" s="26"/>
      <c r="W2416" s="26"/>
      <c r="X2416" s="26"/>
    </row>
    <row r="2417">
      <c r="A2417" s="28"/>
      <c r="B2417" s="28"/>
      <c r="C2417" s="28"/>
      <c r="D2417" s="96"/>
      <c r="E2417" s="105"/>
      <c r="F2417" s="105"/>
      <c r="G2417" s="206"/>
      <c r="H2417" s="206"/>
      <c r="I2417" s="206"/>
      <c r="J2417" s="206"/>
      <c r="K2417" s="206"/>
      <c r="L2417" s="206"/>
      <c r="M2417" s="206"/>
      <c r="N2417" s="206"/>
      <c r="O2417" s="206"/>
      <c r="P2417" s="206"/>
      <c r="Q2417" s="262"/>
      <c r="R2417" s="262"/>
      <c r="S2417" s="207"/>
      <c r="T2417" s="263"/>
      <c r="U2417" s="26"/>
      <c r="V2417" s="26"/>
      <c r="W2417" s="26"/>
      <c r="X2417" s="26"/>
    </row>
    <row r="2418">
      <c r="A2418" s="28"/>
      <c r="B2418" s="28"/>
      <c r="C2418" s="28"/>
      <c r="D2418" s="96"/>
      <c r="E2418" s="105"/>
      <c r="F2418" s="105"/>
      <c r="G2418" s="206"/>
      <c r="H2418" s="206"/>
      <c r="I2418" s="206"/>
      <c r="J2418" s="206"/>
      <c r="K2418" s="206"/>
      <c r="L2418" s="206"/>
      <c r="M2418" s="206"/>
      <c r="N2418" s="206"/>
      <c r="O2418" s="206"/>
      <c r="P2418" s="206"/>
      <c r="Q2418" s="262"/>
      <c r="R2418" s="262"/>
      <c r="S2418" s="207"/>
      <c r="T2418" s="263"/>
      <c r="U2418" s="26"/>
      <c r="V2418" s="26"/>
      <c r="W2418" s="26"/>
      <c r="X2418" s="26"/>
    </row>
    <row r="2419">
      <c r="A2419" s="28"/>
      <c r="B2419" s="28"/>
      <c r="C2419" s="28"/>
      <c r="D2419" s="96"/>
      <c r="E2419" s="105"/>
      <c r="F2419" s="105"/>
      <c r="G2419" s="206"/>
      <c r="H2419" s="206"/>
      <c r="I2419" s="206"/>
      <c r="J2419" s="206"/>
      <c r="K2419" s="206"/>
      <c r="L2419" s="206"/>
      <c r="M2419" s="206"/>
      <c r="N2419" s="206"/>
      <c r="O2419" s="206"/>
      <c r="P2419" s="206"/>
      <c r="Q2419" s="262"/>
      <c r="R2419" s="262"/>
      <c r="S2419" s="207"/>
      <c r="T2419" s="263"/>
      <c r="U2419" s="26"/>
      <c r="V2419" s="26"/>
      <c r="W2419" s="26"/>
      <c r="X2419" s="26"/>
    </row>
    <row r="2420">
      <c r="A2420" s="28"/>
      <c r="B2420" s="28"/>
      <c r="C2420" s="28"/>
      <c r="D2420" s="96"/>
      <c r="E2420" s="105"/>
      <c r="F2420" s="105"/>
      <c r="G2420" s="206"/>
      <c r="H2420" s="206"/>
      <c r="I2420" s="206"/>
      <c r="J2420" s="206"/>
      <c r="K2420" s="206"/>
      <c r="L2420" s="206"/>
      <c r="M2420" s="206"/>
      <c r="N2420" s="206"/>
      <c r="O2420" s="206"/>
      <c r="P2420" s="206"/>
      <c r="Q2420" s="262"/>
      <c r="R2420" s="262"/>
      <c r="S2420" s="207"/>
      <c r="T2420" s="263"/>
      <c r="U2420" s="26"/>
      <c r="V2420" s="26"/>
      <c r="W2420" s="26"/>
      <c r="X2420" s="26"/>
    </row>
    <row r="2421">
      <c r="A2421" s="28"/>
      <c r="B2421" s="28"/>
      <c r="C2421" s="28"/>
      <c r="D2421" s="96"/>
      <c r="E2421" s="105"/>
      <c r="F2421" s="105"/>
      <c r="G2421" s="206"/>
      <c r="H2421" s="206"/>
      <c r="I2421" s="206"/>
      <c r="J2421" s="206"/>
      <c r="K2421" s="206"/>
      <c r="L2421" s="206"/>
      <c r="M2421" s="206"/>
      <c r="N2421" s="206"/>
      <c r="O2421" s="206"/>
      <c r="P2421" s="206"/>
      <c r="Q2421" s="262"/>
      <c r="R2421" s="262"/>
      <c r="S2421" s="207"/>
      <c r="T2421" s="263"/>
      <c r="U2421" s="26"/>
      <c r="V2421" s="26"/>
      <c r="W2421" s="26"/>
      <c r="X2421" s="26"/>
    </row>
    <row r="2422">
      <c r="A2422" s="28"/>
      <c r="B2422" s="28"/>
      <c r="C2422" s="28"/>
      <c r="D2422" s="96"/>
      <c r="E2422" s="105"/>
      <c r="F2422" s="105"/>
      <c r="G2422" s="206"/>
      <c r="H2422" s="206"/>
      <c r="I2422" s="206"/>
      <c r="J2422" s="206"/>
      <c r="K2422" s="206"/>
      <c r="L2422" s="206"/>
      <c r="M2422" s="206"/>
      <c r="N2422" s="206"/>
      <c r="O2422" s="206"/>
      <c r="P2422" s="206"/>
      <c r="Q2422" s="262"/>
      <c r="R2422" s="262"/>
      <c r="S2422" s="207"/>
      <c r="T2422" s="263"/>
      <c r="U2422" s="26"/>
      <c r="V2422" s="26"/>
      <c r="W2422" s="26"/>
      <c r="X2422" s="26"/>
    </row>
    <row r="2423">
      <c r="A2423" s="28"/>
      <c r="B2423" s="28"/>
      <c r="C2423" s="28"/>
      <c r="D2423" s="96"/>
      <c r="E2423" s="105"/>
      <c r="F2423" s="105"/>
      <c r="G2423" s="206"/>
      <c r="H2423" s="206"/>
      <c r="I2423" s="206"/>
      <c r="J2423" s="206"/>
      <c r="K2423" s="206"/>
      <c r="L2423" s="206"/>
      <c r="M2423" s="206"/>
      <c r="N2423" s="206"/>
      <c r="O2423" s="206"/>
      <c r="P2423" s="206"/>
      <c r="Q2423" s="262"/>
      <c r="R2423" s="262"/>
      <c r="S2423" s="207"/>
      <c r="T2423" s="263"/>
      <c r="U2423" s="26"/>
      <c r="V2423" s="26"/>
      <c r="W2423" s="26"/>
      <c r="X2423" s="26"/>
    </row>
    <row r="2424">
      <c r="A2424" s="28"/>
      <c r="B2424" s="28"/>
      <c r="C2424" s="28"/>
      <c r="D2424" s="96"/>
      <c r="E2424" s="105"/>
      <c r="F2424" s="105"/>
      <c r="G2424" s="206"/>
      <c r="H2424" s="206"/>
      <c r="I2424" s="206"/>
      <c r="J2424" s="206"/>
      <c r="K2424" s="206"/>
      <c r="L2424" s="206"/>
      <c r="M2424" s="206"/>
      <c r="N2424" s="206"/>
      <c r="O2424" s="206"/>
      <c r="P2424" s="206"/>
      <c r="Q2424" s="262"/>
      <c r="R2424" s="262"/>
      <c r="S2424" s="207"/>
      <c r="T2424" s="263"/>
      <c r="U2424" s="26"/>
      <c r="V2424" s="26"/>
      <c r="W2424" s="26"/>
      <c r="X2424" s="26"/>
    </row>
    <row r="2425">
      <c r="A2425" s="28"/>
      <c r="B2425" s="28"/>
      <c r="C2425" s="28"/>
      <c r="D2425" s="96"/>
      <c r="E2425" s="105"/>
      <c r="F2425" s="105"/>
      <c r="G2425" s="206"/>
      <c r="H2425" s="206"/>
      <c r="I2425" s="206"/>
      <c r="J2425" s="206"/>
      <c r="K2425" s="206"/>
      <c r="L2425" s="206"/>
      <c r="M2425" s="206"/>
      <c r="N2425" s="206"/>
      <c r="O2425" s="206"/>
      <c r="P2425" s="206"/>
      <c r="Q2425" s="262"/>
      <c r="R2425" s="262"/>
      <c r="S2425" s="207"/>
      <c r="T2425" s="263"/>
      <c r="U2425" s="26"/>
      <c r="V2425" s="26"/>
      <c r="W2425" s="26"/>
      <c r="X2425" s="26"/>
    </row>
    <row r="2426">
      <c r="A2426" s="28"/>
      <c r="B2426" s="28"/>
      <c r="C2426" s="28"/>
      <c r="D2426" s="96"/>
      <c r="E2426" s="105"/>
      <c r="F2426" s="105"/>
      <c r="G2426" s="206"/>
      <c r="H2426" s="206"/>
      <c r="I2426" s="206"/>
      <c r="J2426" s="206"/>
      <c r="K2426" s="206"/>
      <c r="L2426" s="206"/>
      <c r="M2426" s="206"/>
      <c r="N2426" s="206"/>
      <c r="O2426" s="206"/>
      <c r="P2426" s="206"/>
      <c r="Q2426" s="262"/>
      <c r="R2426" s="262"/>
      <c r="S2426" s="207"/>
      <c r="T2426" s="263"/>
      <c r="U2426" s="26"/>
      <c r="V2426" s="26"/>
      <c r="W2426" s="26"/>
      <c r="X2426" s="26"/>
    </row>
    <row r="2427">
      <c r="A2427" s="28"/>
      <c r="B2427" s="28"/>
      <c r="C2427" s="28"/>
      <c r="D2427" s="96"/>
      <c r="E2427" s="105"/>
      <c r="F2427" s="105"/>
      <c r="G2427" s="206"/>
      <c r="H2427" s="206"/>
      <c r="I2427" s="206"/>
      <c r="J2427" s="206"/>
      <c r="K2427" s="206"/>
      <c r="L2427" s="206"/>
      <c r="M2427" s="206"/>
      <c r="N2427" s="206"/>
      <c r="O2427" s="206"/>
      <c r="P2427" s="206"/>
      <c r="Q2427" s="262"/>
      <c r="R2427" s="262"/>
      <c r="S2427" s="207"/>
      <c r="T2427" s="263"/>
      <c r="U2427" s="26"/>
      <c r="V2427" s="26"/>
      <c r="W2427" s="26"/>
      <c r="X2427" s="26"/>
    </row>
    <row r="2428">
      <c r="A2428" s="28"/>
      <c r="B2428" s="28"/>
      <c r="C2428" s="28"/>
      <c r="D2428" s="96"/>
      <c r="E2428" s="105"/>
      <c r="F2428" s="105"/>
      <c r="G2428" s="206"/>
      <c r="H2428" s="206"/>
      <c r="I2428" s="206"/>
      <c r="J2428" s="206"/>
      <c r="K2428" s="206"/>
      <c r="L2428" s="206"/>
      <c r="M2428" s="206"/>
      <c r="N2428" s="206"/>
      <c r="O2428" s="206"/>
      <c r="P2428" s="206"/>
      <c r="Q2428" s="262"/>
      <c r="R2428" s="262"/>
      <c r="S2428" s="207"/>
      <c r="T2428" s="263"/>
      <c r="U2428" s="26"/>
      <c r="V2428" s="26"/>
      <c r="W2428" s="26"/>
      <c r="X2428" s="26"/>
    </row>
    <row r="2429">
      <c r="A2429" s="28"/>
      <c r="B2429" s="28"/>
      <c r="C2429" s="28"/>
      <c r="D2429" s="96"/>
      <c r="E2429" s="105"/>
      <c r="F2429" s="105"/>
      <c r="G2429" s="206"/>
      <c r="H2429" s="206"/>
      <c r="I2429" s="206"/>
      <c r="J2429" s="206"/>
      <c r="K2429" s="206"/>
      <c r="L2429" s="206"/>
      <c r="M2429" s="206"/>
      <c r="N2429" s="206"/>
      <c r="O2429" s="206"/>
      <c r="P2429" s="206"/>
      <c r="Q2429" s="262"/>
      <c r="R2429" s="262"/>
      <c r="S2429" s="207"/>
      <c r="T2429" s="263"/>
      <c r="U2429" s="26"/>
      <c r="V2429" s="26"/>
      <c r="W2429" s="26"/>
      <c r="X2429" s="26"/>
    </row>
    <row r="2430">
      <c r="A2430" s="28"/>
      <c r="B2430" s="28"/>
      <c r="C2430" s="28"/>
      <c r="D2430" s="96"/>
      <c r="E2430" s="105"/>
      <c r="F2430" s="105"/>
      <c r="G2430" s="206"/>
      <c r="H2430" s="206"/>
      <c r="I2430" s="206"/>
      <c r="J2430" s="206"/>
      <c r="K2430" s="206"/>
      <c r="L2430" s="206"/>
      <c r="M2430" s="206"/>
      <c r="N2430" s="206"/>
      <c r="O2430" s="206"/>
      <c r="P2430" s="206"/>
      <c r="Q2430" s="262"/>
      <c r="R2430" s="262"/>
      <c r="S2430" s="207"/>
      <c r="T2430" s="263"/>
      <c r="U2430" s="26"/>
      <c r="V2430" s="26"/>
      <c r="W2430" s="26"/>
      <c r="X2430" s="26"/>
    </row>
    <row r="2431">
      <c r="A2431" s="28"/>
      <c r="B2431" s="28"/>
      <c r="C2431" s="28"/>
      <c r="D2431" s="96"/>
      <c r="E2431" s="105"/>
      <c r="F2431" s="105"/>
      <c r="G2431" s="206"/>
      <c r="H2431" s="206"/>
      <c r="I2431" s="206"/>
      <c r="J2431" s="206"/>
      <c r="K2431" s="206"/>
      <c r="L2431" s="206"/>
      <c r="M2431" s="206"/>
      <c r="N2431" s="206"/>
      <c r="O2431" s="206"/>
      <c r="P2431" s="206"/>
      <c r="Q2431" s="262"/>
      <c r="R2431" s="262"/>
      <c r="S2431" s="207"/>
      <c r="T2431" s="263"/>
      <c r="U2431" s="26"/>
      <c r="V2431" s="26"/>
      <c r="W2431" s="26"/>
      <c r="X2431" s="26"/>
    </row>
    <row r="2432">
      <c r="A2432" s="28"/>
      <c r="B2432" s="28"/>
      <c r="C2432" s="28"/>
      <c r="D2432" s="96"/>
      <c r="E2432" s="105"/>
      <c r="F2432" s="105"/>
      <c r="G2432" s="206"/>
      <c r="H2432" s="206"/>
      <c r="I2432" s="206"/>
      <c r="J2432" s="206"/>
      <c r="K2432" s="206"/>
      <c r="L2432" s="206"/>
      <c r="M2432" s="206"/>
      <c r="N2432" s="206"/>
      <c r="O2432" s="206"/>
      <c r="P2432" s="206"/>
      <c r="Q2432" s="262"/>
      <c r="R2432" s="262"/>
      <c r="S2432" s="207"/>
      <c r="T2432" s="263"/>
      <c r="U2432" s="26"/>
      <c r="V2432" s="26"/>
      <c r="W2432" s="26"/>
      <c r="X2432" s="26"/>
    </row>
    <row r="2433">
      <c r="A2433" s="28"/>
      <c r="B2433" s="28"/>
      <c r="C2433" s="28"/>
      <c r="D2433" s="96"/>
      <c r="E2433" s="105"/>
      <c r="F2433" s="105"/>
      <c r="G2433" s="206"/>
      <c r="H2433" s="206"/>
      <c r="I2433" s="206"/>
      <c r="J2433" s="206"/>
      <c r="K2433" s="206"/>
      <c r="L2433" s="206"/>
      <c r="M2433" s="206"/>
      <c r="N2433" s="206"/>
      <c r="O2433" s="206"/>
      <c r="P2433" s="206"/>
      <c r="Q2433" s="262"/>
      <c r="R2433" s="262"/>
      <c r="S2433" s="207"/>
      <c r="T2433" s="263"/>
      <c r="U2433" s="26"/>
      <c r="V2433" s="26"/>
      <c r="W2433" s="26"/>
      <c r="X2433" s="26"/>
    </row>
    <row r="2434">
      <c r="A2434" s="28"/>
      <c r="B2434" s="28"/>
      <c r="C2434" s="28"/>
      <c r="D2434" s="96"/>
      <c r="E2434" s="105"/>
      <c r="F2434" s="105"/>
      <c r="G2434" s="206"/>
      <c r="H2434" s="206"/>
      <c r="I2434" s="206"/>
      <c r="J2434" s="206"/>
      <c r="K2434" s="206"/>
      <c r="L2434" s="206"/>
      <c r="M2434" s="206"/>
      <c r="N2434" s="206"/>
      <c r="O2434" s="206"/>
      <c r="P2434" s="206"/>
      <c r="Q2434" s="262"/>
      <c r="R2434" s="262"/>
      <c r="S2434" s="207"/>
      <c r="T2434" s="263"/>
      <c r="U2434" s="26"/>
      <c r="V2434" s="26"/>
      <c r="W2434" s="26"/>
      <c r="X2434" s="26"/>
    </row>
    <row r="2435">
      <c r="A2435" s="28"/>
      <c r="B2435" s="28"/>
      <c r="C2435" s="28"/>
      <c r="D2435" s="96"/>
      <c r="E2435" s="105"/>
      <c r="F2435" s="105"/>
      <c r="G2435" s="206"/>
      <c r="H2435" s="206"/>
      <c r="I2435" s="206"/>
      <c r="J2435" s="206"/>
      <c r="K2435" s="206"/>
      <c r="L2435" s="206"/>
      <c r="M2435" s="206"/>
      <c r="N2435" s="206"/>
      <c r="O2435" s="206"/>
      <c r="P2435" s="206"/>
      <c r="Q2435" s="262"/>
      <c r="R2435" s="262"/>
      <c r="S2435" s="207"/>
      <c r="T2435" s="263"/>
      <c r="U2435" s="26"/>
      <c r="V2435" s="26"/>
      <c r="W2435" s="26"/>
      <c r="X2435" s="26"/>
    </row>
    <row r="2436">
      <c r="A2436" s="28"/>
      <c r="B2436" s="28"/>
      <c r="C2436" s="28"/>
      <c r="D2436" s="96"/>
      <c r="E2436" s="105"/>
      <c r="F2436" s="105"/>
      <c r="G2436" s="206"/>
      <c r="H2436" s="206"/>
      <c r="I2436" s="206"/>
      <c r="J2436" s="206"/>
      <c r="K2436" s="206"/>
      <c r="L2436" s="206"/>
      <c r="M2436" s="206"/>
      <c r="N2436" s="206"/>
      <c r="O2436" s="206"/>
      <c r="P2436" s="206"/>
      <c r="Q2436" s="262"/>
      <c r="R2436" s="262"/>
      <c r="S2436" s="207"/>
      <c r="T2436" s="263"/>
      <c r="U2436" s="26"/>
      <c r="V2436" s="26"/>
      <c r="W2436" s="26"/>
      <c r="X2436" s="26"/>
    </row>
    <row r="2437">
      <c r="A2437" s="28"/>
      <c r="B2437" s="28"/>
      <c r="C2437" s="28"/>
      <c r="D2437" s="96"/>
      <c r="E2437" s="105"/>
      <c r="F2437" s="105"/>
      <c r="G2437" s="206"/>
      <c r="H2437" s="206"/>
      <c r="I2437" s="206"/>
      <c r="J2437" s="206"/>
      <c r="K2437" s="206"/>
      <c r="L2437" s="206"/>
      <c r="M2437" s="206"/>
      <c r="N2437" s="206"/>
      <c r="O2437" s="206"/>
      <c r="P2437" s="206"/>
      <c r="Q2437" s="262"/>
      <c r="R2437" s="262"/>
      <c r="S2437" s="207"/>
      <c r="T2437" s="263"/>
      <c r="U2437" s="26"/>
      <c r="V2437" s="26"/>
      <c r="W2437" s="26"/>
      <c r="X2437" s="26"/>
    </row>
    <row r="2438">
      <c r="A2438" s="28"/>
      <c r="B2438" s="28"/>
      <c r="C2438" s="28"/>
      <c r="D2438" s="96"/>
      <c r="E2438" s="105"/>
      <c r="F2438" s="105"/>
      <c r="G2438" s="206"/>
      <c r="H2438" s="206"/>
      <c r="I2438" s="206"/>
      <c r="J2438" s="206"/>
      <c r="K2438" s="206"/>
      <c r="L2438" s="206"/>
      <c r="M2438" s="206"/>
      <c r="N2438" s="206"/>
      <c r="O2438" s="206"/>
      <c r="P2438" s="206"/>
      <c r="Q2438" s="262"/>
      <c r="R2438" s="262"/>
      <c r="S2438" s="207"/>
      <c r="T2438" s="263"/>
      <c r="U2438" s="26"/>
      <c r="V2438" s="26"/>
      <c r="W2438" s="26"/>
      <c r="X2438" s="26"/>
    </row>
    <row r="2439">
      <c r="A2439" s="28"/>
      <c r="B2439" s="28"/>
      <c r="C2439" s="28"/>
      <c r="D2439" s="96"/>
      <c r="E2439" s="105"/>
      <c r="F2439" s="105"/>
      <c r="G2439" s="206"/>
      <c r="H2439" s="206"/>
      <c r="I2439" s="206"/>
      <c r="J2439" s="206"/>
      <c r="K2439" s="206"/>
      <c r="L2439" s="206"/>
      <c r="M2439" s="206"/>
      <c r="N2439" s="206"/>
      <c r="O2439" s="206"/>
      <c r="P2439" s="206"/>
      <c r="Q2439" s="262"/>
      <c r="R2439" s="262"/>
      <c r="S2439" s="207"/>
      <c r="T2439" s="263"/>
      <c r="U2439" s="26"/>
      <c r="V2439" s="26"/>
      <c r="W2439" s="26"/>
      <c r="X2439" s="26"/>
    </row>
    <row r="2440">
      <c r="A2440" s="28"/>
      <c r="B2440" s="28"/>
      <c r="C2440" s="28"/>
      <c r="D2440" s="96"/>
      <c r="E2440" s="105"/>
      <c r="F2440" s="105"/>
      <c r="G2440" s="206"/>
      <c r="H2440" s="206"/>
      <c r="I2440" s="206"/>
      <c r="J2440" s="206"/>
      <c r="K2440" s="206"/>
      <c r="L2440" s="206"/>
      <c r="M2440" s="206"/>
      <c r="N2440" s="206"/>
      <c r="O2440" s="206"/>
      <c r="P2440" s="206"/>
      <c r="Q2440" s="262"/>
      <c r="R2440" s="262"/>
      <c r="S2440" s="207"/>
      <c r="T2440" s="263"/>
      <c r="U2440" s="26"/>
      <c r="V2440" s="26"/>
      <c r="W2440" s="26"/>
      <c r="X2440" s="26"/>
    </row>
    <row r="2441">
      <c r="A2441" s="28"/>
      <c r="B2441" s="28"/>
      <c r="C2441" s="28"/>
      <c r="D2441" s="96"/>
      <c r="E2441" s="105"/>
      <c r="F2441" s="105"/>
      <c r="G2441" s="206"/>
      <c r="H2441" s="206"/>
      <c r="I2441" s="206"/>
      <c r="J2441" s="206"/>
      <c r="K2441" s="206"/>
      <c r="L2441" s="206"/>
      <c r="M2441" s="206"/>
      <c r="N2441" s="206"/>
      <c r="O2441" s="206"/>
      <c r="P2441" s="206"/>
      <c r="Q2441" s="262"/>
      <c r="R2441" s="262"/>
      <c r="S2441" s="207"/>
      <c r="T2441" s="263"/>
      <c r="U2441" s="26"/>
      <c r="V2441" s="26"/>
      <c r="W2441" s="26"/>
      <c r="X2441" s="26"/>
    </row>
    <row r="2442">
      <c r="A2442" s="28"/>
      <c r="B2442" s="28"/>
      <c r="C2442" s="28"/>
      <c r="D2442" s="96"/>
      <c r="E2442" s="105"/>
      <c r="F2442" s="105"/>
      <c r="G2442" s="206"/>
      <c r="H2442" s="206"/>
      <c r="I2442" s="206"/>
      <c r="J2442" s="206"/>
      <c r="K2442" s="206"/>
      <c r="L2442" s="206"/>
      <c r="M2442" s="206"/>
      <c r="N2442" s="206"/>
      <c r="O2442" s="206"/>
      <c r="P2442" s="206"/>
      <c r="Q2442" s="262"/>
      <c r="R2442" s="262"/>
      <c r="S2442" s="207"/>
      <c r="T2442" s="263"/>
      <c r="U2442" s="26"/>
      <c r="V2442" s="26"/>
      <c r="W2442" s="26"/>
      <c r="X2442" s="26"/>
    </row>
    <row r="2443">
      <c r="A2443" s="28"/>
      <c r="B2443" s="28"/>
      <c r="C2443" s="28"/>
      <c r="D2443" s="96"/>
      <c r="E2443" s="105"/>
      <c r="F2443" s="105"/>
      <c r="G2443" s="206"/>
      <c r="H2443" s="206"/>
      <c r="I2443" s="206"/>
      <c r="J2443" s="206"/>
      <c r="K2443" s="206"/>
      <c r="L2443" s="206"/>
      <c r="M2443" s="206"/>
      <c r="N2443" s="206"/>
      <c r="O2443" s="206"/>
      <c r="P2443" s="206"/>
      <c r="Q2443" s="262"/>
      <c r="R2443" s="262"/>
      <c r="S2443" s="207"/>
      <c r="T2443" s="263"/>
      <c r="U2443" s="26"/>
      <c r="V2443" s="26"/>
      <c r="W2443" s="26"/>
      <c r="X2443" s="26"/>
    </row>
    <row r="2444">
      <c r="A2444" s="28"/>
      <c r="B2444" s="28"/>
      <c r="C2444" s="28"/>
      <c r="D2444" s="96"/>
      <c r="E2444" s="105"/>
      <c r="F2444" s="105"/>
      <c r="G2444" s="206"/>
      <c r="H2444" s="206"/>
      <c r="I2444" s="206"/>
      <c r="J2444" s="206"/>
      <c r="K2444" s="206"/>
      <c r="L2444" s="206"/>
      <c r="M2444" s="206"/>
      <c r="N2444" s="206"/>
      <c r="O2444" s="206"/>
      <c r="P2444" s="206"/>
      <c r="Q2444" s="262"/>
      <c r="R2444" s="262"/>
      <c r="S2444" s="207"/>
      <c r="T2444" s="263"/>
      <c r="U2444" s="26"/>
      <c r="V2444" s="26"/>
      <c r="W2444" s="26"/>
      <c r="X2444" s="26"/>
    </row>
    <row r="2445">
      <c r="A2445" s="28"/>
      <c r="B2445" s="28"/>
      <c r="C2445" s="28"/>
      <c r="D2445" s="96"/>
      <c r="E2445" s="105"/>
      <c r="F2445" s="105"/>
      <c r="G2445" s="206"/>
      <c r="H2445" s="206"/>
      <c r="I2445" s="206"/>
      <c r="J2445" s="206"/>
      <c r="K2445" s="206"/>
      <c r="L2445" s="206"/>
      <c r="M2445" s="206"/>
      <c r="N2445" s="206"/>
      <c r="O2445" s="206"/>
      <c r="P2445" s="206"/>
      <c r="Q2445" s="262"/>
      <c r="R2445" s="262"/>
      <c r="S2445" s="207"/>
      <c r="T2445" s="263"/>
      <c r="U2445" s="26"/>
      <c r="V2445" s="26"/>
      <c r="W2445" s="26"/>
      <c r="X2445" s="26"/>
    </row>
    <row r="2446">
      <c r="A2446" s="28"/>
      <c r="B2446" s="28"/>
      <c r="C2446" s="28"/>
      <c r="D2446" s="96"/>
      <c r="E2446" s="105"/>
      <c r="F2446" s="105"/>
      <c r="G2446" s="206"/>
      <c r="H2446" s="206"/>
      <c r="I2446" s="206"/>
      <c r="J2446" s="206"/>
      <c r="K2446" s="206"/>
      <c r="L2446" s="206"/>
      <c r="M2446" s="206"/>
      <c r="N2446" s="206"/>
      <c r="O2446" s="206"/>
      <c r="P2446" s="206"/>
      <c r="Q2446" s="262"/>
      <c r="R2446" s="262"/>
      <c r="S2446" s="207"/>
      <c r="T2446" s="263"/>
      <c r="U2446" s="26"/>
      <c r="V2446" s="26"/>
      <c r="W2446" s="26"/>
      <c r="X2446" s="26"/>
    </row>
    <row r="2447">
      <c r="A2447" s="28"/>
      <c r="B2447" s="28"/>
      <c r="C2447" s="28"/>
      <c r="D2447" s="96"/>
      <c r="E2447" s="105"/>
      <c r="F2447" s="105"/>
      <c r="G2447" s="206"/>
      <c r="H2447" s="206"/>
      <c r="I2447" s="206"/>
      <c r="J2447" s="206"/>
      <c r="K2447" s="206"/>
      <c r="L2447" s="206"/>
      <c r="M2447" s="206"/>
      <c r="N2447" s="206"/>
      <c r="O2447" s="206"/>
      <c r="P2447" s="206"/>
      <c r="Q2447" s="262"/>
      <c r="R2447" s="262"/>
      <c r="S2447" s="207"/>
      <c r="T2447" s="263"/>
      <c r="U2447" s="26"/>
      <c r="V2447" s="26"/>
      <c r="W2447" s="26"/>
      <c r="X2447" s="26"/>
    </row>
    <row r="2448">
      <c r="A2448" s="28"/>
      <c r="B2448" s="28"/>
      <c r="C2448" s="28"/>
      <c r="D2448" s="96"/>
      <c r="E2448" s="105"/>
      <c r="F2448" s="105"/>
      <c r="G2448" s="206"/>
      <c r="H2448" s="206"/>
      <c r="I2448" s="206"/>
      <c r="J2448" s="206"/>
      <c r="K2448" s="206"/>
      <c r="L2448" s="206"/>
      <c r="M2448" s="206"/>
      <c r="N2448" s="206"/>
      <c r="O2448" s="206"/>
      <c r="P2448" s="206"/>
      <c r="Q2448" s="262"/>
      <c r="R2448" s="262"/>
      <c r="S2448" s="207"/>
      <c r="T2448" s="263"/>
      <c r="U2448" s="26"/>
      <c r="V2448" s="26"/>
      <c r="W2448" s="26"/>
      <c r="X2448" s="26"/>
    </row>
    <row r="2449">
      <c r="A2449" s="28"/>
      <c r="B2449" s="28"/>
      <c r="C2449" s="28"/>
      <c r="D2449" s="96"/>
      <c r="E2449" s="105"/>
      <c r="F2449" s="105"/>
      <c r="G2449" s="206"/>
      <c r="H2449" s="206"/>
      <c r="I2449" s="206"/>
      <c r="J2449" s="206"/>
      <c r="K2449" s="206"/>
      <c r="L2449" s="206"/>
      <c r="M2449" s="206"/>
      <c r="N2449" s="206"/>
      <c r="O2449" s="206"/>
      <c r="P2449" s="206"/>
      <c r="Q2449" s="262"/>
      <c r="R2449" s="262"/>
      <c r="S2449" s="207"/>
      <c r="T2449" s="263"/>
      <c r="U2449" s="26"/>
      <c r="V2449" s="26"/>
      <c r="W2449" s="26"/>
      <c r="X2449" s="26"/>
    </row>
    <row r="2450">
      <c r="A2450" s="28"/>
      <c r="B2450" s="28"/>
      <c r="C2450" s="28"/>
      <c r="D2450" s="96"/>
      <c r="E2450" s="105"/>
      <c r="F2450" s="105"/>
      <c r="G2450" s="206"/>
      <c r="H2450" s="206"/>
      <c r="I2450" s="206"/>
      <c r="J2450" s="206"/>
      <c r="K2450" s="206"/>
      <c r="L2450" s="206"/>
      <c r="M2450" s="206"/>
      <c r="N2450" s="206"/>
      <c r="O2450" s="206"/>
      <c r="P2450" s="206"/>
      <c r="Q2450" s="262"/>
      <c r="R2450" s="262"/>
      <c r="S2450" s="207"/>
      <c r="T2450" s="263"/>
      <c r="U2450" s="26"/>
      <c r="V2450" s="26"/>
      <c r="W2450" s="26"/>
      <c r="X2450" s="26"/>
    </row>
    <row r="2451">
      <c r="A2451" s="28"/>
      <c r="B2451" s="28"/>
      <c r="C2451" s="28"/>
      <c r="D2451" s="96"/>
      <c r="E2451" s="105"/>
      <c r="F2451" s="105"/>
      <c r="G2451" s="206"/>
      <c r="H2451" s="206"/>
      <c r="I2451" s="206"/>
      <c r="J2451" s="206"/>
      <c r="K2451" s="206"/>
      <c r="L2451" s="206"/>
      <c r="M2451" s="206"/>
      <c r="N2451" s="206"/>
      <c r="O2451" s="206"/>
      <c r="P2451" s="206"/>
      <c r="Q2451" s="262"/>
      <c r="R2451" s="262"/>
      <c r="S2451" s="207"/>
      <c r="T2451" s="263"/>
      <c r="U2451" s="26"/>
      <c r="V2451" s="26"/>
      <c r="W2451" s="26"/>
      <c r="X2451" s="26"/>
    </row>
    <row r="2452">
      <c r="A2452" s="28"/>
      <c r="B2452" s="28"/>
      <c r="C2452" s="28"/>
      <c r="D2452" s="96"/>
      <c r="E2452" s="105"/>
      <c r="F2452" s="105"/>
      <c r="G2452" s="206"/>
      <c r="H2452" s="206"/>
      <c r="I2452" s="206"/>
      <c r="J2452" s="206"/>
      <c r="K2452" s="206"/>
      <c r="L2452" s="206"/>
      <c r="M2452" s="206"/>
      <c r="N2452" s="206"/>
      <c r="O2452" s="206"/>
      <c r="P2452" s="206"/>
      <c r="Q2452" s="262"/>
      <c r="R2452" s="262"/>
      <c r="S2452" s="207"/>
      <c r="T2452" s="263"/>
      <c r="U2452" s="26"/>
      <c r="V2452" s="26"/>
      <c r="W2452" s="26"/>
      <c r="X2452" s="26"/>
    </row>
    <row r="2453">
      <c r="A2453" s="28"/>
      <c r="B2453" s="28"/>
      <c r="C2453" s="28"/>
      <c r="D2453" s="96"/>
      <c r="E2453" s="105"/>
      <c r="F2453" s="105"/>
      <c r="G2453" s="206"/>
      <c r="H2453" s="206"/>
      <c r="I2453" s="206"/>
      <c r="J2453" s="206"/>
      <c r="K2453" s="206"/>
      <c r="L2453" s="206"/>
      <c r="M2453" s="206"/>
      <c r="N2453" s="206"/>
      <c r="O2453" s="206"/>
      <c r="P2453" s="206"/>
      <c r="Q2453" s="262"/>
      <c r="R2453" s="262"/>
      <c r="S2453" s="207"/>
      <c r="T2453" s="263"/>
      <c r="U2453" s="26"/>
      <c r="V2453" s="26"/>
      <c r="W2453" s="26"/>
      <c r="X2453" s="26"/>
    </row>
    <row r="2454">
      <c r="A2454" s="28"/>
      <c r="B2454" s="28"/>
      <c r="C2454" s="28"/>
      <c r="D2454" s="96"/>
      <c r="E2454" s="105"/>
      <c r="F2454" s="105"/>
      <c r="G2454" s="206"/>
      <c r="H2454" s="206"/>
      <c r="I2454" s="206"/>
      <c r="J2454" s="206"/>
      <c r="K2454" s="206"/>
      <c r="L2454" s="206"/>
      <c r="M2454" s="206"/>
      <c r="N2454" s="206"/>
      <c r="O2454" s="206"/>
      <c r="P2454" s="206"/>
      <c r="Q2454" s="262"/>
      <c r="R2454" s="262"/>
      <c r="S2454" s="207"/>
      <c r="T2454" s="263"/>
      <c r="U2454" s="26"/>
      <c r="V2454" s="26"/>
      <c r="W2454" s="26"/>
      <c r="X2454" s="26"/>
    </row>
    <row r="2455">
      <c r="A2455" s="28"/>
      <c r="B2455" s="28"/>
      <c r="C2455" s="28"/>
      <c r="D2455" s="96"/>
      <c r="E2455" s="105"/>
      <c r="F2455" s="105"/>
      <c r="G2455" s="206"/>
      <c r="H2455" s="206"/>
      <c r="I2455" s="206"/>
      <c r="J2455" s="206"/>
      <c r="K2455" s="206"/>
      <c r="L2455" s="206"/>
      <c r="M2455" s="206"/>
      <c r="N2455" s="206"/>
      <c r="O2455" s="206"/>
      <c r="P2455" s="206"/>
      <c r="Q2455" s="262"/>
      <c r="R2455" s="262"/>
      <c r="S2455" s="207"/>
      <c r="T2455" s="263"/>
      <c r="U2455" s="26"/>
      <c r="V2455" s="26"/>
      <c r="W2455" s="26"/>
      <c r="X2455" s="26"/>
    </row>
    <row r="2456">
      <c r="A2456" s="28"/>
      <c r="B2456" s="28"/>
      <c r="C2456" s="28"/>
      <c r="D2456" s="96"/>
      <c r="E2456" s="105"/>
      <c r="F2456" s="105"/>
      <c r="G2456" s="206"/>
      <c r="H2456" s="206"/>
      <c r="I2456" s="206"/>
      <c r="J2456" s="206"/>
      <c r="K2456" s="206"/>
      <c r="L2456" s="206"/>
      <c r="M2456" s="206"/>
      <c r="N2456" s="206"/>
      <c r="O2456" s="206"/>
      <c r="P2456" s="206"/>
      <c r="Q2456" s="262"/>
      <c r="R2456" s="262"/>
      <c r="S2456" s="207"/>
      <c r="T2456" s="263"/>
      <c r="U2456" s="26"/>
      <c r="V2456" s="26"/>
      <c r="W2456" s="26"/>
      <c r="X2456" s="26"/>
    </row>
    <row r="2457">
      <c r="A2457" s="28"/>
      <c r="B2457" s="28"/>
      <c r="C2457" s="28"/>
      <c r="D2457" s="96"/>
      <c r="E2457" s="105"/>
      <c r="F2457" s="105"/>
      <c r="G2457" s="206"/>
      <c r="H2457" s="206"/>
      <c r="I2457" s="206"/>
      <c r="J2457" s="206"/>
      <c r="K2457" s="206"/>
      <c r="L2457" s="206"/>
      <c r="M2457" s="206"/>
      <c r="N2457" s="206"/>
      <c r="O2457" s="206"/>
      <c r="P2457" s="206"/>
      <c r="Q2457" s="262"/>
      <c r="R2457" s="262"/>
      <c r="S2457" s="207"/>
      <c r="T2457" s="263"/>
      <c r="U2457" s="26"/>
      <c r="V2457" s="26"/>
      <c r="W2457" s="26"/>
      <c r="X2457" s="26"/>
    </row>
    <row r="2458">
      <c r="A2458" s="28"/>
      <c r="B2458" s="28"/>
      <c r="C2458" s="28"/>
      <c r="D2458" s="96"/>
      <c r="E2458" s="105"/>
      <c r="F2458" s="105"/>
      <c r="G2458" s="206"/>
      <c r="H2458" s="206"/>
      <c r="I2458" s="206"/>
      <c r="J2458" s="206"/>
      <c r="K2458" s="206"/>
      <c r="L2458" s="206"/>
      <c r="M2458" s="206"/>
      <c r="N2458" s="206"/>
      <c r="O2458" s="206"/>
      <c r="P2458" s="206"/>
      <c r="Q2458" s="262"/>
      <c r="R2458" s="262"/>
      <c r="S2458" s="207"/>
      <c r="T2458" s="263"/>
      <c r="U2458" s="26"/>
      <c r="V2458" s="26"/>
      <c r="W2458" s="26"/>
      <c r="X2458" s="26"/>
    </row>
    <row r="2459">
      <c r="A2459" s="28"/>
      <c r="B2459" s="28"/>
      <c r="C2459" s="28"/>
      <c r="D2459" s="96"/>
      <c r="E2459" s="105"/>
      <c r="F2459" s="105"/>
      <c r="G2459" s="206"/>
      <c r="H2459" s="206"/>
      <c r="I2459" s="206"/>
      <c r="J2459" s="206"/>
      <c r="K2459" s="206"/>
      <c r="L2459" s="206"/>
      <c r="M2459" s="206"/>
      <c r="N2459" s="206"/>
      <c r="O2459" s="206"/>
      <c r="P2459" s="206"/>
      <c r="Q2459" s="262"/>
      <c r="R2459" s="262"/>
      <c r="S2459" s="207"/>
      <c r="T2459" s="263"/>
      <c r="U2459" s="26"/>
      <c r="V2459" s="26"/>
      <c r="W2459" s="26"/>
      <c r="X2459" s="26"/>
    </row>
    <row r="2460">
      <c r="A2460" s="28"/>
      <c r="B2460" s="28"/>
      <c r="C2460" s="28"/>
      <c r="D2460" s="96"/>
      <c r="E2460" s="105"/>
      <c r="F2460" s="105"/>
      <c r="G2460" s="206"/>
      <c r="H2460" s="206"/>
      <c r="I2460" s="206"/>
      <c r="J2460" s="206"/>
      <c r="K2460" s="206"/>
      <c r="L2460" s="206"/>
      <c r="M2460" s="206"/>
      <c r="N2460" s="206"/>
      <c r="O2460" s="206"/>
      <c r="P2460" s="206"/>
      <c r="Q2460" s="262"/>
      <c r="R2460" s="262"/>
      <c r="S2460" s="207"/>
      <c r="T2460" s="263"/>
      <c r="U2460" s="26"/>
      <c r="V2460" s="26"/>
      <c r="W2460" s="26"/>
      <c r="X2460" s="26"/>
    </row>
    <row r="2461">
      <c r="A2461" s="28"/>
      <c r="B2461" s="28"/>
      <c r="C2461" s="28"/>
      <c r="D2461" s="96"/>
      <c r="E2461" s="105"/>
      <c r="F2461" s="105"/>
      <c r="G2461" s="206"/>
      <c r="H2461" s="206"/>
      <c r="I2461" s="206"/>
      <c r="J2461" s="206"/>
      <c r="K2461" s="206"/>
      <c r="L2461" s="206"/>
      <c r="M2461" s="206"/>
      <c r="N2461" s="206"/>
      <c r="O2461" s="206"/>
      <c r="P2461" s="206"/>
      <c r="Q2461" s="262"/>
      <c r="R2461" s="262"/>
      <c r="S2461" s="207"/>
      <c r="T2461" s="263"/>
      <c r="U2461" s="26"/>
      <c r="V2461" s="26"/>
      <c r="W2461" s="26"/>
      <c r="X2461" s="26"/>
    </row>
    <row r="2462">
      <c r="A2462" s="28"/>
      <c r="B2462" s="28"/>
      <c r="C2462" s="28"/>
      <c r="D2462" s="96"/>
      <c r="E2462" s="105"/>
      <c r="F2462" s="105"/>
      <c r="G2462" s="206"/>
      <c r="H2462" s="206"/>
      <c r="I2462" s="206"/>
      <c r="J2462" s="206"/>
      <c r="K2462" s="206"/>
      <c r="L2462" s="206"/>
      <c r="M2462" s="206"/>
      <c r="N2462" s="206"/>
      <c r="O2462" s="206"/>
      <c r="P2462" s="206"/>
      <c r="Q2462" s="262"/>
      <c r="R2462" s="262"/>
      <c r="S2462" s="207"/>
      <c r="T2462" s="263"/>
      <c r="U2462" s="26"/>
      <c r="V2462" s="26"/>
      <c r="W2462" s="26"/>
      <c r="X2462" s="26"/>
    </row>
    <row r="2463">
      <c r="A2463" s="28"/>
      <c r="B2463" s="28"/>
      <c r="C2463" s="28"/>
      <c r="D2463" s="96"/>
      <c r="E2463" s="105"/>
      <c r="F2463" s="105"/>
      <c r="G2463" s="206"/>
      <c r="H2463" s="206"/>
      <c r="I2463" s="206"/>
      <c r="J2463" s="206"/>
      <c r="K2463" s="206"/>
      <c r="L2463" s="206"/>
      <c r="M2463" s="206"/>
      <c r="N2463" s="206"/>
      <c r="O2463" s="206"/>
      <c r="P2463" s="206"/>
      <c r="Q2463" s="262"/>
      <c r="R2463" s="262"/>
      <c r="S2463" s="207"/>
      <c r="T2463" s="263"/>
      <c r="U2463" s="26"/>
      <c r="V2463" s="26"/>
      <c r="W2463" s="26"/>
      <c r="X2463" s="26"/>
    </row>
    <row r="2464">
      <c r="A2464" s="28"/>
      <c r="B2464" s="28"/>
      <c r="C2464" s="28"/>
      <c r="D2464" s="96"/>
      <c r="E2464" s="105"/>
      <c r="F2464" s="105"/>
      <c r="G2464" s="206"/>
      <c r="H2464" s="206"/>
      <c r="I2464" s="206"/>
      <c r="J2464" s="206"/>
      <c r="K2464" s="206"/>
      <c r="L2464" s="206"/>
      <c r="M2464" s="206"/>
      <c r="N2464" s="206"/>
      <c r="O2464" s="206"/>
      <c r="P2464" s="206"/>
      <c r="Q2464" s="262"/>
      <c r="R2464" s="262"/>
      <c r="S2464" s="207"/>
      <c r="T2464" s="263"/>
      <c r="U2464" s="26"/>
      <c r="V2464" s="26"/>
      <c r="W2464" s="26"/>
      <c r="X2464" s="26"/>
    </row>
    <row r="2465">
      <c r="A2465" s="28"/>
      <c r="B2465" s="28"/>
      <c r="C2465" s="28"/>
      <c r="D2465" s="96"/>
      <c r="E2465" s="105"/>
      <c r="F2465" s="105"/>
      <c r="G2465" s="206"/>
      <c r="H2465" s="206"/>
      <c r="I2465" s="206"/>
      <c r="J2465" s="206"/>
      <c r="K2465" s="206"/>
      <c r="L2465" s="206"/>
      <c r="M2465" s="206"/>
      <c r="N2465" s="206"/>
      <c r="O2465" s="206"/>
      <c r="P2465" s="206"/>
      <c r="Q2465" s="262"/>
      <c r="R2465" s="262"/>
      <c r="S2465" s="207"/>
      <c r="T2465" s="263"/>
      <c r="U2465" s="26"/>
      <c r="V2465" s="26"/>
      <c r="W2465" s="26"/>
      <c r="X2465" s="26"/>
    </row>
    <row r="2466">
      <c r="A2466" s="28"/>
      <c r="B2466" s="28"/>
      <c r="C2466" s="28"/>
      <c r="D2466" s="96"/>
      <c r="E2466" s="105"/>
      <c r="F2466" s="105"/>
      <c r="G2466" s="206"/>
      <c r="H2466" s="206"/>
      <c r="I2466" s="206"/>
      <c r="J2466" s="206"/>
      <c r="K2466" s="206"/>
      <c r="L2466" s="206"/>
      <c r="M2466" s="206"/>
      <c r="N2466" s="206"/>
      <c r="O2466" s="206"/>
      <c r="P2466" s="206"/>
      <c r="Q2466" s="262"/>
      <c r="R2466" s="262"/>
      <c r="S2466" s="207"/>
      <c r="T2466" s="263"/>
      <c r="U2466" s="26"/>
      <c r="V2466" s="26"/>
      <c r="W2466" s="26"/>
      <c r="X2466" s="26"/>
    </row>
    <row r="2467">
      <c r="A2467" s="28"/>
      <c r="B2467" s="28"/>
      <c r="C2467" s="28"/>
      <c r="D2467" s="96"/>
      <c r="E2467" s="105"/>
      <c r="F2467" s="105"/>
      <c r="G2467" s="206"/>
      <c r="H2467" s="206"/>
      <c r="I2467" s="206"/>
      <c r="J2467" s="206"/>
      <c r="K2467" s="206"/>
      <c r="L2467" s="206"/>
      <c r="M2467" s="206"/>
      <c r="N2467" s="206"/>
      <c r="O2467" s="206"/>
      <c r="P2467" s="206"/>
      <c r="Q2467" s="262"/>
      <c r="R2467" s="262"/>
      <c r="S2467" s="207"/>
      <c r="T2467" s="263"/>
      <c r="U2467" s="26"/>
      <c r="V2467" s="26"/>
      <c r="W2467" s="26"/>
      <c r="X2467" s="26"/>
    </row>
    <row r="2468">
      <c r="A2468" s="28"/>
      <c r="B2468" s="28"/>
      <c r="C2468" s="28"/>
      <c r="D2468" s="96"/>
      <c r="E2468" s="105"/>
      <c r="F2468" s="105"/>
      <c r="G2468" s="206"/>
      <c r="H2468" s="206"/>
      <c r="I2468" s="206"/>
      <c r="J2468" s="206"/>
      <c r="K2468" s="206"/>
      <c r="L2468" s="206"/>
      <c r="M2468" s="206"/>
      <c r="N2468" s="206"/>
      <c r="O2468" s="206"/>
      <c r="P2468" s="206"/>
      <c r="Q2468" s="262"/>
      <c r="R2468" s="262"/>
      <c r="S2468" s="207"/>
      <c r="T2468" s="263"/>
      <c r="U2468" s="26"/>
      <c r="V2468" s="26"/>
      <c r="W2468" s="26"/>
      <c r="X2468" s="26"/>
    </row>
    <row r="2469">
      <c r="A2469" s="28"/>
      <c r="B2469" s="28"/>
      <c r="C2469" s="28"/>
      <c r="D2469" s="96"/>
      <c r="E2469" s="105"/>
      <c r="F2469" s="105"/>
      <c r="G2469" s="206"/>
      <c r="H2469" s="206"/>
      <c r="I2469" s="206"/>
      <c r="J2469" s="206"/>
      <c r="K2469" s="206"/>
      <c r="L2469" s="206"/>
      <c r="M2469" s="206"/>
      <c r="N2469" s="206"/>
      <c r="O2469" s="206"/>
      <c r="P2469" s="206"/>
      <c r="Q2469" s="262"/>
      <c r="R2469" s="262"/>
      <c r="S2469" s="207"/>
      <c r="T2469" s="263"/>
      <c r="U2469" s="26"/>
      <c r="V2469" s="26"/>
      <c r="W2469" s="26"/>
      <c r="X2469" s="26"/>
    </row>
    <row r="2470">
      <c r="A2470" s="28"/>
      <c r="B2470" s="28"/>
      <c r="C2470" s="28"/>
      <c r="D2470" s="96"/>
      <c r="E2470" s="105"/>
      <c r="F2470" s="105"/>
      <c r="G2470" s="206"/>
      <c r="H2470" s="206"/>
      <c r="I2470" s="206"/>
      <c r="J2470" s="206"/>
      <c r="K2470" s="206"/>
      <c r="L2470" s="206"/>
      <c r="M2470" s="206"/>
      <c r="N2470" s="206"/>
      <c r="O2470" s="206"/>
      <c r="P2470" s="206"/>
      <c r="Q2470" s="262"/>
      <c r="R2470" s="262"/>
      <c r="S2470" s="207"/>
      <c r="T2470" s="263"/>
      <c r="U2470" s="26"/>
      <c r="V2470" s="26"/>
      <c r="W2470" s="26"/>
      <c r="X2470" s="26"/>
    </row>
    <row r="2471">
      <c r="A2471" s="28"/>
      <c r="B2471" s="28"/>
      <c r="C2471" s="28"/>
      <c r="D2471" s="96"/>
      <c r="E2471" s="105"/>
      <c r="F2471" s="105"/>
      <c r="G2471" s="206"/>
      <c r="H2471" s="206"/>
      <c r="I2471" s="206"/>
      <c r="J2471" s="206"/>
      <c r="K2471" s="206"/>
      <c r="L2471" s="206"/>
      <c r="M2471" s="206"/>
      <c r="N2471" s="206"/>
      <c r="O2471" s="206"/>
      <c r="P2471" s="206"/>
      <c r="Q2471" s="262"/>
      <c r="R2471" s="262"/>
      <c r="S2471" s="207"/>
      <c r="T2471" s="263"/>
      <c r="U2471" s="26"/>
      <c r="V2471" s="26"/>
      <c r="W2471" s="26"/>
      <c r="X2471" s="26"/>
    </row>
    <row r="2472">
      <c r="A2472" s="28"/>
      <c r="B2472" s="28"/>
      <c r="C2472" s="28"/>
      <c r="D2472" s="96"/>
      <c r="E2472" s="105"/>
      <c r="F2472" s="105"/>
      <c r="G2472" s="206"/>
      <c r="H2472" s="206"/>
      <c r="I2472" s="206"/>
      <c r="J2472" s="206"/>
      <c r="K2472" s="206"/>
      <c r="L2472" s="206"/>
      <c r="M2472" s="206"/>
      <c r="N2472" s="206"/>
      <c r="O2472" s="206"/>
      <c r="P2472" s="206"/>
      <c r="Q2472" s="262"/>
      <c r="R2472" s="262"/>
      <c r="S2472" s="207"/>
      <c r="T2472" s="263"/>
      <c r="U2472" s="26"/>
      <c r="V2472" s="26"/>
      <c r="W2472" s="26"/>
      <c r="X2472" s="26"/>
    </row>
    <row r="2473">
      <c r="A2473" s="28"/>
      <c r="B2473" s="28"/>
      <c r="C2473" s="28"/>
      <c r="D2473" s="96"/>
      <c r="E2473" s="105"/>
      <c r="F2473" s="105"/>
      <c r="G2473" s="206"/>
      <c r="H2473" s="206"/>
      <c r="I2473" s="206"/>
      <c r="J2473" s="206"/>
      <c r="K2473" s="206"/>
      <c r="L2473" s="206"/>
      <c r="M2473" s="206"/>
      <c r="N2473" s="206"/>
      <c r="O2473" s="206"/>
      <c r="P2473" s="206"/>
      <c r="Q2473" s="262"/>
      <c r="R2473" s="262"/>
      <c r="S2473" s="207"/>
      <c r="T2473" s="263"/>
      <c r="U2473" s="26"/>
      <c r="V2473" s="26"/>
      <c r="W2473" s="26"/>
      <c r="X2473" s="26"/>
    </row>
    <row r="2474">
      <c r="A2474" s="28"/>
      <c r="B2474" s="28"/>
      <c r="C2474" s="28"/>
      <c r="D2474" s="96"/>
      <c r="E2474" s="105"/>
      <c r="F2474" s="105"/>
      <c r="G2474" s="206"/>
      <c r="H2474" s="206"/>
      <c r="I2474" s="206"/>
      <c r="J2474" s="206"/>
      <c r="K2474" s="206"/>
      <c r="L2474" s="206"/>
      <c r="M2474" s="206"/>
      <c r="N2474" s="206"/>
      <c r="O2474" s="206"/>
      <c r="P2474" s="206"/>
      <c r="Q2474" s="262"/>
      <c r="R2474" s="262"/>
      <c r="S2474" s="207"/>
      <c r="T2474" s="263"/>
      <c r="U2474" s="26"/>
      <c r="V2474" s="26"/>
      <c r="W2474" s="26"/>
      <c r="X2474" s="26"/>
    </row>
    <row r="2475">
      <c r="A2475" s="28"/>
      <c r="B2475" s="28"/>
      <c r="C2475" s="28"/>
      <c r="D2475" s="96"/>
      <c r="E2475" s="105"/>
      <c r="F2475" s="105"/>
      <c r="G2475" s="206"/>
      <c r="H2475" s="206"/>
      <c r="I2475" s="206"/>
      <c r="J2475" s="206"/>
      <c r="K2475" s="206"/>
      <c r="L2475" s="206"/>
      <c r="M2475" s="206"/>
      <c r="N2475" s="206"/>
      <c r="O2475" s="206"/>
      <c r="P2475" s="206"/>
      <c r="Q2475" s="262"/>
      <c r="R2475" s="262"/>
      <c r="S2475" s="207"/>
      <c r="T2475" s="263"/>
      <c r="U2475" s="26"/>
      <c r="V2475" s="26"/>
      <c r="W2475" s="26"/>
      <c r="X2475" s="26"/>
    </row>
    <row r="2476">
      <c r="A2476" s="28"/>
      <c r="B2476" s="28"/>
      <c r="C2476" s="28"/>
      <c r="D2476" s="96"/>
      <c r="E2476" s="105"/>
      <c r="F2476" s="105"/>
      <c r="G2476" s="206"/>
      <c r="H2476" s="206"/>
      <c r="I2476" s="206"/>
      <c r="J2476" s="206"/>
      <c r="K2476" s="206"/>
      <c r="L2476" s="206"/>
      <c r="M2476" s="206"/>
      <c r="N2476" s="206"/>
      <c r="O2476" s="206"/>
      <c r="P2476" s="206"/>
      <c r="Q2476" s="262"/>
      <c r="R2476" s="262"/>
      <c r="S2476" s="207"/>
      <c r="T2476" s="263"/>
      <c r="U2476" s="26"/>
      <c r="V2476" s="26"/>
      <c r="W2476" s="26"/>
      <c r="X2476" s="26"/>
    </row>
    <row r="2477">
      <c r="A2477" s="28"/>
      <c r="B2477" s="28"/>
      <c r="C2477" s="28"/>
      <c r="D2477" s="96"/>
      <c r="E2477" s="105"/>
      <c r="F2477" s="105"/>
      <c r="G2477" s="206"/>
      <c r="H2477" s="206"/>
      <c r="I2477" s="206"/>
      <c r="J2477" s="206"/>
      <c r="K2477" s="206"/>
      <c r="L2477" s="206"/>
      <c r="M2477" s="206"/>
      <c r="N2477" s="206"/>
      <c r="O2477" s="206"/>
      <c r="P2477" s="206"/>
      <c r="Q2477" s="262"/>
      <c r="R2477" s="262"/>
      <c r="S2477" s="207"/>
      <c r="T2477" s="263"/>
      <c r="U2477" s="26"/>
      <c r="V2477" s="26"/>
      <c r="W2477" s="26"/>
      <c r="X2477" s="26"/>
    </row>
    <row r="2478">
      <c r="A2478" s="28"/>
      <c r="B2478" s="28"/>
      <c r="C2478" s="28"/>
      <c r="D2478" s="96"/>
      <c r="E2478" s="105"/>
      <c r="F2478" s="105"/>
      <c r="G2478" s="206"/>
      <c r="H2478" s="206"/>
      <c r="I2478" s="206"/>
      <c r="J2478" s="206"/>
      <c r="K2478" s="206"/>
      <c r="L2478" s="206"/>
      <c r="M2478" s="206"/>
      <c r="N2478" s="206"/>
      <c r="O2478" s="206"/>
      <c r="P2478" s="206"/>
      <c r="Q2478" s="262"/>
      <c r="R2478" s="262"/>
      <c r="S2478" s="207"/>
      <c r="T2478" s="263"/>
      <c r="U2478" s="26"/>
      <c r="V2478" s="26"/>
      <c r="W2478" s="26"/>
      <c r="X2478" s="26"/>
    </row>
    <row r="2479">
      <c r="A2479" s="28"/>
      <c r="B2479" s="28"/>
      <c r="C2479" s="28"/>
      <c r="D2479" s="96"/>
      <c r="E2479" s="105"/>
      <c r="F2479" s="105"/>
      <c r="G2479" s="206"/>
      <c r="H2479" s="206"/>
      <c r="I2479" s="206"/>
      <c r="J2479" s="206"/>
      <c r="K2479" s="206"/>
      <c r="L2479" s="206"/>
      <c r="M2479" s="206"/>
      <c r="N2479" s="206"/>
      <c r="O2479" s="206"/>
      <c r="P2479" s="206"/>
      <c r="Q2479" s="262"/>
      <c r="R2479" s="262"/>
      <c r="S2479" s="207"/>
      <c r="T2479" s="263"/>
      <c r="U2479" s="26"/>
      <c r="V2479" s="26"/>
      <c r="W2479" s="26"/>
      <c r="X2479" s="26"/>
    </row>
    <row r="2480">
      <c r="A2480" s="28"/>
      <c r="B2480" s="28"/>
      <c r="C2480" s="28"/>
      <c r="D2480" s="96"/>
      <c r="E2480" s="105"/>
      <c r="F2480" s="105"/>
      <c r="G2480" s="206"/>
      <c r="H2480" s="206"/>
      <c r="I2480" s="206"/>
      <c r="J2480" s="206"/>
      <c r="K2480" s="206"/>
      <c r="L2480" s="206"/>
      <c r="M2480" s="206"/>
      <c r="N2480" s="206"/>
      <c r="O2480" s="206"/>
      <c r="P2480" s="206"/>
      <c r="Q2480" s="262"/>
      <c r="R2480" s="262"/>
      <c r="S2480" s="207"/>
      <c r="T2480" s="263"/>
      <c r="U2480" s="26"/>
      <c r="V2480" s="26"/>
      <c r="W2480" s="26"/>
      <c r="X2480" s="26"/>
    </row>
    <row r="2481">
      <c r="A2481" s="28"/>
      <c r="B2481" s="28"/>
      <c r="C2481" s="28"/>
      <c r="D2481" s="96"/>
      <c r="E2481" s="105"/>
      <c r="F2481" s="105"/>
      <c r="G2481" s="206"/>
      <c r="H2481" s="206"/>
      <c r="I2481" s="206"/>
      <c r="J2481" s="206"/>
      <c r="K2481" s="206"/>
      <c r="L2481" s="206"/>
      <c r="M2481" s="206"/>
      <c r="N2481" s="206"/>
      <c r="O2481" s="206"/>
      <c r="P2481" s="206"/>
      <c r="Q2481" s="262"/>
      <c r="R2481" s="262"/>
      <c r="S2481" s="207"/>
      <c r="T2481" s="263"/>
      <c r="U2481" s="26"/>
      <c r="V2481" s="26"/>
      <c r="W2481" s="26"/>
      <c r="X2481" s="26"/>
    </row>
    <row r="2482">
      <c r="A2482" s="28"/>
      <c r="B2482" s="28"/>
      <c r="C2482" s="28"/>
      <c r="D2482" s="96"/>
      <c r="E2482" s="105"/>
      <c r="F2482" s="105"/>
      <c r="G2482" s="206"/>
      <c r="H2482" s="206"/>
      <c r="I2482" s="206"/>
      <c r="J2482" s="206"/>
      <c r="K2482" s="206"/>
      <c r="L2482" s="206"/>
      <c r="M2482" s="206"/>
      <c r="N2482" s="206"/>
      <c r="O2482" s="206"/>
      <c r="P2482" s="206"/>
      <c r="Q2482" s="262"/>
      <c r="R2482" s="262"/>
      <c r="S2482" s="207"/>
      <c r="T2482" s="263"/>
      <c r="U2482" s="26"/>
      <c r="V2482" s="26"/>
      <c r="W2482" s="26"/>
      <c r="X2482" s="26"/>
    </row>
    <row r="2483">
      <c r="A2483" s="28"/>
      <c r="B2483" s="28"/>
      <c r="C2483" s="28"/>
      <c r="D2483" s="96"/>
      <c r="E2483" s="105"/>
      <c r="F2483" s="105"/>
      <c r="G2483" s="206"/>
      <c r="H2483" s="206"/>
      <c r="I2483" s="206"/>
      <c r="J2483" s="206"/>
      <c r="K2483" s="206"/>
      <c r="L2483" s="206"/>
      <c r="M2483" s="206"/>
      <c r="N2483" s="206"/>
      <c r="O2483" s="206"/>
      <c r="P2483" s="206"/>
      <c r="Q2483" s="262"/>
      <c r="R2483" s="262"/>
      <c r="S2483" s="207"/>
      <c r="T2483" s="263"/>
      <c r="U2483" s="26"/>
      <c r="V2483" s="26"/>
      <c r="W2483" s="26"/>
      <c r="X2483" s="26"/>
    </row>
    <row r="2484">
      <c r="A2484" s="28"/>
      <c r="B2484" s="28"/>
      <c r="C2484" s="28"/>
      <c r="D2484" s="96"/>
      <c r="E2484" s="105"/>
      <c r="F2484" s="105"/>
      <c r="G2484" s="206"/>
      <c r="H2484" s="206"/>
      <c r="I2484" s="206"/>
      <c r="J2484" s="206"/>
      <c r="K2484" s="206"/>
      <c r="L2484" s="206"/>
      <c r="M2484" s="206"/>
      <c r="N2484" s="206"/>
      <c r="O2484" s="206"/>
      <c r="P2484" s="206"/>
      <c r="Q2484" s="262"/>
      <c r="R2484" s="262"/>
      <c r="S2484" s="207"/>
      <c r="T2484" s="263"/>
      <c r="U2484" s="26"/>
      <c r="V2484" s="26"/>
      <c r="W2484" s="26"/>
      <c r="X2484" s="26"/>
    </row>
    <row r="2485">
      <c r="A2485" s="28"/>
      <c r="B2485" s="28"/>
      <c r="C2485" s="28"/>
      <c r="D2485" s="96"/>
      <c r="E2485" s="105"/>
      <c r="F2485" s="105"/>
      <c r="G2485" s="206"/>
      <c r="H2485" s="206"/>
      <c r="I2485" s="206"/>
      <c r="J2485" s="206"/>
      <c r="K2485" s="206"/>
      <c r="L2485" s="206"/>
      <c r="M2485" s="206"/>
      <c r="N2485" s="206"/>
      <c r="O2485" s="206"/>
      <c r="P2485" s="206"/>
      <c r="Q2485" s="262"/>
      <c r="R2485" s="262"/>
      <c r="S2485" s="207"/>
      <c r="T2485" s="263"/>
      <c r="U2485" s="26"/>
      <c r="V2485" s="26"/>
      <c r="W2485" s="26"/>
      <c r="X2485" s="26"/>
    </row>
    <row r="2486">
      <c r="A2486" s="28"/>
      <c r="B2486" s="28"/>
      <c r="C2486" s="28"/>
      <c r="D2486" s="96"/>
      <c r="E2486" s="105"/>
      <c r="F2486" s="105"/>
      <c r="G2486" s="206"/>
      <c r="H2486" s="206"/>
      <c r="I2486" s="206"/>
      <c r="J2486" s="206"/>
      <c r="K2486" s="206"/>
      <c r="L2486" s="206"/>
      <c r="M2486" s="206"/>
      <c r="N2486" s="206"/>
      <c r="O2486" s="206"/>
      <c r="P2486" s="206"/>
      <c r="Q2486" s="262"/>
      <c r="R2486" s="262"/>
      <c r="S2486" s="207"/>
      <c r="T2486" s="263"/>
      <c r="U2486" s="26"/>
      <c r="V2486" s="26"/>
      <c r="W2486" s="26"/>
      <c r="X2486" s="26"/>
    </row>
    <row r="2487">
      <c r="A2487" s="28"/>
      <c r="B2487" s="28"/>
      <c r="C2487" s="28"/>
      <c r="D2487" s="96"/>
      <c r="E2487" s="105"/>
      <c r="F2487" s="105"/>
      <c r="G2487" s="206"/>
      <c r="H2487" s="206"/>
      <c r="I2487" s="206"/>
      <c r="J2487" s="206"/>
      <c r="K2487" s="206"/>
      <c r="L2487" s="206"/>
      <c r="M2487" s="206"/>
      <c r="N2487" s="206"/>
      <c r="O2487" s="206"/>
      <c r="P2487" s="206"/>
      <c r="Q2487" s="262"/>
      <c r="R2487" s="262"/>
      <c r="S2487" s="207"/>
      <c r="T2487" s="263"/>
      <c r="U2487" s="26"/>
      <c r="V2487" s="26"/>
      <c r="W2487" s="26"/>
      <c r="X2487" s="26"/>
    </row>
    <row r="2488">
      <c r="A2488" s="28"/>
      <c r="B2488" s="28"/>
      <c r="C2488" s="28"/>
      <c r="D2488" s="96"/>
      <c r="E2488" s="105"/>
      <c r="F2488" s="105"/>
      <c r="G2488" s="206"/>
      <c r="H2488" s="206"/>
      <c r="I2488" s="206"/>
      <c r="J2488" s="206"/>
      <c r="K2488" s="206"/>
      <c r="L2488" s="206"/>
      <c r="M2488" s="206"/>
      <c r="N2488" s="206"/>
      <c r="O2488" s="206"/>
      <c r="P2488" s="206"/>
      <c r="Q2488" s="262"/>
      <c r="R2488" s="262"/>
      <c r="S2488" s="207"/>
      <c r="T2488" s="263"/>
      <c r="U2488" s="26"/>
      <c r="V2488" s="26"/>
      <c r="W2488" s="26"/>
      <c r="X2488" s="26"/>
    </row>
    <row r="2489">
      <c r="A2489" s="28"/>
      <c r="B2489" s="28"/>
      <c r="C2489" s="28"/>
      <c r="D2489" s="96"/>
      <c r="E2489" s="105"/>
      <c r="F2489" s="105"/>
      <c r="G2489" s="206"/>
      <c r="H2489" s="206"/>
      <c r="I2489" s="206"/>
      <c r="J2489" s="206"/>
      <c r="K2489" s="206"/>
      <c r="L2489" s="206"/>
      <c r="M2489" s="206"/>
      <c r="N2489" s="206"/>
      <c r="O2489" s="206"/>
      <c r="P2489" s="206"/>
      <c r="Q2489" s="262"/>
      <c r="R2489" s="262"/>
      <c r="S2489" s="207"/>
      <c r="T2489" s="263"/>
      <c r="U2489" s="26"/>
      <c r="V2489" s="26"/>
      <c r="W2489" s="26"/>
      <c r="X2489" s="26"/>
    </row>
    <row r="2490">
      <c r="A2490" s="28"/>
      <c r="B2490" s="28"/>
      <c r="C2490" s="28"/>
      <c r="D2490" s="96"/>
      <c r="E2490" s="105"/>
      <c r="F2490" s="105"/>
      <c r="G2490" s="206"/>
      <c r="H2490" s="206"/>
      <c r="I2490" s="206"/>
      <c r="J2490" s="206"/>
      <c r="K2490" s="206"/>
      <c r="L2490" s="206"/>
      <c r="M2490" s="206"/>
      <c r="N2490" s="206"/>
      <c r="O2490" s="206"/>
      <c r="P2490" s="206"/>
      <c r="Q2490" s="262"/>
      <c r="R2490" s="262"/>
      <c r="S2490" s="207"/>
      <c r="T2490" s="263"/>
      <c r="U2490" s="26"/>
      <c r="V2490" s="26"/>
      <c r="W2490" s="26"/>
      <c r="X2490" s="26"/>
    </row>
    <row r="2491">
      <c r="A2491" s="28"/>
      <c r="B2491" s="28"/>
      <c r="C2491" s="28"/>
      <c r="D2491" s="96"/>
      <c r="E2491" s="105"/>
      <c r="F2491" s="105"/>
      <c r="G2491" s="206"/>
      <c r="H2491" s="206"/>
      <c r="I2491" s="206"/>
      <c r="J2491" s="206"/>
      <c r="K2491" s="206"/>
      <c r="L2491" s="206"/>
      <c r="M2491" s="206"/>
      <c r="N2491" s="206"/>
      <c r="O2491" s="206"/>
      <c r="P2491" s="206"/>
      <c r="Q2491" s="262"/>
      <c r="R2491" s="262"/>
      <c r="S2491" s="207"/>
      <c r="T2491" s="263"/>
      <c r="U2491" s="26"/>
      <c r="V2491" s="26"/>
      <c r="W2491" s="26"/>
      <c r="X2491" s="26"/>
    </row>
    <row r="2492">
      <c r="A2492" s="28"/>
      <c r="B2492" s="28"/>
      <c r="C2492" s="28"/>
      <c r="D2492" s="96"/>
      <c r="E2492" s="105"/>
      <c r="F2492" s="105"/>
      <c r="G2492" s="206"/>
      <c r="H2492" s="206"/>
      <c r="I2492" s="206"/>
      <c r="J2492" s="206"/>
      <c r="K2492" s="206"/>
      <c r="L2492" s="206"/>
      <c r="M2492" s="206"/>
      <c r="N2492" s="206"/>
      <c r="O2492" s="206"/>
      <c r="P2492" s="206"/>
      <c r="Q2492" s="262"/>
      <c r="R2492" s="262"/>
      <c r="S2492" s="207"/>
      <c r="T2492" s="263"/>
      <c r="U2492" s="26"/>
      <c r="V2492" s="26"/>
      <c r="W2492" s="26"/>
      <c r="X2492" s="26"/>
    </row>
    <row r="2493">
      <c r="A2493" s="28"/>
      <c r="B2493" s="28"/>
      <c r="C2493" s="28"/>
      <c r="D2493" s="96"/>
      <c r="E2493" s="105"/>
      <c r="F2493" s="105"/>
      <c r="G2493" s="206"/>
      <c r="H2493" s="206"/>
      <c r="I2493" s="206"/>
      <c r="J2493" s="206"/>
      <c r="K2493" s="206"/>
      <c r="L2493" s="206"/>
      <c r="M2493" s="206"/>
      <c r="N2493" s="206"/>
      <c r="O2493" s="206"/>
      <c r="P2493" s="206"/>
      <c r="Q2493" s="262"/>
      <c r="R2493" s="262"/>
      <c r="S2493" s="207"/>
      <c r="T2493" s="263"/>
      <c r="U2493" s="26"/>
      <c r="V2493" s="26"/>
      <c r="W2493" s="26"/>
      <c r="X2493" s="26"/>
    </row>
    <row r="2494">
      <c r="A2494" s="28"/>
      <c r="B2494" s="28"/>
      <c r="C2494" s="28"/>
      <c r="D2494" s="96"/>
      <c r="E2494" s="105"/>
      <c r="F2494" s="105"/>
      <c r="G2494" s="206"/>
      <c r="H2494" s="206"/>
      <c r="I2494" s="206"/>
      <c r="J2494" s="206"/>
      <c r="K2494" s="206"/>
      <c r="L2494" s="206"/>
      <c r="M2494" s="206"/>
      <c r="N2494" s="206"/>
      <c r="O2494" s="206"/>
      <c r="P2494" s="206"/>
      <c r="Q2494" s="262"/>
      <c r="R2494" s="262"/>
      <c r="S2494" s="207"/>
      <c r="T2494" s="263"/>
      <c r="U2494" s="26"/>
      <c r="V2494" s="26"/>
      <c r="W2494" s="26"/>
      <c r="X2494" s="26"/>
    </row>
    <row r="2495">
      <c r="A2495" s="28"/>
      <c r="B2495" s="28"/>
      <c r="C2495" s="28"/>
      <c r="D2495" s="96"/>
      <c r="E2495" s="105"/>
      <c r="F2495" s="105"/>
      <c r="G2495" s="206"/>
      <c r="H2495" s="206"/>
      <c r="I2495" s="206"/>
      <c r="J2495" s="206"/>
      <c r="K2495" s="206"/>
      <c r="L2495" s="206"/>
      <c r="M2495" s="206"/>
      <c r="N2495" s="206"/>
      <c r="O2495" s="206"/>
      <c r="P2495" s="206"/>
      <c r="Q2495" s="262"/>
      <c r="R2495" s="262"/>
      <c r="S2495" s="207"/>
      <c r="T2495" s="263"/>
      <c r="U2495" s="26"/>
      <c r="V2495" s="26"/>
      <c r="W2495" s="26"/>
      <c r="X2495" s="26"/>
    </row>
    <row r="2496">
      <c r="A2496" s="28"/>
      <c r="B2496" s="28"/>
      <c r="C2496" s="28"/>
      <c r="D2496" s="96"/>
      <c r="E2496" s="105"/>
      <c r="F2496" s="105"/>
      <c r="G2496" s="206"/>
      <c r="H2496" s="206"/>
      <c r="I2496" s="206"/>
      <c r="J2496" s="206"/>
      <c r="K2496" s="206"/>
      <c r="L2496" s="206"/>
      <c r="M2496" s="206"/>
      <c r="N2496" s="206"/>
      <c r="O2496" s="206"/>
      <c r="P2496" s="206"/>
      <c r="Q2496" s="262"/>
      <c r="R2496" s="262"/>
      <c r="S2496" s="207"/>
      <c r="T2496" s="263"/>
      <c r="U2496" s="26"/>
      <c r="V2496" s="26"/>
      <c r="W2496" s="26"/>
      <c r="X2496" s="26"/>
    </row>
    <row r="2497">
      <c r="A2497" s="28"/>
      <c r="B2497" s="28"/>
      <c r="C2497" s="28"/>
      <c r="D2497" s="96"/>
      <c r="E2497" s="105"/>
      <c r="F2497" s="105"/>
      <c r="G2497" s="206"/>
      <c r="H2497" s="206"/>
      <c r="I2497" s="206"/>
      <c r="J2497" s="206"/>
      <c r="K2497" s="206"/>
      <c r="L2497" s="206"/>
      <c r="M2497" s="206"/>
      <c r="N2497" s="206"/>
      <c r="O2497" s="206"/>
      <c r="P2497" s="206"/>
      <c r="Q2497" s="262"/>
      <c r="R2497" s="262"/>
      <c r="S2497" s="207"/>
      <c r="T2497" s="263"/>
      <c r="U2497" s="26"/>
      <c r="V2497" s="26"/>
      <c r="W2497" s="26"/>
      <c r="X2497" s="26"/>
    </row>
    <row r="2498">
      <c r="A2498" s="28"/>
      <c r="B2498" s="28"/>
      <c r="C2498" s="28"/>
      <c r="D2498" s="96"/>
      <c r="E2498" s="105"/>
      <c r="F2498" s="105"/>
      <c r="G2498" s="206"/>
      <c r="H2498" s="206"/>
      <c r="I2498" s="206"/>
      <c r="J2498" s="206"/>
      <c r="K2498" s="206"/>
      <c r="L2498" s="206"/>
      <c r="M2498" s="206"/>
      <c r="N2498" s="206"/>
      <c r="O2498" s="206"/>
      <c r="P2498" s="206"/>
      <c r="Q2498" s="262"/>
      <c r="R2498" s="262"/>
      <c r="S2498" s="207"/>
      <c r="T2498" s="263"/>
      <c r="U2498" s="26"/>
      <c r="V2498" s="26"/>
      <c r="W2498" s="26"/>
      <c r="X2498" s="26"/>
    </row>
    <row r="2499">
      <c r="A2499" s="28"/>
      <c r="B2499" s="28"/>
      <c r="C2499" s="28"/>
      <c r="D2499" s="96"/>
      <c r="E2499" s="105"/>
      <c r="F2499" s="105"/>
      <c r="G2499" s="206"/>
      <c r="H2499" s="206"/>
      <c r="I2499" s="206"/>
      <c r="J2499" s="206"/>
      <c r="K2499" s="206"/>
      <c r="L2499" s="206"/>
      <c r="M2499" s="206"/>
      <c r="N2499" s="206"/>
      <c r="O2499" s="206"/>
      <c r="P2499" s="206"/>
      <c r="Q2499" s="262"/>
      <c r="R2499" s="262"/>
      <c r="S2499" s="207"/>
      <c r="T2499" s="263"/>
      <c r="U2499" s="26"/>
      <c r="V2499" s="26"/>
      <c r="W2499" s="26"/>
      <c r="X2499" s="26"/>
    </row>
    <row r="2500">
      <c r="A2500" s="28"/>
      <c r="B2500" s="28"/>
      <c r="C2500" s="28"/>
      <c r="D2500" s="96"/>
      <c r="E2500" s="105"/>
      <c r="F2500" s="105"/>
      <c r="G2500" s="206"/>
      <c r="H2500" s="206"/>
      <c r="I2500" s="206"/>
      <c r="J2500" s="206"/>
      <c r="K2500" s="206"/>
      <c r="L2500" s="206"/>
      <c r="M2500" s="206"/>
      <c r="N2500" s="206"/>
      <c r="O2500" s="206"/>
      <c r="P2500" s="206"/>
      <c r="Q2500" s="262"/>
      <c r="R2500" s="262"/>
      <c r="S2500" s="207"/>
      <c r="T2500" s="263"/>
      <c r="U2500" s="26"/>
      <c r="V2500" s="26"/>
      <c r="W2500" s="26"/>
      <c r="X2500" s="26"/>
    </row>
    <row r="2501">
      <c r="A2501" s="28"/>
      <c r="B2501" s="28"/>
      <c r="C2501" s="28"/>
      <c r="D2501" s="96"/>
      <c r="E2501" s="105"/>
      <c r="F2501" s="105"/>
      <c r="G2501" s="206"/>
      <c r="H2501" s="206"/>
      <c r="I2501" s="206"/>
      <c r="J2501" s="206"/>
      <c r="K2501" s="206"/>
      <c r="L2501" s="206"/>
      <c r="M2501" s="206"/>
      <c r="N2501" s="206"/>
      <c r="O2501" s="206"/>
      <c r="P2501" s="206"/>
      <c r="Q2501" s="262"/>
      <c r="R2501" s="262"/>
      <c r="S2501" s="207"/>
      <c r="T2501" s="263"/>
      <c r="U2501" s="26"/>
      <c r="V2501" s="26"/>
      <c r="W2501" s="26"/>
      <c r="X2501" s="26"/>
    </row>
    <row r="2502">
      <c r="A2502" s="28"/>
      <c r="B2502" s="28"/>
      <c r="C2502" s="28"/>
      <c r="D2502" s="96"/>
      <c r="E2502" s="105"/>
      <c r="F2502" s="105"/>
      <c r="G2502" s="206"/>
      <c r="H2502" s="206"/>
      <c r="I2502" s="206"/>
      <c r="J2502" s="206"/>
      <c r="K2502" s="206"/>
      <c r="L2502" s="206"/>
      <c r="M2502" s="206"/>
      <c r="N2502" s="206"/>
      <c r="O2502" s="206"/>
      <c r="P2502" s="206"/>
      <c r="Q2502" s="262"/>
      <c r="R2502" s="262"/>
      <c r="S2502" s="207"/>
      <c r="T2502" s="263"/>
      <c r="U2502" s="26"/>
      <c r="V2502" s="26"/>
      <c r="W2502" s="26"/>
      <c r="X2502" s="26"/>
    </row>
    <row r="2503">
      <c r="A2503" s="28"/>
      <c r="B2503" s="28"/>
      <c r="C2503" s="28"/>
      <c r="D2503" s="96"/>
      <c r="E2503" s="105"/>
      <c r="F2503" s="105"/>
      <c r="G2503" s="206"/>
      <c r="H2503" s="206"/>
      <c r="I2503" s="206"/>
      <c r="J2503" s="206"/>
      <c r="K2503" s="206"/>
      <c r="L2503" s="206"/>
      <c r="M2503" s="206"/>
      <c r="N2503" s="206"/>
      <c r="O2503" s="206"/>
      <c r="P2503" s="206"/>
      <c r="Q2503" s="262"/>
      <c r="R2503" s="262"/>
      <c r="S2503" s="207"/>
      <c r="T2503" s="263"/>
      <c r="U2503" s="26"/>
      <c r="V2503" s="26"/>
      <c r="W2503" s="26"/>
      <c r="X2503" s="26"/>
    </row>
    <row r="2504">
      <c r="A2504" s="28"/>
      <c r="B2504" s="28"/>
      <c r="C2504" s="28"/>
      <c r="D2504" s="96"/>
      <c r="E2504" s="105"/>
      <c r="F2504" s="105"/>
      <c r="G2504" s="206"/>
      <c r="H2504" s="206"/>
      <c r="I2504" s="206"/>
      <c r="J2504" s="206"/>
      <c r="K2504" s="206"/>
      <c r="L2504" s="206"/>
      <c r="M2504" s="206"/>
      <c r="N2504" s="206"/>
      <c r="O2504" s="206"/>
      <c r="P2504" s="206"/>
      <c r="Q2504" s="262"/>
      <c r="R2504" s="262"/>
      <c r="S2504" s="207"/>
      <c r="T2504" s="263"/>
      <c r="U2504" s="26"/>
      <c r="V2504" s="26"/>
      <c r="W2504" s="26"/>
      <c r="X2504" s="26"/>
    </row>
    <row r="2505">
      <c r="A2505" s="28"/>
      <c r="B2505" s="28"/>
      <c r="C2505" s="28"/>
      <c r="D2505" s="96"/>
      <c r="E2505" s="105"/>
      <c r="F2505" s="105"/>
      <c r="G2505" s="206"/>
      <c r="H2505" s="206"/>
      <c r="I2505" s="206"/>
      <c r="J2505" s="206"/>
      <c r="K2505" s="206"/>
      <c r="L2505" s="206"/>
      <c r="M2505" s="206"/>
      <c r="N2505" s="206"/>
      <c r="O2505" s="206"/>
      <c r="P2505" s="206"/>
      <c r="Q2505" s="262"/>
      <c r="R2505" s="262"/>
      <c r="S2505" s="207"/>
      <c r="T2505" s="263"/>
      <c r="U2505" s="26"/>
      <c r="V2505" s="26"/>
      <c r="W2505" s="26"/>
      <c r="X2505" s="26"/>
    </row>
    <row r="2506">
      <c r="A2506" s="28"/>
      <c r="B2506" s="28"/>
      <c r="C2506" s="28"/>
      <c r="D2506" s="96"/>
      <c r="E2506" s="105"/>
      <c r="F2506" s="105"/>
      <c r="G2506" s="206"/>
      <c r="H2506" s="206"/>
      <c r="I2506" s="206"/>
      <c r="J2506" s="206"/>
      <c r="K2506" s="206"/>
      <c r="L2506" s="206"/>
      <c r="M2506" s="206"/>
      <c r="N2506" s="206"/>
      <c r="O2506" s="206"/>
      <c r="P2506" s="206"/>
      <c r="Q2506" s="262"/>
      <c r="R2506" s="262"/>
      <c r="S2506" s="207"/>
      <c r="T2506" s="263"/>
      <c r="U2506" s="26"/>
      <c r="V2506" s="26"/>
      <c r="W2506" s="26"/>
      <c r="X2506" s="26"/>
    </row>
    <row r="2507">
      <c r="A2507" s="28"/>
      <c r="B2507" s="28"/>
      <c r="C2507" s="28"/>
      <c r="D2507" s="96"/>
      <c r="E2507" s="105"/>
      <c r="F2507" s="105"/>
      <c r="G2507" s="206"/>
      <c r="H2507" s="206"/>
      <c r="I2507" s="206"/>
      <c r="J2507" s="206"/>
      <c r="K2507" s="206"/>
      <c r="L2507" s="206"/>
      <c r="M2507" s="206"/>
      <c r="N2507" s="206"/>
      <c r="O2507" s="206"/>
      <c r="P2507" s="206"/>
      <c r="Q2507" s="262"/>
      <c r="R2507" s="262"/>
      <c r="S2507" s="207"/>
      <c r="T2507" s="263"/>
      <c r="U2507" s="26"/>
      <c r="V2507" s="26"/>
      <c r="W2507" s="26"/>
      <c r="X2507" s="26"/>
    </row>
    <row r="2508">
      <c r="A2508" s="28"/>
      <c r="B2508" s="28"/>
      <c r="C2508" s="28"/>
      <c r="D2508" s="96"/>
      <c r="E2508" s="105"/>
      <c r="F2508" s="105"/>
      <c r="G2508" s="206"/>
      <c r="H2508" s="206"/>
      <c r="I2508" s="206"/>
      <c r="J2508" s="206"/>
      <c r="K2508" s="206"/>
      <c r="L2508" s="206"/>
      <c r="M2508" s="206"/>
      <c r="N2508" s="206"/>
      <c r="O2508" s="206"/>
      <c r="P2508" s="206"/>
      <c r="Q2508" s="262"/>
      <c r="R2508" s="262"/>
      <c r="S2508" s="207"/>
      <c r="T2508" s="263"/>
      <c r="U2508" s="26"/>
      <c r="V2508" s="26"/>
      <c r="W2508" s="26"/>
      <c r="X2508" s="26"/>
    </row>
    <row r="2509">
      <c r="A2509" s="28"/>
      <c r="B2509" s="28"/>
      <c r="C2509" s="28"/>
      <c r="D2509" s="96"/>
      <c r="E2509" s="105"/>
      <c r="F2509" s="105"/>
      <c r="G2509" s="206"/>
      <c r="H2509" s="206"/>
      <c r="I2509" s="206"/>
      <c r="J2509" s="206"/>
      <c r="K2509" s="206"/>
      <c r="L2509" s="206"/>
      <c r="M2509" s="206"/>
      <c r="N2509" s="206"/>
      <c r="O2509" s="206"/>
      <c r="P2509" s="206"/>
      <c r="Q2509" s="262"/>
      <c r="R2509" s="262"/>
      <c r="S2509" s="207"/>
      <c r="T2509" s="263"/>
      <c r="U2509" s="26"/>
      <c r="V2509" s="26"/>
      <c r="W2509" s="26"/>
      <c r="X2509" s="26"/>
    </row>
  </sheetData>
  <mergeCells count="34">
    <mergeCell ref="C36:C45"/>
    <mergeCell ref="C47:C56"/>
    <mergeCell ref="C58:C68"/>
    <mergeCell ref="C70:C81"/>
    <mergeCell ref="C96:C102"/>
    <mergeCell ref="C104:C112"/>
    <mergeCell ref="C115:C121"/>
    <mergeCell ref="C123:C129"/>
    <mergeCell ref="C133:C146"/>
    <mergeCell ref="C147:C160"/>
    <mergeCell ref="C162:C174"/>
    <mergeCell ref="C176:C188"/>
    <mergeCell ref="C195:C201"/>
    <mergeCell ref="C205:C207"/>
    <mergeCell ref="C222:C224"/>
    <mergeCell ref="C232:C240"/>
    <mergeCell ref="C242:C260"/>
    <mergeCell ref="C262:C275"/>
    <mergeCell ref="C278:C283"/>
    <mergeCell ref="C289:C294"/>
    <mergeCell ref="C297:C299"/>
    <mergeCell ref="C441:C453"/>
    <mergeCell ref="C456:C471"/>
    <mergeCell ref="C474:C479"/>
    <mergeCell ref="C482:C495"/>
    <mergeCell ref="C510:C512"/>
    <mergeCell ref="C585:C590"/>
    <mergeCell ref="C303:C305"/>
    <mergeCell ref="C309:C315"/>
    <mergeCell ref="C318:C321"/>
    <mergeCell ref="C389:C392"/>
    <mergeCell ref="C394:C404"/>
    <mergeCell ref="C411:C422"/>
    <mergeCell ref="C426:C437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2" max="2" width="15.14"/>
    <col customWidth="1" min="3" max="3" width="56.43"/>
    <col customWidth="1" min="4" max="4" width="20.29"/>
    <col customWidth="1" min="5" max="5" width="18.71"/>
    <col customWidth="1" min="6" max="6" width="18.86"/>
    <col hidden="1" min="8" max="19" width="14.43"/>
    <col customWidth="1" min="20" max="20" width="15.14"/>
    <col hidden="1" min="21" max="22" width="14.43"/>
    <col hidden="1" min="25" max="25" width="14.43"/>
    <col hidden="1" min="27" max="35" width="14.43"/>
  </cols>
  <sheetData>
    <row r="1">
      <c r="A1" s="269"/>
      <c r="B1" s="269"/>
      <c r="C1" s="269"/>
      <c r="D1" s="270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2"/>
      <c r="Y1" s="272"/>
      <c r="Z1" s="272"/>
      <c r="AA1" s="271"/>
      <c r="AB1" s="271"/>
      <c r="AC1" s="271"/>
      <c r="AD1" s="271"/>
      <c r="AE1" s="271"/>
      <c r="AF1" s="271"/>
      <c r="AG1" s="271"/>
      <c r="AH1" s="271"/>
      <c r="AI1" s="271"/>
    </row>
    <row r="2">
      <c r="A2" s="273"/>
      <c r="B2" s="273"/>
      <c r="C2" s="273"/>
      <c r="D2" s="274"/>
      <c r="E2" s="275" t="s">
        <v>822</v>
      </c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7"/>
      <c r="X2" s="278" t="s">
        <v>823</v>
      </c>
      <c r="Y2" s="276"/>
      <c r="Z2" s="277"/>
      <c r="AA2" s="275" t="s">
        <v>824</v>
      </c>
      <c r="AB2" s="276"/>
      <c r="AC2" s="276"/>
      <c r="AD2" s="277"/>
      <c r="AE2" s="275" t="s">
        <v>825</v>
      </c>
      <c r="AF2" s="276"/>
      <c r="AG2" s="276"/>
      <c r="AH2" s="276"/>
      <c r="AI2" s="277"/>
    </row>
    <row r="3">
      <c r="A3" s="273" t="s">
        <v>826</v>
      </c>
      <c r="B3" s="273" t="s">
        <v>1</v>
      </c>
      <c r="C3" s="273" t="s">
        <v>119</v>
      </c>
      <c r="D3" s="274" t="s">
        <v>2</v>
      </c>
      <c r="E3" s="279" t="s">
        <v>3</v>
      </c>
      <c r="F3" s="280" t="s">
        <v>4</v>
      </c>
      <c r="G3" s="279" t="s">
        <v>827</v>
      </c>
      <c r="H3" s="279" t="s">
        <v>5</v>
      </c>
      <c r="I3" s="281" t="s">
        <v>6</v>
      </c>
      <c r="J3" s="281" t="s">
        <v>7</v>
      </c>
      <c r="K3" s="281" t="s">
        <v>8</v>
      </c>
      <c r="L3" s="281" t="s">
        <v>9</v>
      </c>
      <c r="M3" s="281" t="s">
        <v>10</v>
      </c>
      <c r="N3" s="282" t="s">
        <v>11</v>
      </c>
      <c r="O3" s="279" t="s">
        <v>12</v>
      </c>
      <c r="P3" s="282" t="s">
        <v>13</v>
      </c>
      <c r="Q3" s="281" t="s">
        <v>14</v>
      </c>
      <c r="R3" s="282" t="s">
        <v>15</v>
      </c>
      <c r="S3" s="283" t="s">
        <v>16</v>
      </c>
      <c r="T3" s="284" t="s">
        <v>215</v>
      </c>
      <c r="U3" s="285"/>
      <c r="V3" s="284" t="s">
        <v>828</v>
      </c>
      <c r="W3" s="281" t="s">
        <v>18</v>
      </c>
      <c r="X3" s="286" t="s">
        <v>19</v>
      </c>
      <c r="Y3" s="286" t="s">
        <v>20</v>
      </c>
      <c r="Z3" s="286" t="s">
        <v>21</v>
      </c>
      <c r="AA3" s="281" t="s">
        <v>829</v>
      </c>
      <c r="AB3" s="281" t="s">
        <v>830</v>
      </c>
      <c r="AC3" s="281" t="s">
        <v>831</v>
      </c>
      <c r="AD3" s="281" t="s">
        <v>832</v>
      </c>
      <c r="AE3" s="287" t="s">
        <v>833</v>
      </c>
      <c r="AF3" s="281" t="s">
        <v>834</v>
      </c>
      <c r="AG3" s="281" t="s">
        <v>835</v>
      </c>
      <c r="AH3" s="281" t="s">
        <v>836</v>
      </c>
      <c r="AI3" s="281" t="s">
        <v>837</v>
      </c>
    </row>
    <row r="4">
      <c r="A4" s="288" t="s">
        <v>838</v>
      </c>
      <c r="E4" s="289"/>
      <c r="F4" s="290"/>
      <c r="G4" s="291"/>
      <c r="H4" s="292"/>
      <c r="I4" s="293"/>
      <c r="J4" s="294"/>
      <c r="K4" s="295"/>
      <c r="L4" s="296"/>
      <c r="M4" s="293"/>
      <c r="N4" s="297"/>
      <c r="O4" s="294"/>
      <c r="P4" s="294"/>
      <c r="Q4" s="292"/>
      <c r="R4" s="293"/>
      <c r="S4" s="298"/>
      <c r="T4" s="299">
        <f t="shared" ref="T4:T69" si="1">F4-E4</f>
        <v>0</v>
      </c>
      <c r="U4" s="294"/>
      <c r="V4" s="294"/>
      <c r="W4" s="300"/>
      <c r="X4" s="301"/>
      <c r="Y4" s="301"/>
      <c r="Z4" s="301"/>
      <c r="AA4" s="302"/>
      <c r="AB4" s="302"/>
      <c r="AC4" s="302"/>
      <c r="AD4" s="303"/>
      <c r="AE4" s="302"/>
      <c r="AF4" s="302"/>
      <c r="AG4" s="302"/>
      <c r="AH4" s="303"/>
      <c r="AI4" s="300"/>
    </row>
    <row r="5">
      <c r="A5" s="304"/>
      <c r="B5" s="304"/>
      <c r="C5" s="305"/>
      <c r="D5" s="304"/>
      <c r="E5" s="289"/>
      <c r="F5" s="290"/>
      <c r="G5" s="291"/>
      <c r="H5" s="292"/>
      <c r="I5" s="293"/>
      <c r="J5" s="294"/>
      <c r="K5" s="295"/>
      <c r="L5" s="296"/>
      <c r="M5" s="293"/>
      <c r="N5" s="297"/>
      <c r="O5" s="294"/>
      <c r="P5" s="294"/>
      <c r="Q5" s="292"/>
      <c r="R5" s="293"/>
      <c r="S5" s="298"/>
      <c r="T5" s="299">
        <f t="shared" si="1"/>
        <v>0</v>
      </c>
      <c r="U5" s="294"/>
      <c r="V5" s="294"/>
      <c r="W5" s="306"/>
      <c r="X5" s="307"/>
      <c r="Y5" s="307"/>
      <c r="Z5" s="307"/>
      <c r="AA5" s="302"/>
      <c r="AB5" s="302"/>
      <c r="AC5" s="302"/>
      <c r="AD5" s="308"/>
      <c r="AE5" s="302"/>
      <c r="AF5" s="302"/>
      <c r="AG5" s="302"/>
      <c r="AH5" s="308"/>
      <c r="AI5" s="306"/>
    </row>
    <row r="6">
      <c r="A6" s="309">
        <v>2026.0</v>
      </c>
      <c r="B6" s="310"/>
      <c r="C6" s="305" t="s">
        <v>839</v>
      </c>
      <c r="D6" s="310" t="s">
        <v>840</v>
      </c>
      <c r="E6" s="311">
        <v>119200.0</v>
      </c>
      <c r="F6" s="311">
        <v>300000.0</v>
      </c>
      <c r="G6" s="312">
        <v>1.0</v>
      </c>
      <c r="H6" s="313">
        <f t="shared" ref="H6:H22" si="2">((E6*N6)*(1+I6))*G6</f>
        <v>176.0562237</v>
      </c>
      <c r="I6" s="314">
        <v>0.035</v>
      </c>
      <c r="J6" s="315">
        <f t="shared" ref="J6:J22" si="3">H6*(1-I6)</f>
        <v>169.8942559</v>
      </c>
      <c r="K6" s="316">
        <f t="shared" ref="K6:K22" si="4">H6-J6</f>
        <v>6.16196783</v>
      </c>
      <c r="L6" s="317">
        <v>0.001397</v>
      </c>
      <c r="M6" s="314">
        <v>0.0215</v>
      </c>
      <c r="N6" s="318">
        <f t="shared" ref="N6:N22" si="5">L6*(1+M6)</f>
        <v>0.0014270355</v>
      </c>
      <c r="O6" s="315">
        <f t="shared" ref="O6:O22" si="6">(J6*M6)+15</f>
        <v>18.6527265</v>
      </c>
      <c r="P6" s="315">
        <f t="shared" ref="P6:P22" si="7">(J6*N6)+M6</f>
        <v>0.2639451344</v>
      </c>
      <c r="Q6" s="313">
        <f t="shared" ref="Q6:Q22" si="8">((F6*N6)*(1+I6))*G6</f>
        <v>443.0945228</v>
      </c>
      <c r="R6" s="314">
        <v>0.06</v>
      </c>
      <c r="S6" s="319"/>
      <c r="T6" s="299">
        <f t="shared" si="1"/>
        <v>180800</v>
      </c>
      <c r="U6" s="315">
        <f t="shared" ref="U6:U69" si="9">T6*(1-I6-M6)</f>
        <v>170584.8</v>
      </c>
      <c r="V6" s="315">
        <f t="shared" ref="V6:V69" si="10">(F6-E6)*0.2</f>
        <v>36160</v>
      </c>
      <c r="W6" s="320">
        <f>(F6*(1-I6-M6)-(E6+V6)-(F6*S6)-(F6*R6))</f>
        <v>109690</v>
      </c>
      <c r="X6" s="321">
        <f t="shared" ref="X6:X69" si="11">IFERROR((F6-E6)/E6,"")</f>
        <v>1.516778523</v>
      </c>
      <c r="Y6" s="321">
        <f t="shared" ref="Y6:Y22" si="12">IFERROR((Q6-H6)/Q6,"")</f>
        <v>0.6026666667</v>
      </c>
      <c r="Z6" s="321">
        <f t="shared" ref="Z6:Z69" si="13">IFERROR(W6/F6,"")</f>
        <v>0.3656333333</v>
      </c>
      <c r="AA6" s="322"/>
      <c r="AB6" s="322"/>
      <c r="AC6" s="322"/>
      <c r="AD6" s="323"/>
      <c r="AE6" s="322"/>
      <c r="AF6" s="322"/>
      <c r="AG6" s="322"/>
      <c r="AH6" s="323"/>
      <c r="AI6" s="323"/>
    </row>
    <row r="7">
      <c r="A7" s="309">
        <v>2026.0</v>
      </c>
      <c r="B7" s="310"/>
      <c r="C7" s="305" t="s">
        <v>841</v>
      </c>
      <c r="D7" s="310" t="s">
        <v>840</v>
      </c>
      <c r="E7" s="311">
        <v>119200.0</v>
      </c>
      <c r="F7" s="311">
        <v>300000.0</v>
      </c>
      <c r="G7" s="312">
        <v>1.0</v>
      </c>
      <c r="H7" s="313">
        <f t="shared" si="2"/>
        <v>176.0562237</v>
      </c>
      <c r="I7" s="314">
        <v>0.035</v>
      </c>
      <c r="J7" s="315">
        <f t="shared" si="3"/>
        <v>169.8942559</v>
      </c>
      <c r="K7" s="316">
        <f t="shared" si="4"/>
        <v>6.16196783</v>
      </c>
      <c r="L7" s="317">
        <v>0.001397</v>
      </c>
      <c r="M7" s="314">
        <v>0.0215</v>
      </c>
      <c r="N7" s="318">
        <f t="shared" si="5"/>
        <v>0.0014270355</v>
      </c>
      <c r="O7" s="315">
        <f t="shared" si="6"/>
        <v>18.6527265</v>
      </c>
      <c r="P7" s="315">
        <f t="shared" si="7"/>
        <v>0.2639451344</v>
      </c>
      <c r="Q7" s="313">
        <f t="shared" si="8"/>
        <v>443.0945228</v>
      </c>
      <c r="R7" s="314">
        <v>0.06</v>
      </c>
      <c r="S7" s="319"/>
      <c r="T7" s="299">
        <f t="shared" si="1"/>
        <v>180800</v>
      </c>
      <c r="U7" s="315">
        <f t="shared" si="9"/>
        <v>170584.8</v>
      </c>
      <c r="V7" s="315">
        <f t="shared" si="10"/>
        <v>36160</v>
      </c>
      <c r="W7" s="320">
        <f t="shared" ref="W7:W69" si="14">F7-(E7+V7)-(F7*S7)-(F7*R7)</f>
        <v>126640</v>
      </c>
      <c r="X7" s="321">
        <f t="shared" si="11"/>
        <v>1.516778523</v>
      </c>
      <c r="Y7" s="321">
        <f t="shared" si="12"/>
        <v>0.6026666667</v>
      </c>
      <c r="Z7" s="321">
        <f t="shared" si="13"/>
        <v>0.4221333333</v>
      </c>
      <c r="AA7" s="322"/>
      <c r="AB7" s="322"/>
      <c r="AC7" s="322"/>
      <c r="AD7" s="323"/>
      <c r="AE7" s="322"/>
      <c r="AF7" s="322"/>
      <c r="AG7" s="322"/>
      <c r="AH7" s="323"/>
      <c r="AI7" s="323"/>
    </row>
    <row r="8">
      <c r="A8" s="305">
        <v>2026.0</v>
      </c>
      <c r="B8" s="305"/>
      <c r="C8" s="305" t="s">
        <v>842</v>
      </c>
      <c r="D8" s="305" t="s">
        <v>840</v>
      </c>
      <c r="E8" s="324">
        <v>263200.0</v>
      </c>
      <c r="F8" s="325">
        <v>380000.0</v>
      </c>
      <c r="G8" s="326">
        <v>1.0</v>
      </c>
      <c r="H8" s="313">
        <f t="shared" si="2"/>
        <v>388.7415946</v>
      </c>
      <c r="I8" s="327">
        <v>0.035</v>
      </c>
      <c r="J8" s="328">
        <f t="shared" si="3"/>
        <v>375.1356388</v>
      </c>
      <c r="K8" s="329">
        <f t="shared" si="4"/>
        <v>13.60595581</v>
      </c>
      <c r="L8" s="330">
        <v>0.001397</v>
      </c>
      <c r="M8" s="327">
        <v>0.0215</v>
      </c>
      <c r="N8" s="331">
        <f t="shared" si="5"/>
        <v>0.0014270355</v>
      </c>
      <c r="O8" s="328">
        <f t="shared" si="6"/>
        <v>23.06541623</v>
      </c>
      <c r="P8" s="328">
        <f t="shared" si="7"/>
        <v>0.5568318739</v>
      </c>
      <c r="Q8" s="313">
        <f t="shared" si="8"/>
        <v>561.2530622</v>
      </c>
      <c r="R8" s="327">
        <v>0.06</v>
      </c>
      <c r="S8" s="332"/>
      <c r="T8" s="299">
        <f t="shared" si="1"/>
        <v>116800</v>
      </c>
      <c r="U8" s="315">
        <f t="shared" si="9"/>
        <v>110200.8</v>
      </c>
      <c r="V8" s="315">
        <f t="shared" si="10"/>
        <v>23360</v>
      </c>
      <c r="W8" s="320">
        <f t="shared" si="14"/>
        <v>70640</v>
      </c>
      <c r="X8" s="321">
        <f t="shared" si="11"/>
        <v>0.443768997</v>
      </c>
      <c r="Y8" s="333">
        <f t="shared" si="12"/>
        <v>0.3073684211</v>
      </c>
      <c r="Z8" s="321">
        <f t="shared" si="13"/>
        <v>0.1858947368</v>
      </c>
      <c r="AA8" s="334"/>
      <c r="AB8" s="334"/>
      <c r="AC8" s="334"/>
      <c r="AD8" s="335"/>
      <c r="AE8" s="334"/>
      <c r="AF8" s="334"/>
      <c r="AG8" s="334"/>
      <c r="AH8" s="335"/>
      <c r="AI8" s="335"/>
    </row>
    <row r="9">
      <c r="A9" s="305">
        <v>2026.0</v>
      </c>
      <c r="B9" s="305"/>
      <c r="C9" s="305" t="s">
        <v>843</v>
      </c>
      <c r="D9" s="305" t="s">
        <v>840</v>
      </c>
      <c r="E9" s="324">
        <v>343200.0</v>
      </c>
      <c r="F9" s="325">
        <v>600000.0</v>
      </c>
      <c r="G9" s="326">
        <v>1.0</v>
      </c>
      <c r="H9" s="313">
        <f t="shared" si="2"/>
        <v>506.900134</v>
      </c>
      <c r="I9" s="327">
        <v>0.035</v>
      </c>
      <c r="J9" s="328">
        <f t="shared" si="3"/>
        <v>489.1586293</v>
      </c>
      <c r="K9" s="329">
        <f t="shared" si="4"/>
        <v>17.74150469</v>
      </c>
      <c r="L9" s="330">
        <v>0.001397</v>
      </c>
      <c r="M9" s="327">
        <v>0.0215</v>
      </c>
      <c r="N9" s="331">
        <f t="shared" si="5"/>
        <v>0.0014270355</v>
      </c>
      <c r="O9" s="328">
        <f t="shared" si="6"/>
        <v>25.51691053</v>
      </c>
      <c r="P9" s="328">
        <f t="shared" si="7"/>
        <v>0.7195467292</v>
      </c>
      <c r="Q9" s="313">
        <f t="shared" si="8"/>
        <v>886.1890455</v>
      </c>
      <c r="R9" s="327">
        <v>0.06</v>
      </c>
      <c r="S9" s="332"/>
      <c r="T9" s="299">
        <f t="shared" si="1"/>
        <v>256800</v>
      </c>
      <c r="U9" s="315">
        <f t="shared" si="9"/>
        <v>242290.8</v>
      </c>
      <c r="V9" s="315">
        <f t="shared" si="10"/>
        <v>51360</v>
      </c>
      <c r="W9" s="320">
        <f t="shared" si="14"/>
        <v>169440</v>
      </c>
      <c r="X9" s="321">
        <f t="shared" si="11"/>
        <v>0.7482517483</v>
      </c>
      <c r="Y9" s="333">
        <f t="shared" si="12"/>
        <v>0.428</v>
      </c>
      <c r="Z9" s="321">
        <f t="shared" si="13"/>
        <v>0.2824</v>
      </c>
      <c r="AA9" s="334"/>
      <c r="AB9" s="334"/>
      <c r="AC9" s="334"/>
      <c r="AD9" s="335"/>
      <c r="AE9" s="334"/>
      <c r="AF9" s="334"/>
      <c r="AG9" s="334"/>
      <c r="AH9" s="335"/>
      <c r="AI9" s="335"/>
    </row>
    <row r="10">
      <c r="A10" s="309">
        <v>2026.0</v>
      </c>
      <c r="B10" s="310"/>
      <c r="C10" s="310" t="s">
        <v>844</v>
      </c>
      <c r="D10" s="310" t="s">
        <v>840</v>
      </c>
      <c r="E10" s="311">
        <v>343200.0</v>
      </c>
      <c r="F10" s="311">
        <v>650000.0</v>
      </c>
      <c r="G10" s="312">
        <v>1.0</v>
      </c>
      <c r="H10" s="313">
        <f t="shared" si="2"/>
        <v>506.900134</v>
      </c>
      <c r="I10" s="314">
        <v>0.035</v>
      </c>
      <c r="J10" s="315">
        <f t="shared" si="3"/>
        <v>489.1586293</v>
      </c>
      <c r="K10" s="316">
        <f t="shared" si="4"/>
        <v>17.74150469</v>
      </c>
      <c r="L10" s="317">
        <v>0.001397</v>
      </c>
      <c r="M10" s="314">
        <v>0.0215</v>
      </c>
      <c r="N10" s="318">
        <f t="shared" si="5"/>
        <v>0.0014270355</v>
      </c>
      <c r="O10" s="315">
        <f t="shared" si="6"/>
        <v>25.51691053</v>
      </c>
      <c r="P10" s="315">
        <f t="shared" si="7"/>
        <v>0.7195467292</v>
      </c>
      <c r="Q10" s="313">
        <f t="shared" si="8"/>
        <v>960.0381326</v>
      </c>
      <c r="R10" s="314">
        <v>0.06</v>
      </c>
      <c r="S10" s="319"/>
      <c r="T10" s="299">
        <f t="shared" si="1"/>
        <v>306800</v>
      </c>
      <c r="U10" s="315">
        <f t="shared" si="9"/>
        <v>289465.8</v>
      </c>
      <c r="V10" s="315">
        <f t="shared" si="10"/>
        <v>61360</v>
      </c>
      <c r="W10" s="320">
        <f t="shared" si="14"/>
        <v>206440</v>
      </c>
      <c r="X10" s="321">
        <f t="shared" si="11"/>
        <v>0.8939393939</v>
      </c>
      <c r="Y10" s="321">
        <f t="shared" si="12"/>
        <v>0.472</v>
      </c>
      <c r="Z10" s="321">
        <f t="shared" si="13"/>
        <v>0.3176</v>
      </c>
      <c r="AA10" s="322"/>
      <c r="AB10" s="322"/>
      <c r="AC10" s="322"/>
      <c r="AD10" s="323"/>
      <c r="AE10" s="322"/>
      <c r="AF10" s="322"/>
      <c r="AG10" s="322"/>
      <c r="AH10" s="323"/>
      <c r="AI10" s="323"/>
    </row>
    <row r="11">
      <c r="A11" s="309">
        <v>2026.0</v>
      </c>
      <c r="B11" s="336"/>
      <c r="C11" s="337" t="s">
        <v>845</v>
      </c>
      <c r="D11" s="310" t="s">
        <v>846</v>
      </c>
      <c r="E11" s="338">
        <v>112000.0</v>
      </c>
      <c r="F11" s="311">
        <v>360000.0</v>
      </c>
      <c r="G11" s="312">
        <v>1.0</v>
      </c>
      <c r="H11" s="313">
        <f t="shared" si="2"/>
        <v>165.4219552</v>
      </c>
      <c r="I11" s="314">
        <v>0.035</v>
      </c>
      <c r="J11" s="315">
        <f t="shared" si="3"/>
        <v>159.6321867</v>
      </c>
      <c r="K11" s="316">
        <f t="shared" si="4"/>
        <v>5.789768431</v>
      </c>
      <c r="L11" s="317">
        <v>0.001397</v>
      </c>
      <c r="M11" s="314">
        <v>0.0215</v>
      </c>
      <c r="N11" s="318">
        <f t="shared" si="5"/>
        <v>0.0014270355</v>
      </c>
      <c r="O11" s="315">
        <f t="shared" si="6"/>
        <v>18.43209201</v>
      </c>
      <c r="P11" s="315">
        <f t="shared" si="7"/>
        <v>0.2493007974</v>
      </c>
      <c r="Q11" s="313">
        <f t="shared" si="8"/>
        <v>531.7134273</v>
      </c>
      <c r="R11" s="314">
        <v>0.06</v>
      </c>
      <c r="S11" s="319"/>
      <c r="T11" s="299">
        <f t="shared" si="1"/>
        <v>248000</v>
      </c>
      <c r="U11" s="315">
        <f t="shared" si="9"/>
        <v>233988</v>
      </c>
      <c r="V11" s="315">
        <f t="shared" si="10"/>
        <v>49600</v>
      </c>
      <c r="W11" s="320">
        <f t="shared" si="14"/>
        <v>176800</v>
      </c>
      <c r="X11" s="321">
        <f t="shared" si="11"/>
        <v>2.214285714</v>
      </c>
      <c r="Y11" s="321">
        <f t="shared" si="12"/>
        <v>0.6888888889</v>
      </c>
      <c r="Z11" s="321">
        <f t="shared" si="13"/>
        <v>0.4911111111</v>
      </c>
      <c r="AA11" s="339"/>
      <c r="AB11" s="339"/>
      <c r="AC11" s="339"/>
      <c r="AD11" s="340"/>
      <c r="AE11" s="339"/>
      <c r="AF11" s="339"/>
      <c r="AG11" s="339"/>
      <c r="AH11" s="340"/>
      <c r="AI11" s="340"/>
    </row>
    <row r="12">
      <c r="A12" s="309">
        <v>2026.0</v>
      </c>
      <c r="B12" s="336"/>
      <c r="C12" s="337" t="s">
        <v>845</v>
      </c>
      <c r="D12" s="341" t="s">
        <v>847</v>
      </c>
      <c r="E12" s="338">
        <v>173600.0</v>
      </c>
      <c r="F12" s="311">
        <v>550000.0</v>
      </c>
      <c r="G12" s="312">
        <v>1.0</v>
      </c>
      <c r="H12" s="313">
        <f t="shared" si="2"/>
        <v>256.4040305</v>
      </c>
      <c r="I12" s="314">
        <v>0.035</v>
      </c>
      <c r="J12" s="315">
        <f t="shared" si="3"/>
        <v>247.4298894</v>
      </c>
      <c r="K12" s="316">
        <f t="shared" si="4"/>
        <v>8.974141067</v>
      </c>
      <c r="L12" s="317">
        <v>0.001397</v>
      </c>
      <c r="M12" s="314">
        <v>0.0215</v>
      </c>
      <c r="N12" s="318">
        <f t="shared" si="5"/>
        <v>0.0014270355</v>
      </c>
      <c r="O12" s="315">
        <f t="shared" si="6"/>
        <v>20.31974262</v>
      </c>
      <c r="P12" s="315">
        <f t="shared" si="7"/>
        <v>0.374591236</v>
      </c>
      <c r="Q12" s="313">
        <f t="shared" si="8"/>
        <v>812.3399584</v>
      </c>
      <c r="R12" s="314">
        <v>0.06</v>
      </c>
      <c r="S12" s="319"/>
      <c r="T12" s="299">
        <f t="shared" si="1"/>
        <v>376400</v>
      </c>
      <c r="U12" s="315">
        <f t="shared" si="9"/>
        <v>355133.4</v>
      </c>
      <c r="V12" s="315">
        <f t="shared" si="10"/>
        <v>75280</v>
      </c>
      <c r="W12" s="320">
        <f t="shared" si="14"/>
        <v>268120</v>
      </c>
      <c r="X12" s="321">
        <f t="shared" si="11"/>
        <v>2.168202765</v>
      </c>
      <c r="Y12" s="321">
        <f t="shared" si="12"/>
        <v>0.6843636364</v>
      </c>
      <c r="Z12" s="321">
        <f t="shared" si="13"/>
        <v>0.4874909091</v>
      </c>
      <c r="AA12" s="339"/>
      <c r="AB12" s="339"/>
      <c r="AC12" s="339"/>
      <c r="AD12" s="340"/>
      <c r="AE12" s="339"/>
      <c r="AF12" s="339"/>
      <c r="AG12" s="339"/>
      <c r="AH12" s="340"/>
      <c r="AI12" s="340"/>
    </row>
    <row r="13">
      <c r="A13" s="309">
        <v>2026.0</v>
      </c>
      <c r="B13" s="336"/>
      <c r="C13" s="337" t="s">
        <v>848</v>
      </c>
      <c r="D13" s="342" t="s">
        <v>849</v>
      </c>
      <c r="E13" s="338">
        <v>260800.0</v>
      </c>
      <c r="F13" s="311">
        <v>770000.0</v>
      </c>
      <c r="G13" s="312">
        <v>1.0</v>
      </c>
      <c r="H13" s="313">
        <f t="shared" si="2"/>
        <v>385.1968384</v>
      </c>
      <c r="I13" s="314">
        <v>0.035</v>
      </c>
      <c r="J13" s="315">
        <f t="shared" si="3"/>
        <v>371.7149491</v>
      </c>
      <c r="K13" s="316">
        <f t="shared" si="4"/>
        <v>13.48188935</v>
      </c>
      <c r="L13" s="317">
        <v>0.001397</v>
      </c>
      <c r="M13" s="314">
        <v>0.0215</v>
      </c>
      <c r="N13" s="318">
        <f t="shared" si="5"/>
        <v>0.0014270355</v>
      </c>
      <c r="O13" s="315">
        <f t="shared" si="6"/>
        <v>22.99187141</v>
      </c>
      <c r="P13" s="315">
        <f t="shared" si="7"/>
        <v>0.5519504282</v>
      </c>
      <c r="Q13" s="313">
        <f t="shared" si="8"/>
        <v>1137.275942</v>
      </c>
      <c r="R13" s="314">
        <v>0.06</v>
      </c>
      <c r="S13" s="319"/>
      <c r="T13" s="299">
        <f t="shared" si="1"/>
        <v>509200</v>
      </c>
      <c r="U13" s="315">
        <f t="shared" si="9"/>
        <v>480430.2</v>
      </c>
      <c r="V13" s="315">
        <f t="shared" si="10"/>
        <v>101840</v>
      </c>
      <c r="W13" s="320">
        <f t="shared" si="14"/>
        <v>361160</v>
      </c>
      <c r="X13" s="321">
        <f t="shared" si="11"/>
        <v>1.952453988</v>
      </c>
      <c r="Y13" s="321">
        <f t="shared" si="12"/>
        <v>0.6612987013</v>
      </c>
      <c r="Z13" s="321">
        <f t="shared" si="13"/>
        <v>0.469038961</v>
      </c>
      <c r="AA13" s="339"/>
      <c r="AB13" s="339"/>
      <c r="AC13" s="339"/>
      <c r="AD13" s="340"/>
      <c r="AE13" s="339"/>
      <c r="AF13" s="339"/>
      <c r="AG13" s="339"/>
      <c r="AH13" s="340"/>
      <c r="AI13" s="340"/>
    </row>
    <row r="14">
      <c r="A14" s="309">
        <v>2026.0</v>
      </c>
      <c r="B14" s="336"/>
      <c r="C14" s="337" t="s">
        <v>850</v>
      </c>
      <c r="D14" s="310" t="s">
        <v>846</v>
      </c>
      <c r="E14" s="338">
        <v>127200.0</v>
      </c>
      <c r="F14" s="311">
        <v>360000.0</v>
      </c>
      <c r="G14" s="312">
        <v>1.0</v>
      </c>
      <c r="H14" s="313">
        <f t="shared" si="2"/>
        <v>187.8720776</v>
      </c>
      <c r="I14" s="314">
        <v>0.035</v>
      </c>
      <c r="J14" s="315">
        <f t="shared" si="3"/>
        <v>181.2965549</v>
      </c>
      <c r="K14" s="316">
        <f t="shared" si="4"/>
        <v>6.575522718</v>
      </c>
      <c r="L14" s="317">
        <v>0.001397</v>
      </c>
      <c r="M14" s="314">
        <v>0.0215</v>
      </c>
      <c r="N14" s="318">
        <f t="shared" si="5"/>
        <v>0.0014270355</v>
      </c>
      <c r="O14" s="315">
        <f t="shared" si="6"/>
        <v>18.89787593</v>
      </c>
      <c r="P14" s="315">
        <f t="shared" si="7"/>
        <v>0.2802166199</v>
      </c>
      <c r="Q14" s="313">
        <f t="shared" si="8"/>
        <v>531.7134273</v>
      </c>
      <c r="R14" s="314">
        <v>0.06</v>
      </c>
      <c r="S14" s="319"/>
      <c r="T14" s="299">
        <f t="shared" si="1"/>
        <v>232800</v>
      </c>
      <c r="U14" s="315">
        <f t="shared" si="9"/>
        <v>219646.8</v>
      </c>
      <c r="V14" s="315">
        <f t="shared" si="10"/>
        <v>46560</v>
      </c>
      <c r="W14" s="320">
        <f t="shared" si="14"/>
        <v>164640</v>
      </c>
      <c r="X14" s="321">
        <f t="shared" si="11"/>
        <v>1.830188679</v>
      </c>
      <c r="Y14" s="321">
        <f t="shared" si="12"/>
        <v>0.6466666667</v>
      </c>
      <c r="Z14" s="321">
        <f t="shared" si="13"/>
        <v>0.4573333333</v>
      </c>
      <c r="AA14" s="339"/>
      <c r="AB14" s="339"/>
      <c r="AC14" s="339"/>
      <c r="AD14" s="340"/>
      <c r="AE14" s="339"/>
      <c r="AF14" s="339"/>
      <c r="AG14" s="339"/>
      <c r="AH14" s="340"/>
      <c r="AI14" s="340"/>
    </row>
    <row r="15">
      <c r="A15" s="309">
        <v>2026.0</v>
      </c>
      <c r="B15" s="336"/>
      <c r="C15" s="337" t="s">
        <v>851</v>
      </c>
      <c r="D15" s="341" t="s">
        <v>847</v>
      </c>
      <c r="E15" s="338">
        <v>216800.0</v>
      </c>
      <c r="F15" s="311">
        <v>550000.0</v>
      </c>
      <c r="G15" s="312">
        <v>1.0</v>
      </c>
      <c r="H15" s="313">
        <f t="shared" si="2"/>
        <v>320.2096418</v>
      </c>
      <c r="I15" s="314">
        <v>0.035</v>
      </c>
      <c r="J15" s="315">
        <f t="shared" si="3"/>
        <v>309.0023043</v>
      </c>
      <c r="K15" s="316">
        <f t="shared" si="4"/>
        <v>11.20733746</v>
      </c>
      <c r="L15" s="317">
        <v>0.001397</v>
      </c>
      <c r="M15" s="314">
        <v>0.0215</v>
      </c>
      <c r="N15" s="318">
        <f t="shared" si="5"/>
        <v>0.0014270355</v>
      </c>
      <c r="O15" s="315">
        <f t="shared" si="6"/>
        <v>21.64354954</v>
      </c>
      <c r="P15" s="315">
        <f t="shared" si="7"/>
        <v>0.4624572578</v>
      </c>
      <c r="Q15" s="313">
        <f t="shared" si="8"/>
        <v>812.3399584</v>
      </c>
      <c r="R15" s="314">
        <v>0.06</v>
      </c>
      <c r="S15" s="319"/>
      <c r="T15" s="299">
        <f t="shared" si="1"/>
        <v>333200</v>
      </c>
      <c r="U15" s="315">
        <f t="shared" si="9"/>
        <v>314374.2</v>
      </c>
      <c r="V15" s="315">
        <f t="shared" si="10"/>
        <v>66640</v>
      </c>
      <c r="W15" s="320">
        <f t="shared" si="14"/>
        <v>233560</v>
      </c>
      <c r="X15" s="321">
        <f t="shared" si="11"/>
        <v>1.536900369</v>
      </c>
      <c r="Y15" s="321">
        <f t="shared" si="12"/>
        <v>0.6058181818</v>
      </c>
      <c r="Z15" s="321">
        <f t="shared" si="13"/>
        <v>0.4246545455</v>
      </c>
      <c r="AA15" s="339"/>
      <c r="AB15" s="339"/>
      <c r="AC15" s="339"/>
      <c r="AD15" s="340"/>
      <c r="AE15" s="339"/>
      <c r="AF15" s="339"/>
      <c r="AG15" s="339"/>
      <c r="AH15" s="340"/>
      <c r="AI15" s="340"/>
    </row>
    <row r="16">
      <c r="A16" s="309">
        <v>2026.0</v>
      </c>
      <c r="B16" s="336"/>
      <c r="C16" s="337" t="s">
        <v>850</v>
      </c>
      <c r="D16" s="342" t="s">
        <v>849</v>
      </c>
      <c r="E16" s="338">
        <v>292000.0</v>
      </c>
      <c r="F16" s="311">
        <v>770000.0</v>
      </c>
      <c r="G16" s="312">
        <v>1.0</v>
      </c>
      <c r="H16" s="313">
        <f t="shared" si="2"/>
        <v>431.2786688</v>
      </c>
      <c r="I16" s="314">
        <v>0.035</v>
      </c>
      <c r="J16" s="315">
        <f t="shared" si="3"/>
        <v>416.1839154</v>
      </c>
      <c r="K16" s="316">
        <f t="shared" si="4"/>
        <v>15.09475341</v>
      </c>
      <c r="L16" s="317">
        <v>0.001397</v>
      </c>
      <c r="M16" s="314">
        <v>0.0215</v>
      </c>
      <c r="N16" s="318">
        <f t="shared" si="5"/>
        <v>0.0014270355</v>
      </c>
      <c r="O16" s="315">
        <f t="shared" si="6"/>
        <v>23.94795418</v>
      </c>
      <c r="P16" s="315">
        <f t="shared" si="7"/>
        <v>0.6154092218</v>
      </c>
      <c r="Q16" s="313">
        <f t="shared" si="8"/>
        <v>1137.275942</v>
      </c>
      <c r="R16" s="314">
        <v>0.06</v>
      </c>
      <c r="S16" s="319"/>
      <c r="T16" s="299">
        <f t="shared" si="1"/>
        <v>478000</v>
      </c>
      <c r="U16" s="315">
        <f t="shared" si="9"/>
        <v>450993</v>
      </c>
      <c r="V16" s="315">
        <f t="shared" si="10"/>
        <v>95600</v>
      </c>
      <c r="W16" s="320">
        <f t="shared" si="14"/>
        <v>336200</v>
      </c>
      <c r="X16" s="321">
        <f t="shared" si="11"/>
        <v>1.636986301</v>
      </c>
      <c r="Y16" s="321">
        <f t="shared" si="12"/>
        <v>0.6207792208</v>
      </c>
      <c r="Z16" s="321">
        <f t="shared" si="13"/>
        <v>0.4366233766</v>
      </c>
      <c r="AA16" s="339"/>
      <c r="AB16" s="339"/>
      <c r="AC16" s="339"/>
      <c r="AD16" s="340"/>
      <c r="AE16" s="339"/>
      <c r="AF16" s="339"/>
      <c r="AG16" s="339"/>
      <c r="AH16" s="340"/>
      <c r="AI16" s="340"/>
    </row>
    <row r="17">
      <c r="A17" s="309">
        <v>2026.0</v>
      </c>
      <c r="B17" s="336"/>
      <c r="C17" s="337" t="s">
        <v>852</v>
      </c>
      <c r="D17" s="310" t="s">
        <v>846</v>
      </c>
      <c r="E17" s="338">
        <v>80000.0</v>
      </c>
      <c r="F17" s="311">
        <v>360000.0</v>
      </c>
      <c r="G17" s="312">
        <v>1.0</v>
      </c>
      <c r="H17" s="313">
        <f t="shared" si="2"/>
        <v>118.1585394</v>
      </c>
      <c r="I17" s="314">
        <v>0.035</v>
      </c>
      <c r="J17" s="315">
        <f t="shared" si="3"/>
        <v>114.0229905</v>
      </c>
      <c r="K17" s="316">
        <f t="shared" si="4"/>
        <v>4.135548879</v>
      </c>
      <c r="L17" s="317">
        <v>0.001397</v>
      </c>
      <c r="M17" s="314">
        <v>0.0215</v>
      </c>
      <c r="N17" s="318">
        <f t="shared" si="5"/>
        <v>0.0014270355</v>
      </c>
      <c r="O17" s="315">
        <f t="shared" si="6"/>
        <v>17.4514943</v>
      </c>
      <c r="P17" s="315">
        <f t="shared" si="7"/>
        <v>0.1842148553</v>
      </c>
      <c r="Q17" s="313">
        <f t="shared" si="8"/>
        <v>531.7134273</v>
      </c>
      <c r="R17" s="314">
        <v>0.06</v>
      </c>
      <c r="S17" s="319"/>
      <c r="T17" s="299">
        <f t="shared" si="1"/>
        <v>280000</v>
      </c>
      <c r="U17" s="315">
        <f t="shared" si="9"/>
        <v>264180</v>
      </c>
      <c r="V17" s="315">
        <f t="shared" si="10"/>
        <v>56000</v>
      </c>
      <c r="W17" s="320">
        <f t="shared" si="14"/>
        <v>202400</v>
      </c>
      <c r="X17" s="321">
        <f t="shared" si="11"/>
        <v>3.5</v>
      </c>
      <c r="Y17" s="321">
        <f t="shared" si="12"/>
        <v>0.7777777778</v>
      </c>
      <c r="Z17" s="321">
        <f t="shared" si="13"/>
        <v>0.5622222222</v>
      </c>
      <c r="AA17" s="339"/>
      <c r="AB17" s="339"/>
      <c r="AC17" s="339"/>
      <c r="AD17" s="340"/>
      <c r="AE17" s="339"/>
      <c r="AF17" s="339"/>
      <c r="AG17" s="339"/>
      <c r="AH17" s="340"/>
      <c r="AI17" s="340"/>
    </row>
    <row r="18">
      <c r="A18" s="309">
        <v>2026.0</v>
      </c>
      <c r="B18" s="336"/>
      <c r="C18" s="337" t="s">
        <v>852</v>
      </c>
      <c r="D18" s="341" t="s">
        <v>847</v>
      </c>
      <c r="E18" s="338">
        <v>140000.0</v>
      </c>
      <c r="F18" s="311">
        <v>550000.0</v>
      </c>
      <c r="G18" s="312">
        <v>1.0</v>
      </c>
      <c r="H18" s="313">
        <f t="shared" si="2"/>
        <v>206.777444</v>
      </c>
      <c r="I18" s="314">
        <v>0.035</v>
      </c>
      <c r="J18" s="315">
        <f t="shared" si="3"/>
        <v>199.5402334</v>
      </c>
      <c r="K18" s="316">
        <f t="shared" si="4"/>
        <v>7.237210538</v>
      </c>
      <c r="L18" s="317">
        <v>0.001397</v>
      </c>
      <c r="M18" s="314">
        <v>0.0215</v>
      </c>
      <c r="N18" s="318">
        <f t="shared" si="5"/>
        <v>0.0014270355</v>
      </c>
      <c r="O18" s="315">
        <f t="shared" si="6"/>
        <v>19.29011502</v>
      </c>
      <c r="P18" s="315">
        <f t="shared" si="7"/>
        <v>0.3062509968</v>
      </c>
      <c r="Q18" s="313">
        <f t="shared" si="8"/>
        <v>812.3399584</v>
      </c>
      <c r="R18" s="314">
        <v>0.06</v>
      </c>
      <c r="S18" s="319"/>
      <c r="T18" s="299">
        <f t="shared" si="1"/>
        <v>410000</v>
      </c>
      <c r="U18" s="315">
        <f t="shared" si="9"/>
        <v>386835</v>
      </c>
      <c r="V18" s="315">
        <f t="shared" si="10"/>
        <v>82000</v>
      </c>
      <c r="W18" s="320">
        <f t="shared" si="14"/>
        <v>295000</v>
      </c>
      <c r="X18" s="321">
        <f t="shared" si="11"/>
        <v>2.928571429</v>
      </c>
      <c r="Y18" s="321">
        <f t="shared" si="12"/>
        <v>0.7454545455</v>
      </c>
      <c r="Z18" s="321">
        <f t="shared" si="13"/>
        <v>0.5363636364</v>
      </c>
      <c r="AA18" s="339"/>
      <c r="AB18" s="339"/>
      <c r="AC18" s="339"/>
      <c r="AD18" s="340"/>
      <c r="AE18" s="339"/>
      <c r="AF18" s="339"/>
      <c r="AG18" s="339"/>
      <c r="AH18" s="340"/>
      <c r="AI18" s="340"/>
    </row>
    <row r="19">
      <c r="A19" s="309">
        <v>2026.0</v>
      </c>
      <c r="B19" s="336"/>
      <c r="C19" s="337" t="s">
        <v>853</v>
      </c>
      <c r="D19" s="342" t="s">
        <v>849</v>
      </c>
      <c r="E19" s="338">
        <v>212800.0</v>
      </c>
      <c r="F19" s="311">
        <v>770000.0</v>
      </c>
      <c r="G19" s="312">
        <v>1.0</v>
      </c>
      <c r="H19" s="313">
        <f t="shared" si="2"/>
        <v>314.3017148</v>
      </c>
      <c r="I19" s="314">
        <v>0.035</v>
      </c>
      <c r="J19" s="315">
        <f t="shared" si="3"/>
        <v>303.3011548</v>
      </c>
      <c r="K19" s="316">
        <f t="shared" si="4"/>
        <v>11.00056002</v>
      </c>
      <c r="L19" s="317">
        <v>0.001397</v>
      </c>
      <c r="M19" s="314">
        <v>0.0215</v>
      </c>
      <c r="N19" s="318">
        <f t="shared" si="5"/>
        <v>0.0014270355</v>
      </c>
      <c r="O19" s="315">
        <f t="shared" si="6"/>
        <v>21.52097483</v>
      </c>
      <c r="P19" s="315">
        <f t="shared" si="7"/>
        <v>0.4543215151</v>
      </c>
      <c r="Q19" s="313">
        <f t="shared" si="8"/>
        <v>1137.275942</v>
      </c>
      <c r="R19" s="314">
        <v>0.06</v>
      </c>
      <c r="S19" s="319"/>
      <c r="T19" s="299">
        <f t="shared" si="1"/>
        <v>557200</v>
      </c>
      <c r="U19" s="315">
        <f t="shared" si="9"/>
        <v>525718.2</v>
      </c>
      <c r="V19" s="315">
        <f t="shared" si="10"/>
        <v>111440</v>
      </c>
      <c r="W19" s="320">
        <f t="shared" si="14"/>
        <v>399560</v>
      </c>
      <c r="X19" s="321">
        <f t="shared" si="11"/>
        <v>2.618421053</v>
      </c>
      <c r="Y19" s="321">
        <f t="shared" si="12"/>
        <v>0.7236363636</v>
      </c>
      <c r="Z19" s="321">
        <f t="shared" si="13"/>
        <v>0.5189090909</v>
      </c>
      <c r="AA19" s="339"/>
      <c r="AB19" s="339"/>
      <c r="AC19" s="339"/>
      <c r="AD19" s="340"/>
      <c r="AE19" s="339"/>
      <c r="AF19" s="339"/>
      <c r="AG19" s="339"/>
      <c r="AH19" s="340"/>
      <c r="AI19" s="340"/>
    </row>
    <row r="20">
      <c r="A20" s="309">
        <v>2026.0</v>
      </c>
      <c r="B20" s="336"/>
      <c r="C20" s="337" t="s">
        <v>854</v>
      </c>
      <c r="D20" s="310" t="s">
        <v>846</v>
      </c>
      <c r="E20" s="338">
        <v>91200.0</v>
      </c>
      <c r="F20" s="311">
        <v>360000.0</v>
      </c>
      <c r="G20" s="312">
        <v>1.0</v>
      </c>
      <c r="H20" s="313">
        <f t="shared" si="2"/>
        <v>134.7007349</v>
      </c>
      <c r="I20" s="314">
        <v>0.035</v>
      </c>
      <c r="J20" s="315">
        <f t="shared" si="3"/>
        <v>129.9862092</v>
      </c>
      <c r="K20" s="316">
        <f t="shared" si="4"/>
        <v>4.714525722</v>
      </c>
      <c r="L20" s="317">
        <v>0.001397</v>
      </c>
      <c r="M20" s="314">
        <v>0.0215</v>
      </c>
      <c r="N20" s="318">
        <f t="shared" si="5"/>
        <v>0.0014270355</v>
      </c>
      <c r="O20" s="315">
        <f t="shared" si="6"/>
        <v>17.7947035</v>
      </c>
      <c r="P20" s="315">
        <f t="shared" si="7"/>
        <v>0.206994935</v>
      </c>
      <c r="Q20" s="313">
        <f t="shared" si="8"/>
        <v>531.7134273</v>
      </c>
      <c r="R20" s="314">
        <v>0.06</v>
      </c>
      <c r="S20" s="319"/>
      <c r="T20" s="299">
        <f t="shared" si="1"/>
        <v>268800</v>
      </c>
      <c r="U20" s="315">
        <f t="shared" si="9"/>
        <v>253612.8</v>
      </c>
      <c r="V20" s="315">
        <f t="shared" si="10"/>
        <v>53760</v>
      </c>
      <c r="W20" s="320">
        <f t="shared" si="14"/>
        <v>193440</v>
      </c>
      <c r="X20" s="321">
        <f t="shared" si="11"/>
        <v>2.947368421</v>
      </c>
      <c r="Y20" s="321">
        <f t="shared" si="12"/>
        <v>0.7466666667</v>
      </c>
      <c r="Z20" s="321">
        <f t="shared" si="13"/>
        <v>0.5373333333</v>
      </c>
      <c r="AA20" s="339"/>
      <c r="AB20" s="339"/>
      <c r="AC20" s="339"/>
      <c r="AD20" s="340"/>
      <c r="AE20" s="339"/>
      <c r="AF20" s="339"/>
      <c r="AG20" s="339"/>
      <c r="AH20" s="340"/>
      <c r="AI20" s="340"/>
    </row>
    <row r="21">
      <c r="A21" s="309">
        <v>2026.0</v>
      </c>
      <c r="B21" s="336"/>
      <c r="C21" s="337" t="s">
        <v>855</v>
      </c>
      <c r="D21" s="341" t="s">
        <v>847</v>
      </c>
      <c r="E21" s="338">
        <v>160800.0</v>
      </c>
      <c r="F21" s="311">
        <v>550000.0</v>
      </c>
      <c r="G21" s="312">
        <v>1.0</v>
      </c>
      <c r="H21" s="313">
        <f t="shared" si="2"/>
        <v>237.4986642</v>
      </c>
      <c r="I21" s="314">
        <v>0.035</v>
      </c>
      <c r="J21" s="315">
        <f t="shared" si="3"/>
        <v>229.1862109</v>
      </c>
      <c r="K21" s="316">
        <f t="shared" si="4"/>
        <v>8.312453247</v>
      </c>
      <c r="L21" s="317">
        <v>0.001397</v>
      </c>
      <c r="M21" s="314">
        <v>0.0215</v>
      </c>
      <c r="N21" s="318">
        <f t="shared" si="5"/>
        <v>0.0014270355</v>
      </c>
      <c r="O21" s="315">
        <f t="shared" si="6"/>
        <v>19.92750354</v>
      </c>
      <c r="P21" s="315">
        <f t="shared" si="7"/>
        <v>0.3485568591</v>
      </c>
      <c r="Q21" s="313">
        <f t="shared" si="8"/>
        <v>812.3399584</v>
      </c>
      <c r="R21" s="314">
        <v>0.06</v>
      </c>
      <c r="S21" s="319"/>
      <c r="T21" s="299">
        <f t="shared" si="1"/>
        <v>389200</v>
      </c>
      <c r="U21" s="315">
        <f t="shared" si="9"/>
        <v>367210.2</v>
      </c>
      <c r="V21" s="315">
        <f t="shared" si="10"/>
        <v>77840</v>
      </c>
      <c r="W21" s="320">
        <f t="shared" si="14"/>
        <v>278360</v>
      </c>
      <c r="X21" s="321">
        <f t="shared" si="11"/>
        <v>2.42039801</v>
      </c>
      <c r="Y21" s="321">
        <f t="shared" si="12"/>
        <v>0.7076363636</v>
      </c>
      <c r="Z21" s="321">
        <f t="shared" si="13"/>
        <v>0.5061090909</v>
      </c>
      <c r="AA21" s="339"/>
      <c r="AB21" s="339"/>
      <c r="AC21" s="339"/>
      <c r="AD21" s="340"/>
      <c r="AE21" s="339"/>
      <c r="AF21" s="339"/>
      <c r="AG21" s="339"/>
      <c r="AH21" s="340"/>
      <c r="AI21" s="340"/>
    </row>
    <row r="22">
      <c r="A22" s="309">
        <v>2026.0</v>
      </c>
      <c r="B22" s="336"/>
      <c r="C22" s="337" t="s">
        <v>854</v>
      </c>
      <c r="D22" s="342" t="s">
        <v>849</v>
      </c>
      <c r="E22" s="338">
        <v>244000.0</v>
      </c>
      <c r="F22" s="311">
        <v>770000.0</v>
      </c>
      <c r="G22" s="312">
        <v>1.0</v>
      </c>
      <c r="H22" s="313">
        <f t="shared" si="2"/>
        <v>360.3835452</v>
      </c>
      <c r="I22" s="314">
        <v>0.035</v>
      </c>
      <c r="J22" s="315">
        <f t="shared" si="3"/>
        <v>347.7701211</v>
      </c>
      <c r="K22" s="316">
        <f t="shared" si="4"/>
        <v>12.61342408</v>
      </c>
      <c r="L22" s="317">
        <v>0.001397</v>
      </c>
      <c r="M22" s="314">
        <v>0.0215</v>
      </c>
      <c r="N22" s="318">
        <f t="shared" si="5"/>
        <v>0.0014270355</v>
      </c>
      <c r="O22" s="315">
        <f t="shared" si="6"/>
        <v>22.4770576</v>
      </c>
      <c r="P22" s="315">
        <f t="shared" si="7"/>
        <v>0.5177803086</v>
      </c>
      <c r="Q22" s="313">
        <f t="shared" si="8"/>
        <v>1137.275942</v>
      </c>
      <c r="R22" s="314">
        <v>0.06</v>
      </c>
      <c r="S22" s="319"/>
      <c r="T22" s="299">
        <f t="shared" si="1"/>
        <v>526000</v>
      </c>
      <c r="U22" s="315">
        <f t="shared" si="9"/>
        <v>496281</v>
      </c>
      <c r="V22" s="315">
        <f t="shared" si="10"/>
        <v>105200</v>
      </c>
      <c r="W22" s="320">
        <f t="shared" si="14"/>
        <v>374600</v>
      </c>
      <c r="X22" s="321">
        <f t="shared" si="11"/>
        <v>2.155737705</v>
      </c>
      <c r="Y22" s="321">
        <f t="shared" si="12"/>
        <v>0.6831168831</v>
      </c>
      <c r="Z22" s="321">
        <f t="shared" si="13"/>
        <v>0.4864935065</v>
      </c>
      <c r="AA22" s="339"/>
      <c r="AB22" s="339"/>
      <c r="AC22" s="339"/>
      <c r="AD22" s="340"/>
      <c r="AE22" s="339"/>
      <c r="AF22" s="339"/>
      <c r="AG22" s="339"/>
      <c r="AH22" s="340"/>
      <c r="AI22" s="340"/>
    </row>
    <row r="23">
      <c r="A23" s="305"/>
      <c r="B23" s="305"/>
      <c r="C23" s="305"/>
      <c r="D23" s="305"/>
      <c r="E23" s="325"/>
      <c r="F23" s="325"/>
      <c r="G23" s="326"/>
      <c r="H23" s="313"/>
      <c r="I23" s="327"/>
      <c r="J23" s="328"/>
      <c r="K23" s="329"/>
      <c r="L23" s="330"/>
      <c r="M23" s="327"/>
      <c r="N23" s="331"/>
      <c r="O23" s="328"/>
      <c r="P23" s="328"/>
      <c r="Q23" s="313"/>
      <c r="R23" s="327"/>
      <c r="S23" s="332"/>
      <c r="T23" s="299">
        <f t="shared" si="1"/>
        <v>0</v>
      </c>
      <c r="U23" s="315">
        <f t="shared" si="9"/>
        <v>0</v>
      </c>
      <c r="V23" s="315">
        <f t="shared" si="10"/>
        <v>0</v>
      </c>
      <c r="W23" s="320">
        <f t="shared" si="14"/>
        <v>0</v>
      </c>
      <c r="X23" s="321" t="str">
        <f t="shared" si="11"/>
        <v/>
      </c>
      <c r="Y23" s="333"/>
      <c r="Z23" s="321" t="str">
        <f t="shared" si="13"/>
        <v/>
      </c>
      <c r="AA23" s="334"/>
      <c r="AB23" s="334"/>
      <c r="AC23" s="334"/>
      <c r="AD23" s="335"/>
      <c r="AE23" s="334"/>
      <c r="AF23" s="334"/>
      <c r="AG23" s="334"/>
      <c r="AH23" s="335"/>
      <c r="AI23" s="335"/>
    </row>
    <row r="24">
      <c r="A24" s="343" t="s">
        <v>856</v>
      </c>
      <c r="E24" s="325"/>
      <c r="F24" s="325"/>
      <c r="G24" s="326"/>
      <c r="H24" s="313"/>
      <c r="I24" s="327"/>
      <c r="J24" s="328"/>
      <c r="K24" s="329"/>
      <c r="L24" s="330"/>
      <c r="M24" s="327"/>
      <c r="N24" s="331"/>
      <c r="O24" s="328"/>
      <c r="P24" s="328"/>
      <c r="Q24" s="313"/>
      <c r="R24" s="327"/>
      <c r="S24" s="332"/>
      <c r="T24" s="299">
        <f t="shared" si="1"/>
        <v>0</v>
      </c>
      <c r="U24" s="315">
        <f t="shared" si="9"/>
        <v>0</v>
      </c>
      <c r="V24" s="315">
        <f t="shared" si="10"/>
        <v>0</v>
      </c>
      <c r="W24" s="320">
        <f t="shared" si="14"/>
        <v>0</v>
      </c>
      <c r="X24" s="321" t="str">
        <f t="shared" si="11"/>
        <v/>
      </c>
      <c r="Y24" s="333"/>
      <c r="Z24" s="321" t="str">
        <f t="shared" si="13"/>
        <v/>
      </c>
      <c r="AA24" s="334"/>
      <c r="AB24" s="334"/>
      <c r="AC24" s="334"/>
      <c r="AD24" s="335"/>
      <c r="AE24" s="334"/>
      <c r="AF24" s="334"/>
      <c r="AG24" s="334"/>
      <c r="AH24" s="335"/>
      <c r="AI24" s="335"/>
    </row>
    <row r="25">
      <c r="A25" s="344">
        <v>2026.0</v>
      </c>
      <c r="B25" s="344"/>
      <c r="C25" s="344" t="s">
        <v>857</v>
      </c>
      <c r="D25" s="344"/>
      <c r="E25" s="290">
        <v>225000.0</v>
      </c>
      <c r="F25" s="345">
        <v>370000.0</v>
      </c>
      <c r="G25" s="346">
        <v>1.0</v>
      </c>
      <c r="H25" s="292">
        <f t="shared" ref="H25:H28" si="15">((E25*N25)*(1+I25))*G25</f>
        <v>332.3208921</v>
      </c>
      <c r="I25" s="347">
        <v>0.035</v>
      </c>
      <c r="J25" s="348">
        <f t="shared" ref="J25:J26" si="16">H25*(1-I25)</f>
        <v>320.6896608</v>
      </c>
      <c r="K25" s="349">
        <f t="shared" ref="K25:K26" si="17">H25-J25</f>
        <v>11.63123122</v>
      </c>
      <c r="L25" s="296">
        <v>0.001397</v>
      </c>
      <c r="M25" s="347">
        <v>0.0215</v>
      </c>
      <c r="N25" s="350">
        <f t="shared" ref="N25:N26" si="18">L25*(1+M25)</f>
        <v>0.0014270355</v>
      </c>
      <c r="O25" s="348">
        <f t="shared" ref="O25:O26" si="19">(J25*M25)+15</f>
        <v>21.89482771</v>
      </c>
      <c r="P25" s="348">
        <f t="shared" ref="P25:P26" si="20">(J25*N25)+M25</f>
        <v>0.4791355305</v>
      </c>
      <c r="Q25" s="292">
        <f t="shared" ref="Q25:Q28" si="21">((F25*N25)*(1+I25))*G25</f>
        <v>546.4832447</v>
      </c>
      <c r="R25" s="347">
        <v>0.06</v>
      </c>
      <c r="S25" s="351"/>
      <c r="T25" s="299">
        <f t="shared" si="1"/>
        <v>145000</v>
      </c>
      <c r="U25" s="315">
        <f t="shared" si="9"/>
        <v>136807.5</v>
      </c>
      <c r="V25" s="315">
        <f t="shared" si="10"/>
        <v>29000</v>
      </c>
      <c r="W25" s="320">
        <f t="shared" si="14"/>
        <v>93800</v>
      </c>
      <c r="X25" s="321">
        <f t="shared" si="11"/>
        <v>0.6444444444</v>
      </c>
      <c r="Y25" s="352">
        <f t="shared" ref="Y25:Y26" si="22">IFERROR((Q25-H25)/Q25,"")</f>
        <v>0.3918918919</v>
      </c>
      <c r="Z25" s="321">
        <f t="shared" si="13"/>
        <v>0.2535135135</v>
      </c>
      <c r="AA25" s="353"/>
      <c r="AB25" s="353"/>
      <c r="AC25" s="353"/>
      <c r="AD25" s="354"/>
      <c r="AE25" s="353"/>
      <c r="AF25" s="353"/>
      <c r="AG25" s="353"/>
      <c r="AH25" s="354" t="str">
        <f t="shared" ref="AH25:AH26" si="23">IFERROR(AVERAGE(AE25:AG25),"")</f>
        <v/>
      </c>
      <c r="AI25" s="355">
        <f t="shared" ref="AI25:AI26" si="24">AE25+AF25+AG25</f>
        <v>0</v>
      </c>
    </row>
    <row r="26">
      <c r="A26" s="305">
        <v>2026.0</v>
      </c>
      <c r="B26" s="305"/>
      <c r="C26" s="305" t="s">
        <v>857</v>
      </c>
      <c r="D26" s="305"/>
      <c r="E26" s="325">
        <v>150000.0</v>
      </c>
      <c r="F26" s="325">
        <v>300000.0</v>
      </c>
      <c r="G26" s="356">
        <v>1.0</v>
      </c>
      <c r="H26" s="292">
        <f t="shared" si="15"/>
        <v>221.5472614</v>
      </c>
      <c r="I26" s="327">
        <v>0.035</v>
      </c>
      <c r="J26" s="328">
        <f t="shared" si="16"/>
        <v>213.7931072</v>
      </c>
      <c r="K26" s="329">
        <f t="shared" si="17"/>
        <v>7.754154148</v>
      </c>
      <c r="L26" s="330">
        <v>0.001397</v>
      </c>
      <c r="M26" s="327">
        <v>0.0215</v>
      </c>
      <c r="N26" s="331">
        <f t="shared" si="18"/>
        <v>0.0014270355</v>
      </c>
      <c r="O26" s="328">
        <f t="shared" si="19"/>
        <v>19.59655181</v>
      </c>
      <c r="P26" s="328">
        <f t="shared" si="20"/>
        <v>0.3265903537</v>
      </c>
      <c r="Q26" s="292">
        <f t="shared" si="21"/>
        <v>443.0945228</v>
      </c>
      <c r="R26" s="347">
        <v>0.06</v>
      </c>
      <c r="S26" s="332"/>
      <c r="T26" s="299">
        <f t="shared" si="1"/>
        <v>150000</v>
      </c>
      <c r="U26" s="315">
        <f t="shared" si="9"/>
        <v>141525</v>
      </c>
      <c r="V26" s="315">
        <f t="shared" si="10"/>
        <v>30000</v>
      </c>
      <c r="W26" s="320">
        <f t="shared" si="14"/>
        <v>102000</v>
      </c>
      <c r="X26" s="321">
        <f t="shared" si="11"/>
        <v>1</v>
      </c>
      <c r="Y26" s="333">
        <f t="shared" si="22"/>
        <v>0.5</v>
      </c>
      <c r="Z26" s="321">
        <f t="shared" si="13"/>
        <v>0.34</v>
      </c>
      <c r="AA26" s="334"/>
      <c r="AB26" s="334"/>
      <c r="AC26" s="334"/>
      <c r="AD26" s="335"/>
      <c r="AE26" s="334"/>
      <c r="AF26" s="334"/>
      <c r="AG26" s="334"/>
      <c r="AH26" s="335" t="str">
        <f t="shared" si="23"/>
        <v/>
      </c>
      <c r="AI26" s="335">
        <f t="shared" si="24"/>
        <v>0</v>
      </c>
    </row>
    <row r="27">
      <c r="A27" s="305"/>
      <c r="B27" s="305"/>
      <c r="C27" s="305"/>
      <c r="D27" s="305"/>
      <c r="E27" s="325"/>
      <c r="F27" s="325"/>
      <c r="G27" s="326"/>
      <c r="H27" s="292">
        <f t="shared" si="15"/>
        <v>0</v>
      </c>
      <c r="I27" s="327"/>
      <c r="J27" s="328"/>
      <c r="K27" s="329"/>
      <c r="L27" s="330"/>
      <c r="M27" s="327"/>
      <c r="N27" s="331"/>
      <c r="O27" s="328"/>
      <c r="P27" s="328"/>
      <c r="Q27" s="292">
        <f t="shared" si="21"/>
        <v>0</v>
      </c>
      <c r="R27" s="347">
        <v>0.06</v>
      </c>
      <c r="S27" s="332"/>
      <c r="T27" s="299">
        <f t="shared" si="1"/>
        <v>0</v>
      </c>
      <c r="U27" s="315">
        <f t="shared" si="9"/>
        <v>0</v>
      </c>
      <c r="V27" s="315">
        <f t="shared" si="10"/>
        <v>0</v>
      </c>
      <c r="W27" s="320">
        <f t="shared" si="14"/>
        <v>0</v>
      </c>
      <c r="X27" s="321" t="str">
        <f t="shared" si="11"/>
        <v/>
      </c>
      <c r="Y27" s="333"/>
      <c r="Z27" s="321" t="str">
        <f t="shared" si="13"/>
        <v/>
      </c>
      <c r="AA27" s="334"/>
      <c r="AB27" s="334"/>
      <c r="AC27" s="334"/>
      <c r="AD27" s="335"/>
      <c r="AE27" s="334"/>
      <c r="AF27" s="334"/>
      <c r="AG27" s="334"/>
      <c r="AH27" s="335"/>
      <c r="AI27" s="335"/>
    </row>
    <row r="28">
      <c r="A28" s="305">
        <v>2026.0</v>
      </c>
      <c r="B28" s="305"/>
      <c r="C28" s="305" t="s">
        <v>858</v>
      </c>
      <c r="D28" s="305"/>
      <c r="E28" s="325">
        <v>633000.0</v>
      </c>
      <c r="F28" s="325">
        <v>850000.0</v>
      </c>
      <c r="G28" s="326">
        <v>1.0</v>
      </c>
      <c r="H28" s="292">
        <f t="shared" si="15"/>
        <v>934.929443</v>
      </c>
      <c r="I28" s="327">
        <v>0.035</v>
      </c>
      <c r="J28" s="328">
        <f>H28*(1-I28)</f>
        <v>902.2069125</v>
      </c>
      <c r="K28" s="329">
        <f>H28-J28</f>
        <v>32.72253051</v>
      </c>
      <c r="L28" s="330">
        <v>0.001397</v>
      </c>
      <c r="M28" s="327">
        <v>0.0215</v>
      </c>
      <c r="N28" s="331">
        <f>L28*(1+M28)</f>
        <v>0.0014270355</v>
      </c>
      <c r="O28" s="328">
        <f>(J28*M28)+15</f>
        <v>34.39744862</v>
      </c>
      <c r="P28" s="328">
        <f>(J28*N28)+M28</f>
        <v>1.308981292</v>
      </c>
      <c r="Q28" s="292">
        <f t="shared" si="21"/>
        <v>1255.434481</v>
      </c>
      <c r="R28" s="347">
        <v>0.06</v>
      </c>
      <c r="S28" s="332"/>
      <c r="T28" s="299">
        <f t="shared" si="1"/>
        <v>217000</v>
      </c>
      <c r="U28" s="315">
        <f t="shared" si="9"/>
        <v>204739.5</v>
      </c>
      <c r="V28" s="315">
        <f t="shared" si="10"/>
        <v>43400</v>
      </c>
      <c r="W28" s="320">
        <f t="shared" si="14"/>
        <v>122600</v>
      </c>
      <c r="X28" s="321">
        <f t="shared" si="11"/>
        <v>0.3428120063</v>
      </c>
      <c r="Y28" s="333">
        <f>IFERROR((Q28-H28)/Q28,"")</f>
        <v>0.2552941176</v>
      </c>
      <c r="Z28" s="321">
        <f t="shared" si="13"/>
        <v>0.1442352941</v>
      </c>
      <c r="AA28" s="334"/>
      <c r="AB28" s="334"/>
      <c r="AC28" s="334"/>
      <c r="AD28" s="335"/>
      <c r="AE28" s="334"/>
      <c r="AF28" s="334"/>
      <c r="AG28" s="334"/>
      <c r="AH28" s="335" t="str">
        <f>IFERROR(AVERAGE(AE28:AG28),"")</f>
        <v/>
      </c>
      <c r="AI28" s="335">
        <f>AE28+AF28+AG28</f>
        <v>0</v>
      </c>
    </row>
    <row r="29">
      <c r="A29" s="305"/>
      <c r="B29" s="305"/>
      <c r="C29" s="305"/>
      <c r="D29" s="305"/>
      <c r="E29" s="325"/>
      <c r="F29" s="325"/>
      <c r="G29" s="326"/>
      <c r="H29" s="292"/>
      <c r="I29" s="327"/>
      <c r="J29" s="328"/>
      <c r="K29" s="329"/>
      <c r="L29" s="330"/>
      <c r="M29" s="327"/>
      <c r="N29" s="331"/>
      <c r="O29" s="328"/>
      <c r="P29" s="328"/>
      <c r="Q29" s="292"/>
      <c r="R29" s="347"/>
      <c r="S29" s="332"/>
      <c r="T29" s="299">
        <f t="shared" si="1"/>
        <v>0</v>
      </c>
      <c r="U29" s="315">
        <f t="shared" si="9"/>
        <v>0</v>
      </c>
      <c r="V29" s="315">
        <f t="shared" si="10"/>
        <v>0</v>
      </c>
      <c r="W29" s="320">
        <f t="shared" si="14"/>
        <v>0</v>
      </c>
      <c r="X29" s="321" t="str">
        <f t="shared" si="11"/>
        <v/>
      </c>
      <c r="Y29" s="333"/>
      <c r="Z29" s="321" t="str">
        <f t="shared" si="13"/>
        <v/>
      </c>
      <c r="AA29" s="334"/>
      <c r="AB29" s="334"/>
      <c r="AC29" s="334"/>
      <c r="AD29" s="335"/>
      <c r="AE29" s="334"/>
      <c r="AF29" s="334"/>
      <c r="AG29" s="334"/>
      <c r="AH29" s="335"/>
      <c r="AI29" s="335"/>
    </row>
    <row r="30">
      <c r="A30" s="305">
        <v>2026.0</v>
      </c>
      <c r="B30" s="305"/>
      <c r="C30" s="305" t="s">
        <v>798</v>
      </c>
      <c r="D30" s="305"/>
      <c r="E30" s="325">
        <v>390000.0</v>
      </c>
      <c r="F30" s="325">
        <v>610000.0</v>
      </c>
      <c r="G30" s="326">
        <v>1.0</v>
      </c>
      <c r="H30" s="292">
        <f t="shared" ref="H30:H31" si="25">((E30*N30)*(1+I30))*G30</f>
        <v>576.0228796</v>
      </c>
      <c r="I30" s="327">
        <v>0.035</v>
      </c>
      <c r="J30" s="328">
        <f t="shared" ref="J30:J31" si="26">H30*(1-I30)</f>
        <v>555.8620788</v>
      </c>
      <c r="K30" s="329">
        <f t="shared" ref="K30:K31" si="27">H30-J30</f>
        <v>20.16080079</v>
      </c>
      <c r="L30" s="330">
        <v>0.001397</v>
      </c>
      <c r="M30" s="327">
        <v>0.0215</v>
      </c>
      <c r="N30" s="331">
        <f t="shared" ref="N30:N31" si="28">L30*(1+M30)</f>
        <v>0.0014270355</v>
      </c>
      <c r="O30" s="328">
        <f t="shared" ref="O30:O31" si="29">(J30*M30)+15</f>
        <v>26.95103469</v>
      </c>
      <c r="P30" s="328">
        <f t="shared" ref="P30:P31" si="30">(J30*N30)+M30</f>
        <v>0.8147349195</v>
      </c>
      <c r="Q30" s="292">
        <f t="shared" ref="Q30:Q31" si="31">((F30*N30)*(1+I30))*G30</f>
        <v>900.9588629</v>
      </c>
      <c r="R30" s="347">
        <v>0.06</v>
      </c>
      <c r="S30" s="332"/>
      <c r="T30" s="299">
        <f t="shared" si="1"/>
        <v>220000</v>
      </c>
      <c r="U30" s="315">
        <f t="shared" si="9"/>
        <v>207570</v>
      </c>
      <c r="V30" s="315">
        <f t="shared" si="10"/>
        <v>44000</v>
      </c>
      <c r="W30" s="320">
        <f t="shared" si="14"/>
        <v>139400</v>
      </c>
      <c r="X30" s="321">
        <f t="shared" si="11"/>
        <v>0.5641025641</v>
      </c>
      <c r="Y30" s="333">
        <f t="shared" ref="Y30:Y31" si="32">IFERROR((Q30-H30)/Q30,"")</f>
        <v>0.3606557377</v>
      </c>
      <c r="Z30" s="321">
        <f t="shared" si="13"/>
        <v>0.2285245902</v>
      </c>
      <c r="AA30" s="334"/>
      <c r="AB30" s="334"/>
      <c r="AC30" s="334"/>
      <c r="AD30" s="335"/>
      <c r="AE30" s="334"/>
      <c r="AF30" s="334"/>
      <c r="AG30" s="334"/>
      <c r="AH30" s="335" t="str">
        <f t="shared" ref="AH30:AH31" si="33">IFERROR(AVERAGE(AE30:AG30),"")</f>
        <v/>
      </c>
      <c r="AI30" s="335">
        <f t="shared" ref="AI30:AI31" si="34">AE30+AF30+AG30</f>
        <v>0</v>
      </c>
    </row>
    <row r="31">
      <c r="A31" s="305">
        <v>2026.0</v>
      </c>
      <c r="B31" s="305"/>
      <c r="C31" s="305" t="s">
        <v>859</v>
      </c>
      <c r="D31" s="305"/>
      <c r="E31" s="325">
        <v>330000.0</v>
      </c>
      <c r="F31" s="325">
        <v>510000.0</v>
      </c>
      <c r="G31" s="326">
        <v>1.0</v>
      </c>
      <c r="H31" s="292">
        <f t="shared" si="25"/>
        <v>487.403975</v>
      </c>
      <c r="I31" s="327">
        <v>0.035</v>
      </c>
      <c r="J31" s="328">
        <f t="shared" si="26"/>
        <v>470.3448359</v>
      </c>
      <c r="K31" s="329">
        <f t="shared" si="27"/>
        <v>17.05913913</v>
      </c>
      <c r="L31" s="330">
        <v>0.001397</v>
      </c>
      <c r="M31" s="327">
        <v>0.0215</v>
      </c>
      <c r="N31" s="331">
        <f t="shared" si="28"/>
        <v>0.0014270355</v>
      </c>
      <c r="O31" s="328">
        <f t="shared" si="29"/>
        <v>25.11241397</v>
      </c>
      <c r="P31" s="328">
        <f t="shared" si="30"/>
        <v>0.6926987781</v>
      </c>
      <c r="Q31" s="292">
        <f t="shared" si="31"/>
        <v>753.2606887</v>
      </c>
      <c r="R31" s="347">
        <v>0.06</v>
      </c>
      <c r="S31" s="332"/>
      <c r="T31" s="299">
        <f t="shared" si="1"/>
        <v>180000</v>
      </c>
      <c r="U31" s="315">
        <f t="shared" si="9"/>
        <v>169830</v>
      </c>
      <c r="V31" s="315">
        <f t="shared" si="10"/>
        <v>36000</v>
      </c>
      <c r="W31" s="320">
        <f t="shared" si="14"/>
        <v>113400</v>
      </c>
      <c r="X31" s="321">
        <f t="shared" si="11"/>
        <v>0.5454545455</v>
      </c>
      <c r="Y31" s="333">
        <f t="shared" si="32"/>
        <v>0.3529411765</v>
      </c>
      <c r="Z31" s="321">
        <f t="shared" si="13"/>
        <v>0.2223529412</v>
      </c>
      <c r="AA31" s="334"/>
      <c r="AB31" s="334"/>
      <c r="AC31" s="334"/>
      <c r="AD31" s="335"/>
      <c r="AE31" s="334"/>
      <c r="AF31" s="334"/>
      <c r="AG31" s="334"/>
      <c r="AH31" s="335" t="str">
        <f t="shared" si="33"/>
        <v/>
      </c>
      <c r="AI31" s="335">
        <f t="shared" si="34"/>
        <v>0</v>
      </c>
    </row>
    <row r="32">
      <c r="A32" s="305"/>
      <c r="B32" s="305"/>
      <c r="C32" s="305"/>
      <c r="D32" s="305"/>
      <c r="E32" s="325"/>
      <c r="F32" s="325"/>
      <c r="G32" s="326"/>
      <c r="H32" s="313"/>
      <c r="I32" s="327"/>
      <c r="J32" s="328"/>
      <c r="K32" s="329"/>
      <c r="L32" s="330"/>
      <c r="M32" s="327"/>
      <c r="N32" s="331"/>
      <c r="O32" s="328"/>
      <c r="P32" s="328"/>
      <c r="Q32" s="313"/>
      <c r="R32" s="327"/>
      <c r="S32" s="332"/>
      <c r="T32" s="299">
        <f t="shared" si="1"/>
        <v>0</v>
      </c>
      <c r="U32" s="315">
        <f t="shared" si="9"/>
        <v>0</v>
      </c>
      <c r="V32" s="315">
        <f t="shared" si="10"/>
        <v>0</v>
      </c>
      <c r="W32" s="320">
        <f t="shared" si="14"/>
        <v>0</v>
      </c>
      <c r="X32" s="321" t="str">
        <f t="shared" si="11"/>
        <v/>
      </c>
      <c r="Y32" s="333"/>
      <c r="Z32" s="321" t="str">
        <f t="shared" si="13"/>
        <v/>
      </c>
      <c r="AA32" s="334"/>
      <c r="AB32" s="334"/>
      <c r="AC32" s="334"/>
      <c r="AD32" s="335"/>
      <c r="AE32" s="334"/>
      <c r="AF32" s="334"/>
      <c r="AG32" s="334"/>
      <c r="AH32" s="335"/>
      <c r="AI32" s="335"/>
    </row>
    <row r="33">
      <c r="A33" s="305">
        <v>2026.0</v>
      </c>
      <c r="B33" s="305"/>
      <c r="C33" s="305" t="s">
        <v>860</v>
      </c>
      <c r="D33" s="305"/>
      <c r="E33" s="325">
        <v>300000.0</v>
      </c>
      <c r="F33" s="325">
        <v>490000.0</v>
      </c>
      <c r="G33" s="326">
        <v>1.0</v>
      </c>
      <c r="H33" s="292">
        <f t="shared" ref="H33:H34" si="35">((E33*N33)*(1+I33))*G33</f>
        <v>443.0945228</v>
      </c>
      <c r="I33" s="327">
        <v>0.035</v>
      </c>
      <c r="J33" s="328">
        <f t="shared" ref="J33:J34" si="36">H33*(1-I33)</f>
        <v>427.5862145</v>
      </c>
      <c r="K33" s="329">
        <f t="shared" ref="K33:K34" si="37">H33-J33</f>
        <v>15.5083083</v>
      </c>
      <c r="L33" s="330">
        <v>0.001397</v>
      </c>
      <c r="M33" s="327">
        <v>0.0215</v>
      </c>
      <c r="N33" s="331">
        <f t="shared" ref="N33:N34" si="38">L33*(1+M33)</f>
        <v>0.0014270355</v>
      </c>
      <c r="O33" s="328">
        <f t="shared" ref="O33:O34" si="39">(J33*M33)+15</f>
        <v>24.19310361</v>
      </c>
      <c r="P33" s="328">
        <f t="shared" ref="P33:P34" si="40">(J33*N33)+M33</f>
        <v>0.6316807073</v>
      </c>
      <c r="Q33" s="292">
        <f t="shared" ref="Q33:Q34" si="41">((F33*N33)*(1+I33))*G33</f>
        <v>723.7210538</v>
      </c>
      <c r="R33" s="347">
        <v>0.06</v>
      </c>
      <c r="S33" s="332"/>
      <c r="T33" s="299">
        <f t="shared" si="1"/>
        <v>190000</v>
      </c>
      <c r="U33" s="315">
        <f t="shared" si="9"/>
        <v>179265</v>
      </c>
      <c r="V33" s="315">
        <f t="shared" si="10"/>
        <v>38000</v>
      </c>
      <c r="W33" s="320">
        <f t="shared" si="14"/>
        <v>122600</v>
      </c>
      <c r="X33" s="321">
        <f t="shared" si="11"/>
        <v>0.6333333333</v>
      </c>
      <c r="Y33" s="333">
        <f t="shared" ref="Y33:Y34" si="42">IFERROR((Q33-H33)/Q33,"")</f>
        <v>0.387755102</v>
      </c>
      <c r="Z33" s="321">
        <f t="shared" si="13"/>
        <v>0.2502040816</v>
      </c>
      <c r="AA33" s="334"/>
      <c r="AB33" s="334"/>
      <c r="AC33" s="334"/>
      <c r="AD33" s="335"/>
      <c r="AE33" s="334"/>
      <c r="AF33" s="334"/>
      <c r="AG33" s="334"/>
      <c r="AH33" s="335" t="str">
        <f t="shared" ref="AH33:AH34" si="43">IFERROR(AVERAGE(AE33:AG33),"")</f>
        <v/>
      </c>
      <c r="AI33" s="335">
        <f t="shared" ref="AI33:AI34" si="44">AE33+AF33+AG33</f>
        <v>0</v>
      </c>
    </row>
    <row r="34">
      <c r="A34" s="305">
        <v>2026.0</v>
      </c>
      <c r="B34" s="305"/>
      <c r="C34" s="305" t="s">
        <v>861</v>
      </c>
      <c r="D34" s="305"/>
      <c r="E34" s="325">
        <v>260000.0</v>
      </c>
      <c r="F34" s="325">
        <v>390000.0</v>
      </c>
      <c r="G34" s="326">
        <v>1.0</v>
      </c>
      <c r="H34" s="292">
        <f t="shared" si="35"/>
        <v>384.0152531</v>
      </c>
      <c r="I34" s="327">
        <v>0.035</v>
      </c>
      <c r="J34" s="328">
        <f t="shared" si="36"/>
        <v>370.5747192</v>
      </c>
      <c r="K34" s="329">
        <f t="shared" si="37"/>
        <v>13.44053386</v>
      </c>
      <c r="L34" s="330">
        <v>0.001397</v>
      </c>
      <c r="M34" s="327">
        <v>0.0215</v>
      </c>
      <c r="N34" s="331">
        <f t="shared" si="38"/>
        <v>0.0014270355</v>
      </c>
      <c r="O34" s="328">
        <f t="shared" si="39"/>
        <v>22.96735646</v>
      </c>
      <c r="P34" s="328">
        <f t="shared" si="40"/>
        <v>0.5503232797</v>
      </c>
      <c r="Q34" s="292">
        <f t="shared" si="41"/>
        <v>576.0228796</v>
      </c>
      <c r="R34" s="347">
        <v>0.06</v>
      </c>
      <c r="S34" s="332"/>
      <c r="T34" s="299">
        <f t="shared" si="1"/>
        <v>130000</v>
      </c>
      <c r="U34" s="315">
        <f t="shared" si="9"/>
        <v>122655</v>
      </c>
      <c r="V34" s="315">
        <f t="shared" si="10"/>
        <v>26000</v>
      </c>
      <c r="W34" s="320">
        <f t="shared" si="14"/>
        <v>80600</v>
      </c>
      <c r="X34" s="321">
        <f t="shared" si="11"/>
        <v>0.5</v>
      </c>
      <c r="Y34" s="333">
        <f t="shared" si="42"/>
        <v>0.3333333333</v>
      </c>
      <c r="Z34" s="321">
        <f t="shared" si="13"/>
        <v>0.2066666667</v>
      </c>
      <c r="AA34" s="334"/>
      <c r="AB34" s="334"/>
      <c r="AC34" s="334"/>
      <c r="AD34" s="335"/>
      <c r="AE34" s="334"/>
      <c r="AF34" s="334"/>
      <c r="AG34" s="334"/>
      <c r="AH34" s="335" t="str">
        <f t="shared" si="43"/>
        <v/>
      </c>
      <c r="AI34" s="335">
        <f t="shared" si="44"/>
        <v>0</v>
      </c>
    </row>
    <row r="35">
      <c r="A35" s="305"/>
      <c r="B35" s="305"/>
      <c r="C35" s="305"/>
      <c r="D35" s="305"/>
      <c r="E35" s="325"/>
      <c r="F35" s="325"/>
      <c r="G35" s="326"/>
      <c r="H35" s="292"/>
      <c r="I35" s="327"/>
      <c r="J35" s="328"/>
      <c r="K35" s="329"/>
      <c r="L35" s="330"/>
      <c r="M35" s="327"/>
      <c r="N35" s="331"/>
      <c r="O35" s="328"/>
      <c r="P35" s="328"/>
      <c r="Q35" s="292"/>
      <c r="R35" s="347"/>
      <c r="S35" s="332"/>
      <c r="T35" s="299">
        <f t="shared" si="1"/>
        <v>0</v>
      </c>
      <c r="U35" s="315">
        <f t="shared" si="9"/>
        <v>0</v>
      </c>
      <c r="V35" s="315">
        <f t="shared" si="10"/>
        <v>0</v>
      </c>
      <c r="W35" s="320">
        <f t="shared" si="14"/>
        <v>0</v>
      </c>
      <c r="X35" s="321" t="str">
        <f t="shared" si="11"/>
        <v/>
      </c>
      <c r="Y35" s="333"/>
      <c r="Z35" s="321" t="str">
        <f t="shared" si="13"/>
        <v/>
      </c>
      <c r="AA35" s="334"/>
      <c r="AB35" s="334"/>
      <c r="AC35" s="334"/>
      <c r="AD35" s="335"/>
      <c r="AE35" s="334"/>
      <c r="AF35" s="334"/>
      <c r="AG35" s="334"/>
      <c r="AH35" s="335"/>
      <c r="AI35" s="335"/>
    </row>
    <row r="36">
      <c r="A36" s="305">
        <v>2026.0</v>
      </c>
      <c r="B36" s="305"/>
      <c r="C36" s="305" t="s">
        <v>862</v>
      </c>
      <c r="D36" s="305"/>
      <c r="E36" s="325">
        <v>620000.0</v>
      </c>
      <c r="F36" s="325">
        <v>890000.0</v>
      </c>
      <c r="G36" s="326">
        <v>1.0</v>
      </c>
      <c r="H36" s="292">
        <f t="shared" ref="H36:H37" si="45">((E36*N36)*(1+I36))*G36</f>
        <v>915.7286804</v>
      </c>
      <c r="I36" s="327">
        <v>0.035</v>
      </c>
      <c r="J36" s="328">
        <f t="shared" ref="J36:J37" si="46">H36*(1-I36)</f>
        <v>883.6781765</v>
      </c>
      <c r="K36" s="329">
        <f t="shared" ref="K36:K37" si="47">H36-J36</f>
        <v>32.05050381</v>
      </c>
      <c r="L36" s="330">
        <v>0.001397</v>
      </c>
      <c r="M36" s="327">
        <v>0.0215</v>
      </c>
      <c r="N36" s="331">
        <f t="shared" ref="N36:N37" si="48">L36*(1+M36)</f>
        <v>0.0014270355</v>
      </c>
      <c r="O36" s="328">
        <f t="shared" ref="O36:O37" si="49">(J36*M36)+15</f>
        <v>33.9990808</v>
      </c>
      <c r="P36" s="328">
        <f t="shared" ref="P36:P37" si="50">(J36*N36)+M36</f>
        <v>1.282540128</v>
      </c>
      <c r="Q36" s="292">
        <f t="shared" ref="Q36:Q37" si="51">((F36*N36)*(1+I36))*G36</f>
        <v>1314.513751</v>
      </c>
      <c r="R36" s="347">
        <v>0.06</v>
      </c>
      <c r="S36" s="332"/>
      <c r="T36" s="299">
        <f t="shared" si="1"/>
        <v>270000</v>
      </c>
      <c r="U36" s="315">
        <f t="shared" si="9"/>
        <v>254745</v>
      </c>
      <c r="V36" s="315">
        <f t="shared" si="10"/>
        <v>54000</v>
      </c>
      <c r="W36" s="320">
        <f t="shared" si="14"/>
        <v>162600</v>
      </c>
      <c r="X36" s="321">
        <f t="shared" si="11"/>
        <v>0.435483871</v>
      </c>
      <c r="Y36" s="333">
        <f t="shared" ref="Y36:Y37" si="52">IFERROR((Q36-H36)/Q36,"")</f>
        <v>0.3033707865</v>
      </c>
      <c r="Z36" s="321">
        <f t="shared" si="13"/>
        <v>0.1826966292</v>
      </c>
      <c r="AA36" s="334"/>
      <c r="AB36" s="334"/>
      <c r="AC36" s="334"/>
      <c r="AD36" s="335"/>
      <c r="AE36" s="334"/>
      <c r="AF36" s="334"/>
      <c r="AG36" s="334"/>
      <c r="AH36" s="335" t="str">
        <f t="shared" ref="AH36:AH37" si="53">IFERROR(AVERAGE(AE36:AG36),"")</f>
        <v/>
      </c>
      <c r="AI36" s="335">
        <f t="shared" ref="AI36:AI37" si="54">AE36+AF36+AG36</f>
        <v>0</v>
      </c>
    </row>
    <row r="37">
      <c r="A37" s="305">
        <v>2026.0</v>
      </c>
      <c r="B37" s="305"/>
      <c r="C37" s="305" t="s">
        <v>863</v>
      </c>
      <c r="D37" s="305"/>
      <c r="E37" s="325">
        <v>570000.0</v>
      </c>
      <c r="F37" s="325">
        <v>800000.0</v>
      </c>
      <c r="G37" s="326">
        <v>1.0</v>
      </c>
      <c r="H37" s="292">
        <f t="shared" si="45"/>
        <v>841.8795932</v>
      </c>
      <c r="I37" s="327">
        <v>0.035</v>
      </c>
      <c r="J37" s="328">
        <f t="shared" si="46"/>
        <v>812.4138075</v>
      </c>
      <c r="K37" s="329">
        <f t="shared" si="47"/>
        <v>29.46578576</v>
      </c>
      <c r="L37" s="330">
        <v>0.001397</v>
      </c>
      <c r="M37" s="327">
        <v>0.0215</v>
      </c>
      <c r="N37" s="331">
        <f t="shared" si="48"/>
        <v>0.0014270355</v>
      </c>
      <c r="O37" s="328">
        <f t="shared" si="49"/>
        <v>32.46689686</v>
      </c>
      <c r="P37" s="328">
        <f t="shared" si="50"/>
        <v>1.180843344</v>
      </c>
      <c r="Q37" s="292">
        <f t="shared" si="51"/>
        <v>1181.585394</v>
      </c>
      <c r="R37" s="347">
        <v>0.06</v>
      </c>
      <c r="S37" s="332"/>
      <c r="T37" s="299">
        <f t="shared" si="1"/>
        <v>230000</v>
      </c>
      <c r="U37" s="315">
        <f t="shared" si="9"/>
        <v>217005</v>
      </c>
      <c r="V37" s="315">
        <f t="shared" si="10"/>
        <v>46000</v>
      </c>
      <c r="W37" s="320">
        <f t="shared" si="14"/>
        <v>136000</v>
      </c>
      <c r="X37" s="321">
        <f t="shared" si="11"/>
        <v>0.4035087719</v>
      </c>
      <c r="Y37" s="333">
        <f t="shared" si="52"/>
        <v>0.2875</v>
      </c>
      <c r="Z37" s="321">
        <f t="shared" si="13"/>
        <v>0.17</v>
      </c>
      <c r="AA37" s="334"/>
      <c r="AB37" s="334"/>
      <c r="AC37" s="334"/>
      <c r="AD37" s="335"/>
      <c r="AE37" s="334"/>
      <c r="AF37" s="334"/>
      <c r="AG37" s="334"/>
      <c r="AH37" s="335" t="str">
        <f t="shared" si="53"/>
        <v/>
      </c>
      <c r="AI37" s="335">
        <f t="shared" si="54"/>
        <v>0</v>
      </c>
    </row>
    <row r="38">
      <c r="A38" s="305"/>
      <c r="B38" s="305"/>
      <c r="C38" s="305"/>
      <c r="D38" s="305"/>
      <c r="E38" s="325"/>
      <c r="F38" s="325"/>
      <c r="G38" s="326"/>
      <c r="H38" s="313"/>
      <c r="I38" s="327"/>
      <c r="J38" s="328"/>
      <c r="K38" s="329"/>
      <c r="L38" s="330"/>
      <c r="M38" s="327"/>
      <c r="N38" s="331"/>
      <c r="O38" s="328"/>
      <c r="P38" s="328"/>
      <c r="Q38" s="313"/>
      <c r="R38" s="327"/>
      <c r="S38" s="332"/>
      <c r="T38" s="299">
        <f t="shared" si="1"/>
        <v>0</v>
      </c>
      <c r="U38" s="315">
        <f t="shared" si="9"/>
        <v>0</v>
      </c>
      <c r="V38" s="315">
        <f t="shared" si="10"/>
        <v>0</v>
      </c>
      <c r="W38" s="320">
        <f t="shared" si="14"/>
        <v>0</v>
      </c>
      <c r="X38" s="321" t="str">
        <f t="shared" si="11"/>
        <v/>
      </c>
      <c r="Y38" s="333"/>
      <c r="Z38" s="321" t="str">
        <f t="shared" si="13"/>
        <v/>
      </c>
      <c r="AA38" s="334"/>
      <c r="AB38" s="334"/>
      <c r="AC38" s="334"/>
      <c r="AD38" s="335"/>
      <c r="AE38" s="334"/>
      <c r="AF38" s="334"/>
      <c r="AG38" s="334"/>
      <c r="AH38" s="335"/>
      <c r="AI38" s="335"/>
    </row>
    <row r="39">
      <c r="A39" s="305">
        <v>2026.0</v>
      </c>
      <c r="B39" s="305"/>
      <c r="C39" s="305" t="s">
        <v>864</v>
      </c>
      <c r="D39" s="305"/>
      <c r="E39" s="325">
        <v>134000.0</v>
      </c>
      <c r="F39" s="325">
        <v>230000.0</v>
      </c>
      <c r="G39" s="326">
        <v>1.0</v>
      </c>
      <c r="H39" s="292">
        <f t="shared" ref="H39:H40" si="55">((E39*N39)*(1+I39))*G39</f>
        <v>197.9155535</v>
      </c>
      <c r="I39" s="327">
        <v>0.035</v>
      </c>
      <c r="J39" s="328">
        <f t="shared" ref="J39:J40" si="56">H39*(1-I39)</f>
        <v>190.9885091</v>
      </c>
      <c r="K39" s="329">
        <f t="shared" ref="K39:K40" si="57">H39-J39</f>
        <v>6.927044372</v>
      </c>
      <c r="L39" s="330">
        <v>0.001397</v>
      </c>
      <c r="M39" s="327">
        <v>0.0215</v>
      </c>
      <c r="N39" s="331">
        <f t="shared" ref="N39:N40" si="58">L39*(1+M39)</f>
        <v>0.0014270355</v>
      </c>
      <c r="O39" s="328">
        <f t="shared" ref="O39:O40" si="59">(J39*M39)+15</f>
        <v>19.10625295</v>
      </c>
      <c r="P39" s="328">
        <f t="shared" ref="P39:P40" si="60">(J39*N39)+M39</f>
        <v>0.2940473826</v>
      </c>
      <c r="Q39" s="292">
        <f t="shared" ref="Q39:Q40" si="61">((F39*N39)*(1+I39))*G39</f>
        <v>339.7058008</v>
      </c>
      <c r="R39" s="347">
        <v>0.06</v>
      </c>
      <c r="S39" s="332"/>
      <c r="T39" s="299">
        <f t="shared" si="1"/>
        <v>96000</v>
      </c>
      <c r="U39" s="315">
        <f t="shared" si="9"/>
        <v>90576</v>
      </c>
      <c r="V39" s="315">
        <f t="shared" si="10"/>
        <v>19200</v>
      </c>
      <c r="W39" s="320">
        <f t="shared" si="14"/>
        <v>63000</v>
      </c>
      <c r="X39" s="321">
        <f t="shared" si="11"/>
        <v>0.7164179104</v>
      </c>
      <c r="Y39" s="333">
        <f t="shared" ref="Y39:Y40" si="62">IFERROR((Q39-H39)/Q39,"")</f>
        <v>0.4173913043</v>
      </c>
      <c r="Z39" s="321">
        <f t="shared" si="13"/>
        <v>0.2739130435</v>
      </c>
      <c r="AA39" s="334"/>
      <c r="AB39" s="334"/>
      <c r="AC39" s="334"/>
      <c r="AD39" s="335"/>
      <c r="AE39" s="334"/>
      <c r="AF39" s="334"/>
      <c r="AG39" s="334"/>
      <c r="AH39" s="335" t="str">
        <f t="shared" ref="AH39:AH40" si="63">IFERROR(AVERAGE(AE39:AG39),"")</f>
        <v/>
      </c>
      <c r="AI39" s="335">
        <f t="shared" ref="AI39:AI40" si="64">AE39+AF39+AG39</f>
        <v>0</v>
      </c>
    </row>
    <row r="40">
      <c r="A40" s="305">
        <v>2026.0</v>
      </c>
      <c r="B40" s="305"/>
      <c r="C40" s="305" t="s">
        <v>865</v>
      </c>
      <c r="D40" s="305"/>
      <c r="E40" s="325">
        <v>67000.0</v>
      </c>
      <c r="F40" s="325">
        <v>190000.0</v>
      </c>
      <c r="G40" s="326">
        <v>1.0</v>
      </c>
      <c r="H40" s="292">
        <f t="shared" si="55"/>
        <v>98.95777675</v>
      </c>
      <c r="I40" s="327">
        <v>0.035</v>
      </c>
      <c r="J40" s="328">
        <f t="shared" si="56"/>
        <v>95.49425456</v>
      </c>
      <c r="K40" s="329">
        <f t="shared" si="57"/>
        <v>3.463522186</v>
      </c>
      <c r="L40" s="330">
        <v>0.001397</v>
      </c>
      <c r="M40" s="327">
        <v>0.0215</v>
      </c>
      <c r="N40" s="331">
        <f t="shared" si="58"/>
        <v>0.0014270355</v>
      </c>
      <c r="O40" s="328">
        <f t="shared" si="59"/>
        <v>17.05312647</v>
      </c>
      <c r="P40" s="328">
        <f t="shared" si="60"/>
        <v>0.1577736913</v>
      </c>
      <c r="Q40" s="292">
        <f t="shared" si="61"/>
        <v>280.6265311</v>
      </c>
      <c r="R40" s="347">
        <v>0.06</v>
      </c>
      <c r="S40" s="332"/>
      <c r="T40" s="299">
        <f t="shared" si="1"/>
        <v>123000</v>
      </c>
      <c r="U40" s="315">
        <f t="shared" si="9"/>
        <v>116050.5</v>
      </c>
      <c r="V40" s="315">
        <f t="shared" si="10"/>
        <v>24600</v>
      </c>
      <c r="W40" s="320">
        <f t="shared" si="14"/>
        <v>87000</v>
      </c>
      <c r="X40" s="321">
        <f t="shared" si="11"/>
        <v>1.835820896</v>
      </c>
      <c r="Y40" s="333">
        <f t="shared" si="62"/>
        <v>0.6473684211</v>
      </c>
      <c r="Z40" s="321">
        <f t="shared" si="13"/>
        <v>0.4578947368</v>
      </c>
      <c r="AA40" s="334"/>
      <c r="AB40" s="334"/>
      <c r="AC40" s="334"/>
      <c r="AD40" s="335"/>
      <c r="AE40" s="334"/>
      <c r="AF40" s="334"/>
      <c r="AG40" s="334"/>
      <c r="AH40" s="335" t="str">
        <f t="shared" si="63"/>
        <v/>
      </c>
      <c r="AI40" s="335">
        <f t="shared" si="64"/>
        <v>0</v>
      </c>
    </row>
    <row r="41">
      <c r="A41" s="305"/>
      <c r="B41" s="305"/>
      <c r="C41" s="305"/>
      <c r="D41" s="305"/>
      <c r="E41" s="325"/>
      <c r="F41" s="325"/>
      <c r="G41" s="326"/>
      <c r="H41" s="313"/>
      <c r="I41" s="327"/>
      <c r="J41" s="328"/>
      <c r="K41" s="329"/>
      <c r="L41" s="330"/>
      <c r="M41" s="327"/>
      <c r="N41" s="331"/>
      <c r="O41" s="328"/>
      <c r="P41" s="328"/>
      <c r="Q41" s="313"/>
      <c r="R41" s="327"/>
      <c r="S41" s="332"/>
      <c r="T41" s="299">
        <f t="shared" si="1"/>
        <v>0</v>
      </c>
      <c r="U41" s="315">
        <f t="shared" si="9"/>
        <v>0</v>
      </c>
      <c r="V41" s="315">
        <f t="shared" si="10"/>
        <v>0</v>
      </c>
      <c r="W41" s="320">
        <f t="shared" si="14"/>
        <v>0</v>
      </c>
      <c r="X41" s="321" t="str">
        <f t="shared" si="11"/>
        <v/>
      </c>
      <c r="Y41" s="333"/>
      <c r="Z41" s="321" t="str">
        <f t="shared" si="13"/>
        <v/>
      </c>
      <c r="AA41" s="334"/>
      <c r="AB41" s="334"/>
      <c r="AC41" s="334"/>
      <c r="AD41" s="335"/>
      <c r="AE41" s="334"/>
      <c r="AF41" s="334"/>
      <c r="AG41" s="334"/>
      <c r="AH41" s="335"/>
      <c r="AI41" s="335"/>
    </row>
    <row r="42">
      <c r="A42" s="305">
        <v>2026.0</v>
      </c>
      <c r="B42" s="305"/>
      <c r="C42" s="305" t="s">
        <v>866</v>
      </c>
      <c r="D42" s="305"/>
      <c r="E42" s="325">
        <v>390000.0</v>
      </c>
      <c r="F42" s="325">
        <v>510000.0</v>
      </c>
      <c r="G42" s="326">
        <v>1.0</v>
      </c>
      <c r="H42" s="292">
        <f t="shared" ref="H42:H43" si="65">((E42*N42)*(1+I42))*G42</f>
        <v>576.0228796</v>
      </c>
      <c r="I42" s="327">
        <v>0.035</v>
      </c>
      <c r="J42" s="328">
        <f t="shared" ref="J42:J43" si="66">H42*(1-I42)</f>
        <v>555.8620788</v>
      </c>
      <c r="K42" s="329">
        <f t="shared" ref="K42:K43" si="67">H42-J42</f>
        <v>20.16080079</v>
      </c>
      <c r="L42" s="330">
        <v>0.001397</v>
      </c>
      <c r="M42" s="327">
        <v>0.0215</v>
      </c>
      <c r="N42" s="331">
        <f t="shared" ref="N42:N43" si="68">L42*(1+M42)</f>
        <v>0.0014270355</v>
      </c>
      <c r="O42" s="328">
        <f t="shared" ref="O42:O43" si="69">(J42*M42)+15</f>
        <v>26.95103469</v>
      </c>
      <c r="P42" s="328">
        <f t="shared" ref="P42:P43" si="70">(J42*N42)+M42</f>
        <v>0.8147349195</v>
      </c>
      <c r="Q42" s="292">
        <f t="shared" ref="Q42:Q43" si="71">((F42*N42)*(1+I42))*G42</f>
        <v>753.2606887</v>
      </c>
      <c r="R42" s="347">
        <v>0.06</v>
      </c>
      <c r="S42" s="332"/>
      <c r="T42" s="299">
        <f t="shared" si="1"/>
        <v>120000</v>
      </c>
      <c r="U42" s="315">
        <f t="shared" si="9"/>
        <v>113220</v>
      </c>
      <c r="V42" s="315">
        <f t="shared" si="10"/>
        <v>24000</v>
      </c>
      <c r="W42" s="320">
        <f t="shared" si="14"/>
        <v>65400</v>
      </c>
      <c r="X42" s="321">
        <f t="shared" si="11"/>
        <v>0.3076923077</v>
      </c>
      <c r="Y42" s="333">
        <f t="shared" ref="Y42:Y43" si="72">IFERROR((Q42-H42)/Q42,"")</f>
        <v>0.2352941176</v>
      </c>
      <c r="Z42" s="321">
        <f t="shared" si="13"/>
        <v>0.1282352941</v>
      </c>
      <c r="AA42" s="334"/>
      <c r="AB42" s="334"/>
      <c r="AC42" s="334"/>
      <c r="AD42" s="335"/>
      <c r="AE42" s="334"/>
      <c r="AF42" s="334"/>
      <c r="AG42" s="334"/>
      <c r="AH42" s="335" t="str">
        <f t="shared" ref="AH42:AH43" si="73">IFERROR(AVERAGE(AE42:AG42),"")</f>
        <v/>
      </c>
      <c r="AI42" s="335">
        <f t="shared" ref="AI42:AI43" si="74">AE42+AF42+AG42</f>
        <v>0</v>
      </c>
    </row>
    <row r="43">
      <c r="A43" s="305">
        <v>2026.0</v>
      </c>
      <c r="B43" s="305"/>
      <c r="C43" s="305" t="s">
        <v>867</v>
      </c>
      <c r="D43" s="305"/>
      <c r="E43" s="325">
        <v>67000.0</v>
      </c>
      <c r="F43" s="325">
        <v>190000.0</v>
      </c>
      <c r="G43" s="326">
        <v>1.0</v>
      </c>
      <c r="H43" s="292">
        <f t="shared" si="65"/>
        <v>98.95777675</v>
      </c>
      <c r="I43" s="327">
        <v>0.035</v>
      </c>
      <c r="J43" s="328">
        <f t="shared" si="66"/>
        <v>95.49425456</v>
      </c>
      <c r="K43" s="329">
        <f t="shared" si="67"/>
        <v>3.463522186</v>
      </c>
      <c r="L43" s="330">
        <v>0.001397</v>
      </c>
      <c r="M43" s="327">
        <v>0.0215</v>
      </c>
      <c r="N43" s="331">
        <f t="shared" si="68"/>
        <v>0.0014270355</v>
      </c>
      <c r="O43" s="328">
        <f t="shared" si="69"/>
        <v>17.05312647</v>
      </c>
      <c r="P43" s="328">
        <f t="shared" si="70"/>
        <v>0.1577736913</v>
      </c>
      <c r="Q43" s="292">
        <f t="shared" si="71"/>
        <v>280.6265311</v>
      </c>
      <c r="R43" s="347">
        <v>0.06</v>
      </c>
      <c r="S43" s="332"/>
      <c r="T43" s="299">
        <f t="shared" si="1"/>
        <v>123000</v>
      </c>
      <c r="U43" s="315">
        <f t="shared" si="9"/>
        <v>116050.5</v>
      </c>
      <c r="V43" s="315">
        <f t="shared" si="10"/>
        <v>24600</v>
      </c>
      <c r="W43" s="320">
        <f t="shared" si="14"/>
        <v>87000</v>
      </c>
      <c r="X43" s="321">
        <f t="shared" si="11"/>
        <v>1.835820896</v>
      </c>
      <c r="Y43" s="333">
        <f t="shared" si="72"/>
        <v>0.6473684211</v>
      </c>
      <c r="Z43" s="321">
        <f t="shared" si="13"/>
        <v>0.4578947368</v>
      </c>
      <c r="AA43" s="334"/>
      <c r="AB43" s="334"/>
      <c r="AC43" s="334"/>
      <c r="AD43" s="335"/>
      <c r="AE43" s="334"/>
      <c r="AF43" s="334"/>
      <c r="AG43" s="334"/>
      <c r="AH43" s="335" t="str">
        <f t="shared" si="73"/>
        <v/>
      </c>
      <c r="AI43" s="335">
        <f t="shared" si="74"/>
        <v>0</v>
      </c>
    </row>
    <row r="44">
      <c r="A44" s="305"/>
      <c r="B44" s="305"/>
      <c r="C44" s="305"/>
      <c r="D44" s="305"/>
      <c r="E44" s="325"/>
      <c r="F44" s="325"/>
      <c r="G44" s="326"/>
      <c r="H44" s="313"/>
      <c r="I44" s="327"/>
      <c r="J44" s="328"/>
      <c r="K44" s="329"/>
      <c r="L44" s="330"/>
      <c r="M44" s="327"/>
      <c r="N44" s="331"/>
      <c r="O44" s="328"/>
      <c r="P44" s="328"/>
      <c r="Q44" s="313"/>
      <c r="R44" s="327"/>
      <c r="S44" s="332"/>
      <c r="T44" s="299">
        <f t="shared" si="1"/>
        <v>0</v>
      </c>
      <c r="U44" s="315">
        <f t="shared" si="9"/>
        <v>0</v>
      </c>
      <c r="V44" s="315">
        <f t="shared" si="10"/>
        <v>0</v>
      </c>
      <c r="W44" s="320">
        <f t="shared" si="14"/>
        <v>0</v>
      </c>
      <c r="X44" s="321" t="str">
        <f t="shared" si="11"/>
        <v/>
      </c>
      <c r="Y44" s="333"/>
      <c r="Z44" s="321" t="str">
        <f t="shared" si="13"/>
        <v/>
      </c>
      <c r="AA44" s="334"/>
      <c r="AB44" s="334"/>
      <c r="AC44" s="334"/>
      <c r="AD44" s="335"/>
      <c r="AE44" s="334"/>
      <c r="AF44" s="334"/>
      <c r="AG44" s="334"/>
      <c r="AH44" s="335"/>
      <c r="AI44" s="335"/>
    </row>
    <row r="45">
      <c r="A45" s="305">
        <v>2026.0</v>
      </c>
      <c r="B45" s="305"/>
      <c r="C45" s="357" t="s">
        <v>868</v>
      </c>
      <c r="D45" s="305"/>
      <c r="E45" s="325">
        <v>290000.0</v>
      </c>
      <c r="F45" s="325">
        <v>450000.0</v>
      </c>
      <c r="G45" s="326">
        <v>1.0</v>
      </c>
      <c r="H45" s="292">
        <f t="shared" ref="H45:H48" si="75">((E45*N45)*(1+I45))*G45</f>
        <v>428.3247053</v>
      </c>
      <c r="I45" s="327">
        <v>0.035</v>
      </c>
      <c r="J45" s="328">
        <f t="shared" ref="J45:J48" si="76">H45*(1-I45)</f>
        <v>413.3333406</v>
      </c>
      <c r="K45" s="329">
        <f t="shared" ref="K45:K48" si="77">H45-J45</f>
        <v>14.99136469</v>
      </c>
      <c r="L45" s="330">
        <v>0.001397</v>
      </c>
      <c r="M45" s="327">
        <v>0.0215</v>
      </c>
      <c r="N45" s="331">
        <f t="shared" ref="N45:N48" si="78">L45*(1+M45)</f>
        <v>0.0014270355</v>
      </c>
      <c r="O45" s="328">
        <f t="shared" ref="O45:O48" si="79">(J45*M45)+15</f>
        <v>23.88666682</v>
      </c>
      <c r="P45" s="328">
        <f t="shared" ref="P45:P48" si="80">(J45*N45)+M45</f>
        <v>0.6113413504</v>
      </c>
      <c r="Q45" s="292">
        <f t="shared" ref="Q45:Q48" si="81">((F45*N45)*(1+I45))*G45</f>
        <v>664.6417841</v>
      </c>
      <c r="R45" s="347">
        <v>0.06</v>
      </c>
      <c r="S45" s="332"/>
      <c r="T45" s="299">
        <f t="shared" si="1"/>
        <v>160000</v>
      </c>
      <c r="U45" s="315">
        <f t="shared" si="9"/>
        <v>150960</v>
      </c>
      <c r="V45" s="315">
        <f t="shared" si="10"/>
        <v>32000</v>
      </c>
      <c r="W45" s="320">
        <f t="shared" si="14"/>
        <v>101000</v>
      </c>
      <c r="X45" s="321">
        <f t="shared" si="11"/>
        <v>0.5517241379</v>
      </c>
      <c r="Y45" s="333">
        <f t="shared" ref="Y45:Y48" si="82">IFERROR((Q45-H45)/Q45,"")</f>
        <v>0.3555555556</v>
      </c>
      <c r="Z45" s="321">
        <f t="shared" si="13"/>
        <v>0.2244444444</v>
      </c>
      <c r="AA45" s="334"/>
      <c r="AB45" s="334"/>
      <c r="AC45" s="334"/>
      <c r="AD45" s="335"/>
      <c r="AE45" s="334"/>
      <c r="AF45" s="334"/>
      <c r="AG45" s="334"/>
      <c r="AH45" s="335" t="str">
        <f t="shared" ref="AH45:AH48" si="83">IFERROR(AVERAGE(AE45:AG45),"")</f>
        <v/>
      </c>
      <c r="AI45" s="335">
        <f t="shared" ref="AI45:AI48" si="84">AE45+AF45+AG45</f>
        <v>0</v>
      </c>
    </row>
    <row r="46">
      <c r="A46" s="305">
        <v>2026.0</v>
      </c>
      <c r="B46" s="305"/>
      <c r="C46" s="357" t="s">
        <v>869</v>
      </c>
      <c r="D46" s="305"/>
      <c r="E46" s="325">
        <v>380000.0</v>
      </c>
      <c r="F46" s="325">
        <v>540000.0</v>
      </c>
      <c r="G46" s="326">
        <v>1.0</v>
      </c>
      <c r="H46" s="292">
        <f t="shared" si="75"/>
        <v>561.2530622</v>
      </c>
      <c r="I46" s="327">
        <v>0.035</v>
      </c>
      <c r="J46" s="328">
        <f t="shared" si="76"/>
        <v>541.609205</v>
      </c>
      <c r="K46" s="329">
        <f t="shared" si="77"/>
        <v>19.64385718</v>
      </c>
      <c r="L46" s="330">
        <v>0.001397</v>
      </c>
      <c r="M46" s="327">
        <v>0.0215</v>
      </c>
      <c r="N46" s="331">
        <f t="shared" si="78"/>
        <v>0.0014270355</v>
      </c>
      <c r="O46" s="328">
        <f t="shared" si="79"/>
        <v>26.64459791</v>
      </c>
      <c r="P46" s="328">
        <f t="shared" si="80"/>
        <v>0.7943955626</v>
      </c>
      <c r="Q46" s="292">
        <f t="shared" si="81"/>
        <v>797.570141</v>
      </c>
      <c r="R46" s="347">
        <v>0.06</v>
      </c>
      <c r="S46" s="332"/>
      <c r="T46" s="299">
        <f t="shared" si="1"/>
        <v>160000</v>
      </c>
      <c r="U46" s="315">
        <f t="shared" si="9"/>
        <v>150960</v>
      </c>
      <c r="V46" s="315">
        <f t="shared" si="10"/>
        <v>32000</v>
      </c>
      <c r="W46" s="320">
        <f t="shared" si="14"/>
        <v>95600</v>
      </c>
      <c r="X46" s="321">
        <f t="shared" si="11"/>
        <v>0.4210526316</v>
      </c>
      <c r="Y46" s="333">
        <f t="shared" si="82"/>
        <v>0.2962962963</v>
      </c>
      <c r="Z46" s="321">
        <f t="shared" si="13"/>
        <v>0.177037037</v>
      </c>
      <c r="AA46" s="334"/>
      <c r="AB46" s="334"/>
      <c r="AC46" s="334"/>
      <c r="AD46" s="335"/>
      <c r="AE46" s="334"/>
      <c r="AF46" s="334"/>
      <c r="AG46" s="334"/>
      <c r="AH46" s="335" t="str">
        <f t="shared" si="83"/>
        <v/>
      </c>
      <c r="AI46" s="335">
        <f t="shared" si="84"/>
        <v>0</v>
      </c>
    </row>
    <row r="47">
      <c r="A47" s="305">
        <v>2026.0</v>
      </c>
      <c r="B47" s="305"/>
      <c r="C47" s="357" t="s">
        <v>586</v>
      </c>
      <c r="D47" s="305"/>
      <c r="E47" s="325">
        <v>360000.0</v>
      </c>
      <c r="F47" s="325">
        <v>500000.0</v>
      </c>
      <c r="G47" s="326">
        <v>1.0</v>
      </c>
      <c r="H47" s="292">
        <f t="shared" si="75"/>
        <v>531.7134273</v>
      </c>
      <c r="I47" s="327">
        <v>0.035</v>
      </c>
      <c r="J47" s="328">
        <f t="shared" si="76"/>
        <v>513.1034573</v>
      </c>
      <c r="K47" s="329">
        <f t="shared" si="77"/>
        <v>18.60996996</v>
      </c>
      <c r="L47" s="330">
        <v>0.001397</v>
      </c>
      <c r="M47" s="327">
        <v>0.0215</v>
      </c>
      <c r="N47" s="331">
        <f t="shared" si="78"/>
        <v>0.0014270355</v>
      </c>
      <c r="O47" s="328">
        <f t="shared" si="79"/>
        <v>26.03172433</v>
      </c>
      <c r="P47" s="328">
        <f t="shared" si="80"/>
        <v>0.7537168488</v>
      </c>
      <c r="Q47" s="292">
        <f t="shared" si="81"/>
        <v>738.4908713</v>
      </c>
      <c r="R47" s="347">
        <v>0.06</v>
      </c>
      <c r="S47" s="332"/>
      <c r="T47" s="299">
        <f t="shared" si="1"/>
        <v>140000</v>
      </c>
      <c r="U47" s="315">
        <f t="shared" si="9"/>
        <v>132090</v>
      </c>
      <c r="V47" s="315">
        <f t="shared" si="10"/>
        <v>28000</v>
      </c>
      <c r="W47" s="320">
        <f t="shared" si="14"/>
        <v>82000</v>
      </c>
      <c r="X47" s="321">
        <f t="shared" si="11"/>
        <v>0.3888888889</v>
      </c>
      <c r="Y47" s="333">
        <f t="shared" si="82"/>
        <v>0.28</v>
      </c>
      <c r="Z47" s="321">
        <f t="shared" si="13"/>
        <v>0.164</v>
      </c>
      <c r="AA47" s="334"/>
      <c r="AB47" s="334"/>
      <c r="AC47" s="334"/>
      <c r="AD47" s="335"/>
      <c r="AE47" s="334"/>
      <c r="AF47" s="334"/>
      <c r="AG47" s="334"/>
      <c r="AH47" s="335" t="str">
        <f t="shared" si="83"/>
        <v/>
      </c>
      <c r="AI47" s="335">
        <f t="shared" si="84"/>
        <v>0</v>
      </c>
    </row>
    <row r="48">
      <c r="A48" s="305">
        <v>2026.0</v>
      </c>
      <c r="B48" s="305"/>
      <c r="C48" s="357" t="s">
        <v>870</v>
      </c>
      <c r="D48" s="305"/>
      <c r="E48" s="325">
        <v>280000.0</v>
      </c>
      <c r="F48" s="325">
        <v>450000.0</v>
      </c>
      <c r="G48" s="326">
        <v>1.0</v>
      </c>
      <c r="H48" s="292">
        <f t="shared" si="75"/>
        <v>413.5548879</v>
      </c>
      <c r="I48" s="327">
        <v>0.035</v>
      </c>
      <c r="J48" s="328">
        <f t="shared" si="76"/>
        <v>399.0804668</v>
      </c>
      <c r="K48" s="329">
        <f t="shared" si="77"/>
        <v>14.47442108</v>
      </c>
      <c r="L48" s="330">
        <v>0.001397</v>
      </c>
      <c r="M48" s="327">
        <v>0.0215</v>
      </c>
      <c r="N48" s="331">
        <f t="shared" si="78"/>
        <v>0.0014270355</v>
      </c>
      <c r="O48" s="328">
        <f t="shared" si="79"/>
        <v>23.58023004</v>
      </c>
      <c r="P48" s="328">
        <f t="shared" si="80"/>
        <v>0.5910019935</v>
      </c>
      <c r="Q48" s="292">
        <f t="shared" si="81"/>
        <v>664.6417841</v>
      </c>
      <c r="R48" s="347">
        <v>0.06</v>
      </c>
      <c r="S48" s="332"/>
      <c r="T48" s="299">
        <f t="shared" si="1"/>
        <v>170000</v>
      </c>
      <c r="U48" s="315">
        <f t="shared" si="9"/>
        <v>160395</v>
      </c>
      <c r="V48" s="315">
        <f t="shared" si="10"/>
        <v>34000</v>
      </c>
      <c r="W48" s="320">
        <f t="shared" si="14"/>
        <v>109000</v>
      </c>
      <c r="X48" s="321">
        <f t="shared" si="11"/>
        <v>0.6071428571</v>
      </c>
      <c r="Y48" s="333">
        <f t="shared" si="82"/>
        <v>0.3777777778</v>
      </c>
      <c r="Z48" s="321">
        <f t="shared" si="13"/>
        <v>0.2422222222</v>
      </c>
      <c r="AA48" s="334"/>
      <c r="AB48" s="334"/>
      <c r="AC48" s="334"/>
      <c r="AD48" s="335"/>
      <c r="AE48" s="334"/>
      <c r="AF48" s="334"/>
      <c r="AG48" s="334"/>
      <c r="AH48" s="335" t="str">
        <f t="shared" si="83"/>
        <v/>
      </c>
      <c r="AI48" s="335">
        <f t="shared" si="84"/>
        <v>0</v>
      </c>
    </row>
    <row r="49">
      <c r="A49" s="305"/>
      <c r="B49" s="305"/>
      <c r="C49" s="305"/>
      <c r="D49" s="305"/>
      <c r="E49" s="325"/>
      <c r="F49" s="325"/>
      <c r="G49" s="326"/>
      <c r="H49" s="313"/>
      <c r="I49" s="327"/>
      <c r="J49" s="328"/>
      <c r="K49" s="329"/>
      <c r="L49" s="330"/>
      <c r="M49" s="327"/>
      <c r="N49" s="331"/>
      <c r="O49" s="328"/>
      <c r="P49" s="328"/>
      <c r="Q49" s="313"/>
      <c r="R49" s="327"/>
      <c r="S49" s="332"/>
      <c r="T49" s="299">
        <f t="shared" si="1"/>
        <v>0</v>
      </c>
      <c r="U49" s="315">
        <f t="shared" si="9"/>
        <v>0</v>
      </c>
      <c r="V49" s="315">
        <f t="shared" si="10"/>
        <v>0</v>
      </c>
      <c r="W49" s="320">
        <f t="shared" si="14"/>
        <v>0</v>
      </c>
      <c r="X49" s="321" t="str">
        <f t="shared" si="11"/>
        <v/>
      </c>
      <c r="Y49" s="333"/>
      <c r="Z49" s="321" t="str">
        <f t="shared" si="13"/>
        <v/>
      </c>
      <c r="AA49" s="334"/>
      <c r="AB49" s="334"/>
      <c r="AC49" s="334"/>
      <c r="AD49" s="335"/>
      <c r="AE49" s="334"/>
      <c r="AF49" s="334"/>
      <c r="AG49" s="334"/>
      <c r="AH49" s="335"/>
      <c r="AI49" s="335"/>
    </row>
    <row r="50">
      <c r="A50" s="305">
        <v>2026.0</v>
      </c>
      <c r="B50" s="305"/>
      <c r="C50" s="357" t="s">
        <v>476</v>
      </c>
      <c r="D50" s="305"/>
      <c r="E50" s="325">
        <v>370000.0</v>
      </c>
      <c r="F50" s="325">
        <v>520000.0</v>
      </c>
      <c r="G50" s="326">
        <v>1.0</v>
      </c>
      <c r="H50" s="292">
        <f t="shared" ref="H50:H51" si="85">((E50*N50)*(1+I50))*G50</f>
        <v>546.4832447</v>
      </c>
      <c r="I50" s="327">
        <v>0.035</v>
      </c>
      <c r="J50" s="328">
        <f t="shared" ref="J50:J51" si="86">H50*(1-I50)</f>
        <v>527.3563312</v>
      </c>
      <c r="K50" s="329">
        <f t="shared" ref="K50:K51" si="87">H50-J50</f>
        <v>19.12691357</v>
      </c>
      <c r="L50" s="330">
        <v>0.001397</v>
      </c>
      <c r="M50" s="327">
        <v>0.0215</v>
      </c>
      <c r="N50" s="331">
        <f t="shared" ref="N50:N51" si="88">L50*(1+M50)</f>
        <v>0.0014270355</v>
      </c>
      <c r="O50" s="328">
        <f t="shared" ref="O50:O51" si="89">(J50*M50)+15</f>
        <v>26.33816112</v>
      </c>
      <c r="P50" s="328">
        <f t="shared" ref="P50:P51" si="90">(J50*N50)+M50</f>
        <v>0.7740562057</v>
      </c>
      <c r="Q50" s="292">
        <f t="shared" ref="Q50:Q51" si="91">((F50*N50)*(1+I50))*G50</f>
        <v>768.0305061</v>
      </c>
      <c r="R50" s="347">
        <v>0.06</v>
      </c>
      <c r="S50" s="332"/>
      <c r="T50" s="299">
        <f t="shared" si="1"/>
        <v>150000</v>
      </c>
      <c r="U50" s="315">
        <f t="shared" si="9"/>
        <v>141525</v>
      </c>
      <c r="V50" s="315">
        <f t="shared" si="10"/>
        <v>30000</v>
      </c>
      <c r="W50" s="320">
        <f t="shared" si="14"/>
        <v>88800</v>
      </c>
      <c r="X50" s="321">
        <f t="shared" si="11"/>
        <v>0.4054054054</v>
      </c>
      <c r="Y50" s="333">
        <f t="shared" ref="Y50:Y51" si="92">IFERROR((Q50-H50)/Q50,"")</f>
        <v>0.2884615385</v>
      </c>
      <c r="Z50" s="321">
        <f t="shared" si="13"/>
        <v>0.1707692308</v>
      </c>
      <c r="AA50" s="334"/>
      <c r="AB50" s="334"/>
      <c r="AC50" s="334"/>
      <c r="AD50" s="335"/>
      <c r="AE50" s="334"/>
      <c r="AF50" s="334"/>
      <c r="AG50" s="334"/>
      <c r="AH50" s="335" t="str">
        <f t="shared" ref="AH50:AH51" si="93">IFERROR(AVERAGE(AE50:AG50),"")</f>
        <v/>
      </c>
      <c r="AI50" s="335">
        <f t="shared" ref="AI50:AI51" si="94">AE50+AF50+AG50</f>
        <v>0</v>
      </c>
    </row>
    <row r="51">
      <c r="A51" s="305">
        <v>2026.0</v>
      </c>
      <c r="B51" s="305"/>
      <c r="C51" s="357" t="s">
        <v>871</v>
      </c>
      <c r="D51" s="305"/>
      <c r="E51" s="325">
        <v>250000.0</v>
      </c>
      <c r="F51" s="325">
        <v>370000.0</v>
      </c>
      <c r="G51" s="326">
        <v>1.0</v>
      </c>
      <c r="H51" s="292">
        <f t="shared" si="85"/>
        <v>369.2454356</v>
      </c>
      <c r="I51" s="327">
        <v>0.035</v>
      </c>
      <c r="J51" s="328">
        <f t="shared" si="86"/>
        <v>356.3218454</v>
      </c>
      <c r="K51" s="329">
        <f t="shared" si="87"/>
        <v>12.92359025</v>
      </c>
      <c r="L51" s="330">
        <v>0.001397</v>
      </c>
      <c r="M51" s="327">
        <v>0.0215</v>
      </c>
      <c r="N51" s="331">
        <f t="shared" si="88"/>
        <v>0.0014270355</v>
      </c>
      <c r="O51" s="328">
        <f t="shared" si="89"/>
        <v>22.66091968</v>
      </c>
      <c r="P51" s="328">
        <f t="shared" si="90"/>
        <v>0.5299839228</v>
      </c>
      <c r="Q51" s="292">
        <f t="shared" si="91"/>
        <v>546.4832447</v>
      </c>
      <c r="R51" s="347">
        <v>0.06</v>
      </c>
      <c r="S51" s="332"/>
      <c r="T51" s="299">
        <f t="shared" si="1"/>
        <v>120000</v>
      </c>
      <c r="U51" s="315">
        <f t="shared" si="9"/>
        <v>113220</v>
      </c>
      <c r="V51" s="315">
        <f t="shared" si="10"/>
        <v>24000</v>
      </c>
      <c r="W51" s="320">
        <f t="shared" si="14"/>
        <v>73800</v>
      </c>
      <c r="X51" s="321">
        <f t="shared" si="11"/>
        <v>0.48</v>
      </c>
      <c r="Y51" s="333">
        <f t="shared" si="92"/>
        <v>0.3243243243</v>
      </c>
      <c r="Z51" s="321">
        <f t="shared" si="13"/>
        <v>0.1994594595</v>
      </c>
      <c r="AA51" s="334"/>
      <c r="AB51" s="334"/>
      <c r="AC51" s="334"/>
      <c r="AD51" s="335"/>
      <c r="AE51" s="334"/>
      <c r="AF51" s="334"/>
      <c r="AG51" s="334"/>
      <c r="AH51" s="335" t="str">
        <f t="shared" si="93"/>
        <v/>
      </c>
      <c r="AI51" s="335">
        <f t="shared" si="94"/>
        <v>0</v>
      </c>
    </row>
    <row r="52">
      <c r="A52" s="305"/>
      <c r="B52" s="305"/>
      <c r="C52" s="305"/>
      <c r="D52" s="305"/>
      <c r="E52" s="325"/>
      <c r="F52" s="325"/>
      <c r="G52" s="326"/>
      <c r="H52" s="313"/>
      <c r="I52" s="327"/>
      <c r="J52" s="328"/>
      <c r="K52" s="329"/>
      <c r="L52" s="330"/>
      <c r="M52" s="327"/>
      <c r="N52" s="331"/>
      <c r="O52" s="328"/>
      <c r="P52" s="328"/>
      <c r="Q52" s="313"/>
      <c r="R52" s="327"/>
      <c r="S52" s="332"/>
      <c r="T52" s="299">
        <f t="shared" si="1"/>
        <v>0</v>
      </c>
      <c r="U52" s="315">
        <f t="shared" si="9"/>
        <v>0</v>
      </c>
      <c r="V52" s="315">
        <f t="shared" si="10"/>
        <v>0</v>
      </c>
      <c r="W52" s="320">
        <f t="shared" si="14"/>
        <v>0</v>
      </c>
      <c r="X52" s="321" t="str">
        <f t="shared" si="11"/>
        <v/>
      </c>
      <c r="Y52" s="333"/>
      <c r="Z52" s="321" t="str">
        <f t="shared" si="13"/>
        <v/>
      </c>
      <c r="AA52" s="334"/>
      <c r="AB52" s="334"/>
      <c r="AC52" s="334"/>
      <c r="AD52" s="335"/>
      <c r="AE52" s="334"/>
      <c r="AF52" s="334"/>
      <c r="AG52" s="334"/>
      <c r="AH52" s="335"/>
      <c r="AI52" s="335"/>
    </row>
    <row r="53">
      <c r="A53" s="305">
        <v>2026.0</v>
      </c>
      <c r="B53" s="305"/>
      <c r="C53" s="357" t="s">
        <v>872</v>
      </c>
      <c r="D53" s="305"/>
      <c r="E53" s="325">
        <v>300000.0</v>
      </c>
      <c r="F53" s="325">
        <v>450000.0</v>
      </c>
      <c r="G53" s="326">
        <v>1.0</v>
      </c>
      <c r="H53" s="292">
        <f t="shared" ref="H53:H54" si="95">((E53*N53)*(1+I53))*G53</f>
        <v>443.0945228</v>
      </c>
      <c r="I53" s="327">
        <v>0.035</v>
      </c>
      <c r="J53" s="328">
        <f t="shared" ref="J53:J54" si="96">H53*(1-I53)</f>
        <v>427.5862145</v>
      </c>
      <c r="K53" s="329">
        <f t="shared" ref="K53:K54" si="97">H53-J53</f>
        <v>15.5083083</v>
      </c>
      <c r="L53" s="330">
        <v>0.001397</v>
      </c>
      <c r="M53" s="327">
        <v>0.0215</v>
      </c>
      <c r="N53" s="331">
        <f t="shared" ref="N53:N54" si="98">L53*(1+M53)</f>
        <v>0.0014270355</v>
      </c>
      <c r="O53" s="328">
        <f t="shared" ref="O53:O54" si="99">(J53*M53)+15</f>
        <v>24.19310361</v>
      </c>
      <c r="P53" s="328">
        <f t="shared" ref="P53:P54" si="100">(J53*N53)+M53</f>
        <v>0.6316807073</v>
      </c>
      <c r="Q53" s="292">
        <f t="shared" ref="Q53:Q54" si="101">((F53*N53)*(1+I53))*G53</f>
        <v>664.6417841</v>
      </c>
      <c r="R53" s="347">
        <v>0.06</v>
      </c>
      <c r="S53" s="332"/>
      <c r="T53" s="299">
        <f t="shared" si="1"/>
        <v>150000</v>
      </c>
      <c r="U53" s="315">
        <f t="shared" si="9"/>
        <v>141525</v>
      </c>
      <c r="V53" s="315">
        <f t="shared" si="10"/>
        <v>30000</v>
      </c>
      <c r="W53" s="320">
        <f t="shared" si="14"/>
        <v>93000</v>
      </c>
      <c r="X53" s="321">
        <f t="shared" si="11"/>
        <v>0.5</v>
      </c>
      <c r="Y53" s="333">
        <f t="shared" ref="Y53:Y54" si="102">IFERROR((Q53-H53)/Q53,"")</f>
        <v>0.3333333333</v>
      </c>
      <c r="Z53" s="321">
        <f t="shared" si="13"/>
        <v>0.2066666667</v>
      </c>
      <c r="AA53" s="334"/>
      <c r="AB53" s="334"/>
      <c r="AC53" s="334"/>
      <c r="AD53" s="335"/>
      <c r="AE53" s="334"/>
      <c r="AF53" s="334"/>
      <c r="AG53" s="334"/>
      <c r="AH53" s="335" t="str">
        <f t="shared" ref="AH53:AH54" si="103">IFERROR(AVERAGE(AE53:AG53),"")</f>
        <v/>
      </c>
      <c r="AI53" s="335">
        <f t="shared" ref="AI53:AI54" si="104">AE53+AF53+AG53</f>
        <v>0</v>
      </c>
    </row>
    <row r="54">
      <c r="A54" s="305">
        <v>2026.0</v>
      </c>
      <c r="B54" s="305"/>
      <c r="C54" s="357" t="s">
        <v>873</v>
      </c>
      <c r="D54" s="305"/>
      <c r="E54" s="325">
        <v>220000.0</v>
      </c>
      <c r="F54" s="325">
        <v>370000.0</v>
      </c>
      <c r="G54" s="326">
        <v>1.0</v>
      </c>
      <c r="H54" s="292">
        <f t="shared" si="95"/>
        <v>324.9359834</v>
      </c>
      <c r="I54" s="327">
        <v>0.035</v>
      </c>
      <c r="J54" s="328">
        <f t="shared" si="96"/>
        <v>313.5632239</v>
      </c>
      <c r="K54" s="329">
        <f t="shared" si="97"/>
        <v>11.37275942</v>
      </c>
      <c r="L54" s="330">
        <v>0.001397</v>
      </c>
      <c r="M54" s="327">
        <v>0.0215</v>
      </c>
      <c r="N54" s="331">
        <f t="shared" si="98"/>
        <v>0.0014270355</v>
      </c>
      <c r="O54" s="328">
        <f t="shared" si="99"/>
        <v>21.74160931</v>
      </c>
      <c r="P54" s="328">
        <f t="shared" si="100"/>
        <v>0.468965852</v>
      </c>
      <c r="Q54" s="292">
        <f t="shared" si="101"/>
        <v>546.4832447</v>
      </c>
      <c r="R54" s="347">
        <v>0.06</v>
      </c>
      <c r="S54" s="332"/>
      <c r="T54" s="299">
        <f t="shared" si="1"/>
        <v>150000</v>
      </c>
      <c r="U54" s="315">
        <f t="shared" si="9"/>
        <v>141525</v>
      </c>
      <c r="V54" s="315">
        <f t="shared" si="10"/>
        <v>30000</v>
      </c>
      <c r="W54" s="320">
        <f t="shared" si="14"/>
        <v>97800</v>
      </c>
      <c r="X54" s="321">
        <f t="shared" si="11"/>
        <v>0.6818181818</v>
      </c>
      <c r="Y54" s="333">
        <f t="shared" si="102"/>
        <v>0.4054054054</v>
      </c>
      <c r="Z54" s="321">
        <f t="shared" si="13"/>
        <v>0.2643243243</v>
      </c>
      <c r="AA54" s="334"/>
      <c r="AB54" s="334"/>
      <c r="AC54" s="334"/>
      <c r="AD54" s="335"/>
      <c r="AE54" s="334"/>
      <c r="AF54" s="334"/>
      <c r="AG54" s="334"/>
      <c r="AH54" s="335" t="str">
        <f t="shared" si="103"/>
        <v/>
      </c>
      <c r="AI54" s="335">
        <f t="shared" si="104"/>
        <v>0</v>
      </c>
    </row>
    <row r="55">
      <c r="A55" s="305"/>
      <c r="B55" s="305"/>
      <c r="C55" s="305"/>
      <c r="D55" s="305"/>
      <c r="E55" s="325"/>
      <c r="F55" s="325"/>
      <c r="G55" s="326"/>
      <c r="H55" s="313"/>
      <c r="I55" s="327"/>
      <c r="J55" s="328"/>
      <c r="K55" s="329"/>
      <c r="L55" s="330"/>
      <c r="M55" s="327"/>
      <c r="N55" s="331"/>
      <c r="O55" s="328"/>
      <c r="P55" s="328"/>
      <c r="Q55" s="313"/>
      <c r="R55" s="327"/>
      <c r="S55" s="332"/>
      <c r="T55" s="299">
        <f t="shared" si="1"/>
        <v>0</v>
      </c>
      <c r="U55" s="315">
        <f t="shared" si="9"/>
        <v>0</v>
      </c>
      <c r="V55" s="315">
        <f t="shared" si="10"/>
        <v>0</v>
      </c>
      <c r="W55" s="320">
        <f t="shared" si="14"/>
        <v>0</v>
      </c>
      <c r="X55" s="321" t="str">
        <f t="shared" si="11"/>
        <v/>
      </c>
      <c r="Y55" s="333"/>
      <c r="Z55" s="321" t="str">
        <f t="shared" si="13"/>
        <v/>
      </c>
      <c r="AA55" s="334"/>
      <c r="AB55" s="334"/>
      <c r="AC55" s="334"/>
      <c r="AD55" s="335"/>
      <c r="AE55" s="334"/>
      <c r="AF55" s="334"/>
      <c r="AG55" s="334"/>
      <c r="AH55" s="335"/>
      <c r="AI55" s="335"/>
    </row>
    <row r="56">
      <c r="A56" s="305">
        <v>2026.0</v>
      </c>
      <c r="B56" s="305"/>
      <c r="C56" s="357" t="s">
        <v>874</v>
      </c>
      <c r="D56" s="305"/>
      <c r="E56" s="325">
        <v>400000.0</v>
      </c>
      <c r="F56" s="325">
        <v>580000.0</v>
      </c>
      <c r="G56" s="326">
        <v>1.0</v>
      </c>
      <c r="H56" s="292">
        <f>((E56*N56)*(1+I56))*G56</f>
        <v>590.792697</v>
      </c>
      <c r="I56" s="327">
        <v>0.035</v>
      </c>
      <c r="J56" s="328">
        <f>H56*(1-I56)</f>
        <v>570.1149526</v>
      </c>
      <c r="K56" s="329">
        <f>H56-J56</f>
        <v>20.6777444</v>
      </c>
      <c r="L56" s="330">
        <v>0.001397</v>
      </c>
      <c r="M56" s="327">
        <v>0.0215</v>
      </c>
      <c r="N56" s="331">
        <f>L56*(1+M56)</f>
        <v>0.0014270355</v>
      </c>
      <c r="O56" s="328">
        <f>(J56*M56)+15</f>
        <v>27.25747148</v>
      </c>
      <c r="P56" s="328">
        <f>(J56*N56)+M56</f>
        <v>0.8350742764</v>
      </c>
      <c r="Q56" s="292">
        <f>((F56*N56)*(1+I56))*G56</f>
        <v>856.6494107</v>
      </c>
      <c r="R56" s="347">
        <v>0.06</v>
      </c>
      <c r="S56" s="332"/>
      <c r="T56" s="299">
        <f t="shared" si="1"/>
        <v>180000</v>
      </c>
      <c r="U56" s="315">
        <f t="shared" si="9"/>
        <v>169830</v>
      </c>
      <c r="V56" s="315">
        <f t="shared" si="10"/>
        <v>36000</v>
      </c>
      <c r="W56" s="320">
        <f t="shared" si="14"/>
        <v>109200</v>
      </c>
      <c r="X56" s="321">
        <f t="shared" si="11"/>
        <v>0.45</v>
      </c>
      <c r="Y56" s="333">
        <f>IFERROR((Q56-H56)/Q56,"")</f>
        <v>0.3103448276</v>
      </c>
      <c r="Z56" s="321">
        <f t="shared" si="13"/>
        <v>0.1882758621</v>
      </c>
      <c r="AA56" s="334"/>
      <c r="AB56" s="334"/>
      <c r="AC56" s="334"/>
      <c r="AD56" s="335"/>
      <c r="AE56" s="334"/>
      <c r="AF56" s="334"/>
      <c r="AG56" s="334"/>
      <c r="AH56" s="335" t="str">
        <f>IFERROR(AVERAGE(AE56:AG56),"")</f>
        <v/>
      </c>
      <c r="AI56" s="335">
        <f>AE56+AF56+AG56</f>
        <v>0</v>
      </c>
    </row>
    <row r="57">
      <c r="A57" s="305"/>
      <c r="B57" s="305"/>
      <c r="C57" s="357"/>
      <c r="D57" s="305"/>
      <c r="E57" s="325"/>
      <c r="F57" s="325"/>
      <c r="G57" s="326"/>
      <c r="H57" s="292"/>
      <c r="I57" s="327"/>
      <c r="J57" s="328"/>
      <c r="K57" s="329"/>
      <c r="L57" s="330"/>
      <c r="M57" s="327"/>
      <c r="N57" s="331"/>
      <c r="O57" s="328"/>
      <c r="P57" s="328"/>
      <c r="Q57" s="292"/>
      <c r="R57" s="347"/>
      <c r="S57" s="332"/>
      <c r="T57" s="299">
        <f t="shared" si="1"/>
        <v>0</v>
      </c>
      <c r="U57" s="315">
        <f t="shared" si="9"/>
        <v>0</v>
      </c>
      <c r="V57" s="315">
        <f t="shared" si="10"/>
        <v>0</v>
      </c>
      <c r="W57" s="320">
        <f t="shared" si="14"/>
        <v>0</v>
      </c>
      <c r="X57" s="321" t="str">
        <f t="shared" si="11"/>
        <v/>
      </c>
      <c r="Y57" s="333"/>
      <c r="Z57" s="321" t="str">
        <f t="shared" si="13"/>
        <v/>
      </c>
      <c r="AA57" s="334"/>
      <c r="AB57" s="334"/>
      <c r="AC57" s="334"/>
      <c r="AD57" s="335"/>
      <c r="AE57" s="334"/>
      <c r="AF57" s="334"/>
      <c r="AG57" s="334"/>
      <c r="AH57" s="335"/>
      <c r="AI57" s="335"/>
    </row>
    <row r="58">
      <c r="A58" s="305">
        <v>2026.0</v>
      </c>
      <c r="B58" s="305"/>
      <c r="C58" s="357" t="s">
        <v>231</v>
      </c>
      <c r="D58" s="305"/>
      <c r="E58" s="325">
        <v>390000.0</v>
      </c>
      <c r="F58" s="325">
        <v>520000.0</v>
      </c>
      <c r="G58" s="326">
        <v>1.0</v>
      </c>
      <c r="H58" s="292">
        <f t="shared" ref="H58:H59" si="105">((E58*N58)*(1+I58))*G58</f>
        <v>576.0228796</v>
      </c>
      <c r="I58" s="327">
        <v>0.035</v>
      </c>
      <c r="J58" s="328">
        <f t="shared" ref="J58:J59" si="106">H58*(1-I58)</f>
        <v>555.8620788</v>
      </c>
      <c r="K58" s="329">
        <f t="shared" ref="K58:K59" si="107">H58-J58</f>
        <v>20.16080079</v>
      </c>
      <c r="L58" s="330">
        <v>0.001397</v>
      </c>
      <c r="M58" s="327">
        <v>0.0215</v>
      </c>
      <c r="N58" s="331">
        <f t="shared" ref="N58:N59" si="108">L58*(1+M58)</f>
        <v>0.0014270355</v>
      </c>
      <c r="O58" s="328">
        <f t="shared" ref="O58:O59" si="109">(J58*M58)+15</f>
        <v>26.95103469</v>
      </c>
      <c r="P58" s="328">
        <f t="shared" ref="P58:P59" si="110">(J58*N58)+M58</f>
        <v>0.8147349195</v>
      </c>
      <c r="Q58" s="292">
        <f t="shared" ref="Q58:Q59" si="111">((F58*N58)*(1+I58))*G58</f>
        <v>768.0305061</v>
      </c>
      <c r="R58" s="347">
        <v>0.06</v>
      </c>
      <c r="S58" s="332"/>
      <c r="T58" s="299">
        <f t="shared" si="1"/>
        <v>130000</v>
      </c>
      <c r="U58" s="315">
        <f t="shared" si="9"/>
        <v>122655</v>
      </c>
      <c r="V58" s="315">
        <f t="shared" si="10"/>
        <v>26000</v>
      </c>
      <c r="W58" s="320">
        <f t="shared" si="14"/>
        <v>72800</v>
      </c>
      <c r="X58" s="321">
        <f t="shared" si="11"/>
        <v>0.3333333333</v>
      </c>
      <c r="Y58" s="333">
        <f t="shared" ref="Y58:Y59" si="112">IFERROR((Q58-H58)/Q58,"")</f>
        <v>0.25</v>
      </c>
      <c r="Z58" s="321">
        <f t="shared" si="13"/>
        <v>0.14</v>
      </c>
      <c r="AA58" s="334"/>
      <c r="AB58" s="334"/>
      <c r="AC58" s="334"/>
      <c r="AD58" s="335"/>
      <c r="AE58" s="334"/>
      <c r="AF58" s="334"/>
      <c r="AG58" s="334"/>
      <c r="AH58" s="335" t="str">
        <f t="shared" ref="AH58:AH59" si="113">IFERROR(AVERAGE(AE58:AG58),"")</f>
        <v/>
      </c>
      <c r="AI58" s="335">
        <f t="shared" ref="AI58:AI59" si="114">AE58+AF58+AG58</f>
        <v>0</v>
      </c>
    </row>
    <row r="59">
      <c r="A59" s="305">
        <v>2026.0</v>
      </c>
      <c r="B59" s="305"/>
      <c r="C59" s="357" t="s">
        <v>875</v>
      </c>
      <c r="D59" s="305"/>
      <c r="E59" s="325">
        <v>130000.0</v>
      </c>
      <c r="F59" s="325">
        <v>380000.0</v>
      </c>
      <c r="G59" s="326">
        <v>1.0</v>
      </c>
      <c r="H59" s="292">
        <f t="shared" si="105"/>
        <v>192.0076265</v>
      </c>
      <c r="I59" s="327">
        <v>0.035</v>
      </c>
      <c r="J59" s="328">
        <f t="shared" si="106"/>
        <v>185.2873596</v>
      </c>
      <c r="K59" s="329">
        <f t="shared" si="107"/>
        <v>6.720266928</v>
      </c>
      <c r="L59" s="330">
        <v>0.001397</v>
      </c>
      <c r="M59" s="327">
        <v>0.0215</v>
      </c>
      <c r="N59" s="331">
        <f t="shared" si="108"/>
        <v>0.0014270355</v>
      </c>
      <c r="O59" s="328">
        <f t="shared" si="109"/>
        <v>18.98367823</v>
      </c>
      <c r="P59" s="328">
        <f t="shared" si="110"/>
        <v>0.2859116398</v>
      </c>
      <c r="Q59" s="292">
        <f t="shared" si="111"/>
        <v>561.2530622</v>
      </c>
      <c r="R59" s="347">
        <v>0.06</v>
      </c>
      <c r="S59" s="332"/>
      <c r="T59" s="299">
        <f t="shared" si="1"/>
        <v>250000</v>
      </c>
      <c r="U59" s="315">
        <f t="shared" si="9"/>
        <v>235875</v>
      </c>
      <c r="V59" s="315">
        <f t="shared" si="10"/>
        <v>50000</v>
      </c>
      <c r="W59" s="320">
        <f t="shared" si="14"/>
        <v>177200</v>
      </c>
      <c r="X59" s="321">
        <f t="shared" si="11"/>
        <v>1.923076923</v>
      </c>
      <c r="Y59" s="333">
        <f t="shared" si="112"/>
        <v>0.6578947368</v>
      </c>
      <c r="Z59" s="321">
        <f t="shared" si="13"/>
        <v>0.4663157895</v>
      </c>
      <c r="AA59" s="334"/>
      <c r="AB59" s="334"/>
      <c r="AC59" s="334"/>
      <c r="AD59" s="335"/>
      <c r="AE59" s="334"/>
      <c r="AF59" s="334"/>
      <c r="AG59" s="334"/>
      <c r="AH59" s="335" t="str">
        <f t="shared" si="113"/>
        <v/>
      </c>
      <c r="AI59" s="335">
        <f t="shared" si="114"/>
        <v>0</v>
      </c>
    </row>
    <row r="60">
      <c r="A60" s="305"/>
      <c r="B60" s="305"/>
      <c r="C60" s="305"/>
      <c r="D60" s="305"/>
      <c r="E60" s="325"/>
      <c r="F60" s="325"/>
      <c r="G60" s="326"/>
      <c r="H60" s="313"/>
      <c r="I60" s="327"/>
      <c r="J60" s="328"/>
      <c r="K60" s="329"/>
      <c r="L60" s="330"/>
      <c r="M60" s="327"/>
      <c r="N60" s="331"/>
      <c r="O60" s="328"/>
      <c r="P60" s="328"/>
      <c r="Q60" s="313"/>
      <c r="R60" s="327"/>
      <c r="S60" s="332"/>
      <c r="T60" s="299">
        <f t="shared" si="1"/>
        <v>0</v>
      </c>
      <c r="U60" s="315">
        <f t="shared" si="9"/>
        <v>0</v>
      </c>
      <c r="V60" s="315">
        <f t="shared" si="10"/>
        <v>0</v>
      </c>
      <c r="W60" s="320">
        <f t="shared" si="14"/>
        <v>0</v>
      </c>
      <c r="X60" s="321" t="str">
        <f t="shared" si="11"/>
        <v/>
      </c>
      <c r="Y60" s="333"/>
      <c r="Z60" s="321" t="str">
        <f t="shared" si="13"/>
        <v/>
      </c>
      <c r="AA60" s="334"/>
      <c r="AB60" s="334"/>
      <c r="AC60" s="334"/>
      <c r="AD60" s="335"/>
      <c r="AE60" s="334"/>
      <c r="AF60" s="334"/>
      <c r="AG60" s="334"/>
      <c r="AH60" s="335"/>
      <c r="AI60" s="335"/>
    </row>
    <row r="61">
      <c r="A61" s="305">
        <v>2026.0</v>
      </c>
      <c r="B61" s="305"/>
      <c r="C61" s="357" t="s">
        <v>876</v>
      </c>
      <c r="D61" s="305"/>
      <c r="E61" s="325">
        <v>61000.0</v>
      </c>
      <c r="F61" s="325">
        <v>160000.0</v>
      </c>
      <c r="G61" s="326">
        <v>1.0</v>
      </c>
      <c r="H61" s="292">
        <f t="shared" ref="H61:H69" si="115">((E61*N61)*(1+I61))*G61</f>
        <v>90.09588629</v>
      </c>
      <c r="I61" s="327">
        <v>0.035</v>
      </c>
      <c r="J61" s="328">
        <f t="shared" ref="J61:J69" si="116">H61*(1-I61)</f>
        <v>86.94253027</v>
      </c>
      <c r="K61" s="329">
        <f t="shared" ref="K61:K69" si="117">H61-J61</f>
        <v>3.15335602</v>
      </c>
      <c r="L61" s="330">
        <v>0.001397</v>
      </c>
      <c r="M61" s="327">
        <v>0.0215</v>
      </c>
      <c r="N61" s="331">
        <f t="shared" ref="N61:N69" si="118">L61*(1+M61)</f>
        <v>0.0014270355</v>
      </c>
      <c r="O61" s="328">
        <f t="shared" ref="O61:O69" si="119">(J61*M61)+15</f>
        <v>16.8692644</v>
      </c>
      <c r="P61" s="328">
        <f t="shared" ref="P61:P69" si="120">(J61*N61)+M61</f>
        <v>0.1455700772</v>
      </c>
      <c r="Q61" s="292">
        <f t="shared" ref="Q61:Q69" si="121">((F61*N61)*(1+I61))*G61</f>
        <v>236.3170788</v>
      </c>
      <c r="R61" s="347">
        <v>0.06</v>
      </c>
      <c r="S61" s="332"/>
      <c r="T61" s="299">
        <f t="shared" si="1"/>
        <v>99000</v>
      </c>
      <c r="U61" s="315">
        <f t="shared" si="9"/>
        <v>93406.5</v>
      </c>
      <c r="V61" s="315">
        <f t="shared" si="10"/>
        <v>19800</v>
      </c>
      <c r="W61" s="320">
        <f t="shared" si="14"/>
        <v>69600</v>
      </c>
      <c r="X61" s="321">
        <f t="shared" si="11"/>
        <v>1.62295082</v>
      </c>
      <c r="Y61" s="333">
        <f t="shared" ref="Y61:Y69" si="122">IFERROR((Q61-H61)/Q61,"")</f>
        <v>0.61875</v>
      </c>
      <c r="Z61" s="321">
        <f t="shared" si="13"/>
        <v>0.435</v>
      </c>
      <c r="AA61" s="334"/>
      <c r="AB61" s="334"/>
      <c r="AC61" s="334"/>
      <c r="AD61" s="335"/>
      <c r="AE61" s="334"/>
      <c r="AF61" s="334"/>
      <c r="AG61" s="334"/>
      <c r="AH61" s="335" t="str">
        <f t="shared" ref="AH61:AH69" si="123">IFERROR(AVERAGE(AE61:AG61),"")</f>
        <v/>
      </c>
      <c r="AI61" s="335">
        <f t="shared" ref="AI61:AI69" si="124">AE61+AF61+AG61</f>
        <v>0</v>
      </c>
    </row>
    <row r="62">
      <c r="A62" s="305">
        <v>2026.0</v>
      </c>
      <c r="B62" s="305"/>
      <c r="C62" s="357" t="s">
        <v>877</v>
      </c>
      <c r="D62" s="305"/>
      <c r="E62" s="325">
        <v>61000.0</v>
      </c>
      <c r="F62" s="325">
        <v>140000.0</v>
      </c>
      <c r="G62" s="326">
        <v>1.0</v>
      </c>
      <c r="H62" s="292">
        <f t="shared" si="115"/>
        <v>90.09588629</v>
      </c>
      <c r="I62" s="327">
        <v>0.035</v>
      </c>
      <c r="J62" s="328">
        <f t="shared" si="116"/>
        <v>86.94253027</v>
      </c>
      <c r="K62" s="329">
        <f t="shared" si="117"/>
        <v>3.15335602</v>
      </c>
      <c r="L62" s="330">
        <v>0.001397</v>
      </c>
      <c r="M62" s="327">
        <v>0.0215</v>
      </c>
      <c r="N62" s="331">
        <f t="shared" si="118"/>
        <v>0.0014270355</v>
      </c>
      <c r="O62" s="328">
        <f t="shared" si="119"/>
        <v>16.8692644</v>
      </c>
      <c r="P62" s="328">
        <f t="shared" si="120"/>
        <v>0.1455700772</v>
      </c>
      <c r="Q62" s="292">
        <f t="shared" si="121"/>
        <v>206.777444</v>
      </c>
      <c r="R62" s="347">
        <v>0.06</v>
      </c>
      <c r="S62" s="332"/>
      <c r="T62" s="299">
        <f t="shared" si="1"/>
        <v>79000</v>
      </c>
      <c r="U62" s="315">
        <f t="shared" si="9"/>
        <v>74536.5</v>
      </c>
      <c r="V62" s="315">
        <f t="shared" si="10"/>
        <v>15800</v>
      </c>
      <c r="W62" s="320">
        <f t="shared" si="14"/>
        <v>54800</v>
      </c>
      <c r="X62" s="321">
        <f t="shared" si="11"/>
        <v>1.295081967</v>
      </c>
      <c r="Y62" s="333">
        <f t="shared" si="122"/>
        <v>0.5642857143</v>
      </c>
      <c r="Z62" s="321">
        <f t="shared" si="13"/>
        <v>0.3914285714</v>
      </c>
      <c r="AA62" s="334"/>
      <c r="AB62" s="334"/>
      <c r="AC62" s="334"/>
      <c r="AD62" s="335"/>
      <c r="AE62" s="334"/>
      <c r="AF62" s="334"/>
      <c r="AG62" s="334"/>
      <c r="AH62" s="335" t="str">
        <f t="shared" si="123"/>
        <v/>
      </c>
      <c r="AI62" s="335">
        <f t="shared" si="124"/>
        <v>0</v>
      </c>
    </row>
    <row r="63">
      <c r="A63" s="305">
        <v>2026.0</v>
      </c>
      <c r="B63" s="305"/>
      <c r="C63" s="357" t="s">
        <v>878</v>
      </c>
      <c r="D63" s="305"/>
      <c r="E63" s="325">
        <f>E61+E62</f>
        <v>122000</v>
      </c>
      <c r="F63" s="325">
        <v>250000.0</v>
      </c>
      <c r="G63" s="326">
        <v>1.0</v>
      </c>
      <c r="H63" s="292">
        <f t="shared" si="115"/>
        <v>180.1917726</v>
      </c>
      <c r="I63" s="327">
        <v>0.035</v>
      </c>
      <c r="J63" s="328">
        <f t="shared" si="116"/>
        <v>173.8850605</v>
      </c>
      <c r="K63" s="329">
        <f t="shared" si="117"/>
        <v>6.30671204</v>
      </c>
      <c r="L63" s="330">
        <v>0.001397</v>
      </c>
      <c r="M63" s="327">
        <v>0.0215</v>
      </c>
      <c r="N63" s="331">
        <f t="shared" si="118"/>
        <v>0.0014270355</v>
      </c>
      <c r="O63" s="328">
        <f t="shared" si="119"/>
        <v>18.7385288</v>
      </c>
      <c r="P63" s="328">
        <f t="shared" si="120"/>
        <v>0.2696401543</v>
      </c>
      <c r="Q63" s="292">
        <f t="shared" si="121"/>
        <v>369.2454356</v>
      </c>
      <c r="R63" s="347">
        <v>0.06</v>
      </c>
      <c r="S63" s="332"/>
      <c r="T63" s="299">
        <f t="shared" si="1"/>
        <v>128000</v>
      </c>
      <c r="U63" s="315">
        <f t="shared" si="9"/>
        <v>120768</v>
      </c>
      <c r="V63" s="315">
        <f t="shared" si="10"/>
        <v>25600</v>
      </c>
      <c r="W63" s="320">
        <f t="shared" si="14"/>
        <v>87400</v>
      </c>
      <c r="X63" s="321">
        <f t="shared" si="11"/>
        <v>1.049180328</v>
      </c>
      <c r="Y63" s="333">
        <f t="shared" si="122"/>
        <v>0.512</v>
      </c>
      <c r="Z63" s="321">
        <f t="shared" si="13"/>
        <v>0.3496</v>
      </c>
      <c r="AA63" s="334"/>
      <c r="AB63" s="334"/>
      <c r="AC63" s="334"/>
      <c r="AD63" s="335"/>
      <c r="AE63" s="334"/>
      <c r="AF63" s="334"/>
      <c r="AG63" s="334"/>
      <c r="AH63" s="335" t="str">
        <f t="shared" si="123"/>
        <v/>
      </c>
      <c r="AI63" s="335">
        <f t="shared" si="124"/>
        <v>0</v>
      </c>
    </row>
    <row r="64">
      <c r="A64" s="305">
        <v>2026.0</v>
      </c>
      <c r="B64" s="305"/>
      <c r="C64" s="357" t="s">
        <v>879</v>
      </c>
      <c r="D64" s="305"/>
      <c r="E64" s="325">
        <v>160000.0</v>
      </c>
      <c r="F64" s="325">
        <v>300000.0</v>
      </c>
      <c r="G64" s="326">
        <v>1.0</v>
      </c>
      <c r="H64" s="292">
        <f t="shared" si="115"/>
        <v>236.3170788</v>
      </c>
      <c r="I64" s="327">
        <v>0.035</v>
      </c>
      <c r="J64" s="328">
        <f t="shared" si="116"/>
        <v>228.045981</v>
      </c>
      <c r="K64" s="329">
        <f t="shared" si="117"/>
        <v>8.271097758</v>
      </c>
      <c r="L64" s="330">
        <v>0.001397</v>
      </c>
      <c r="M64" s="327">
        <v>0.0215</v>
      </c>
      <c r="N64" s="331">
        <f t="shared" si="118"/>
        <v>0.0014270355</v>
      </c>
      <c r="O64" s="328">
        <f t="shared" si="119"/>
        <v>19.90298859</v>
      </c>
      <c r="P64" s="328">
        <f t="shared" si="120"/>
        <v>0.3469297106</v>
      </c>
      <c r="Q64" s="292">
        <f t="shared" si="121"/>
        <v>443.0945228</v>
      </c>
      <c r="R64" s="347">
        <v>0.06</v>
      </c>
      <c r="S64" s="332"/>
      <c r="T64" s="299">
        <f t="shared" si="1"/>
        <v>140000</v>
      </c>
      <c r="U64" s="315">
        <f t="shared" si="9"/>
        <v>132090</v>
      </c>
      <c r="V64" s="315">
        <f t="shared" si="10"/>
        <v>28000</v>
      </c>
      <c r="W64" s="320">
        <f t="shared" si="14"/>
        <v>94000</v>
      </c>
      <c r="X64" s="321">
        <f t="shared" si="11"/>
        <v>0.875</v>
      </c>
      <c r="Y64" s="333">
        <f t="shared" si="122"/>
        <v>0.4666666667</v>
      </c>
      <c r="Z64" s="321">
        <f t="shared" si="13"/>
        <v>0.3133333333</v>
      </c>
      <c r="AA64" s="334"/>
      <c r="AB64" s="334"/>
      <c r="AC64" s="334"/>
      <c r="AD64" s="335"/>
      <c r="AE64" s="334"/>
      <c r="AF64" s="334"/>
      <c r="AG64" s="334"/>
      <c r="AH64" s="335" t="str">
        <f t="shared" si="123"/>
        <v/>
      </c>
      <c r="AI64" s="335">
        <f t="shared" si="124"/>
        <v>0</v>
      </c>
    </row>
    <row r="65">
      <c r="A65" s="305">
        <v>2026.0</v>
      </c>
      <c r="B65" s="305"/>
      <c r="C65" s="357" t="s">
        <v>880</v>
      </c>
      <c r="D65" s="305"/>
      <c r="E65" s="325">
        <v>160000.0</v>
      </c>
      <c r="F65" s="325">
        <v>340000.0</v>
      </c>
      <c r="G65" s="326">
        <v>1.0</v>
      </c>
      <c r="H65" s="292">
        <f t="shared" si="115"/>
        <v>236.3170788</v>
      </c>
      <c r="I65" s="327">
        <v>0.035</v>
      </c>
      <c r="J65" s="328">
        <f t="shared" si="116"/>
        <v>228.045981</v>
      </c>
      <c r="K65" s="329">
        <f t="shared" si="117"/>
        <v>8.271097758</v>
      </c>
      <c r="L65" s="330">
        <v>0.001397</v>
      </c>
      <c r="M65" s="327">
        <v>0.0215</v>
      </c>
      <c r="N65" s="331">
        <f t="shared" si="118"/>
        <v>0.0014270355</v>
      </c>
      <c r="O65" s="328">
        <f t="shared" si="119"/>
        <v>19.90298859</v>
      </c>
      <c r="P65" s="328">
        <f t="shared" si="120"/>
        <v>0.3469297106</v>
      </c>
      <c r="Q65" s="292">
        <f t="shared" si="121"/>
        <v>502.1737925</v>
      </c>
      <c r="R65" s="347">
        <v>0.06</v>
      </c>
      <c r="S65" s="332"/>
      <c r="T65" s="299">
        <f t="shared" si="1"/>
        <v>180000</v>
      </c>
      <c r="U65" s="315">
        <f t="shared" si="9"/>
        <v>169830</v>
      </c>
      <c r="V65" s="315">
        <f t="shared" si="10"/>
        <v>36000</v>
      </c>
      <c r="W65" s="320">
        <f t="shared" si="14"/>
        <v>123600</v>
      </c>
      <c r="X65" s="321">
        <f t="shared" si="11"/>
        <v>1.125</v>
      </c>
      <c r="Y65" s="333">
        <f t="shared" si="122"/>
        <v>0.5294117647</v>
      </c>
      <c r="Z65" s="321">
        <f t="shared" si="13"/>
        <v>0.3635294118</v>
      </c>
      <c r="AA65" s="334"/>
      <c r="AB65" s="334"/>
      <c r="AC65" s="334"/>
      <c r="AD65" s="335"/>
      <c r="AE65" s="334"/>
      <c r="AF65" s="334"/>
      <c r="AG65" s="334"/>
      <c r="AH65" s="335" t="str">
        <f t="shared" si="123"/>
        <v/>
      </c>
      <c r="AI65" s="335">
        <f t="shared" si="124"/>
        <v>0</v>
      </c>
    </row>
    <row r="66">
      <c r="A66" s="305">
        <v>2026.0</v>
      </c>
      <c r="B66" s="305"/>
      <c r="C66" s="357" t="s">
        <v>881</v>
      </c>
      <c r="D66" s="305"/>
      <c r="E66" s="325">
        <f>160000*2</f>
        <v>320000</v>
      </c>
      <c r="F66" s="325">
        <v>580000.0</v>
      </c>
      <c r="G66" s="326">
        <v>1.0</v>
      </c>
      <c r="H66" s="292">
        <f t="shared" si="115"/>
        <v>472.6341576</v>
      </c>
      <c r="I66" s="327">
        <v>0.035</v>
      </c>
      <c r="J66" s="328">
        <f t="shared" si="116"/>
        <v>456.0919621</v>
      </c>
      <c r="K66" s="329">
        <f t="shared" si="117"/>
        <v>16.54219552</v>
      </c>
      <c r="L66" s="330">
        <v>0.001397</v>
      </c>
      <c r="M66" s="327">
        <v>0.0215</v>
      </c>
      <c r="N66" s="331">
        <f t="shared" si="118"/>
        <v>0.0014270355</v>
      </c>
      <c r="O66" s="328">
        <f t="shared" si="119"/>
        <v>24.80597718</v>
      </c>
      <c r="P66" s="328">
        <f t="shared" si="120"/>
        <v>0.6723594212</v>
      </c>
      <c r="Q66" s="292">
        <f t="shared" si="121"/>
        <v>856.6494107</v>
      </c>
      <c r="R66" s="347">
        <v>0.06</v>
      </c>
      <c r="S66" s="332"/>
      <c r="T66" s="299">
        <f t="shared" si="1"/>
        <v>260000</v>
      </c>
      <c r="U66" s="315">
        <f t="shared" si="9"/>
        <v>245310</v>
      </c>
      <c r="V66" s="315">
        <f t="shared" si="10"/>
        <v>52000</v>
      </c>
      <c r="W66" s="320">
        <f t="shared" si="14"/>
        <v>173200</v>
      </c>
      <c r="X66" s="321">
        <f t="shared" si="11"/>
        <v>0.8125</v>
      </c>
      <c r="Y66" s="333">
        <f t="shared" si="122"/>
        <v>0.4482758621</v>
      </c>
      <c r="Z66" s="321">
        <f t="shared" si="13"/>
        <v>0.2986206897</v>
      </c>
      <c r="AA66" s="334"/>
      <c r="AB66" s="334"/>
      <c r="AC66" s="334"/>
      <c r="AD66" s="335"/>
      <c r="AE66" s="334"/>
      <c r="AF66" s="334"/>
      <c r="AG66" s="334"/>
      <c r="AH66" s="335" t="str">
        <f t="shared" si="123"/>
        <v/>
      </c>
      <c r="AI66" s="335">
        <f t="shared" si="124"/>
        <v>0</v>
      </c>
    </row>
    <row r="67">
      <c r="A67" s="305">
        <v>2026.0</v>
      </c>
      <c r="B67" s="305"/>
      <c r="C67" s="357" t="s">
        <v>882</v>
      </c>
      <c r="D67" s="305"/>
      <c r="E67" s="325">
        <v>160000.0</v>
      </c>
      <c r="F67" s="325">
        <v>300000.0</v>
      </c>
      <c r="G67" s="326">
        <v>1.0</v>
      </c>
      <c r="H67" s="292">
        <f t="shared" si="115"/>
        <v>236.3170788</v>
      </c>
      <c r="I67" s="327">
        <v>0.035</v>
      </c>
      <c r="J67" s="328">
        <f t="shared" si="116"/>
        <v>228.045981</v>
      </c>
      <c r="K67" s="329">
        <f t="shared" si="117"/>
        <v>8.271097758</v>
      </c>
      <c r="L67" s="330">
        <v>0.001397</v>
      </c>
      <c r="M67" s="327">
        <v>0.0215</v>
      </c>
      <c r="N67" s="331">
        <f t="shared" si="118"/>
        <v>0.0014270355</v>
      </c>
      <c r="O67" s="328">
        <f t="shared" si="119"/>
        <v>19.90298859</v>
      </c>
      <c r="P67" s="328">
        <f t="shared" si="120"/>
        <v>0.3469297106</v>
      </c>
      <c r="Q67" s="292">
        <f t="shared" si="121"/>
        <v>443.0945228</v>
      </c>
      <c r="R67" s="347">
        <v>0.06</v>
      </c>
      <c r="S67" s="332"/>
      <c r="T67" s="299">
        <f t="shared" si="1"/>
        <v>140000</v>
      </c>
      <c r="U67" s="315">
        <f t="shared" si="9"/>
        <v>132090</v>
      </c>
      <c r="V67" s="315">
        <f t="shared" si="10"/>
        <v>28000</v>
      </c>
      <c r="W67" s="320">
        <f t="shared" si="14"/>
        <v>94000</v>
      </c>
      <c r="X67" s="321">
        <f t="shared" si="11"/>
        <v>0.875</v>
      </c>
      <c r="Y67" s="333">
        <f t="shared" si="122"/>
        <v>0.4666666667</v>
      </c>
      <c r="Z67" s="321">
        <f t="shared" si="13"/>
        <v>0.3133333333</v>
      </c>
      <c r="AA67" s="334"/>
      <c r="AB67" s="334"/>
      <c r="AC67" s="334"/>
      <c r="AD67" s="335"/>
      <c r="AE67" s="334"/>
      <c r="AF67" s="334"/>
      <c r="AG67" s="334"/>
      <c r="AH67" s="335" t="str">
        <f t="shared" si="123"/>
        <v/>
      </c>
      <c r="AI67" s="335">
        <f t="shared" si="124"/>
        <v>0</v>
      </c>
    </row>
    <row r="68">
      <c r="A68" s="305">
        <v>2026.0</v>
      </c>
      <c r="B68" s="305"/>
      <c r="C68" s="357" t="s">
        <v>883</v>
      </c>
      <c r="D68" s="305"/>
      <c r="E68" s="325">
        <v>160000.0</v>
      </c>
      <c r="F68" s="325">
        <v>340000.0</v>
      </c>
      <c r="G68" s="326">
        <v>1.0</v>
      </c>
      <c r="H68" s="292">
        <f t="shared" si="115"/>
        <v>236.3170788</v>
      </c>
      <c r="I68" s="327">
        <v>0.035</v>
      </c>
      <c r="J68" s="328">
        <f t="shared" si="116"/>
        <v>228.045981</v>
      </c>
      <c r="K68" s="329">
        <f t="shared" si="117"/>
        <v>8.271097758</v>
      </c>
      <c r="L68" s="330">
        <v>0.001397</v>
      </c>
      <c r="M68" s="327">
        <v>0.0215</v>
      </c>
      <c r="N68" s="331">
        <f t="shared" si="118"/>
        <v>0.0014270355</v>
      </c>
      <c r="O68" s="328">
        <f t="shared" si="119"/>
        <v>19.90298859</v>
      </c>
      <c r="P68" s="328">
        <f t="shared" si="120"/>
        <v>0.3469297106</v>
      </c>
      <c r="Q68" s="292">
        <f t="shared" si="121"/>
        <v>502.1737925</v>
      </c>
      <c r="R68" s="347">
        <v>0.06</v>
      </c>
      <c r="S68" s="332"/>
      <c r="T68" s="299">
        <f t="shared" si="1"/>
        <v>180000</v>
      </c>
      <c r="U68" s="315">
        <f t="shared" si="9"/>
        <v>169830</v>
      </c>
      <c r="V68" s="315">
        <f t="shared" si="10"/>
        <v>36000</v>
      </c>
      <c r="W68" s="320">
        <f t="shared" si="14"/>
        <v>123600</v>
      </c>
      <c r="X68" s="321">
        <f t="shared" si="11"/>
        <v>1.125</v>
      </c>
      <c r="Y68" s="333">
        <f t="shared" si="122"/>
        <v>0.5294117647</v>
      </c>
      <c r="Z68" s="321">
        <f t="shared" si="13"/>
        <v>0.3635294118</v>
      </c>
      <c r="AA68" s="334"/>
      <c r="AB68" s="334"/>
      <c r="AC68" s="334"/>
      <c r="AD68" s="335"/>
      <c r="AE68" s="334"/>
      <c r="AF68" s="334"/>
      <c r="AG68" s="334"/>
      <c r="AH68" s="335" t="str">
        <f t="shared" si="123"/>
        <v/>
      </c>
      <c r="AI68" s="335">
        <f t="shared" si="124"/>
        <v>0</v>
      </c>
    </row>
    <row r="69">
      <c r="A69" s="305">
        <v>2026.0</v>
      </c>
      <c r="B69" s="305"/>
      <c r="C69" s="357" t="s">
        <v>884</v>
      </c>
      <c r="D69" s="305"/>
      <c r="E69" s="325">
        <f>160000*2</f>
        <v>320000</v>
      </c>
      <c r="F69" s="325">
        <v>580000.0</v>
      </c>
      <c r="G69" s="326">
        <v>1.0</v>
      </c>
      <c r="H69" s="292">
        <f t="shared" si="115"/>
        <v>472.6341576</v>
      </c>
      <c r="I69" s="327">
        <v>0.035</v>
      </c>
      <c r="J69" s="328">
        <f t="shared" si="116"/>
        <v>456.0919621</v>
      </c>
      <c r="K69" s="329">
        <f t="shared" si="117"/>
        <v>16.54219552</v>
      </c>
      <c r="L69" s="330">
        <v>0.001397</v>
      </c>
      <c r="M69" s="327">
        <v>0.0215</v>
      </c>
      <c r="N69" s="331">
        <f t="shared" si="118"/>
        <v>0.0014270355</v>
      </c>
      <c r="O69" s="328">
        <f t="shared" si="119"/>
        <v>24.80597718</v>
      </c>
      <c r="P69" s="328">
        <f t="shared" si="120"/>
        <v>0.6723594212</v>
      </c>
      <c r="Q69" s="292">
        <f t="shared" si="121"/>
        <v>856.6494107</v>
      </c>
      <c r="R69" s="347">
        <v>0.06</v>
      </c>
      <c r="S69" s="332"/>
      <c r="T69" s="299">
        <f t="shared" si="1"/>
        <v>260000</v>
      </c>
      <c r="U69" s="315">
        <f t="shared" si="9"/>
        <v>245310</v>
      </c>
      <c r="V69" s="315">
        <f t="shared" si="10"/>
        <v>52000</v>
      </c>
      <c r="W69" s="320">
        <f t="shared" si="14"/>
        <v>173200</v>
      </c>
      <c r="X69" s="321">
        <f t="shared" si="11"/>
        <v>0.8125</v>
      </c>
      <c r="Y69" s="333">
        <f t="shared" si="122"/>
        <v>0.4482758621</v>
      </c>
      <c r="Z69" s="321">
        <f t="shared" si="13"/>
        <v>0.2986206897</v>
      </c>
      <c r="AA69" s="334"/>
      <c r="AB69" s="334"/>
      <c r="AC69" s="334"/>
      <c r="AD69" s="335"/>
      <c r="AE69" s="334"/>
      <c r="AF69" s="334"/>
      <c r="AG69" s="334"/>
      <c r="AH69" s="335" t="str">
        <f t="shared" si="123"/>
        <v/>
      </c>
      <c r="AI69" s="335">
        <f t="shared" si="124"/>
        <v>0</v>
      </c>
    </row>
    <row r="70">
      <c r="A70" s="305"/>
      <c r="B70" s="305"/>
      <c r="C70" s="305"/>
      <c r="D70" s="305"/>
      <c r="E70" s="325"/>
      <c r="F70" s="325"/>
      <c r="G70" s="326"/>
      <c r="H70" s="313"/>
      <c r="I70" s="327"/>
      <c r="J70" s="328"/>
      <c r="K70" s="329"/>
      <c r="L70" s="330"/>
      <c r="M70" s="327"/>
      <c r="N70" s="331"/>
      <c r="O70" s="328"/>
      <c r="P70" s="328"/>
      <c r="Q70" s="313"/>
      <c r="R70" s="327"/>
      <c r="S70" s="332"/>
      <c r="T70" s="299"/>
      <c r="U70" s="315"/>
      <c r="V70" s="315"/>
      <c r="W70" s="320"/>
      <c r="X70" s="321"/>
      <c r="Y70" s="333"/>
      <c r="Z70" s="321"/>
      <c r="AA70" s="334"/>
      <c r="AB70" s="334"/>
      <c r="AC70" s="334"/>
      <c r="AD70" s="335"/>
      <c r="AE70" s="334"/>
      <c r="AF70" s="334"/>
      <c r="AG70" s="334"/>
      <c r="AH70" s="335"/>
      <c r="AI70" s="335"/>
    </row>
    <row r="71">
      <c r="A71" s="305">
        <v>2026.0</v>
      </c>
      <c r="B71" s="305"/>
      <c r="C71" s="357" t="s">
        <v>885</v>
      </c>
      <c r="D71" s="305"/>
      <c r="E71" s="325">
        <v>385000.0</v>
      </c>
      <c r="F71" s="325">
        <v>580000.0</v>
      </c>
      <c r="G71" s="326">
        <v>1.0</v>
      </c>
      <c r="H71" s="292">
        <f t="shared" ref="H71:H73" si="125">((E71*N71)*(1+I71))*G71</f>
        <v>568.6379709</v>
      </c>
      <c r="I71" s="327">
        <v>0.035</v>
      </c>
      <c r="J71" s="328">
        <f t="shared" ref="J71:J73" si="126">H71*(1-I71)</f>
        <v>548.7356419</v>
      </c>
      <c r="K71" s="329">
        <f t="shared" ref="K71:K73" si="127">H71-J71</f>
        <v>19.90232898</v>
      </c>
      <c r="L71" s="330">
        <v>0.001397</v>
      </c>
      <c r="M71" s="327">
        <v>0.0215</v>
      </c>
      <c r="N71" s="331">
        <f t="shared" ref="N71:N73" si="128">L71*(1+M71)</f>
        <v>0.0014270355</v>
      </c>
      <c r="O71" s="328">
        <f t="shared" ref="O71:O73" si="129">(J71*M71)+15</f>
        <v>26.7978163</v>
      </c>
      <c r="P71" s="328">
        <f t="shared" ref="P71:P73" si="130">(J71*N71)+M71</f>
        <v>0.8045652411</v>
      </c>
      <c r="Q71" s="292">
        <f t="shared" ref="Q71:Q73" si="131">((F71*N71)*(1+I71))*G71</f>
        <v>856.6494107</v>
      </c>
      <c r="R71" s="347">
        <v>0.06</v>
      </c>
      <c r="S71" s="332"/>
      <c r="T71" s="299">
        <f t="shared" ref="T71:T73" si="132">F71-E71</f>
        <v>195000</v>
      </c>
      <c r="U71" s="315">
        <f t="shared" ref="U71:U73" si="133">T71*(1-I71-M71)</f>
        <v>183982.5</v>
      </c>
      <c r="V71" s="315">
        <f t="shared" ref="V71:V73" si="134">(F71-E71)*0.2</f>
        <v>39000</v>
      </c>
      <c r="W71" s="320">
        <f t="shared" ref="W71:W73" si="135">F71-(E71+V71)-(F71*S71)-(F71*R71)</f>
        <v>121200</v>
      </c>
      <c r="X71" s="321">
        <f t="shared" ref="X71:X73" si="136">IFERROR((F71-E71)/E71,"")</f>
        <v>0.5064935065</v>
      </c>
      <c r="Y71" s="333">
        <f t="shared" ref="Y71:Y73" si="137">IFERROR((Q71-H71)/Q71,"")</f>
        <v>0.3362068966</v>
      </c>
      <c r="Z71" s="321">
        <f t="shared" ref="Z71:Z73" si="138">IFERROR(W71/F71,"")</f>
        <v>0.2089655172</v>
      </c>
      <c r="AA71" s="334"/>
      <c r="AB71" s="334"/>
      <c r="AC71" s="334"/>
      <c r="AD71" s="335"/>
      <c r="AE71" s="334"/>
      <c r="AF71" s="334"/>
      <c r="AG71" s="334"/>
      <c r="AH71" s="335" t="str">
        <f t="shared" ref="AH71:AH73" si="139">IFERROR(AVERAGE(AE71:AG71),"")</f>
        <v/>
      </c>
      <c r="AI71" s="335">
        <f t="shared" ref="AI71:AI73" si="140">AE71+AF71+AG71</f>
        <v>0</v>
      </c>
    </row>
    <row r="72">
      <c r="A72" s="305">
        <v>2026.0</v>
      </c>
      <c r="B72" s="305"/>
      <c r="C72" s="357" t="s">
        <v>886</v>
      </c>
      <c r="D72" s="305"/>
      <c r="E72" s="325">
        <v>555000.0</v>
      </c>
      <c r="F72" s="325">
        <v>780000.0</v>
      </c>
      <c r="G72" s="326">
        <v>1.0</v>
      </c>
      <c r="H72" s="292">
        <f t="shared" si="125"/>
        <v>819.7248671</v>
      </c>
      <c r="I72" s="327">
        <v>0.035</v>
      </c>
      <c r="J72" s="328">
        <f t="shared" si="126"/>
        <v>791.0344967</v>
      </c>
      <c r="K72" s="329">
        <f t="shared" si="127"/>
        <v>28.69037035</v>
      </c>
      <c r="L72" s="330">
        <v>0.001397</v>
      </c>
      <c r="M72" s="327">
        <v>0.0215</v>
      </c>
      <c r="N72" s="331">
        <f t="shared" si="128"/>
        <v>0.0014270355</v>
      </c>
      <c r="O72" s="328">
        <f t="shared" si="129"/>
        <v>32.00724168</v>
      </c>
      <c r="P72" s="328">
        <f t="shared" si="130"/>
        <v>1.150334309</v>
      </c>
      <c r="Q72" s="292">
        <f t="shared" si="131"/>
        <v>1152.045759</v>
      </c>
      <c r="R72" s="347">
        <v>0.06</v>
      </c>
      <c r="S72" s="332"/>
      <c r="T72" s="299">
        <f t="shared" si="132"/>
        <v>225000</v>
      </c>
      <c r="U72" s="315">
        <f t="shared" si="133"/>
        <v>212287.5</v>
      </c>
      <c r="V72" s="315">
        <f t="shared" si="134"/>
        <v>45000</v>
      </c>
      <c r="W72" s="320">
        <f t="shared" si="135"/>
        <v>133200</v>
      </c>
      <c r="X72" s="321">
        <f t="shared" si="136"/>
        <v>0.4054054054</v>
      </c>
      <c r="Y72" s="333">
        <f t="shared" si="137"/>
        <v>0.2884615385</v>
      </c>
      <c r="Z72" s="321">
        <f t="shared" si="138"/>
        <v>0.1707692308</v>
      </c>
      <c r="AA72" s="334"/>
      <c r="AB72" s="334"/>
      <c r="AC72" s="334"/>
      <c r="AD72" s="335"/>
      <c r="AE72" s="334"/>
      <c r="AF72" s="334"/>
      <c r="AG72" s="334"/>
      <c r="AH72" s="335" t="str">
        <f t="shared" si="139"/>
        <v/>
      </c>
      <c r="AI72" s="335">
        <f t="shared" si="140"/>
        <v>0</v>
      </c>
    </row>
    <row r="73">
      <c r="A73" s="305">
        <v>2026.0</v>
      </c>
      <c r="B73" s="305"/>
      <c r="C73" s="357" t="s">
        <v>887</v>
      </c>
      <c r="D73" s="305"/>
      <c r="E73" s="325">
        <v>660000.0</v>
      </c>
      <c r="F73" s="325">
        <v>900000.0</v>
      </c>
      <c r="G73" s="326">
        <v>1.0</v>
      </c>
      <c r="H73" s="292">
        <f t="shared" si="125"/>
        <v>974.8079501</v>
      </c>
      <c r="I73" s="327">
        <v>0.035</v>
      </c>
      <c r="J73" s="328">
        <f t="shared" si="126"/>
        <v>940.6896718</v>
      </c>
      <c r="K73" s="329">
        <f t="shared" si="127"/>
        <v>34.11827825</v>
      </c>
      <c r="L73" s="330">
        <v>0.001397</v>
      </c>
      <c r="M73" s="327">
        <v>0.0215</v>
      </c>
      <c r="N73" s="331">
        <f t="shared" si="128"/>
        <v>0.0014270355</v>
      </c>
      <c r="O73" s="328">
        <f t="shared" si="129"/>
        <v>35.22482794</v>
      </c>
      <c r="P73" s="328">
        <f t="shared" si="130"/>
        <v>1.363897556</v>
      </c>
      <c r="Q73" s="292">
        <f t="shared" si="131"/>
        <v>1329.283568</v>
      </c>
      <c r="R73" s="347">
        <v>0.06</v>
      </c>
      <c r="S73" s="332"/>
      <c r="T73" s="299">
        <f t="shared" si="132"/>
        <v>240000</v>
      </c>
      <c r="U73" s="315">
        <f t="shared" si="133"/>
        <v>226440</v>
      </c>
      <c r="V73" s="315">
        <f t="shared" si="134"/>
        <v>48000</v>
      </c>
      <c r="W73" s="320">
        <f t="shared" si="135"/>
        <v>138000</v>
      </c>
      <c r="X73" s="321">
        <f t="shared" si="136"/>
        <v>0.3636363636</v>
      </c>
      <c r="Y73" s="333">
        <f t="shared" si="137"/>
        <v>0.2666666667</v>
      </c>
      <c r="Z73" s="321">
        <f t="shared" si="138"/>
        <v>0.1533333333</v>
      </c>
      <c r="AA73" s="334"/>
      <c r="AB73" s="334"/>
      <c r="AC73" s="334"/>
      <c r="AD73" s="335"/>
      <c r="AE73" s="334"/>
      <c r="AF73" s="334"/>
      <c r="AG73" s="334"/>
      <c r="AH73" s="335" t="str">
        <f t="shared" si="139"/>
        <v/>
      </c>
      <c r="AI73" s="335">
        <f t="shared" si="140"/>
        <v>0</v>
      </c>
    </row>
    <row r="74">
      <c r="A74" s="305"/>
      <c r="B74" s="305"/>
      <c r="C74" s="357"/>
      <c r="D74" s="305"/>
      <c r="E74" s="325"/>
      <c r="F74" s="325"/>
      <c r="G74" s="326"/>
      <c r="H74" s="292"/>
      <c r="I74" s="327"/>
      <c r="J74" s="328"/>
      <c r="K74" s="329"/>
      <c r="L74" s="330"/>
      <c r="M74" s="327"/>
      <c r="N74" s="331"/>
      <c r="O74" s="328"/>
      <c r="P74" s="328"/>
      <c r="Q74" s="292"/>
      <c r="R74" s="347"/>
      <c r="S74" s="332"/>
      <c r="T74" s="299"/>
      <c r="U74" s="315"/>
      <c r="V74" s="315"/>
      <c r="W74" s="320"/>
      <c r="X74" s="321"/>
      <c r="Y74" s="333"/>
      <c r="Z74" s="321"/>
      <c r="AA74" s="334"/>
      <c r="AB74" s="334"/>
      <c r="AC74" s="334"/>
      <c r="AD74" s="335"/>
      <c r="AE74" s="334"/>
      <c r="AF74" s="334"/>
      <c r="AG74" s="334"/>
      <c r="AH74" s="335"/>
      <c r="AI74" s="335"/>
    </row>
    <row r="75">
      <c r="A75" s="305">
        <v>2026.0</v>
      </c>
      <c r="B75" s="305"/>
      <c r="C75" s="357" t="s">
        <v>858</v>
      </c>
      <c r="D75" s="305"/>
      <c r="E75" s="325">
        <v>633000.0</v>
      </c>
      <c r="F75" s="325">
        <v>850000.0</v>
      </c>
      <c r="G75" s="326">
        <v>1.0</v>
      </c>
      <c r="H75" s="292">
        <f>((E75*N75)*(1+I75))*G75</f>
        <v>934.929443</v>
      </c>
      <c r="I75" s="327">
        <v>0.035</v>
      </c>
      <c r="J75" s="328">
        <f>H75*(1-I75)</f>
        <v>902.2069125</v>
      </c>
      <c r="K75" s="329">
        <f>H75-J75</f>
        <v>32.72253051</v>
      </c>
      <c r="L75" s="330">
        <v>0.001397</v>
      </c>
      <c r="M75" s="327">
        <v>0.0215</v>
      </c>
      <c r="N75" s="331">
        <f>L75*(1+M75)</f>
        <v>0.0014270355</v>
      </c>
      <c r="O75" s="328">
        <f>(J75*M75)+15</f>
        <v>34.39744862</v>
      </c>
      <c r="P75" s="328">
        <f>(J75*N75)+M75</f>
        <v>1.308981292</v>
      </c>
      <c r="Q75" s="292">
        <f>((F75*N75)*(1+I75))*G75</f>
        <v>1255.434481</v>
      </c>
      <c r="R75" s="347">
        <v>0.06</v>
      </c>
      <c r="S75" s="332"/>
      <c r="T75" s="299">
        <f t="shared" ref="T75:T387" si="141">F75-E75</f>
        <v>217000</v>
      </c>
      <c r="U75" s="315">
        <f t="shared" ref="U75:U359" si="142">T75*(1-I75-M75)</f>
        <v>204739.5</v>
      </c>
      <c r="V75" s="315">
        <f t="shared" ref="V75:V359" si="143">(F75-E75)*0.2</f>
        <v>43400</v>
      </c>
      <c r="W75" s="320">
        <f t="shared" ref="W75:W349" si="144">F75-(E75+V75)-(F75*S75)-(F75*R75)</f>
        <v>122600</v>
      </c>
      <c r="X75" s="321">
        <f t="shared" ref="X75:X334" si="145">IFERROR((F75-E75)/E75,"")</f>
        <v>0.3428120063</v>
      </c>
      <c r="Y75" s="333">
        <f>IFERROR((Q75-H75)/Q75,"")</f>
        <v>0.2552941176</v>
      </c>
      <c r="Z75" s="321">
        <f t="shared" ref="Z75:Z366" si="146">IFERROR(W75/F75,"")</f>
        <v>0.1442352941</v>
      </c>
      <c r="AA75" s="334"/>
      <c r="AB75" s="334"/>
      <c r="AC75" s="334"/>
      <c r="AD75" s="335"/>
      <c r="AE75" s="334"/>
      <c r="AF75" s="334"/>
      <c r="AG75" s="334"/>
      <c r="AH75" s="335" t="str">
        <f>IFERROR(AVERAGE(AE75:AG75),"")</f>
        <v/>
      </c>
      <c r="AI75" s="335">
        <f>AE75+AF75+AG75</f>
        <v>0</v>
      </c>
    </row>
    <row r="76">
      <c r="A76" s="305"/>
      <c r="B76" s="305"/>
      <c r="C76" s="358"/>
      <c r="D76" s="305"/>
      <c r="E76" s="325"/>
      <c r="F76" s="325"/>
      <c r="G76" s="326"/>
      <c r="H76" s="292"/>
      <c r="I76" s="327"/>
      <c r="J76" s="328"/>
      <c r="K76" s="329"/>
      <c r="L76" s="330"/>
      <c r="M76" s="327"/>
      <c r="N76" s="331"/>
      <c r="O76" s="328"/>
      <c r="P76" s="328"/>
      <c r="Q76" s="292"/>
      <c r="R76" s="347"/>
      <c r="S76" s="332"/>
      <c r="T76" s="299">
        <f t="shared" si="141"/>
        <v>0</v>
      </c>
      <c r="U76" s="315">
        <f t="shared" si="142"/>
        <v>0</v>
      </c>
      <c r="V76" s="315">
        <f t="shared" si="143"/>
        <v>0</v>
      </c>
      <c r="W76" s="320">
        <f t="shared" si="144"/>
        <v>0</v>
      </c>
      <c r="X76" s="321" t="str">
        <f t="shared" si="145"/>
        <v/>
      </c>
      <c r="Y76" s="333"/>
      <c r="Z76" s="321" t="str">
        <f t="shared" si="146"/>
        <v/>
      </c>
      <c r="AA76" s="334"/>
      <c r="AB76" s="334"/>
      <c r="AC76" s="334"/>
      <c r="AD76" s="335"/>
      <c r="AE76" s="334"/>
      <c r="AF76" s="334"/>
      <c r="AG76" s="334"/>
      <c r="AH76" s="335"/>
      <c r="AI76" s="335"/>
    </row>
    <row r="77">
      <c r="A77" s="305">
        <v>2026.0</v>
      </c>
      <c r="B77" s="305"/>
      <c r="C77" s="357" t="s">
        <v>158</v>
      </c>
      <c r="D77" s="305"/>
      <c r="E77" s="325">
        <v>420000.0</v>
      </c>
      <c r="F77" s="325">
        <v>550000.0</v>
      </c>
      <c r="G77" s="326">
        <v>1.0</v>
      </c>
      <c r="H77" s="292">
        <f t="shared" ref="H77:H78" si="147">((E77*N77)*(1+I77))*G77</f>
        <v>620.3323319</v>
      </c>
      <c r="I77" s="327">
        <v>0.035</v>
      </c>
      <c r="J77" s="328">
        <f t="shared" ref="J77:J78" si="148">H77*(1-I77)</f>
        <v>598.6207002</v>
      </c>
      <c r="K77" s="329">
        <f t="shared" ref="K77:K78" si="149">H77-J77</f>
        <v>21.71163161</v>
      </c>
      <c r="L77" s="330">
        <v>0.001397</v>
      </c>
      <c r="M77" s="327">
        <v>0.0215</v>
      </c>
      <c r="N77" s="331">
        <f t="shared" ref="N77:N78" si="150">L77*(1+M77)</f>
        <v>0.0014270355</v>
      </c>
      <c r="O77" s="328">
        <f t="shared" ref="O77:O78" si="151">(J77*M77)+15</f>
        <v>27.87034506</v>
      </c>
      <c r="P77" s="328">
        <f t="shared" ref="P77:P78" si="152">(J77*N77)+M77</f>
        <v>0.8757529903</v>
      </c>
      <c r="Q77" s="292">
        <f t="shared" ref="Q77:Q78" si="153">((F77*N77)*(1+I77))*G77</f>
        <v>812.3399584</v>
      </c>
      <c r="R77" s="347">
        <v>0.06</v>
      </c>
      <c r="S77" s="332"/>
      <c r="T77" s="299">
        <f t="shared" si="141"/>
        <v>130000</v>
      </c>
      <c r="U77" s="315">
        <f t="shared" si="142"/>
        <v>122655</v>
      </c>
      <c r="V77" s="315">
        <f t="shared" si="143"/>
        <v>26000</v>
      </c>
      <c r="W77" s="320">
        <f t="shared" si="144"/>
        <v>71000</v>
      </c>
      <c r="X77" s="321">
        <f t="shared" si="145"/>
        <v>0.3095238095</v>
      </c>
      <c r="Y77" s="333">
        <f t="shared" ref="Y77:Y78" si="154">IFERROR((Q77-H77)/Q77,"")</f>
        <v>0.2363636364</v>
      </c>
      <c r="Z77" s="321">
        <f t="shared" si="146"/>
        <v>0.1290909091</v>
      </c>
      <c r="AA77" s="334"/>
      <c r="AB77" s="334"/>
      <c r="AC77" s="334"/>
      <c r="AD77" s="335"/>
      <c r="AE77" s="334"/>
      <c r="AF77" s="334"/>
      <c r="AG77" s="334"/>
      <c r="AH77" s="335" t="str">
        <f t="shared" ref="AH77:AH78" si="155">IFERROR(AVERAGE(AE77:AG77),"")</f>
        <v/>
      </c>
      <c r="AI77" s="335">
        <f t="shared" ref="AI77:AI78" si="156">AE77+AF77+AG77</f>
        <v>0</v>
      </c>
    </row>
    <row r="78">
      <c r="A78" s="305">
        <v>2026.0</v>
      </c>
      <c r="B78" s="305"/>
      <c r="C78" s="357" t="s">
        <v>888</v>
      </c>
      <c r="D78" s="305"/>
      <c r="E78" s="325">
        <v>350000.0</v>
      </c>
      <c r="F78" s="325">
        <v>420000.0</v>
      </c>
      <c r="G78" s="326">
        <v>1.0</v>
      </c>
      <c r="H78" s="292">
        <f t="shared" si="147"/>
        <v>516.9436099</v>
      </c>
      <c r="I78" s="327">
        <v>0.035</v>
      </c>
      <c r="J78" s="328">
        <f t="shared" si="148"/>
        <v>498.8505835</v>
      </c>
      <c r="K78" s="329">
        <f t="shared" si="149"/>
        <v>18.09302635</v>
      </c>
      <c r="L78" s="330">
        <v>0.001397</v>
      </c>
      <c r="M78" s="327">
        <v>0.0215</v>
      </c>
      <c r="N78" s="331">
        <f t="shared" si="150"/>
        <v>0.0014270355</v>
      </c>
      <c r="O78" s="328">
        <f t="shared" si="151"/>
        <v>25.72528755</v>
      </c>
      <c r="P78" s="328">
        <f t="shared" si="152"/>
        <v>0.7333774919</v>
      </c>
      <c r="Q78" s="292">
        <f t="shared" si="153"/>
        <v>620.3323319</v>
      </c>
      <c r="R78" s="347">
        <v>0.06</v>
      </c>
      <c r="S78" s="332"/>
      <c r="T78" s="299">
        <f t="shared" si="141"/>
        <v>70000</v>
      </c>
      <c r="U78" s="315">
        <f t="shared" si="142"/>
        <v>66045</v>
      </c>
      <c r="V78" s="315">
        <f t="shared" si="143"/>
        <v>14000</v>
      </c>
      <c r="W78" s="320">
        <f t="shared" si="144"/>
        <v>30800</v>
      </c>
      <c r="X78" s="321">
        <f t="shared" si="145"/>
        <v>0.2</v>
      </c>
      <c r="Y78" s="333">
        <f t="shared" si="154"/>
        <v>0.1666666667</v>
      </c>
      <c r="Z78" s="321">
        <f t="shared" si="146"/>
        <v>0.07333333333</v>
      </c>
      <c r="AA78" s="334"/>
      <c r="AB78" s="334"/>
      <c r="AC78" s="334"/>
      <c r="AD78" s="335"/>
      <c r="AE78" s="334"/>
      <c r="AF78" s="334"/>
      <c r="AG78" s="334"/>
      <c r="AH78" s="335" t="str">
        <f t="shared" si="155"/>
        <v/>
      </c>
      <c r="AI78" s="335">
        <f t="shared" si="156"/>
        <v>0</v>
      </c>
    </row>
    <row r="79">
      <c r="A79" s="359"/>
      <c r="B79" s="359"/>
      <c r="C79" s="359"/>
      <c r="D79" s="359"/>
      <c r="E79" s="360"/>
      <c r="F79" s="360"/>
      <c r="G79" s="361"/>
      <c r="H79" s="362"/>
      <c r="I79" s="363"/>
      <c r="J79" s="364"/>
      <c r="K79" s="365"/>
      <c r="L79" s="366"/>
      <c r="M79" s="363"/>
      <c r="N79" s="367"/>
      <c r="O79" s="364"/>
      <c r="P79" s="364"/>
      <c r="Q79" s="362"/>
      <c r="R79" s="363"/>
      <c r="S79" s="368"/>
      <c r="T79" s="369">
        <f t="shared" si="141"/>
        <v>0</v>
      </c>
      <c r="U79" s="370">
        <f t="shared" si="142"/>
        <v>0</v>
      </c>
      <c r="V79" s="370">
        <f t="shared" si="143"/>
        <v>0</v>
      </c>
      <c r="W79" s="371">
        <f t="shared" si="144"/>
        <v>0</v>
      </c>
      <c r="X79" s="372" t="str">
        <f t="shared" si="145"/>
        <v/>
      </c>
      <c r="Y79" s="373"/>
      <c r="Z79" s="372" t="str">
        <f t="shared" si="146"/>
        <v/>
      </c>
      <c r="AA79" s="374"/>
      <c r="AB79" s="374"/>
      <c r="AC79" s="374"/>
      <c r="AD79" s="375"/>
      <c r="AE79" s="374"/>
      <c r="AF79" s="374"/>
      <c r="AG79" s="374"/>
      <c r="AH79" s="375"/>
      <c r="AI79" s="375"/>
    </row>
    <row r="80">
      <c r="A80" s="376">
        <v>2025.0</v>
      </c>
      <c r="B80" s="376" t="s">
        <v>889</v>
      </c>
      <c r="C80" s="376" t="s">
        <v>890</v>
      </c>
      <c r="D80" s="376" t="s">
        <v>891</v>
      </c>
      <c r="E80" s="377">
        <f>((418000*0.8)*1.1)+(110000/G80)</f>
        <v>422840</v>
      </c>
      <c r="F80" s="345">
        <f t="shared" ref="F80:F81" si="157">E80*1.6</f>
        <v>676544</v>
      </c>
      <c r="G80" s="378">
        <v>2.0</v>
      </c>
      <c r="H80" s="292">
        <f t="shared" ref="H80:H245" si="158">((E80*N80)*(1+I80))*G80</f>
        <v>1249.05392</v>
      </c>
      <c r="I80" s="347">
        <v>0.035</v>
      </c>
      <c r="J80" s="348">
        <f t="shared" ref="J80:J297" si="159">H80*(1-I80)</f>
        <v>1205.337033</v>
      </c>
      <c r="K80" s="349">
        <f t="shared" ref="K80:K297" si="160">H80-J80</f>
        <v>43.7168872</v>
      </c>
      <c r="L80" s="296">
        <v>0.001397</v>
      </c>
      <c r="M80" s="347">
        <v>0.0215</v>
      </c>
      <c r="N80" s="350">
        <f t="shared" ref="N80:N297" si="161">L80*(1+M80)</f>
        <v>0.0014270355</v>
      </c>
      <c r="O80" s="348">
        <f t="shared" ref="O80:O297" si="162">(J80*M80)+15</f>
        <v>40.91474621</v>
      </c>
      <c r="P80" s="348">
        <f t="shared" ref="P80:P297" si="163">(J80*N80)+M80</f>
        <v>1.741558735</v>
      </c>
      <c r="Q80" s="292">
        <f t="shared" ref="Q80:Q297" si="164">((F80*N80)*(1+I80))*G80</f>
        <v>1998.486272</v>
      </c>
      <c r="R80" s="347">
        <v>0.06</v>
      </c>
      <c r="S80" s="351"/>
      <c r="T80" s="299">
        <f t="shared" si="141"/>
        <v>253704</v>
      </c>
      <c r="U80" s="315">
        <f t="shared" si="142"/>
        <v>239369.724</v>
      </c>
      <c r="V80" s="315">
        <f t="shared" si="143"/>
        <v>50740.8</v>
      </c>
      <c r="W80" s="320">
        <f t="shared" si="144"/>
        <v>162370.56</v>
      </c>
      <c r="X80" s="321">
        <f t="shared" si="145"/>
        <v>0.6</v>
      </c>
      <c r="Y80" s="352">
        <f t="shared" ref="Y80:Y297" si="165">IFERROR((Q80-H80)/Q80,"")</f>
        <v>0.375</v>
      </c>
      <c r="Z80" s="321">
        <f t="shared" si="146"/>
        <v>0.24</v>
      </c>
      <c r="AA80" s="353"/>
      <c r="AB80" s="353"/>
      <c r="AC80" s="353"/>
      <c r="AD80" s="354"/>
      <c r="AE80" s="353"/>
      <c r="AF80" s="353"/>
      <c r="AG80" s="353"/>
      <c r="AH80" s="354" t="str">
        <f t="shared" ref="AH80:AH111" si="166">IFERROR(AVERAGE(AE80:AG80),"")</f>
        <v/>
      </c>
      <c r="AI80" s="355">
        <f t="shared" ref="AI80:AI111" si="167">AE80+AF80+AG80</f>
        <v>0</v>
      </c>
    </row>
    <row r="81">
      <c r="A81" s="376">
        <v>2025.0</v>
      </c>
      <c r="B81" s="376" t="s">
        <v>892</v>
      </c>
      <c r="C81" s="376" t="s">
        <v>890</v>
      </c>
      <c r="D81" s="376" t="s">
        <v>893</v>
      </c>
      <c r="E81" s="377">
        <f>((368000*0.8)*1.1)+(110000/G81)</f>
        <v>360506.6667</v>
      </c>
      <c r="F81" s="345">
        <f t="shared" si="157"/>
        <v>576810.6667</v>
      </c>
      <c r="G81" s="378">
        <v>3.0</v>
      </c>
      <c r="H81" s="292">
        <f t="shared" si="158"/>
        <v>1597.385294</v>
      </c>
      <c r="I81" s="347">
        <v>0.035</v>
      </c>
      <c r="J81" s="348">
        <f t="shared" si="159"/>
        <v>1541.476809</v>
      </c>
      <c r="K81" s="349">
        <f t="shared" si="160"/>
        <v>55.9084853</v>
      </c>
      <c r="L81" s="296">
        <v>0.001397</v>
      </c>
      <c r="M81" s="347">
        <v>0.0215</v>
      </c>
      <c r="N81" s="350">
        <f t="shared" si="161"/>
        <v>0.0014270355</v>
      </c>
      <c r="O81" s="348">
        <f t="shared" si="162"/>
        <v>48.14175139</v>
      </c>
      <c r="P81" s="348">
        <f t="shared" si="163"/>
        <v>2.221242129</v>
      </c>
      <c r="Q81" s="292">
        <f t="shared" si="164"/>
        <v>2555.816471</v>
      </c>
      <c r="R81" s="347">
        <v>0.06</v>
      </c>
      <c r="S81" s="351"/>
      <c r="T81" s="299">
        <f t="shared" si="141"/>
        <v>216304</v>
      </c>
      <c r="U81" s="315">
        <f t="shared" si="142"/>
        <v>204082.824</v>
      </c>
      <c r="V81" s="315">
        <f t="shared" si="143"/>
        <v>43260.8</v>
      </c>
      <c r="W81" s="320">
        <f t="shared" si="144"/>
        <v>138434.56</v>
      </c>
      <c r="X81" s="321">
        <f t="shared" si="145"/>
        <v>0.6</v>
      </c>
      <c r="Y81" s="352">
        <f t="shared" si="165"/>
        <v>0.375</v>
      </c>
      <c r="Z81" s="321">
        <f t="shared" si="146"/>
        <v>0.24</v>
      </c>
      <c r="AA81" s="353"/>
      <c r="AB81" s="353"/>
      <c r="AC81" s="353"/>
      <c r="AD81" s="354"/>
      <c r="AE81" s="353"/>
      <c r="AF81" s="353"/>
      <c r="AG81" s="353"/>
      <c r="AH81" s="354" t="str">
        <f t="shared" si="166"/>
        <v/>
      </c>
      <c r="AI81" s="355">
        <f t="shared" si="167"/>
        <v>0</v>
      </c>
    </row>
    <row r="82">
      <c r="A82" s="376">
        <v>2025.0</v>
      </c>
      <c r="B82" s="376" t="s">
        <v>894</v>
      </c>
      <c r="C82" s="376" t="s">
        <v>890</v>
      </c>
      <c r="D82" s="376" t="s">
        <v>895</v>
      </c>
      <c r="E82" s="377">
        <f>((289000*0.8)*1.1)+(110000/G82)</f>
        <v>281820</v>
      </c>
      <c r="F82" s="345">
        <f>E82*1.7</f>
        <v>479094</v>
      </c>
      <c r="G82" s="378">
        <v>4.0</v>
      </c>
      <c r="H82" s="292">
        <f t="shared" si="158"/>
        <v>1664.971979</v>
      </c>
      <c r="I82" s="347">
        <v>0.035</v>
      </c>
      <c r="J82" s="348">
        <f t="shared" si="159"/>
        <v>1606.697959</v>
      </c>
      <c r="K82" s="349">
        <f t="shared" si="160"/>
        <v>58.27401925</v>
      </c>
      <c r="L82" s="296">
        <v>0.001397</v>
      </c>
      <c r="M82" s="347">
        <v>0.0215</v>
      </c>
      <c r="N82" s="350">
        <f t="shared" si="161"/>
        <v>0.0014270355</v>
      </c>
      <c r="O82" s="348">
        <f t="shared" si="162"/>
        <v>49.54400613</v>
      </c>
      <c r="P82" s="348">
        <f t="shared" si="163"/>
        <v>2.314315026</v>
      </c>
      <c r="Q82" s="292">
        <f t="shared" si="164"/>
        <v>2830.452364</v>
      </c>
      <c r="R82" s="347">
        <v>0.06</v>
      </c>
      <c r="S82" s="351"/>
      <c r="T82" s="299">
        <f t="shared" si="141"/>
        <v>197274</v>
      </c>
      <c r="U82" s="315">
        <f t="shared" si="142"/>
        <v>186128.019</v>
      </c>
      <c r="V82" s="315">
        <f t="shared" si="143"/>
        <v>39454.8</v>
      </c>
      <c r="W82" s="320">
        <f t="shared" si="144"/>
        <v>129073.56</v>
      </c>
      <c r="X82" s="321">
        <f t="shared" si="145"/>
        <v>0.7</v>
      </c>
      <c r="Y82" s="352">
        <f t="shared" si="165"/>
        <v>0.4117647059</v>
      </c>
      <c r="Z82" s="321">
        <f t="shared" si="146"/>
        <v>0.2694117647</v>
      </c>
      <c r="AA82" s="353"/>
      <c r="AB82" s="353"/>
      <c r="AC82" s="353"/>
      <c r="AD82" s="354"/>
      <c r="AE82" s="353"/>
      <c r="AF82" s="353"/>
      <c r="AG82" s="353"/>
      <c r="AH82" s="354" t="str">
        <f t="shared" si="166"/>
        <v/>
      </c>
      <c r="AI82" s="355">
        <f t="shared" si="167"/>
        <v>0</v>
      </c>
    </row>
    <row r="83">
      <c r="A83" s="379">
        <v>2025.0</v>
      </c>
      <c r="B83" s="379" t="s">
        <v>896</v>
      </c>
      <c r="C83" s="379" t="s">
        <v>890</v>
      </c>
      <c r="D83" s="379" t="s">
        <v>897</v>
      </c>
      <c r="E83" s="345">
        <f>(880000*0.8)+100000</f>
        <v>804000</v>
      </c>
      <c r="F83" s="345">
        <f>E83*1.4</f>
        <v>1125600</v>
      </c>
      <c r="G83" s="346">
        <v>1.0</v>
      </c>
      <c r="H83" s="292">
        <f t="shared" si="158"/>
        <v>1187.493321</v>
      </c>
      <c r="I83" s="347">
        <v>0.035</v>
      </c>
      <c r="J83" s="348">
        <f t="shared" si="159"/>
        <v>1145.931055</v>
      </c>
      <c r="K83" s="349">
        <f t="shared" si="160"/>
        <v>41.56226623</v>
      </c>
      <c r="L83" s="296">
        <v>0.001397</v>
      </c>
      <c r="M83" s="347">
        <v>0.0215</v>
      </c>
      <c r="N83" s="350">
        <f t="shared" si="161"/>
        <v>0.0014270355</v>
      </c>
      <c r="O83" s="348">
        <f t="shared" si="162"/>
        <v>39.63751768</v>
      </c>
      <c r="P83" s="348">
        <f t="shared" si="163"/>
        <v>1.656784296</v>
      </c>
      <c r="Q83" s="292">
        <f t="shared" si="164"/>
        <v>1662.490649</v>
      </c>
      <c r="R83" s="347">
        <v>0.06</v>
      </c>
      <c r="S83" s="351"/>
      <c r="T83" s="299">
        <f t="shared" si="141"/>
        <v>321600</v>
      </c>
      <c r="U83" s="315">
        <f t="shared" si="142"/>
        <v>303429.6</v>
      </c>
      <c r="V83" s="315">
        <f t="shared" si="143"/>
        <v>64320</v>
      </c>
      <c r="W83" s="320">
        <f t="shared" si="144"/>
        <v>189744</v>
      </c>
      <c r="X83" s="321">
        <f t="shared" si="145"/>
        <v>0.4</v>
      </c>
      <c r="Y83" s="352">
        <f t="shared" si="165"/>
        <v>0.2857142857</v>
      </c>
      <c r="Z83" s="321">
        <f t="shared" si="146"/>
        <v>0.1685714286</v>
      </c>
      <c r="AA83" s="353"/>
      <c r="AB83" s="353"/>
      <c r="AC83" s="353"/>
      <c r="AD83" s="354"/>
      <c r="AE83" s="353"/>
      <c r="AF83" s="353"/>
      <c r="AG83" s="353"/>
      <c r="AH83" s="354" t="str">
        <f t="shared" si="166"/>
        <v/>
      </c>
      <c r="AI83" s="355">
        <f t="shared" si="167"/>
        <v>0</v>
      </c>
    </row>
    <row r="84">
      <c r="A84" s="379">
        <v>2025.0</v>
      </c>
      <c r="B84" s="379" t="s">
        <v>889</v>
      </c>
      <c r="C84" s="379" t="s">
        <v>890</v>
      </c>
      <c r="D84" s="379" t="s">
        <v>891</v>
      </c>
      <c r="E84" s="345">
        <v>359400.0</v>
      </c>
      <c r="F84" s="345">
        <v>485000.0</v>
      </c>
      <c r="G84" s="378">
        <v>2.0</v>
      </c>
      <c r="H84" s="292">
        <f t="shared" si="158"/>
        <v>1061.654477</v>
      </c>
      <c r="I84" s="347">
        <v>0.035</v>
      </c>
      <c r="J84" s="348">
        <f t="shared" si="159"/>
        <v>1024.49657</v>
      </c>
      <c r="K84" s="349">
        <f t="shared" si="160"/>
        <v>37.15790668</v>
      </c>
      <c r="L84" s="296">
        <v>0.001397</v>
      </c>
      <c r="M84" s="347">
        <v>0.0215</v>
      </c>
      <c r="N84" s="350">
        <f t="shared" si="161"/>
        <v>0.0014270355</v>
      </c>
      <c r="O84" s="348">
        <f t="shared" si="162"/>
        <v>37.02667625</v>
      </c>
      <c r="P84" s="348">
        <f t="shared" si="163"/>
        <v>1.483492975</v>
      </c>
      <c r="Q84" s="292">
        <f t="shared" si="164"/>
        <v>1432.67229</v>
      </c>
      <c r="R84" s="347">
        <v>0.06</v>
      </c>
      <c r="S84" s="351"/>
      <c r="T84" s="299">
        <f t="shared" si="141"/>
        <v>125600</v>
      </c>
      <c r="U84" s="315">
        <f t="shared" si="142"/>
        <v>118503.6</v>
      </c>
      <c r="V84" s="315">
        <f t="shared" si="143"/>
        <v>25120</v>
      </c>
      <c r="W84" s="320">
        <f t="shared" si="144"/>
        <v>71380</v>
      </c>
      <c r="X84" s="321">
        <f t="shared" si="145"/>
        <v>0.3494713411</v>
      </c>
      <c r="Y84" s="352">
        <f t="shared" si="165"/>
        <v>0.2589690722</v>
      </c>
      <c r="Z84" s="321">
        <f t="shared" si="146"/>
        <v>0.1471752577</v>
      </c>
      <c r="AA84" s="353"/>
      <c r="AB84" s="353"/>
      <c r="AC84" s="353"/>
      <c r="AD84" s="354"/>
      <c r="AE84" s="353"/>
      <c r="AF84" s="353"/>
      <c r="AG84" s="353"/>
      <c r="AH84" s="354" t="str">
        <f t="shared" si="166"/>
        <v/>
      </c>
      <c r="AI84" s="355">
        <f t="shared" si="167"/>
        <v>0</v>
      </c>
    </row>
    <row r="85">
      <c r="A85" s="379">
        <v>2025.0</v>
      </c>
      <c r="B85" s="379" t="s">
        <v>892</v>
      </c>
      <c r="C85" s="379" t="s">
        <v>890</v>
      </c>
      <c r="D85" s="379" t="s">
        <v>893</v>
      </c>
      <c r="E85" s="345">
        <v>305511.0</v>
      </c>
      <c r="F85" s="345">
        <v>435000.0</v>
      </c>
      <c r="G85" s="378">
        <v>3.0</v>
      </c>
      <c r="H85" s="292">
        <f t="shared" si="158"/>
        <v>1353.702507</v>
      </c>
      <c r="I85" s="347">
        <v>0.035</v>
      </c>
      <c r="J85" s="348">
        <f t="shared" si="159"/>
        <v>1306.32292</v>
      </c>
      <c r="K85" s="349">
        <f t="shared" si="160"/>
        <v>47.37958776</v>
      </c>
      <c r="L85" s="296">
        <v>0.001397</v>
      </c>
      <c r="M85" s="347">
        <v>0.0215</v>
      </c>
      <c r="N85" s="350">
        <f t="shared" si="161"/>
        <v>0.0014270355</v>
      </c>
      <c r="O85" s="348">
        <f t="shared" si="162"/>
        <v>43.08594277</v>
      </c>
      <c r="P85" s="348">
        <f t="shared" si="163"/>
        <v>1.885669181</v>
      </c>
      <c r="Q85" s="292">
        <f t="shared" si="164"/>
        <v>1927.461174</v>
      </c>
      <c r="R85" s="347">
        <v>0.06</v>
      </c>
      <c r="S85" s="351"/>
      <c r="T85" s="299">
        <f t="shared" si="141"/>
        <v>129489</v>
      </c>
      <c r="U85" s="315">
        <f t="shared" si="142"/>
        <v>122172.8715</v>
      </c>
      <c r="V85" s="315">
        <f t="shared" si="143"/>
        <v>25897.8</v>
      </c>
      <c r="W85" s="320">
        <f t="shared" si="144"/>
        <v>77491.2</v>
      </c>
      <c r="X85" s="321">
        <f t="shared" si="145"/>
        <v>0.423843986</v>
      </c>
      <c r="Y85" s="352">
        <f t="shared" si="165"/>
        <v>0.2976758621</v>
      </c>
      <c r="Z85" s="321">
        <f t="shared" si="146"/>
        <v>0.1781406897</v>
      </c>
      <c r="AA85" s="353"/>
      <c r="AB85" s="353"/>
      <c r="AC85" s="353"/>
      <c r="AD85" s="354"/>
      <c r="AE85" s="353"/>
      <c r="AF85" s="353"/>
      <c r="AG85" s="353"/>
      <c r="AH85" s="354" t="str">
        <f t="shared" si="166"/>
        <v/>
      </c>
      <c r="AI85" s="355">
        <f t="shared" si="167"/>
        <v>0</v>
      </c>
    </row>
    <row r="86">
      <c r="A86" s="379">
        <v>2025.0</v>
      </c>
      <c r="B86" s="379" t="s">
        <v>894</v>
      </c>
      <c r="C86" s="379" t="s">
        <v>890</v>
      </c>
      <c r="D86" s="379" t="s">
        <v>895</v>
      </c>
      <c r="E86" s="345">
        <v>237450.0</v>
      </c>
      <c r="F86" s="345">
        <v>453000.0</v>
      </c>
      <c r="G86" s="378">
        <v>4.0</v>
      </c>
      <c r="H86" s="292">
        <f t="shared" si="158"/>
        <v>1402.837259</v>
      </c>
      <c r="I86" s="347">
        <v>0.035</v>
      </c>
      <c r="J86" s="348">
        <f t="shared" si="159"/>
        <v>1353.737955</v>
      </c>
      <c r="K86" s="349">
        <f t="shared" si="160"/>
        <v>49.09930407</v>
      </c>
      <c r="L86" s="296">
        <v>0.001397</v>
      </c>
      <c r="M86" s="347">
        <v>0.0215</v>
      </c>
      <c r="N86" s="350">
        <f t="shared" si="161"/>
        <v>0.0014270355</v>
      </c>
      <c r="O86" s="348">
        <f t="shared" si="162"/>
        <v>44.10536603</v>
      </c>
      <c r="P86" s="348">
        <f t="shared" si="163"/>
        <v>1.953332119</v>
      </c>
      <c r="Q86" s="292">
        <f t="shared" si="164"/>
        <v>2676.290917</v>
      </c>
      <c r="R86" s="347">
        <v>0.06</v>
      </c>
      <c r="S86" s="351"/>
      <c r="T86" s="299">
        <f t="shared" si="141"/>
        <v>215550</v>
      </c>
      <c r="U86" s="315">
        <f t="shared" si="142"/>
        <v>203371.425</v>
      </c>
      <c r="V86" s="315">
        <f t="shared" si="143"/>
        <v>43110</v>
      </c>
      <c r="W86" s="320">
        <f t="shared" si="144"/>
        <v>145260</v>
      </c>
      <c r="X86" s="321">
        <f t="shared" si="145"/>
        <v>0.9077700569</v>
      </c>
      <c r="Y86" s="352">
        <f t="shared" si="165"/>
        <v>0.4758278146</v>
      </c>
      <c r="Z86" s="321">
        <f t="shared" si="146"/>
        <v>0.3206622517</v>
      </c>
      <c r="AA86" s="353"/>
      <c r="AB86" s="353"/>
      <c r="AC86" s="353"/>
      <c r="AD86" s="354"/>
      <c r="AE86" s="353"/>
      <c r="AF86" s="353"/>
      <c r="AG86" s="353"/>
      <c r="AH86" s="354" t="str">
        <f t="shared" si="166"/>
        <v/>
      </c>
      <c r="AI86" s="355">
        <f t="shared" si="167"/>
        <v>0</v>
      </c>
    </row>
    <row r="87">
      <c r="A87" s="376">
        <v>2025.0</v>
      </c>
      <c r="B87" s="376" t="s">
        <v>898</v>
      </c>
      <c r="C87" s="376" t="s">
        <v>899</v>
      </c>
      <c r="D87" s="376" t="s">
        <v>897</v>
      </c>
      <c r="E87" s="377">
        <f>((926000)*1.1)+(110000/G87)</f>
        <v>1128600</v>
      </c>
      <c r="F87" s="345">
        <v>1500000.0</v>
      </c>
      <c r="G87" s="346">
        <v>1.0</v>
      </c>
      <c r="H87" s="292">
        <f t="shared" si="158"/>
        <v>1666.921595</v>
      </c>
      <c r="I87" s="347">
        <v>0.035</v>
      </c>
      <c r="J87" s="348">
        <f t="shared" si="159"/>
        <v>1608.579339</v>
      </c>
      <c r="K87" s="349">
        <f t="shared" si="160"/>
        <v>58.34225581</v>
      </c>
      <c r="L87" s="296">
        <v>0.001397</v>
      </c>
      <c r="M87" s="347">
        <v>0.0215</v>
      </c>
      <c r="N87" s="350">
        <f t="shared" si="161"/>
        <v>0.0014270355</v>
      </c>
      <c r="O87" s="348">
        <f t="shared" si="162"/>
        <v>49.58445578</v>
      </c>
      <c r="P87" s="348">
        <f t="shared" si="163"/>
        <v>2.316999821</v>
      </c>
      <c r="Q87" s="292">
        <f t="shared" si="164"/>
        <v>2215.472614</v>
      </c>
      <c r="R87" s="347">
        <v>0.06</v>
      </c>
      <c r="S87" s="351"/>
      <c r="T87" s="299">
        <f t="shared" si="141"/>
        <v>371400</v>
      </c>
      <c r="U87" s="315">
        <f t="shared" si="142"/>
        <v>350415.9</v>
      </c>
      <c r="V87" s="315">
        <f t="shared" si="143"/>
        <v>74280</v>
      </c>
      <c r="W87" s="320">
        <f t="shared" si="144"/>
        <v>207120</v>
      </c>
      <c r="X87" s="321">
        <f t="shared" si="145"/>
        <v>0.3290802764</v>
      </c>
      <c r="Y87" s="352">
        <f t="shared" si="165"/>
        <v>0.2476</v>
      </c>
      <c r="Z87" s="321">
        <f t="shared" si="146"/>
        <v>0.13808</v>
      </c>
      <c r="AA87" s="353"/>
      <c r="AB87" s="353"/>
      <c r="AC87" s="353"/>
      <c r="AD87" s="354"/>
      <c r="AE87" s="353"/>
      <c r="AF87" s="353"/>
      <c r="AG87" s="353"/>
      <c r="AH87" s="354" t="str">
        <f t="shared" si="166"/>
        <v/>
      </c>
      <c r="AI87" s="355">
        <f t="shared" si="167"/>
        <v>0</v>
      </c>
    </row>
    <row r="88">
      <c r="A88" s="376">
        <v>2025.0</v>
      </c>
      <c r="B88" s="376" t="s">
        <v>900</v>
      </c>
      <c r="C88" s="376" t="s">
        <v>899</v>
      </c>
      <c r="D88" s="376" t="s">
        <v>891</v>
      </c>
      <c r="E88" s="377">
        <f>((508000)*1.1)+(110000/G88)</f>
        <v>613800</v>
      </c>
      <c r="F88" s="345">
        <f t="shared" ref="F88:F91" si="168">E88*1.6</f>
        <v>982080</v>
      </c>
      <c r="G88" s="378">
        <v>2.0</v>
      </c>
      <c r="H88" s="292">
        <f t="shared" si="158"/>
        <v>1813.142787</v>
      </c>
      <c r="I88" s="347">
        <v>0.035</v>
      </c>
      <c r="J88" s="348">
        <f t="shared" si="159"/>
        <v>1749.68279</v>
      </c>
      <c r="K88" s="349">
        <f t="shared" si="160"/>
        <v>63.45999755</v>
      </c>
      <c r="L88" s="296">
        <v>0.001397</v>
      </c>
      <c r="M88" s="347">
        <v>0.0215</v>
      </c>
      <c r="N88" s="350">
        <f t="shared" si="161"/>
        <v>0.0014270355</v>
      </c>
      <c r="O88" s="348">
        <f t="shared" si="162"/>
        <v>52.61817998</v>
      </c>
      <c r="P88" s="348">
        <f t="shared" si="163"/>
        <v>2.518359454</v>
      </c>
      <c r="Q88" s="292">
        <f t="shared" si="164"/>
        <v>2901.028459</v>
      </c>
      <c r="R88" s="347">
        <v>0.06</v>
      </c>
      <c r="S88" s="351"/>
      <c r="T88" s="299">
        <f t="shared" si="141"/>
        <v>368280</v>
      </c>
      <c r="U88" s="315">
        <f t="shared" si="142"/>
        <v>347472.18</v>
      </c>
      <c r="V88" s="315">
        <f t="shared" si="143"/>
        <v>73656</v>
      </c>
      <c r="W88" s="320">
        <f t="shared" si="144"/>
        <v>235699.2</v>
      </c>
      <c r="X88" s="321">
        <f t="shared" si="145"/>
        <v>0.6</v>
      </c>
      <c r="Y88" s="352">
        <f t="shared" si="165"/>
        <v>0.375</v>
      </c>
      <c r="Z88" s="321">
        <f t="shared" si="146"/>
        <v>0.24</v>
      </c>
      <c r="AA88" s="353"/>
      <c r="AB88" s="353"/>
      <c r="AC88" s="353"/>
      <c r="AD88" s="354"/>
      <c r="AE88" s="353"/>
      <c r="AF88" s="353"/>
      <c r="AG88" s="353"/>
      <c r="AH88" s="354" t="str">
        <f t="shared" si="166"/>
        <v/>
      </c>
      <c r="AI88" s="355">
        <f t="shared" si="167"/>
        <v>0</v>
      </c>
    </row>
    <row r="89">
      <c r="A89" s="376">
        <v>2025.0</v>
      </c>
      <c r="B89" s="376" t="s">
        <v>901</v>
      </c>
      <c r="C89" s="376" t="s">
        <v>899</v>
      </c>
      <c r="D89" s="376" t="s">
        <v>893</v>
      </c>
      <c r="E89" s="377">
        <f>((454400)*1.1)+(110000/G89)</f>
        <v>536506.6667</v>
      </c>
      <c r="F89" s="345">
        <f t="shared" si="168"/>
        <v>858410.6667</v>
      </c>
      <c r="G89" s="378">
        <v>3.0</v>
      </c>
      <c r="H89" s="292">
        <f t="shared" si="158"/>
        <v>2377.231654</v>
      </c>
      <c r="I89" s="347">
        <v>0.035</v>
      </c>
      <c r="J89" s="348">
        <f t="shared" si="159"/>
        <v>2294.028546</v>
      </c>
      <c r="K89" s="349">
        <f t="shared" si="160"/>
        <v>83.2031079</v>
      </c>
      <c r="L89" s="296">
        <v>0.001397</v>
      </c>
      <c r="M89" s="347">
        <v>0.0215</v>
      </c>
      <c r="N89" s="350">
        <f t="shared" si="161"/>
        <v>0.0014270355</v>
      </c>
      <c r="O89" s="348">
        <f t="shared" si="162"/>
        <v>64.32161375</v>
      </c>
      <c r="P89" s="348">
        <f t="shared" si="163"/>
        <v>3.295160174</v>
      </c>
      <c r="Q89" s="292">
        <f t="shared" si="164"/>
        <v>3803.570647</v>
      </c>
      <c r="R89" s="347">
        <v>0.06</v>
      </c>
      <c r="S89" s="351"/>
      <c r="T89" s="299">
        <f t="shared" si="141"/>
        <v>321904</v>
      </c>
      <c r="U89" s="315">
        <f t="shared" si="142"/>
        <v>303716.424</v>
      </c>
      <c r="V89" s="315">
        <f t="shared" si="143"/>
        <v>64380.8</v>
      </c>
      <c r="W89" s="320">
        <f t="shared" si="144"/>
        <v>206018.56</v>
      </c>
      <c r="X89" s="321">
        <f t="shared" si="145"/>
        <v>0.6</v>
      </c>
      <c r="Y89" s="352">
        <f t="shared" si="165"/>
        <v>0.375</v>
      </c>
      <c r="Z89" s="321">
        <f t="shared" si="146"/>
        <v>0.24</v>
      </c>
      <c r="AA89" s="353"/>
      <c r="AB89" s="353"/>
      <c r="AC89" s="353"/>
      <c r="AD89" s="354"/>
      <c r="AE89" s="353"/>
      <c r="AF89" s="353"/>
      <c r="AG89" s="353"/>
      <c r="AH89" s="354" t="str">
        <f t="shared" si="166"/>
        <v/>
      </c>
      <c r="AI89" s="355">
        <f t="shared" si="167"/>
        <v>0</v>
      </c>
    </row>
    <row r="90">
      <c r="A90" s="376">
        <v>2025.0</v>
      </c>
      <c r="B90" s="376" t="s">
        <v>902</v>
      </c>
      <c r="C90" s="376" t="s">
        <v>899</v>
      </c>
      <c r="D90" s="376" t="s">
        <v>895</v>
      </c>
      <c r="E90" s="377">
        <f>((362400)*1.1)+(110000/G90)</f>
        <v>426140</v>
      </c>
      <c r="F90" s="345">
        <f t="shared" si="168"/>
        <v>681824</v>
      </c>
      <c r="G90" s="378">
        <v>4.0</v>
      </c>
      <c r="H90" s="292">
        <f t="shared" si="158"/>
        <v>2517.603999</v>
      </c>
      <c r="I90" s="347">
        <v>0.035</v>
      </c>
      <c r="J90" s="348">
        <f t="shared" si="159"/>
        <v>2429.487859</v>
      </c>
      <c r="K90" s="349">
        <f t="shared" si="160"/>
        <v>88.11613996</v>
      </c>
      <c r="L90" s="296">
        <v>0.001397</v>
      </c>
      <c r="M90" s="347">
        <v>0.0215</v>
      </c>
      <c r="N90" s="350">
        <f t="shared" si="161"/>
        <v>0.0014270355</v>
      </c>
      <c r="O90" s="348">
        <f t="shared" si="162"/>
        <v>67.23398897</v>
      </c>
      <c r="P90" s="348">
        <f t="shared" si="163"/>
        <v>3.488465422</v>
      </c>
      <c r="Q90" s="292">
        <f t="shared" si="164"/>
        <v>4028.166398</v>
      </c>
      <c r="R90" s="347">
        <v>0.06</v>
      </c>
      <c r="S90" s="351"/>
      <c r="T90" s="299">
        <f t="shared" si="141"/>
        <v>255684</v>
      </c>
      <c r="U90" s="315">
        <f t="shared" si="142"/>
        <v>241237.854</v>
      </c>
      <c r="V90" s="315">
        <f t="shared" si="143"/>
        <v>51136.8</v>
      </c>
      <c r="W90" s="320">
        <f t="shared" si="144"/>
        <v>163637.76</v>
      </c>
      <c r="X90" s="321">
        <f t="shared" si="145"/>
        <v>0.6</v>
      </c>
      <c r="Y90" s="352">
        <f t="shared" si="165"/>
        <v>0.375</v>
      </c>
      <c r="Z90" s="321">
        <f t="shared" si="146"/>
        <v>0.24</v>
      </c>
      <c r="AA90" s="353"/>
      <c r="AB90" s="353"/>
      <c r="AC90" s="353"/>
      <c r="AD90" s="354"/>
      <c r="AE90" s="353"/>
      <c r="AF90" s="353"/>
      <c r="AG90" s="353"/>
      <c r="AH90" s="354" t="str">
        <f t="shared" si="166"/>
        <v/>
      </c>
      <c r="AI90" s="355">
        <f t="shared" si="167"/>
        <v>0</v>
      </c>
    </row>
    <row r="91">
      <c r="A91" s="376">
        <v>2025.0</v>
      </c>
      <c r="B91" s="376" t="s">
        <v>903</v>
      </c>
      <c r="C91" s="376" t="s">
        <v>899</v>
      </c>
      <c r="D91" s="376" t="s">
        <v>904</v>
      </c>
      <c r="E91" s="377">
        <f>((307200)*1.1)+(110000/G91)</f>
        <v>359920</v>
      </c>
      <c r="F91" s="345">
        <f t="shared" si="168"/>
        <v>575872</v>
      </c>
      <c r="G91" s="378">
        <v>5.0</v>
      </c>
      <c r="H91" s="292">
        <f t="shared" si="158"/>
        <v>2657.976344</v>
      </c>
      <c r="I91" s="347">
        <v>0.035</v>
      </c>
      <c r="J91" s="348">
        <f t="shared" si="159"/>
        <v>2564.947172</v>
      </c>
      <c r="K91" s="349">
        <f t="shared" si="160"/>
        <v>93.02917203</v>
      </c>
      <c r="L91" s="296">
        <v>0.001397</v>
      </c>
      <c r="M91" s="347">
        <v>0.0215</v>
      </c>
      <c r="N91" s="350">
        <f t="shared" si="161"/>
        <v>0.0014270355</v>
      </c>
      <c r="O91" s="348">
        <f t="shared" si="162"/>
        <v>70.14636419</v>
      </c>
      <c r="P91" s="348">
        <f t="shared" si="163"/>
        <v>3.68177067</v>
      </c>
      <c r="Q91" s="292">
        <f t="shared" si="164"/>
        <v>4252.76215</v>
      </c>
      <c r="R91" s="347">
        <v>0.06</v>
      </c>
      <c r="S91" s="351"/>
      <c r="T91" s="299">
        <f t="shared" si="141"/>
        <v>215952</v>
      </c>
      <c r="U91" s="315">
        <f t="shared" si="142"/>
        <v>203750.712</v>
      </c>
      <c r="V91" s="315">
        <f t="shared" si="143"/>
        <v>43190.4</v>
      </c>
      <c r="W91" s="320">
        <f t="shared" si="144"/>
        <v>138209.28</v>
      </c>
      <c r="X91" s="321">
        <f t="shared" si="145"/>
        <v>0.6</v>
      </c>
      <c r="Y91" s="352">
        <f t="shared" si="165"/>
        <v>0.375</v>
      </c>
      <c r="Z91" s="321">
        <f t="shared" si="146"/>
        <v>0.24</v>
      </c>
      <c r="AA91" s="353"/>
      <c r="AB91" s="353"/>
      <c r="AC91" s="353"/>
      <c r="AD91" s="354"/>
      <c r="AE91" s="353"/>
      <c r="AF91" s="353"/>
      <c r="AG91" s="353"/>
      <c r="AH91" s="354" t="str">
        <f t="shared" si="166"/>
        <v/>
      </c>
      <c r="AI91" s="355">
        <f t="shared" si="167"/>
        <v>0</v>
      </c>
    </row>
    <row r="92">
      <c r="A92" s="379">
        <v>2025.0</v>
      </c>
      <c r="B92" s="379" t="s">
        <v>898</v>
      </c>
      <c r="C92" s="379" t="s">
        <v>899</v>
      </c>
      <c r="D92" s="379" t="s">
        <v>897</v>
      </c>
      <c r="E92" s="345">
        <v>1029600.0</v>
      </c>
      <c r="F92" s="345">
        <v>1150000.0</v>
      </c>
      <c r="G92" s="346">
        <v>1.0</v>
      </c>
      <c r="H92" s="292">
        <f t="shared" si="158"/>
        <v>1520.700402</v>
      </c>
      <c r="I92" s="347">
        <v>0.035</v>
      </c>
      <c r="J92" s="348">
        <f t="shared" si="159"/>
        <v>1467.475888</v>
      </c>
      <c r="K92" s="349">
        <f t="shared" si="160"/>
        <v>53.22451407</v>
      </c>
      <c r="L92" s="296">
        <v>0.001397</v>
      </c>
      <c r="M92" s="347">
        <v>0.0215</v>
      </c>
      <c r="N92" s="350">
        <f t="shared" si="161"/>
        <v>0.0014270355</v>
      </c>
      <c r="O92" s="348">
        <f t="shared" si="162"/>
        <v>46.55073159</v>
      </c>
      <c r="P92" s="348">
        <f t="shared" si="163"/>
        <v>2.115640188</v>
      </c>
      <c r="Q92" s="292">
        <f t="shared" si="164"/>
        <v>1698.529004</v>
      </c>
      <c r="R92" s="347">
        <v>0.06</v>
      </c>
      <c r="S92" s="351"/>
      <c r="T92" s="299">
        <f t="shared" si="141"/>
        <v>120400</v>
      </c>
      <c r="U92" s="315">
        <f t="shared" si="142"/>
        <v>113597.4</v>
      </c>
      <c r="V92" s="315">
        <f t="shared" si="143"/>
        <v>24080</v>
      </c>
      <c r="W92" s="320">
        <f t="shared" si="144"/>
        <v>27320</v>
      </c>
      <c r="X92" s="321">
        <f t="shared" si="145"/>
        <v>0.1169386169</v>
      </c>
      <c r="Y92" s="352">
        <f t="shared" si="165"/>
        <v>0.1046956522</v>
      </c>
      <c r="Z92" s="321">
        <f t="shared" si="146"/>
        <v>0.02375652174</v>
      </c>
      <c r="AA92" s="353"/>
      <c r="AB92" s="353"/>
      <c r="AC92" s="353"/>
      <c r="AD92" s="354"/>
      <c r="AE92" s="353"/>
      <c r="AF92" s="353"/>
      <c r="AG92" s="353"/>
      <c r="AH92" s="354" t="str">
        <f t="shared" si="166"/>
        <v/>
      </c>
      <c r="AI92" s="355">
        <f t="shared" si="167"/>
        <v>0</v>
      </c>
    </row>
    <row r="93">
      <c r="A93" s="379">
        <v>2025.0</v>
      </c>
      <c r="B93" s="379" t="s">
        <v>900</v>
      </c>
      <c r="C93" s="379" t="s">
        <v>899</v>
      </c>
      <c r="D93" s="379" t="s">
        <v>891</v>
      </c>
      <c r="E93" s="345">
        <f>1191200/2</f>
        <v>595600</v>
      </c>
      <c r="F93" s="345">
        <v>680000.0</v>
      </c>
      <c r="G93" s="378">
        <v>2.0</v>
      </c>
      <c r="H93" s="292">
        <f t="shared" si="158"/>
        <v>1759.380652</v>
      </c>
      <c r="I93" s="347">
        <v>0.035</v>
      </c>
      <c r="J93" s="348">
        <f t="shared" si="159"/>
        <v>1697.802329</v>
      </c>
      <c r="K93" s="349">
        <f t="shared" si="160"/>
        <v>61.57832281</v>
      </c>
      <c r="L93" s="296">
        <v>0.001397</v>
      </c>
      <c r="M93" s="347">
        <v>0.0215</v>
      </c>
      <c r="N93" s="350">
        <f t="shared" si="161"/>
        <v>0.0014270355</v>
      </c>
      <c r="O93" s="348">
        <f t="shared" si="162"/>
        <v>51.50275007</v>
      </c>
      <c r="P93" s="348">
        <f t="shared" si="163"/>
        <v>2.444324195</v>
      </c>
      <c r="Q93" s="292">
        <f t="shared" si="164"/>
        <v>2008.69517</v>
      </c>
      <c r="R93" s="347">
        <v>0.06</v>
      </c>
      <c r="S93" s="351"/>
      <c r="T93" s="299">
        <f t="shared" si="141"/>
        <v>84400</v>
      </c>
      <c r="U93" s="315">
        <f t="shared" si="142"/>
        <v>79631.4</v>
      </c>
      <c r="V93" s="315">
        <f t="shared" si="143"/>
        <v>16880</v>
      </c>
      <c r="W93" s="320">
        <f t="shared" si="144"/>
        <v>26720</v>
      </c>
      <c r="X93" s="321">
        <f t="shared" si="145"/>
        <v>0.1417058428</v>
      </c>
      <c r="Y93" s="352">
        <f t="shared" si="165"/>
        <v>0.1241176471</v>
      </c>
      <c r="Z93" s="321">
        <f t="shared" si="146"/>
        <v>0.03929411765</v>
      </c>
      <c r="AA93" s="353"/>
      <c r="AB93" s="353"/>
      <c r="AC93" s="353"/>
      <c r="AD93" s="354"/>
      <c r="AE93" s="353"/>
      <c r="AF93" s="353"/>
      <c r="AG93" s="353"/>
      <c r="AH93" s="354" t="str">
        <f t="shared" si="166"/>
        <v/>
      </c>
      <c r="AI93" s="355">
        <f t="shared" si="167"/>
        <v>0</v>
      </c>
    </row>
    <row r="94">
      <c r="A94" s="379">
        <v>2025.0</v>
      </c>
      <c r="B94" s="379" t="s">
        <v>901</v>
      </c>
      <c r="C94" s="379" t="s">
        <v>899</v>
      </c>
      <c r="D94" s="379" t="s">
        <v>893</v>
      </c>
      <c r="E94" s="345">
        <v>487733.0</v>
      </c>
      <c r="F94" s="345">
        <v>625000.0</v>
      </c>
      <c r="G94" s="378">
        <v>3.0</v>
      </c>
      <c r="H94" s="292">
        <f t="shared" si="158"/>
        <v>2161.118209</v>
      </c>
      <c r="I94" s="347">
        <v>0.035</v>
      </c>
      <c r="J94" s="348">
        <f t="shared" si="159"/>
        <v>2085.479071</v>
      </c>
      <c r="K94" s="349">
        <f t="shared" si="160"/>
        <v>75.6391373</v>
      </c>
      <c r="L94" s="296">
        <v>0.001397</v>
      </c>
      <c r="M94" s="347">
        <v>0.0215</v>
      </c>
      <c r="N94" s="350">
        <f t="shared" si="161"/>
        <v>0.0014270355</v>
      </c>
      <c r="O94" s="348">
        <f t="shared" si="162"/>
        <v>59.83780003</v>
      </c>
      <c r="P94" s="348">
        <f t="shared" si="163"/>
        <v>2.997552669</v>
      </c>
      <c r="Q94" s="292">
        <f t="shared" si="164"/>
        <v>2769.340767</v>
      </c>
      <c r="R94" s="347">
        <v>0.06</v>
      </c>
      <c r="S94" s="351"/>
      <c r="T94" s="299">
        <f t="shared" si="141"/>
        <v>137267</v>
      </c>
      <c r="U94" s="315">
        <f t="shared" si="142"/>
        <v>129511.4145</v>
      </c>
      <c r="V94" s="315">
        <f t="shared" si="143"/>
        <v>27453.4</v>
      </c>
      <c r="W94" s="320">
        <f t="shared" si="144"/>
        <v>72313.6</v>
      </c>
      <c r="X94" s="321">
        <f t="shared" si="145"/>
        <v>0.28143882</v>
      </c>
      <c r="Y94" s="352">
        <f t="shared" si="165"/>
        <v>0.2196272</v>
      </c>
      <c r="Z94" s="321">
        <f t="shared" si="146"/>
        <v>0.11570176</v>
      </c>
      <c r="AA94" s="353"/>
      <c r="AB94" s="353"/>
      <c r="AC94" s="353"/>
      <c r="AD94" s="354"/>
      <c r="AE94" s="353"/>
      <c r="AF94" s="353"/>
      <c r="AG94" s="353"/>
      <c r="AH94" s="354" t="str">
        <f t="shared" si="166"/>
        <v/>
      </c>
      <c r="AI94" s="355">
        <f t="shared" si="167"/>
        <v>0</v>
      </c>
    </row>
    <row r="95">
      <c r="A95" s="379">
        <v>2025.0</v>
      </c>
      <c r="B95" s="379" t="s">
        <v>902</v>
      </c>
      <c r="C95" s="379" t="s">
        <v>899</v>
      </c>
      <c r="D95" s="379" t="s">
        <v>895</v>
      </c>
      <c r="E95" s="380">
        <v>387400.0</v>
      </c>
      <c r="F95" s="345">
        <v>510000.0</v>
      </c>
      <c r="G95" s="378">
        <v>4.0</v>
      </c>
      <c r="H95" s="292">
        <f t="shared" si="158"/>
        <v>2288.730908</v>
      </c>
      <c r="I95" s="347">
        <v>0.035</v>
      </c>
      <c r="J95" s="348">
        <f t="shared" si="159"/>
        <v>2208.625326</v>
      </c>
      <c r="K95" s="349">
        <f t="shared" si="160"/>
        <v>80.10558179</v>
      </c>
      <c r="L95" s="296">
        <v>0.001397</v>
      </c>
      <c r="M95" s="347">
        <v>0.0215</v>
      </c>
      <c r="N95" s="350">
        <f t="shared" si="161"/>
        <v>0.0014270355</v>
      </c>
      <c r="O95" s="348">
        <f t="shared" si="162"/>
        <v>62.48544452</v>
      </c>
      <c r="P95" s="348">
        <f t="shared" si="163"/>
        <v>3.173286747</v>
      </c>
      <c r="Q95" s="292">
        <f t="shared" si="164"/>
        <v>3013.042755</v>
      </c>
      <c r="R95" s="347">
        <v>0.06</v>
      </c>
      <c r="S95" s="351"/>
      <c r="T95" s="299">
        <f t="shared" si="141"/>
        <v>122600</v>
      </c>
      <c r="U95" s="315">
        <f t="shared" si="142"/>
        <v>115673.1</v>
      </c>
      <c r="V95" s="315">
        <f t="shared" si="143"/>
        <v>24520</v>
      </c>
      <c r="W95" s="320">
        <f t="shared" si="144"/>
        <v>67480</v>
      </c>
      <c r="X95" s="321">
        <f t="shared" si="145"/>
        <v>0.3164687661</v>
      </c>
      <c r="Y95" s="352">
        <f t="shared" si="165"/>
        <v>0.2403921569</v>
      </c>
      <c r="Z95" s="321">
        <f t="shared" si="146"/>
        <v>0.1323137255</v>
      </c>
      <c r="AA95" s="353"/>
      <c r="AB95" s="353"/>
      <c r="AC95" s="353"/>
      <c r="AD95" s="354"/>
      <c r="AE95" s="353"/>
      <c r="AF95" s="353"/>
      <c r="AG95" s="353"/>
      <c r="AH95" s="354" t="str">
        <f t="shared" si="166"/>
        <v/>
      </c>
      <c r="AI95" s="355">
        <f t="shared" si="167"/>
        <v>0</v>
      </c>
    </row>
    <row r="96">
      <c r="A96" s="379">
        <v>2025.0</v>
      </c>
      <c r="B96" s="379" t="s">
        <v>903</v>
      </c>
      <c r="C96" s="379" t="s">
        <v>899</v>
      </c>
      <c r="D96" s="379" t="s">
        <v>904</v>
      </c>
      <c r="E96" s="380">
        <v>329200.0</v>
      </c>
      <c r="F96" s="345">
        <v>460000.0</v>
      </c>
      <c r="G96" s="378">
        <v>5.0</v>
      </c>
      <c r="H96" s="292">
        <f t="shared" si="158"/>
        <v>2431.111948</v>
      </c>
      <c r="I96" s="347">
        <v>0.035</v>
      </c>
      <c r="J96" s="348">
        <f t="shared" si="159"/>
        <v>2346.02303</v>
      </c>
      <c r="K96" s="349">
        <f t="shared" si="160"/>
        <v>85.08891819</v>
      </c>
      <c r="L96" s="296">
        <v>0.001397</v>
      </c>
      <c r="M96" s="347">
        <v>0.0215</v>
      </c>
      <c r="N96" s="350">
        <f t="shared" si="161"/>
        <v>0.0014270355</v>
      </c>
      <c r="O96" s="348">
        <f t="shared" si="162"/>
        <v>65.43949514</v>
      </c>
      <c r="P96" s="348">
        <f t="shared" si="163"/>
        <v>3.369358148</v>
      </c>
      <c r="Q96" s="292">
        <f t="shared" si="164"/>
        <v>3397.058008</v>
      </c>
      <c r="R96" s="347">
        <v>0.06</v>
      </c>
      <c r="S96" s="351"/>
      <c r="T96" s="299">
        <f t="shared" si="141"/>
        <v>130800</v>
      </c>
      <c r="U96" s="315">
        <f t="shared" si="142"/>
        <v>123409.8</v>
      </c>
      <c r="V96" s="315">
        <f t="shared" si="143"/>
        <v>26160</v>
      </c>
      <c r="W96" s="320">
        <f t="shared" si="144"/>
        <v>77040</v>
      </c>
      <c r="X96" s="321">
        <f t="shared" si="145"/>
        <v>0.397326853</v>
      </c>
      <c r="Y96" s="352">
        <f t="shared" si="165"/>
        <v>0.2843478261</v>
      </c>
      <c r="Z96" s="321">
        <f t="shared" si="146"/>
        <v>0.1674782609</v>
      </c>
      <c r="AA96" s="353"/>
      <c r="AB96" s="353"/>
      <c r="AC96" s="353"/>
      <c r="AD96" s="354"/>
      <c r="AE96" s="353"/>
      <c r="AF96" s="353"/>
      <c r="AG96" s="353"/>
      <c r="AH96" s="354" t="str">
        <f t="shared" si="166"/>
        <v/>
      </c>
      <c r="AI96" s="355">
        <f t="shared" si="167"/>
        <v>0</v>
      </c>
    </row>
    <row r="97">
      <c r="A97" s="304">
        <v>2025.0</v>
      </c>
      <c r="B97" s="304" t="s">
        <v>905</v>
      </c>
      <c r="C97" s="304" t="s">
        <v>906</v>
      </c>
      <c r="D97" s="304" t="s">
        <v>840</v>
      </c>
      <c r="E97" s="381">
        <f>120615*1.1</f>
        <v>132676.5</v>
      </c>
      <c r="F97" s="290">
        <v>320000.0</v>
      </c>
      <c r="G97" s="291">
        <v>1.0</v>
      </c>
      <c r="H97" s="292">
        <f t="shared" si="158"/>
        <v>195.9607682</v>
      </c>
      <c r="I97" s="293">
        <v>0.035</v>
      </c>
      <c r="J97" s="294">
        <f t="shared" si="159"/>
        <v>189.1021413</v>
      </c>
      <c r="K97" s="295">
        <f t="shared" si="160"/>
        <v>6.858626886</v>
      </c>
      <c r="L97" s="296">
        <v>0.001397</v>
      </c>
      <c r="M97" s="293">
        <v>0.0215</v>
      </c>
      <c r="N97" s="297">
        <f t="shared" si="161"/>
        <v>0.0014270355</v>
      </c>
      <c r="O97" s="294">
        <f t="shared" si="162"/>
        <v>19.06569604</v>
      </c>
      <c r="P97" s="294">
        <f t="shared" si="163"/>
        <v>0.2913554687</v>
      </c>
      <c r="Q97" s="292">
        <f t="shared" si="164"/>
        <v>472.6341576</v>
      </c>
      <c r="R97" s="293">
        <v>0.06</v>
      </c>
      <c r="S97" s="298"/>
      <c r="T97" s="299">
        <f t="shared" si="141"/>
        <v>187323.5</v>
      </c>
      <c r="U97" s="315">
        <f t="shared" si="142"/>
        <v>176739.7223</v>
      </c>
      <c r="V97" s="315">
        <f t="shared" si="143"/>
        <v>37464.7</v>
      </c>
      <c r="W97" s="320">
        <f t="shared" si="144"/>
        <v>130658.8</v>
      </c>
      <c r="X97" s="321">
        <f t="shared" si="145"/>
        <v>1.411881531</v>
      </c>
      <c r="Y97" s="307">
        <f t="shared" si="165"/>
        <v>0.5853859375</v>
      </c>
      <c r="Z97" s="321">
        <f t="shared" si="146"/>
        <v>0.40830875</v>
      </c>
      <c r="AA97" s="302"/>
      <c r="AB97" s="302"/>
      <c r="AC97" s="302"/>
      <c r="AD97" s="308"/>
      <c r="AE97" s="302"/>
      <c r="AF97" s="302"/>
      <c r="AG97" s="302"/>
      <c r="AH97" s="308" t="str">
        <f t="shared" si="166"/>
        <v/>
      </c>
      <c r="AI97" s="306">
        <f t="shared" si="167"/>
        <v>0</v>
      </c>
    </row>
    <row r="98">
      <c r="A98" s="344">
        <v>2025.0</v>
      </c>
      <c r="B98" s="344" t="s">
        <v>907</v>
      </c>
      <c r="C98" s="359" t="s">
        <v>908</v>
      </c>
      <c r="D98" s="344" t="s">
        <v>909</v>
      </c>
      <c r="E98" s="381">
        <f t="shared" ref="E98:E99" si="169">E308*1.1</f>
        <v>0</v>
      </c>
      <c r="F98" s="345">
        <v>300000.0</v>
      </c>
      <c r="G98" s="346">
        <v>1.0</v>
      </c>
      <c r="H98" s="292">
        <f t="shared" si="158"/>
        <v>0</v>
      </c>
      <c r="I98" s="347">
        <v>0.035</v>
      </c>
      <c r="J98" s="348">
        <f t="shared" si="159"/>
        <v>0</v>
      </c>
      <c r="K98" s="349">
        <f t="shared" si="160"/>
        <v>0</v>
      </c>
      <c r="L98" s="296">
        <v>0.001397</v>
      </c>
      <c r="M98" s="347">
        <v>0.0215</v>
      </c>
      <c r="N98" s="350">
        <f t="shared" si="161"/>
        <v>0.0014270355</v>
      </c>
      <c r="O98" s="348">
        <f t="shared" si="162"/>
        <v>15</v>
      </c>
      <c r="P98" s="348">
        <f t="shared" si="163"/>
        <v>0.0215</v>
      </c>
      <c r="Q98" s="292">
        <f t="shared" si="164"/>
        <v>443.0945228</v>
      </c>
      <c r="R98" s="347">
        <v>0.06</v>
      </c>
      <c r="S98" s="351"/>
      <c r="T98" s="299">
        <f t="shared" si="141"/>
        <v>300000</v>
      </c>
      <c r="U98" s="315">
        <f t="shared" si="142"/>
        <v>283050</v>
      </c>
      <c r="V98" s="315">
        <f t="shared" si="143"/>
        <v>60000</v>
      </c>
      <c r="W98" s="320">
        <f t="shared" si="144"/>
        <v>222000</v>
      </c>
      <c r="X98" s="321" t="str">
        <f t="shared" si="145"/>
        <v/>
      </c>
      <c r="Y98" s="352">
        <f t="shared" si="165"/>
        <v>1</v>
      </c>
      <c r="Z98" s="321">
        <f t="shared" si="146"/>
        <v>0.74</v>
      </c>
      <c r="AA98" s="353"/>
      <c r="AB98" s="353"/>
      <c r="AC98" s="353"/>
      <c r="AD98" s="354"/>
      <c r="AE98" s="353"/>
      <c r="AF98" s="353"/>
      <c r="AG98" s="353"/>
      <c r="AH98" s="354" t="str">
        <f t="shared" si="166"/>
        <v/>
      </c>
      <c r="AI98" s="355">
        <f t="shared" si="167"/>
        <v>0</v>
      </c>
    </row>
    <row r="99">
      <c r="A99" s="382">
        <v>2026.0</v>
      </c>
      <c r="B99" s="344" t="s">
        <v>907</v>
      </c>
      <c r="C99" s="344" t="s">
        <v>908</v>
      </c>
      <c r="D99" s="344" t="s">
        <v>909</v>
      </c>
      <c r="E99" s="381">
        <f t="shared" si="169"/>
        <v>0</v>
      </c>
      <c r="F99" s="345">
        <v>400000.0</v>
      </c>
      <c r="G99" s="346">
        <v>1.0</v>
      </c>
      <c r="H99" s="292">
        <f t="shared" si="158"/>
        <v>0</v>
      </c>
      <c r="I99" s="347">
        <v>0.035</v>
      </c>
      <c r="J99" s="348">
        <f t="shared" si="159"/>
        <v>0</v>
      </c>
      <c r="K99" s="349">
        <f t="shared" si="160"/>
        <v>0</v>
      </c>
      <c r="L99" s="296">
        <v>0.001397</v>
      </c>
      <c r="M99" s="347">
        <v>0.0215</v>
      </c>
      <c r="N99" s="350">
        <f t="shared" si="161"/>
        <v>0.0014270355</v>
      </c>
      <c r="O99" s="348">
        <f t="shared" si="162"/>
        <v>15</v>
      </c>
      <c r="P99" s="348">
        <f t="shared" si="163"/>
        <v>0.0215</v>
      </c>
      <c r="Q99" s="292">
        <f t="shared" si="164"/>
        <v>590.792697</v>
      </c>
      <c r="R99" s="347">
        <v>0.06</v>
      </c>
      <c r="S99" s="351"/>
      <c r="T99" s="299">
        <f t="shared" si="141"/>
        <v>400000</v>
      </c>
      <c r="U99" s="315">
        <f t="shared" si="142"/>
        <v>377400</v>
      </c>
      <c r="V99" s="315">
        <f t="shared" si="143"/>
        <v>80000</v>
      </c>
      <c r="W99" s="320">
        <f t="shared" si="144"/>
        <v>296000</v>
      </c>
      <c r="X99" s="321" t="str">
        <f t="shared" si="145"/>
        <v/>
      </c>
      <c r="Y99" s="352">
        <f t="shared" si="165"/>
        <v>1</v>
      </c>
      <c r="Z99" s="321">
        <f t="shared" si="146"/>
        <v>0.74</v>
      </c>
      <c r="AA99" s="353"/>
      <c r="AB99" s="353"/>
      <c r="AC99" s="353"/>
      <c r="AD99" s="354"/>
      <c r="AE99" s="353"/>
      <c r="AF99" s="353"/>
      <c r="AG99" s="353"/>
      <c r="AH99" s="354" t="str">
        <f t="shared" si="166"/>
        <v/>
      </c>
      <c r="AI99" s="355">
        <f t="shared" si="167"/>
        <v>0</v>
      </c>
    </row>
    <row r="100">
      <c r="A100" s="376">
        <v>2025.0</v>
      </c>
      <c r="B100" s="376" t="s">
        <v>910</v>
      </c>
      <c r="C100" s="376" t="s">
        <v>911</v>
      </c>
      <c r="D100" s="376" t="s">
        <v>897</v>
      </c>
      <c r="E100" s="383">
        <f>((797600)*1.1)</f>
        <v>877360</v>
      </c>
      <c r="F100" s="345">
        <f>E100*1.4</f>
        <v>1228304</v>
      </c>
      <c r="G100" s="378">
        <v>1.0</v>
      </c>
      <c r="H100" s="292">
        <f t="shared" si="158"/>
        <v>1295.844702</v>
      </c>
      <c r="I100" s="347">
        <v>0.035</v>
      </c>
      <c r="J100" s="348">
        <f t="shared" si="159"/>
        <v>1250.490137</v>
      </c>
      <c r="K100" s="349">
        <f t="shared" si="160"/>
        <v>45.35456456</v>
      </c>
      <c r="L100" s="296">
        <v>0.001397</v>
      </c>
      <c r="M100" s="347">
        <v>0.0215</v>
      </c>
      <c r="N100" s="350">
        <f t="shared" si="161"/>
        <v>0.0014270355</v>
      </c>
      <c r="O100" s="348">
        <f t="shared" si="162"/>
        <v>41.88553795</v>
      </c>
      <c r="P100" s="348">
        <f t="shared" si="163"/>
        <v>1.805993818</v>
      </c>
      <c r="Q100" s="292">
        <f t="shared" si="164"/>
        <v>1814.182582</v>
      </c>
      <c r="R100" s="347">
        <v>0.06</v>
      </c>
      <c r="S100" s="351"/>
      <c r="T100" s="299">
        <f t="shared" si="141"/>
        <v>350944</v>
      </c>
      <c r="U100" s="315">
        <f t="shared" si="142"/>
        <v>331115.664</v>
      </c>
      <c r="V100" s="315">
        <f t="shared" si="143"/>
        <v>70188.8</v>
      </c>
      <c r="W100" s="320">
        <f t="shared" si="144"/>
        <v>207056.96</v>
      </c>
      <c r="X100" s="321">
        <f t="shared" si="145"/>
        <v>0.4</v>
      </c>
      <c r="Y100" s="352">
        <f t="shared" si="165"/>
        <v>0.2857142857</v>
      </c>
      <c r="Z100" s="321">
        <f t="shared" si="146"/>
        <v>0.1685714286</v>
      </c>
      <c r="AA100" s="353"/>
      <c r="AB100" s="353"/>
      <c r="AC100" s="353"/>
      <c r="AD100" s="354"/>
      <c r="AE100" s="353"/>
      <c r="AF100" s="353"/>
      <c r="AG100" s="353"/>
      <c r="AH100" s="354" t="str">
        <f t="shared" si="166"/>
        <v/>
      </c>
      <c r="AI100" s="355">
        <f t="shared" si="167"/>
        <v>0</v>
      </c>
    </row>
    <row r="101">
      <c r="A101" s="376">
        <v>2025.0</v>
      </c>
      <c r="B101" s="376" t="s">
        <v>912</v>
      </c>
      <c r="C101" s="376" t="s">
        <v>911</v>
      </c>
      <c r="D101" s="376" t="s">
        <v>891</v>
      </c>
      <c r="E101" s="383">
        <f>((483200)*1.1)</f>
        <v>531520</v>
      </c>
      <c r="F101" s="345">
        <f t="shared" ref="F101:F103" si="170">E101*1.6</f>
        <v>850432</v>
      </c>
      <c r="G101" s="378">
        <v>2.0</v>
      </c>
      <c r="H101" s="292">
        <f t="shared" si="158"/>
        <v>1570.090672</v>
      </c>
      <c r="I101" s="347">
        <v>0.035</v>
      </c>
      <c r="J101" s="348">
        <f t="shared" si="159"/>
        <v>1515.137498</v>
      </c>
      <c r="K101" s="349">
        <f t="shared" si="160"/>
        <v>54.9531735</v>
      </c>
      <c r="L101" s="296">
        <v>0.001397</v>
      </c>
      <c r="M101" s="347">
        <v>0.0215</v>
      </c>
      <c r="N101" s="350">
        <f t="shared" si="161"/>
        <v>0.0014270355</v>
      </c>
      <c r="O101" s="348">
        <f t="shared" si="162"/>
        <v>47.57545621</v>
      </c>
      <c r="P101" s="348">
        <f t="shared" si="163"/>
        <v>2.183654997</v>
      </c>
      <c r="Q101" s="292">
        <f t="shared" si="164"/>
        <v>2512.145074</v>
      </c>
      <c r="R101" s="347">
        <v>0.06</v>
      </c>
      <c r="S101" s="351"/>
      <c r="T101" s="299">
        <f t="shared" si="141"/>
        <v>318912</v>
      </c>
      <c r="U101" s="315">
        <f t="shared" si="142"/>
        <v>300893.472</v>
      </c>
      <c r="V101" s="315">
        <f t="shared" si="143"/>
        <v>63782.4</v>
      </c>
      <c r="W101" s="320">
        <f t="shared" si="144"/>
        <v>204103.68</v>
      </c>
      <c r="X101" s="321">
        <f t="shared" si="145"/>
        <v>0.6</v>
      </c>
      <c r="Y101" s="352">
        <f t="shared" si="165"/>
        <v>0.375</v>
      </c>
      <c r="Z101" s="321">
        <f t="shared" si="146"/>
        <v>0.24</v>
      </c>
      <c r="AA101" s="353"/>
      <c r="AB101" s="353"/>
      <c r="AC101" s="353"/>
      <c r="AD101" s="354"/>
      <c r="AE101" s="353"/>
      <c r="AF101" s="353"/>
      <c r="AG101" s="353"/>
      <c r="AH101" s="354" t="str">
        <f t="shared" si="166"/>
        <v/>
      </c>
      <c r="AI101" s="355">
        <f t="shared" si="167"/>
        <v>0</v>
      </c>
    </row>
    <row r="102">
      <c r="A102" s="376">
        <v>2025.0</v>
      </c>
      <c r="B102" s="376" t="s">
        <v>913</v>
      </c>
      <c r="C102" s="376" t="s">
        <v>911</v>
      </c>
      <c r="D102" s="376" t="s">
        <v>893</v>
      </c>
      <c r="E102" s="383">
        <f>((456800)*1.1)</f>
        <v>502480</v>
      </c>
      <c r="F102" s="345">
        <f t="shared" si="170"/>
        <v>803968</v>
      </c>
      <c r="G102" s="378">
        <v>3.0</v>
      </c>
      <c r="H102" s="292">
        <f t="shared" si="158"/>
        <v>2226.461358</v>
      </c>
      <c r="I102" s="347">
        <v>0.035</v>
      </c>
      <c r="J102" s="348">
        <f t="shared" si="159"/>
        <v>2148.53521</v>
      </c>
      <c r="K102" s="349">
        <f t="shared" si="160"/>
        <v>77.92614753</v>
      </c>
      <c r="L102" s="296">
        <v>0.001397</v>
      </c>
      <c r="M102" s="347">
        <v>0.0215</v>
      </c>
      <c r="N102" s="350">
        <f t="shared" si="161"/>
        <v>0.0014270355</v>
      </c>
      <c r="O102" s="348">
        <f t="shared" si="162"/>
        <v>61.19350702</v>
      </c>
      <c r="P102" s="348">
        <f t="shared" si="163"/>
        <v>3.087536018</v>
      </c>
      <c r="Q102" s="292">
        <f t="shared" si="164"/>
        <v>3562.338173</v>
      </c>
      <c r="R102" s="347">
        <v>0.06</v>
      </c>
      <c r="S102" s="351"/>
      <c r="T102" s="299">
        <f t="shared" si="141"/>
        <v>301488</v>
      </c>
      <c r="U102" s="315">
        <f t="shared" si="142"/>
        <v>284453.928</v>
      </c>
      <c r="V102" s="315">
        <f t="shared" si="143"/>
        <v>60297.6</v>
      </c>
      <c r="W102" s="320">
        <f t="shared" si="144"/>
        <v>192952.32</v>
      </c>
      <c r="X102" s="321">
        <f t="shared" si="145"/>
        <v>0.6</v>
      </c>
      <c r="Y102" s="352">
        <f t="shared" si="165"/>
        <v>0.375</v>
      </c>
      <c r="Z102" s="321">
        <f t="shared" si="146"/>
        <v>0.24</v>
      </c>
      <c r="AA102" s="353"/>
      <c r="AB102" s="353"/>
      <c r="AC102" s="353"/>
      <c r="AD102" s="354"/>
      <c r="AE102" s="353"/>
      <c r="AF102" s="353"/>
      <c r="AG102" s="353"/>
      <c r="AH102" s="354" t="str">
        <f t="shared" si="166"/>
        <v/>
      </c>
      <c r="AI102" s="355">
        <f t="shared" si="167"/>
        <v>0</v>
      </c>
    </row>
    <row r="103">
      <c r="A103" s="376">
        <v>2025.0</v>
      </c>
      <c r="B103" s="376" t="s">
        <v>914</v>
      </c>
      <c r="C103" s="376" t="s">
        <v>911</v>
      </c>
      <c r="D103" s="376" t="s">
        <v>895</v>
      </c>
      <c r="E103" s="383">
        <f>((481000*0.8)*1.1)</f>
        <v>423280</v>
      </c>
      <c r="F103" s="345">
        <f t="shared" si="170"/>
        <v>677248</v>
      </c>
      <c r="G103" s="378">
        <v>4.0</v>
      </c>
      <c r="H103" s="292">
        <f t="shared" si="158"/>
        <v>2500.707328</v>
      </c>
      <c r="I103" s="347">
        <v>0.035</v>
      </c>
      <c r="J103" s="348">
        <f t="shared" si="159"/>
        <v>2413.182571</v>
      </c>
      <c r="K103" s="349">
        <f t="shared" si="160"/>
        <v>87.52475648</v>
      </c>
      <c r="L103" s="296">
        <v>0.001397</v>
      </c>
      <c r="M103" s="347">
        <v>0.0215</v>
      </c>
      <c r="N103" s="350">
        <f t="shared" si="161"/>
        <v>0.0014270355</v>
      </c>
      <c r="O103" s="348">
        <f t="shared" si="162"/>
        <v>66.88342528</v>
      </c>
      <c r="P103" s="348">
        <f t="shared" si="163"/>
        <v>3.465197197</v>
      </c>
      <c r="Q103" s="292">
        <f t="shared" si="164"/>
        <v>4001.131725</v>
      </c>
      <c r="R103" s="347">
        <v>0.06</v>
      </c>
      <c r="S103" s="351"/>
      <c r="T103" s="299">
        <f t="shared" si="141"/>
        <v>253968</v>
      </c>
      <c r="U103" s="315">
        <f t="shared" si="142"/>
        <v>239618.808</v>
      </c>
      <c r="V103" s="315">
        <f t="shared" si="143"/>
        <v>50793.6</v>
      </c>
      <c r="W103" s="320">
        <f t="shared" si="144"/>
        <v>162539.52</v>
      </c>
      <c r="X103" s="321">
        <f t="shared" si="145"/>
        <v>0.6</v>
      </c>
      <c r="Y103" s="352">
        <f t="shared" si="165"/>
        <v>0.375</v>
      </c>
      <c r="Z103" s="321">
        <f t="shared" si="146"/>
        <v>0.24</v>
      </c>
      <c r="AA103" s="353"/>
      <c r="AB103" s="353"/>
      <c r="AC103" s="353"/>
      <c r="AD103" s="354"/>
      <c r="AE103" s="353"/>
      <c r="AF103" s="353"/>
      <c r="AG103" s="353"/>
      <c r="AH103" s="354" t="str">
        <f t="shared" si="166"/>
        <v/>
      </c>
      <c r="AI103" s="355">
        <f t="shared" si="167"/>
        <v>0</v>
      </c>
    </row>
    <row r="104">
      <c r="A104" s="379">
        <v>2025.0</v>
      </c>
      <c r="B104" s="379" t="s">
        <v>913</v>
      </c>
      <c r="C104" s="379" t="s">
        <v>911</v>
      </c>
      <c r="D104" s="379" t="s">
        <v>893</v>
      </c>
      <c r="E104" s="380">
        <v>456800.0</v>
      </c>
      <c r="F104" s="345">
        <v>595000.0</v>
      </c>
      <c r="G104" s="378">
        <v>3.0</v>
      </c>
      <c r="H104" s="292">
        <f t="shared" si="158"/>
        <v>2024.05578</v>
      </c>
      <c r="I104" s="347">
        <v>0.035</v>
      </c>
      <c r="J104" s="348">
        <f t="shared" si="159"/>
        <v>1953.213828</v>
      </c>
      <c r="K104" s="349">
        <f t="shared" si="160"/>
        <v>70.8419523</v>
      </c>
      <c r="L104" s="296">
        <v>0.001397</v>
      </c>
      <c r="M104" s="347">
        <v>0.0215</v>
      </c>
      <c r="N104" s="350">
        <f t="shared" si="161"/>
        <v>0.0014270355</v>
      </c>
      <c r="O104" s="348">
        <f t="shared" si="162"/>
        <v>56.99409729</v>
      </c>
      <c r="P104" s="348">
        <f t="shared" si="163"/>
        <v>2.808805471</v>
      </c>
      <c r="Q104" s="292">
        <f t="shared" si="164"/>
        <v>2636.41241</v>
      </c>
      <c r="R104" s="347">
        <v>0.06</v>
      </c>
      <c r="S104" s="351"/>
      <c r="T104" s="299">
        <f t="shared" si="141"/>
        <v>138200</v>
      </c>
      <c r="U104" s="315">
        <f t="shared" si="142"/>
        <v>130391.7</v>
      </c>
      <c r="V104" s="315">
        <f t="shared" si="143"/>
        <v>27640</v>
      </c>
      <c r="W104" s="320">
        <f t="shared" si="144"/>
        <v>74860</v>
      </c>
      <c r="X104" s="321">
        <f t="shared" si="145"/>
        <v>0.3025394046</v>
      </c>
      <c r="Y104" s="352">
        <f t="shared" si="165"/>
        <v>0.2322689076</v>
      </c>
      <c r="Z104" s="321">
        <f t="shared" si="146"/>
        <v>0.1258151261</v>
      </c>
      <c r="AA104" s="353"/>
      <c r="AB104" s="353"/>
      <c r="AC104" s="353"/>
      <c r="AD104" s="354"/>
      <c r="AE104" s="353"/>
      <c r="AF104" s="353"/>
      <c r="AG104" s="353"/>
      <c r="AH104" s="354" t="str">
        <f t="shared" si="166"/>
        <v/>
      </c>
      <c r="AI104" s="355">
        <f t="shared" si="167"/>
        <v>0</v>
      </c>
    </row>
    <row r="105">
      <c r="A105" s="379">
        <v>2025.0</v>
      </c>
      <c r="B105" s="379" t="s">
        <v>914</v>
      </c>
      <c r="C105" s="379" t="s">
        <v>911</v>
      </c>
      <c r="D105" s="379" t="s">
        <v>895</v>
      </c>
      <c r="E105" s="380">
        <v>461000.0</v>
      </c>
      <c r="F105" s="345">
        <v>585000.0</v>
      </c>
      <c r="G105" s="378">
        <v>4.0</v>
      </c>
      <c r="H105" s="292">
        <f t="shared" si="158"/>
        <v>2723.554333</v>
      </c>
      <c r="I105" s="347">
        <v>0.035</v>
      </c>
      <c r="J105" s="348">
        <f t="shared" si="159"/>
        <v>2628.229932</v>
      </c>
      <c r="K105" s="349">
        <f t="shared" si="160"/>
        <v>95.32440166</v>
      </c>
      <c r="L105" s="296">
        <v>0.001397</v>
      </c>
      <c r="M105" s="347">
        <v>0.0215</v>
      </c>
      <c r="N105" s="350">
        <f t="shared" si="161"/>
        <v>0.0014270355</v>
      </c>
      <c r="O105" s="348">
        <f t="shared" si="162"/>
        <v>71.50694353</v>
      </c>
      <c r="P105" s="348">
        <f t="shared" si="163"/>
        <v>3.772077414</v>
      </c>
      <c r="Q105" s="292">
        <f t="shared" si="164"/>
        <v>3456.137277</v>
      </c>
      <c r="R105" s="347">
        <v>0.06</v>
      </c>
      <c r="S105" s="351"/>
      <c r="T105" s="299">
        <f t="shared" si="141"/>
        <v>124000</v>
      </c>
      <c r="U105" s="315">
        <f t="shared" si="142"/>
        <v>116994</v>
      </c>
      <c r="V105" s="315">
        <f t="shared" si="143"/>
        <v>24800</v>
      </c>
      <c r="W105" s="320">
        <f t="shared" si="144"/>
        <v>64100</v>
      </c>
      <c r="X105" s="321">
        <f t="shared" si="145"/>
        <v>0.2689804772</v>
      </c>
      <c r="Y105" s="352">
        <f t="shared" si="165"/>
        <v>0.211965812</v>
      </c>
      <c r="Z105" s="321">
        <f t="shared" si="146"/>
        <v>0.1095726496</v>
      </c>
      <c r="AA105" s="353"/>
      <c r="AB105" s="353"/>
      <c r="AC105" s="353"/>
      <c r="AD105" s="354"/>
      <c r="AE105" s="353"/>
      <c r="AF105" s="353"/>
      <c r="AG105" s="353"/>
      <c r="AH105" s="354" t="str">
        <f t="shared" si="166"/>
        <v/>
      </c>
      <c r="AI105" s="355">
        <f t="shared" si="167"/>
        <v>0</v>
      </c>
    </row>
    <row r="106">
      <c r="A106" s="376">
        <v>2025.0</v>
      </c>
      <c r="B106" s="376" t="s">
        <v>915</v>
      </c>
      <c r="C106" s="376" t="s">
        <v>916</v>
      </c>
      <c r="D106" s="376" t="s">
        <v>897</v>
      </c>
      <c r="E106" s="383">
        <f>((1098400)*1.1)+(110000/G106)</f>
        <v>1318240</v>
      </c>
      <c r="F106" s="345">
        <f>E106*1.4</f>
        <v>1845536</v>
      </c>
      <c r="G106" s="346">
        <v>1.0</v>
      </c>
      <c r="H106" s="292">
        <f t="shared" si="158"/>
        <v>1947.016412</v>
      </c>
      <c r="I106" s="347">
        <v>0.035</v>
      </c>
      <c r="J106" s="348">
        <f t="shared" si="159"/>
        <v>1878.870838</v>
      </c>
      <c r="K106" s="349">
        <f t="shared" si="160"/>
        <v>68.14557443</v>
      </c>
      <c r="L106" s="296">
        <v>0.001397</v>
      </c>
      <c r="M106" s="347">
        <v>0.0215</v>
      </c>
      <c r="N106" s="350">
        <f t="shared" si="161"/>
        <v>0.0014270355</v>
      </c>
      <c r="O106" s="348">
        <f t="shared" si="162"/>
        <v>55.39572301</v>
      </c>
      <c r="P106" s="348">
        <f t="shared" si="163"/>
        <v>2.702715385</v>
      </c>
      <c r="Q106" s="292">
        <f t="shared" si="164"/>
        <v>2725.822977</v>
      </c>
      <c r="R106" s="347">
        <v>0.06</v>
      </c>
      <c r="S106" s="351"/>
      <c r="T106" s="299">
        <f t="shared" si="141"/>
        <v>527296</v>
      </c>
      <c r="U106" s="315">
        <f t="shared" si="142"/>
        <v>497503.776</v>
      </c>
      <c r="V106" s="315">
        <f t="shared" si="143"/>
        <v>105459.2</v>
      </c>
      <c r="W106" s="320">
        <f t="shared" si="144"/>
        <v>311104.64</v>
      </c>
      <c r="X106" s="321">
        <f t="shared" si="145"/>
        <v>0.4</v>
      </c>
      <c r="Y106" s="352">
        <f t="shared" si="165"/>
        <v>0.2857142857</v>
      </c>
      <c r="Z106" s="321">
        <f t="shared" si="146"/>
        <v>0.1685714286</v>
      </c>
      <c r="AA106" s="353"/>
      <c r="AB106" s="353"/>
      <c r="AC106" s="353"/>
      <c r="AD106" s="354"/>
      <c r="AE106" s="353"/>
      <c r="AF106" s="353"/>
      <c r="AG106" s="353"/>
      <c r="AH106" s="354" t="str">
        <f t="shared" si="166"/>
        <v/>
      </c>
      <c r="AI106" s="355">
        <f t="shared" si="167"/>
        <v>0</v>
      </c>
    </row>
    <row r="107">
      <c r="A107" s="376">
        <v>2025.0</v>
      </c>
      <c r="B107" s="376" t="s">
        <v>917</v>
      </c>
      <c r="C107" s="376" t="s">
        <v>916</v>
      </c>
      <c r="D107" s="376" t="s">
        <v>891</v>
      </c>
      <c r="E107" s="383">
        <f>((635500)*1.1)+(110000/G107)</f>
        <v>754050</v>
      </c>
      <c r="F107" s="345">
        <f t="shared" ref="F107:F110" si="171">E107*1.6</f>
        <v>1206480</v>
      </c>
      <c r="G107" s="378">
        <v>2.0</v>
      </c>
      <c r="H107" s="292">
        <f t="shared" si="158"/>
        <v>2227.436166</v>
      </c>
      <c r="I107" s="347">
        <v>0.035</v>
      </c>
      <c r="J107" s="348">
        <f t="shared" si="159"/>
        <v>2149.4759</v>
      </c>
      <c r="K107" s="349">
        <f t="shared" si="160"/>
        <v>77.96026581</v>
      </c>
      <c r="L107" s="296">
        <v>0.001397</v>
      </c>
      <c r="M107" s="347">
        <v>0.0215</v>
      </c>
      <c r="N107" s="350">
        <f t="shared" si="161"/>
        <v>0.0014270355</v>
      </c>
      <c r="O107" s="348">
        <f t="shared" si="162"/>
        <v>61.21373185</v>
      </c>
      <c r="P107" s="348">
        <f t="shared" si="163"/>
        <v>3.088878416</v>
      </c>
      <c r="Q107" s="292">
        <f t="shared" si="164"/>
        <v>3563.897865</v>
      </c>
      <c r="R107" s="347">
        <v>0.06</v>
      </c>
      <c r="S107" s="351"/>
      <c r="T107" s="299">
        <f t="shared" si="141"/>
        <v>452430</v>
      </c>
      <c r="U107" s="315">
        <f t="shared" si="142"/>
        <v>426867.705</v>
      </c>
      <c r="V107" s="315">
        <f t="shared" si="143"/>
        <v>90486</v>
      </c>
      <c r="W107" s="320">
        <f t="shared" si="144"/>
        <v>289555.2</v>
      </c>
      <c r="X107" s="321">
        <f t="shared" si="145"/>
        <v>0.6</v>
      </c>
      <c r="Y107" s="352">
        <f t="shared" si="165"/>
        <v>0.375</v>
      </c>
      <c r="Z107" s="321">
        <f t="shared" si="146"/>
        <v>0.24</v>
      </c>
      <c r="AA107" s="353"/>
      <c r="AB107" s="353"/>
      <c r="AC107" s="353"/>
      <c r="AD107" s="354"/>
      <c r="AE107" s="353"/>
      <c r="AF107" s="353"/>
      <c r="AG107" s="353"/>
      <c r="AH107" s="354" t="str">
        <f t="shared" si="166"/>
        <v/>
      </c>
      <c r="AI107" s="355">
        <f t="shared" si="167"/>
        <v>0</v>
      </c>
    </row>
    <row r="108">
      <c r="A108" s="376">
        <v>2025.0</v>
      </c>
      <c r="B108" s="376" t="s">
        <v>918</v>
      </c>
      <c r="C108" s="376" t="s">
        <v>916</v>
      </c>
      <c r="D108" s="376" t="s">
        <v>893</v>
      </c>
      <c r="E108" s="383">
        <f>((560000)*1.1)+(110000/G108)</f>
        <v>652666.6667</v>
      </c>
      <c r="F108" s="345">
        <f t="shared" si="171"/>
        <v>1044266.667</v>
      </c>
      <c r="G108" s="378">
        <v>3.0</v>
      </c>
      <c r="H108" s="292">
        <f t="shared" si="158"/>
        <v>2891.930252</v>
      </c>
      <c r="I108" s="347">
        <v>0.035</v>
      </c>
      <c r="J108" s="348">
        <f t="shared" si="159"/>
        <v>2790.712693</v>
      </c>
      <c r="K108" s="349">
        <f t="shared" si="160"/>
        <v>101.2175588</v>
      </c>
      <c r="L108" s="296">
        <v>0.001397</v>
      </c>
      <c r="M108" s="347">
        <v>0.0215</v>
      </c>
      <c r="N108" s="350">
        <f t="shared" si="161"/>
        <v>0.0014270355</v>
      </c>
      <c r="O108" s="348">
        <f t="shared" si="162"/>
        <v>75.0003229</v>
      </c>
      <c r="P108" s="348">
        <f t="shared" si="163"/>
        <v>4.003946083</v>
      </c>
      <c r="Q108" s="292">
        <f t="shared" si="164"/>
        <v>4627.088403</v>
      </c>
      <c r="R108" s="347">
        <v>0.06</v>
      </c>
      <c r="S108" s="351"/>
      <c r="T108" s="299">
        <f t="shared" si="141"/>
        <v>391600</v>
      </c>
      <c r="U108" s="315">
        <f t="shared" si="142"/>
        <v>369474.6</v>
      </c>
      <c r="V108" s="315">
        <f t="shared" si="143"/>
        <v>78320</v>
      </c>
      <c r="W108" s="320">
        <f t="shared" si="144"/>
        <v>250624</v>
      </c>
      <c r="X108" s="321">
        <f t="shared" si="145"/>
        <v>0.6</v>
      </c>
      <c r="Y108" s="352">
        <f t="shared" si="165"/>
        <v>0.375</v>
      </c>
      <c r="Z108" s="321">
        <f t="shared" si="146"/>
        <v>0.24</v>
      </c>
      <c r="AA108" s="353"/>
      <c r="AB108" s="353"/>
      <c r="AC108" s="353"/>
      <c r="AD108" s="354"/>
      <c r="AE108" s="353"/>
      <c r="AF108" s="353"/>
      <c r="AG108" s="353"/>
      <c r="AH108" s="354" t="str">
        <f t="shared" si="166"/>
        <v/>
      </c>
      <c r="AI108" s="355">
        <f t="shared" si="167"/>
        <v>0</v>
      </c>
    </row>
    <row r="109">
      <c r="A109" s="376">
        <v>2025.0</v>
      </c>
      <c r="B109" s="376" t="s">
        <v>919</v>
      </c>
      <c r="C109" s="376" t="s">
        <v>916</v>
      </c>
      <c r="D109" s="376" t="s">
        <v>895</v>
      </c>
      <c r="E109" s="383">
        <f>((463200)*1.1)+(110000/G109)</f>
        <v>537020</v>
      </c>
      <c r="F109" s="345">
        <f t="shared" si="171"/>
        <v>859232</v>
      </c>
      <c r="G109" s="378">
        <v>4.0</v>
      </c>
      <c r="H109" s="292">
        <f t="shared" si="158"/>
        <v>3172.674941</v>
      </c>
      <c r="I109" s="347">
        <v>0.035</v>
      </c>
      <c r="J109" s="348">
        <f t="shared" si="159"/>
        <v>3061.631318</v>
      </c>
      <c r="K109" s="349">
        <f t="shared" si="160"/>
        <v>111.043623</v>
      </c>
      <c r="L109" s="296">
        <v>0.001397</v>
      </c>
      <c r="M109" s="347">
        <v>0.0215</v>
      </c>
      <c r="N109" s="350">
        <f t="shared" si="161"/>
        <v>0.0014270355</v>
      </c>
      <c r="O109" s="348">
        <f t="shared" si="162"/>
        <v>80.82507335</v>
      </c>
      <c r="P109" s="348">
        <f t="shared" si="163"/>
        <v>4.390556579</v>
      </c>
      <c r="Q109" s="292">
        <f t="shared" si="164"/>
        <v>5076.279906</v>
      </c>
      <c r="R109" s="347">
        <v>0.06</v>
      </c>
      <c r="S109" s="351"/>
      <c r="T109" s="299">
        <f t="shared" si="141"/>
        <v>322212</v>
      </c>
      <c r="U109" s="315">
        <f t="shared" si="142"/>
        <v>304007.022</v>
      </c>
      <c r="V109" s="315">
        <f t="shared" si="143"/>
        <v>64442.4</v>
      </c>
      <c r="W109" s="320">
        <f t="shared" si="144"/>
        <v>206215.68</v>
      </c>
      <c r="X109" s="321">
        <f t="shared" si="145"/>
        <v>0.6</v>
      </c>
      <c r="Y109" s="352">
        <f t="shared" si="165"/>
        <v>0.375</v>
      </c>
      <c r="Z109" s="321">
        <f t="shared" si="146"/>
        <v>0.24</v>
      </c>
      <c r="AA109" s="353"/>
      <c r="AB109" s="353"/>
      <c r="AC109" s="353"/>
      <c r="AD109" s="354"/>
      <c r="AE109" s="353"/>
      <c r="AF109" s="353"/>
      <c r="AG109" s="353"/>
      <c r="AH109" s="354" t="str">
        <f t="shared" si="166"/>
        <v/>
      </c>
      <c r="AI109" s="355">
        <f t="shared" si="167"/>
        <v>0</v>
      </c>
    </row>
    <row r="110">
      <c r="A110" s="376">
        <v>2025.0</v>
      </c>
      <c r="B110" s="376" t="s">
        <v>920</v>
      </c>
      <c r="C110" s="376" t="s">
        <v>916</v>
      </c>
      <c r="D110" s="376" t="s">
        <v>904</v>
      </c>
      <c r="E110" s="383">
        <f>((404800)*1.1)+(110000/G110)</f>
        <v>467280</v>
      </c>
      <c r="F110" s="345">
        <f t="shared" si="171"/>
        <v>747648</v>
      </c>
      <c r="G110" s="378">
        <v>5.0</v>
      </c>
      <c r="H110" s="292">
        <f t="shared" si="158"/>
        <v>3450.820143</v>
      </c>
      <c r="I110" s="347">
        <v>0.035</v>
      </c>
      <c r="J110" s="348">
        <f t="shared" si="159"/>
        <v>3330.041438</v>
      </c>
      <c r="K110" s="349">
        <f t="shared" si="160"/>
        <v>120.778705</v>
      </c>
      <c r="L110" s="296">
        <v>0.001397</v>
      </c>
      <c r="M110" s="347">
        <v>0.0215</v>
      </c>
      <c r="N110" s="350">
        <f t="shared" si="161"/>
        <v>0.0014270355</v>
      </c>
      <c r="O110" s="348">
        <f t="shared" si="162"/>
        <v>86.59589092</v>
      </c>
      <c r="P110" s="348">
        <f t="shared" si="163"/>
        <v>4.773587349</v>
      </c>
      <c r="Q110" s="292">
        <f t="shared" si="164"/>
        <v>5521.312229</v>
      </c>
      <c r="R110" s="347">
        <v>0.06</v>
      </c>
      <c r="S110" s="351"/>
      <c r="T110" s="299">
        <f t="shared" si="141"/>
        <v>280368</v>
      </c>
      <c r="U110" s="315">
        <f t="shared" si="142"/>
        <v>264527.208</v>
      </c>
      <c r="V110" s="315">
        <f t="shared" si="143"/>
        <v>56073.6</v>
      </c>
      <c r="W110" s="320">
        <f t="shared" si="144"/>
        <v>179435.52</v>
      </c>
      <c r="X110" s="321">
        <f t="shared" si="145"/>
        <v>0.6</v>
      </c>
      <c r="Y110" s="352">
        <f t="shared" si="165"/>
        <v>0.375</v>
      </c>
      <c r="Z110" s="321">
        <f t="shared" si="146"/>
        <v>0.24</v>
      </c>
      <c r="AA110" s="353"/>
      <c r="AB110" s="353"/>
      <c r="AC110" s="353"/>
      <c r="AD110" s="354"/>
      <c r="AE110" s="353"/>
      <c r="AF110" s="353"/>
      <c r="AG110" s="353"/>
      <c r="AH110" s="354" t="str">
        <f t="shared" si="166"/>
        <v/>
      </c>
      <c r="AI110" s="355">
        <f t="shared" si="167"/>
        <v>0</v>
      </c>
    </row>
    <row r="111">
      <c r="A111" s="379">
        <v>2025.0</v>
      </c>
      <c r="B111" s="379" t="s">
        <v>915</v>
      </c>
      <c r="C111" s="379" t="s">
        <v>916</v>
      </c>
      <c r="D111" s="379" t="s">
        <v>897</v>
      </c>
      <c r="E111" s="345">
        <v>1198400.0</v>
      </c>
      <c r="F111" s="345">
        <v>1300000.0</v>
      </c>
      <c r="G111" s="346">
        <v>1.0</v>
      </c>
      <c r="H111" s="292">
        <f t="shared" si="158"/>
        <v>1770.01492</v>
      </c>
      <c r="I111" s="347">
        <v>0.035</v>
      </c>
      <c r="J111" s="348">
        <f t="shared" si="159"/>
        <v>1708.064398</v>
      </c>
      <c r="K111" s="349">
        <f t="shared" si="160"/>
        <v>61.95052221</v>
      </c>
      <c r="L111" s="296">
        <v>0.001397</v>
      </c>
      <c r="M111" s="347">
        <v>0.0215</v>
      </c>
      <c r="N111" s="350">
        <f t="shared" si="161"/>
        <v>0.0014270355</v>
      </c>
      <c r="O111" s="348">
        <f t="shared" si="162"/>
        <v>51.72338456</v>
      </c>
      <c r="P111" s="348">
        <f t="shared" si="163"/>
        <v>2.458968532</v>
      </c>
      <c r="Q111" s="292">
        <f t="shared" si="164"/>
        <v>1920.076265</v>
      </c>
      <c r="R111" s="347">
        <v>0.06</v>
      </c>
      <c r="S111" s="351"/>
      <c r="T111" s="299">
        <f t="shared" si="141"/>
        <v>101600</v>
      </c>
      <c r="U111" s="315">
        <f t="shared" si="142"/>
        <v>95859.6</v>
      </c>
      <c r="V111" s="315">
        <f t="shared" si="143"/>
        <v>20320</v>
      </c>
      <c r="W111" s="320">
        <f t="shared" si="144"/>
        <v>3280</v>
      </c>
      <c r="X111" s="321">
        <f t="shared" si="145"/>
        <v>0.08477970628</v>
      </c>
      <c r="Y111" s="352">
        <f t="shared" si="165"/>
        <v>0.07815384615</v>
      </c>
      <c r="Z111" s="321">
        <f t="shared" si="146"/>
        <v>0.002523076923</v>
      </c>
      <c r="AA111" s="353"/>
      <c r="AB111" s="353"/>
      <c r="AC111" s="353"/>
      <c r="AD111" s="354"/>
      <c r="AE111" s="353"/>
      <c r="AF111" s="353"/>
      <c r="AG111" s="353"/>
      <c r="AH111" s="354" t="str">
        <f t="shared" si="166"/>
        <v/>
      </c>
      <c r="AI111" s="355">
        <f t="shared" si="167"/>
        <v>0</v>
      </c>
    </row>
    <row r="112">
      <c r="A112" s="379">
        <v>2025.0</v>
      </c>
      <c r="B112" s="379" t="s">
        <v>917</v>
      </c>
      <c r="C112" s="379" t="s">
        <v>916</v>
      </c>
      <c r="D112" s="379" t="s">
        <v>891</v>
      </c>
      <c r="E112" s="345">
        <v>685500.0</v>
      </c>
      <c r="F112" s="345">
        <v>800000.0</v>
      </c>
      <c r="G112" s="378">
        <v>2.0</v>
      </c>
      <c r="H112" s="292">
        <f t="shared" si="158"/>
        <v>2024.941969</v>
      </c>
      <c r="I112" s="347">
        <v>0.035</v>
      </c>
      <c r="J112" s="348">
        <f t="shared" si="159"/>
        <v>1954.069</v>
      </c>
      <c r="K112" s="349">
        <f t="shared" si="160"/>
        <v>70.87296891</v>
      </c>
      <c r="L112" s="296">
        <v>0.001397</v>
      </c>
      <c r="M112" s="347">
        <v>0.0215</v>
      </c>
      <c r="N112" s="350">
        <f t="shared" si="161"/>
        <v>0.0014270355</v>
      </c>
      <c r="O112" s="348">
        <f t="shared" si="162"/>
        <v>57.0124835</v>
      </c>
      <c r="P112" s="348">
        <f t="shared" si="163"/>
        <v>2.810025833</v>
      </c>
      <c r="Q112" s="292">
        <f t="shared" si="164"/>
        <v>2363.170788</v>
      </c>
      <c r="R112" s="347">
        <v>0.06</v>
      </c>
      <c r="S112" s="351"/>
      <c r="T112" s="299">
        <f t="shared" si="141"/>
        <v>114500</v>
      </c>
      <c r="U112" s="315">
        <f t="shared" si="142"/>
        <v>108030.75</v>
      </c>
      <c r="V112" s="315">
        <f t="shared" si="143"/>
        <v>22900</v>
      </c>
      <c r="W112" s="320">
        <f t="shared" si="144"/>
        <v>43600</v>
      </c>
      <c r="X112" s="321">
        <f t="shared" si="145"/>
        <v>0.167031364</v>
      </c>
      <c r="Y112" s="352">
        <f t="shared" si="165"/>
        <v>0.143125</v>
      </c>
      <c r="Z112" s="321">
        <f t="shared" si="146"/>
        <v>0.0545</v>
      </c>
      <c r="AA112" s="384"/>
      <c r="AB112" s="384"/>
      <c r="AC112" s="384"/>
      <c r="AD112" s="385"/>
      <c r="AE112" s="384"/>
      <c r="AF112" s="384"/>
      <c r="AG112" s="384"/>
      <c r="AH112" s="385"/>
      <c r="AI112" s="385"/>
    </row>
    <row r="113">
      <c r="A113" s="379">
        <v>2025.0</v>
      </c>
      <c r="B113" s="379" t="s">
        <v>918</v>
      </c>
      <c r="C113" s="379" t="s">
        <v>916</v>
      </c>
      <c r="D113" s="379" t="s">
        <v>893</v>
      </c>
      <c r="E113" s="345">
        <v>593333.0</v>
      </c>
      <c r="F113" s="345">
        <v>735000.0</v>
      </c>
      <c r="G113" s="378">
        <v>3.0</v>
      </c>
      <c r="H113" s="292">
        <f t="shared" si="158"/>
        <v>2629.026025</v>
      </c>
      <c r="I113" s="347">
        <v>0.035</v>
      </c>
      <c r="J113" s="348">
        <f t="shared" si="159"/>
        <v>2537.010114</v>
      </c>
      <c r="K113" s="349">
        <f t="shared" si="160"/>
        <v>92.01591086</v>
      </c>
      <c r="L113" s="296">
        <v>0.001397</v>
      </c>
      <c r="M113" s="347">
        <v>0.0215</v>
      </c>
      <c r="N113" s="350">
        <f t="shared" si="161"/>
        <v>0.0014270355</v>
      </c>
      <c r="O113" s="348">
        <f t="shared" si="162"/>
        <v>69.54571745</v>
      </c>
      <c r="P113" s="348">
        <f t="shared" si="163"/>
        <v>3.641903496</v>
      </c>
      <c r="Q113" s="292">
        <f t="shared" si="164"/>
        <v>3256.744742</v>
      </c>
      <c r="R113" s="347">
        <v>0.06</v>
      </c>
      <c r="S113" s="351"/>
      <c r="T113" s="299">
        <f t="shared" si="141"/>
        <v>141667</v>
      </c>
      <c r="U113" s="315">
        <f t="shared" si="142"/>
        <v>133662.8145</v>
      </c>
      <c r="V113" s="315">
        <f t="shared" si="143"/>
        <v>28333.4</v>
      </c>
      <c r="W113" s="320">
        <f t="shared" si="144"/>
        <v>69233.6</v>
      </c>
      <c r="X113" s="321">
        <f t="shared" si="145"/>
        <v>0.2387647409</v>
      </c>
      <c r="Y113" s="352">
        <f t="shared" si="165"/>
        <v>0.1927442177</v>
      </c>
      <c r="Z113" s="321">
        <f t="shared" si="146"/>
        <v>0.09419537415</v>
      </c>
      <c r="AA113" s="384"/>
      <c r="AB113" s="384"/>
      <c r="AC113" s="384"/>
      <c r="AD113" s="385"/>
      <c r="AE113" s="384"/>
      <c r="AF113" s="384"/>
      <c r="AG113" s="384"/>
      <c r="AH113" s="385"/>
      <c r="AI113" s="385"/>
    </row>
    <row r="114">
      <c r="A114" s="379">
        <v>2025.0</v>
      </c>
      <c r="B114" s="379" t="s">
        <v>919</v>
      </c>
      <c r="C114" s="379" t="s">
        <v>916</v>
      </c>
      <c r="D114" s="379" t="s">
        <v>895</v>
      </c>
      <c r="E114" s="345">
        <v>488200.0</v>
      </c>
      <c r="F114" s="345">
        <v>610000.0</v>
      </c>
      <c r="G114" s="378">
        <v>4.0</v>
      </c>
      <c r="H114" s="292">
        <f t="shared" si="158"/>
        <v>2884.249947</v>
      </c>
      <c r="I114" s="347">
        <v>0.035</v>
      </c>
      <c r="J114" s="348">
        <f t="shared" si="159"/>
        <v>2783.301199</v>
      </c>
      <c r="K114" s="349">
        <f t="shared" si="160"/>
        <v>100.9487481</v>
      </c>
      <c r="L114" s="296">
        <v>0.001397</v>
      </c>
      <c r="M114" s="347">
        <v>0.0215</v>
      </c>
      <c r="N114" s="350">
        <f t="shared" si="161"/>
        <v>0.0014270355</v>
      </c>
      <c r="O114" s="348">
        <f t="shared" si="162"/>
        <v>74.84097577</v>
      </c>
      <c r="P114" s="348">
        <f t="shared" si="163"/>
        <v>3.993369618</v>
      </c>
      <c r="Q114" s="292">
        <f t="shared" si="164"/>
        <v>3603.835452</v>
      </c>
      <c r="R114" s="347">
        <v>0.06</v>
      </c>
      <c r="S114" s="351"/>
      <c r="T114" s="299">
        <f t="shared" si="141"/>
        <v>121800</v>
      </c>
      <c r="U114" s="315">
        <f t="shared" si="142"/>
        <v>114918.3</v>
      </c>
      <c r="V114" s="315">
        <f t="shared" si="143"/>
        <v>24360</v>
      </c>
      <c r="W114" s="320">
        <f t="shared" si="144"/>
        <v>60840</v>
      </c>
      <c r="X114" s="321">
        <f t="shared" si="145"/>
        <v>0.2494879148</v>
      </c>
      <c r="Y114" s="352">
        <f t="shared" si="165"/>
        <v>0.1996721311</v>
      </c>
      <c r="Z114" s="321">
        <f t="shared" si="146"/>
        <v>0.09973770492</v>
      </c>
      <c r="AA114" s="384"/>
      <c r="AB114" s="384"/>
      <c r="AC114" s="384"/>
      <c r="AD114" s="385"/>
      <c r="AE114" s="384"/>
      <c r="AF114" s="384"/>
      <c r="AG114" s="384"/>
      <c r="AH114" s="385"/>
      <c r="AI114" s="385"/>
    </row>
    <row r="115">
      <c r="A115" s="379">
        <v>2025.0</v>
      </c>
      <c r="B115" s="379" t="s">
        <v>920</v>
      </c>
      <c r="C115" s="379" t="s">
        <v>916</v>
      </c>
      <c r="D115" s="379" t="s">
        <v>904</v>
      </c>
      <c r="E115" s="345">
        <v>426800.0</v>
      </c>
      <c r="F115" s="345">
        <v>580000.0</v>
      </c>
      <c r="G115" s="378">
        <v>5.0</v>
      </c>
      <c r="H115" s="292">
        <f t="shared" si="158"/>
        <v>3151.879038</v>
      </c>
      <c r="I115" s="347">
        <v>0.035</v>
      </c>
      <c r="J115" s="348">
        <f t="shared" si="159"/>
        <v>3041.563272</v>
      </c>
      <c r="K115" s="349">
        <f t="shared" si="160"/>
        <v>110.3157663</v>
      </c>
      <c r="L115" s="296">
        <v>0.001397</v>
      </c>
      <c r="M115" s="347">
        <v>0.0215</v>
      </c>
      <c r="N115" s="350">
        <f t="shared" si="161"/>
        <v>0.0014270355</v>
      </c>
      <c r="O115" s="348">
        <f t="shared" si="162"/>
        <v>80.39361035</v>
      </c>
      <c r="P115" s="348">
        <f t="shared" si="163"/>
        <v>4.361918765</v>
      </c>
      <c r="Q115" s="292">
        <f t="shared" si="164"/>
        <v>4283.247053</v>
      </c>
      <c r="R115" s="347">
        <v>0.06</v>
      </c>
      <c r="S115" s="351"/>
      <c r="T115" s="299">
        <f t="shared" si="141"/>
        <v>153200</v>
      </c>
      <c r="U115" s="315">
        <f t="shared" si="142"/>
        <v>144544.2</v>
      </c>
      <c r="V115" s="315">
        <f t="shared" si="143"/>
        <v>30640</v>
      </c>
      <c r="W115" s="320">
        <f t="shared" si="144"/>
        <v>87760</v>
      </c>
      <c r="X115" s="321">
        <f t="shared" si="145"/>
        <v>0.358950328</v>
      </c>
      <c r="Y115" s="352">
        <f t="shared" si="165"/>
        <v>0.264137931</v>
      </c>
      <c r="Z115" s="321">
        <f t="shared" si="146"/>
        <v>0.1513103448</v>
      </c>
      <c r="AA115" s="384"/>
      <c r="AB115" s="384"/>
      <c r="AC115" s="384"/>
      <c r="AD115" s="385"/>
      <c r="AE115" s="384"/>
      <c r="AF115" s="384"/>
      <c r="AG115" s="384"/>
      <c r="AH115" s="385"/>
      <c r="AI115" s="385"/>
    </row>
    <row r="116">
      <c r="A116" s="386">
        <v>2026.0</v>
      </c>
      <c r="B116" s="344" t="s">
        <v>921</v>
      </c>
      <c r="C116" s="344" t="s">
        <v>922</v>
      </c>
      <c r="D116" s="344" t="s">
        <v>162</v>
      </c>
      <c r="E116" s="387">
        <v>185000.0</v>
      </c>
      <c r="F116" s="387">
        <v>320000.0</v>
      </c>
      <c r="G116" s="346">
        <v>1.0</v>
      </c>
      <c r="H116" s="292">
        <f t="shared" si="158"/>
        <v>273.2416224</v>
      </c>
      <c r="I116" s="347">
        <v>0.035</v>
      </c>
      <c r="J116" s="348">
        <f t="shared" si="159"/>
        <v>263.6781656</v>
      </c>
      <c r="K116" s="349">
        <f t="shared" si="160"/>
        <v>9.563456783</v>
      </c>
      <c r="L116" s="296">
        <v>0.001397</v>
      </c>
      <c r="M116" s="347">
        <v>0.0215</v>
      </c>
      <c r="N116" s="350">
        <f t="shared" si="161"/>
        <v>0.0014270355</v>
      </c>
      <c r="O116" s="348">
        <f t="shared" si="162"/>
        <v>20.66908056</v>
      </c>
      <c r="P116" s="348">
        <f t="shared" si="163"/>
        <v>0.3977781029</v>
      </c>
      <c r="Q116" s="292">
        <f t="shared" si="164"/>
        <v>472.6341576</v>
      </c>
      <c r="R116" s="347">
        <v>0.06</v>
      </c>
      <c r="S116" s="351"/>
      <c r="T116" s="299">
        <f t="shared" si="141"/>
        <v>135000</v>
      </c>
      <c r="U116" s="315">
        <f t="shared" si="142"/>
        <v>127372.5</v>
      </c>
      <c r="V116" s="315">
        <f t="shared" si="143"/>
        <v>27000</v>
      </c>
      <c r="W116" s="320">
        <f t="shared" si="144"/>
        <v>88800</v>
      </c>
      <c r="X116" s="321">
        <f t="shared" si="145"/>
        <v>0.7297297297</v>
      </c>
      <c r="Y116" s="388">
        <f t="shared" si="165"/>
        <v>0.421875</v>
      </c>
      <c r="Z116" s="321">
        <f t="shared" si="146"/>
        <v>0.2775</v>
      </c>
      <c r="AA116" s="353"/>
      <c r="AB116" s="353"/>
      <c r="AC116" s="353"/>
      <c r="AD116" s="354"/>
      <c r="AE116" s="353"/>
      <c r="AF116" s="353"/>
      <c r="AG116" s="353"/>
      <c r="AH116" s="354" t="str">
        <f t="shared" ref="AH116:AH141" si="172">IFERROR(AVERAGE(AE116:AG116),"")</f>
        <v/>
      </c>
      <c r="AI116" s="355">
        <f t="shared" ref="AI116:AI141" si="173">AE116+AF116+AG116</f>
        <v>0</v>
      </c>
    </row>
    <row r="117">
      <c r="A117" s="344">
        <v>2025.0</v>
      </c>
      <c r="B117" s="344" t="s">
        <v>923</v>
      </c>
      <c r="C117" s="344" t="s">
        <v>924</v>
      </c>
      <c r="D117" s="344" t="s">
        <v>909</v>
      </c>
      <c r="E117" s="290">
        <f t="shared" ref="E117:E118" si="174">E329*1.1</f>
        <v>0</v>
      </c>
      <c r="F117" s="345">
        <v>250000.0</v>
      </c>
      <c r="G117" s="346">
        <v>1.0</v>
      </c>
      <c r="H117" s="292">
        <f t="shared" si="158"/>
        <v>0</v>
      </c>
      <c r="I117" s="347">
        <v>0.035</v>
      </c>
      <c r="J117" s="348">
        <f t="shared" si="159"/>
        <v>0</v>
      </c>
      <c r="K117" s="349">
        <f t="shared" si="160"/>
        <v>0</v>
      </c>
      <c r="L117" s="296">
        <v>0.001397</v>
      </c>
      <c r="M117" s="347">
        <v>0.0215</v>
      </c>
      <c r="N117" s="350">
        <f t="shared" si="161"/>
        <v>0.0014270355</v>
      </c>
      <c r="O117" s="348">
        <f t="shared" si="162"/>
        <v>15</v>
      </c>
      <c r="P117" s="348">
        <f t="shared" si="163"/>
        <v>0.0215</v>
      </c>
      <c r="Q117" s="292">
        <f t="shared" si="164"/>
        <v>369.2454356</v>
      </c>
      <c r="R117" s="347">
        <v>0.06</v>
      </c>
      <c r="S117" s="351"/>
      <c r="T117" s="299">
        <f t="shared" si="141"/>
        <v>250000</v>
      </c>
      <c r="U117" s="315">
        <f t="shared" si="142"/>
        <v>235875</v>
      </c>
      <c r="V117" s="315">
        <f t="shared" si="143"/>
        <v>50000</v>
      </c>
      <c r="W117" s="320">
        <f t="shared" si="144"/>
        <v>185000</v>
      </c>
      <c r="X117" s="321" t="str">
        <f t="shared" si="145"/>
        <v/>
      </c>
      <c r="Y117" s="352">
        <f t="shared" si="165"/>
        <v>1</v>
      </c>
      <c r="Z117" s="321">
        <f t="shared" si="146"/>
        <v>0.74</v>
      </c>
      <c r="AA117" s="353"/>
      <c r="AB117" s="353"/>
      <c r="AC117" s="353"/>
      <c r="AD117" s="354"/>
      <c r="AE117" s="353"/>
      <c r="AF117" s="353"/>
      <c r="AG117" s="353"/>
      <c r="AH117" s="354" t="str">
        <f t="shared" si="172"/>
        <v/>
      </c>
      <c r="AI117" s="355">
        <f t="shared" si="173"/>
        <v>0</v>
      </c>
    </row>
    <row r="118">
      <c r="A118" s="382">
        <v>2026.0</v>
      </c>
      <c r="B118" s="344" t="s">
        <v>923</v>
      </c>
      <c r="C118" s="344" t="s">
        <v>924</v>
      </c>
      <c r="D118" s="344" t="s">
        <v>909</v>
      </c>
      <c r="E118" s="290">
        <f t="shared" si="174"/>
        <v>0</v>
      </c>
      <c r="F118" s="345">
        <v>330000.0</v>
      </c>
      <c r="G118" s="346">
        <v>1.0</v>
      </c>
      <c r="H118" s="292">
        <f t="shared" si="158"/>
        <v>0</v>
      </c>
      <c r="I118" s="347">
        <v>0.035</v>
      </c>
      <c r="J118" s="348">
        <f t="shared" si="159"/>
        <v>0</v>
      </c>
      <c r="K118" s="349">
        <f t="shared" si="160"/>
        <v>0</v>
      </c>
      <c r="L118" s="296">
        <v>0.001397</v>
      </c>
      <c r="M118" s="347">
        <v>0.0215</v>
      </c>
      <c r="N118" s="350">
        <f t="shared" si="161"/>
        <v>0.0014270355</v>
      </c>
      <c r="O118" s="348">
        <f t="shared" si="162"/>
        <v>15</v>
      </c>
      <c r="P118" s="348">
        <f t="shared" si="163"/>
        <v>0.0215</v>
      </c>
      <c r="Q118" s="292">
        <f t="shared" si="164"/>
        <v>487.403975</v>
      </c>
      <c r="R118" s="347">
        <v>0.06</v>
      </c>
      <c r="S118" s="351"/>
      <c r="T118" s="299">
        <f t="shared" si="141"/>
        <v>330000</v>
      </c>
      <c r="U118" s="315">
        <f t="shared" si="142"/>
        <v>311355</v>
      </c>
      <c r="V118" s="315">
        <f t="shared" si="143"/>
        <v>66000</v>
      </c>
      <c r="W118" s="320">
        <f t="shared" si="144"/>
        <v>244200</v>
      </c>
      <c r="X118" s="321" t="str">
        <f t="shared" si="145"/>
        <v/>
      </c>
      <c r="Y118" s="352">
        <f t="shared" si="165"/>
        <v>1</v>
      </c>
      <c r="Z118" s="321">
        <f t="shared" si="146"/>
        <v>0.74</v>
      </c>
      <c r="AA118" s="353"/>
      <c r="AB118" s="353"/>
      <c r="AC118" s="353"/>
      <c r="AD118" s="354"/>
      <c r="AE118" s="353"/>
      <c r="AF118" s="353"/>
      <c r="AG118" s="353"/>
      <c r="AH118" s="354" t="str">
        <f t="shared" si="172"/>
        <v/>
      </c>
      <c r="AI118" s="355">
        <f t="shared" si="173"/>
        <v>0</v>
      </c>
    </row>
    <row r="119">
      <c r="A119" s="344">
        <v>2025.0</v>
      </c>
      <c r="B119" s="344" t="s">
        <v>925</v>
      </c>
      <c r="C119" s="344" t="s">
        <v>926</v>
      </c>
      <c r="D119" s="344" t="s">
        <v>846</v>
      </c>
      <c r="E119" s="387">
        <v>120000.0</v>
      </c>
      <c r="F119" s="387">
        <v>200000.0</v>
      </c>
      <c r="G119" s="346">
        <v>1.0</v>
      </c>
      <c r="H119" s="292">
        <f t="shared" si="158"/>
        <v>177.2378091</v>
      </c>
      <c r="I119" s="347">
        <v>0.035</v>
      </c>
      <c r="J119" s="348">
        <f t="shared" si="159"/>
        <v>171.0344858</v>
      </c>
      <c r="K119" s="349">
        <f t="shared" si="160"/>
        <v>6.203323319</v>
      </c>
      <c r="L119" s="296">
        <v>0.001397</v>
      </c>
      <c r="M119" s="347">
        <v>0.0215</v>
      </c>
      <c r="N119" s="350">
        <f t="shared" si="161"/>
        <v>0.0014270355</v>
      </c>
      <c r="O119" s="348">
        <f t="shared" si="162"/>
        <v>18.67724144</v>
      </c>
      <c r="P119" s="348">
        <f t="shared" si="163"/>
        <v>0.2655722829</v>
      </c>
      <c r="Q119" s="292">
        <f t="shared" si="164"/>
        <v>295.3963485</v>
      </c>
      <c r="R119" s="347">
        <v>0.06</v>
      </c>
      <c r="S119" s="351"/>
      <c r="T119" s="299">
        <f t="shared" si="141"/>
        <v>80000</v>
      </c>
      <c r="U119" s="315">
        <f t="shared" si="142"/>
        <v>75480</v>
      </c>
      <c r="V119" s="315">
        <f t="shared" si="143"/>
        <v>16000</v>
      </c>
      <c r="W119" s="320">
        <f t="shared" si="144"/>
        <v>52000</v>
      </c>
      <c r="X119" s="321">
        <f t="shared" si="145"/>
        <v>0.6666666667</v>
      </c>
      <c r="Y119" s="388">
        <f t="shared" si="165"/>
        <v>0.4</v>
      </c>
      <c r="Z119" s="321">
        <f t="shared" si="146"/>
        <v>0.26</v>
      </c>
      <c r="AA119" s="353"/>
      <c r="AB119" s="353"/>
      <c r="AC119" s="353"/>
      <c r="AD119" s="354"/>
      <c r="AE119" s="353"/>
      <c r="AF119" s="353"/>
      <c r="AG119" s="353"/>
      <c r="AH119" s="354" t="str">
        <f t="shared" si="172"/>
        <v/>
      </c>
      <c r="AI119" s="355">
        <f t="shared" si="173"/>
        <v>0</v>
      </c>
    </row>
    <row r="120">
      <c r="A120" s="344">
        <v>2025.0</v>
      </c>
      <c r="B120" s="344" t="s">
        <v>927</v>
      </c>
      <c r="C120" s="344" t="s">
        <v>926</v>
      </c>
      <c r="D120" s="389" t="s">
        <v>290</v>
      </c>
      <c r="E120" s="387">
        <v>240000.0</v>
      </c>
      <c r="F120" s="387">
        <v>360000.0</v>
      </c>
      <c r="G120" s="346">
        <v>1.0</v>
      </c>
      <c r="H120" s="292">
        <f t="shared" si="158"/>
        <v>354.4756182</v>
      </c>
      <c r="I120" s="347">
        <v>0.035</v>
      </c>
      <c r="J120" s="348">
        <f t="shared" si="159"/>
        <v>342.0689716</v>
      </c>
      <c r="K120" s="349">
        <f t="shared" si="160"/>
        <v>12.40664664</v>
      </c>
      <c r="L120" s="296">
        <v>0.001397</v>
      </c>
      <c r="M120" s="347">
        <v>0.0215</v>
      </c>
      <c r="N120" s="350">
        <f t="shared" si="161"/>
        <v>0.0014270355</v>
      </c>
      <c r="O120" s="348">
        <f t="shared" si="162"/>
        <v>22.35448289</v>
      </c>
      <c r="P120" s="348">
        <f t="shared" si="163"/>
        <v>0.5096445659</v>
      </c>
      <c r="Q120" s="292">
        <f t="shared" si="164"/>
        <v>531.7134273</v>
      </c>
      <c r="R120" s="347">
        <v>0.06</v>
      </c>
      <c r="S120" s="351"/>
      <c r="T120" s="299">
        <f t="shared" si="141"/>
        <v>120000</v>
      </c>
      <c r="U120" s="315">
        <f t="shared" si="142"/>
        <v>113220</v>
      </c>
      <c r="V120" s="315">
        <f t="shared" si="143"/>
        <v>24000</v>
      </c>
      <c r="W120" s="320">
        <f t="shared" si="144"/>
        <v>74400</v>
      </c>
      <c r="X120" s="321">
        <f t="shared" si="145"/>
        <v>0.5</v>
      </c>
      <c r="Y120" s="388">
        <f t="shared" si="165"/>
        <v>0.3333333333</v>
      </c>
      <c r="Z120" s="321">
        <f t="shared" si="146"/>
        <v>0.2066666667</v>
      </c>
      <c r="AA120" s="353"/>
      <c r="AB120" s="353"/>
      <c r="AC120" s="353"/>
      <c r="AD120" s="354"/>
      <c r="AE120" s="353"/>
      <c r="AF120" s="353"/>
      <c r="AG120" s="353"/>
      <c r="AH120" s="354" t="str">
        <f t="shared" si="172"/>
        <v/>
      </c>
      <c r="AI120" s="355">
        <f t="shared" si="173"/>
        <v>0</v>
      </c>
    </row>
    <row r="121">
      <c r="A121" s="344">
        <v>2025.0</v>
      </c>
      <c r="B121" s="344" t="s">
        <v>928</v>
      </c>
      <c r="C121" s="344" t="s">
        <v>926</v>
      </c>
      <c r="D121" s="389" t="s">
        <v>291</v>
      </c>
      <c r="E121" s="387">
        <v>300000.0</v>
      </c>
      <c r="F121" s="387">
        <v>440000.0</v>
      </c>
      <c r="G121" s="346">
        <v>1.0</v>
      </c>
      <c r="H121" s="292">
        <f t="shared" si="158"/>
        <v>443.0945228</v>
      </c>
      <c r="I121" s="347">
        <v>0.035</v>
      </c>
      <c r="J121" s="348">
        <f t="shared" si="159"/>
        <v>427.5862145</v>
      </c>
      <c r="K121" s="349">
        <f t="shared" si="160"/>
        <v>15.5083083</v>
      </c>
      <c r="L121" s="296">
        <v>0.001397</v>
      </c>
      <c r="M121" s="347">
        <v>0.0215</v>
      </c>
      <c r="N121" s="350">
        <f t="shared" si="161"/>
        <v>0.0014270355</v>
      </c>
      <c r="O121" s="348">
        <f t="shared" si="162"/>
        <v>24.19310361</v>
      </c>
      <c r="P121" s="348">
        <f t="shared" si="163"/>
        <v>0.6316807073</v>
      </c>
      <c r="Q121" s="292">
        <f t="shared" si="164"/>
        <v>649.8719667</v>
      </c>
      <c r="R121" s="347">
        <v>0.06</v>
      </c>
      <c r="S121" s="351"/>
      <c r="T121" s="299">
        <f t="shared" si="141"/>
        <v>140000</v>
      </c>
      <c r="U121" s="315">
        <f t="shared" si="142"/>
        <v>132090</v>
      </c>
      <c r="V121" s="315">
        <f t="shared" si="143"/>
        <v>28000</v>
      </c>
      <c r="W121" s="320">
        <f t="shared" si="144"/>
        <v>85600</v>
      </c>
      <c r="X121" s="321">
        <f t="shared" si="145"/>
        <v>0.4666666667</v>
      </c>
      <c r="Y121" s="388">
        <f t="shared" si="165"/>
        <v>0.3181818182</v>
      </c>
      <c r="Z121" s="321">
        <f t="shared" si="146"/>
        <v>0.1945454545</v>
      </c>
      <c r="AA121" s="353"/>
      <c r="AB121" s="353"/>
      <c r="AC121" s="353"/>
      <c r="AD121" s="354"/>
      <c r="AE121" s="353"/>
      <c r="AF121" s="353"/>
      <c r="AG121" s="353"/>
      <c r="AH121" s="354" t="str">
        <f t="shared" si="172"/>
        <v/>
      </c>
      <c r="AI121" s="355">
        <f t="shared" si="173"/>
        <v>0</v>
      </c>
    </row>
    <row r="122">
      <c r="A122" s="344">
        <v>2025.0</v>
      </c>
      <c r="B122" s="344" t="s">
        <v>929</v>
      </c>
      <c r="C122" s="344" t="s">
        <v>926</v>
      </c>
      <c r="D122" s="389" t="s">
        <v>292</v>
      </c>
      <c r="E122" s="387">
        <v>360000.0</v>
      </c>
      <c r="F122" s="387">
        <v>550000.0</v>
      </c>
      <c r="G122" s="346">
        <v>1.0</v>
      </c>
      <c r="H122" s="292">
        <f t="shared" si="158"/>
        <v>531.7134273</v>
      </c>
      <c r="I122" s="347">
        <v>0.035</v>
      </c>
      <c r="J122" s="348">
        <f t="shared" si="159"/>
        <v>513.1034573</v>
      </c>
      <c r="K122" s="349">
        <f t="shared" si="160"/>
        <v>18.60996996</v>
      </c>
      <c r="L122" s="296">
        <v>0.001397</v>
      </c>
      <c r="M122" s="347">
        <v>0.0215</v>
      </c>
      <c r="N122" s="350">
        <f t="shared" si="161"/>
        <v>0.0014270355</v>
      </c>
      <c r="O122" s="348">
        <f t="shared" si="162"/>
        <v>26.03172433</v>
      </c>
      <c r="P122" s="348">
        <f t="shared" si="163"/>
        <v>0.7537168488</v>
      </c>
      <c r="Q122" s="292">
        <f t="shared" si="164"/>
        <v>812.3399584</v>
      </c>
      <c r="R122" s="347">
        <v>0.06</v>
      </c>
      <c r="S122" s="351"/>
      <c r="T122" s="299">
        <f t="shared" si="141"/>
        <v>190000</v>
      </c>
      <c r="U122" s="315">
        <f t="shared" si="142"/>
        <v>179265</v>
      </c>
      <c r="V122" s="315">
        <f t="shared" si="143"/>
        <v>38000</v>
      </c>
      <c r="W122" s="320">
        <f t="shared" si="144"/>
        <v>119000</v>
      </c>
      <c r="X122" s="321">
        <f t="shared" si="145"/>
        <v>0.5277777778</v>
      </c>
      <c r="Y122" s="388">
        <f t="shared" si="165"/>
        <v>0.3454545455</v>
      </c>
      <c r="Z122" s="321">
        <f t="shared" si="146"/>
        <v>0.2163636364</v>
      </c>
      <c r="AA122" s="353"/>
      <c r="AB122" s="353"/>
      <c r="AC122" s="353"/>
      <c r="AD122" s="354"/>
      <c r="AE122" s="353"/>
      <c r="AF122" s="353"/>
      <c r="AG122" s="353"/>
      <c r="AH122" s="354" t="str">
        <f t="shared" si="172"/>
        <v/>
      </c>
      <c r="AI122" s="355">
        <f t="shared" si="173"/>
        <v>0</v>
      </c>
    </row>
    <row r="123">
      <c r="A123" s="344">
        <v>2025.0</v>
      </c>
      <c r="B123" s="344" t="s">
        <v>930</v>
      </c>
      <c r="C123" s="344" t="s">
        <v>926</v>
      </c>
      <c r="D123" s="390" t="s">
        <v>293</v>
      </c>
      <c r="E123" s="387">
        <v>500000.0</v>
      </c>
      <c r="F123" s="387">
        <v>840000.0</v>
      </c>
      <c r="G123" s="346">
        <v>1.0</v>
      </c>
      <c r="H123" s="292">
        <f t="shared" si="158"/>
        <v>738.4908713</v>
      </c>
      <c r="I123" s="347">
        <v>0.035</v>
      </c>
      <c r="J123" s="348">
        <f t="shared" si="159"/>
        <v>712.6436908</v>
      </c>
      <c r="K123" s="349">
        <f t="shared" si="160"/>
        <v>25.84718049</v>
      </c>
      <c r="L123" s="296">
        <v>0.001397</v>
      </c>
      <c r="M123" s="347">
        <v>0.0215</v>
      </c>
      <c r="N123" s="350">
        <f t="shared" si="161"/>
        <v>0.0014270355</v>
      </c>
      <c r="O123" s="348">
        <f t="shared" si="162"/>
        <v>30.32183935</v>
      </c>
      <c r="P123" s="348">
        <f t="shared" si="163"/>
        <v>1.038467846</v>
      </c>
      <c r="Q123" s="292">
        <f t="shared" si="164"/>
        <v>1240.664664</v>
      </c>
      <c r="R123" s="347">
        <v>0.06</v>
      </c>
      <c r="S123" s="351"/>
      <c r="T123" s="299">
        <f t="shared" si="141"/>
        <v>340000</v>
      </c>
      <c r="U123" s="315">
        <f t="shared" si="142"/>
        <v>320790</v>
      </c>
      <c r="V123" s="315">
        <f t="shared" si="143"/>
        <v>68000</v>
      </c>
      <c r="W123" s="320">
        <f t="shared" si="144"/>
        <v>221600</v>
      </c>
      <c r="X123" s="321">
        <f t="shared" si="145"/>
        <v>0.68</v>
      </c>
      <c r="Y123" s="388">
        <f t="shared" si="165"/>
        <v>0.4047619048</v>
      </c>
      <c r="Z123" s="321">
        <f t="shared" si="146"/>
        <v>0.2638095238</v>
      </c>
      <c r="AA123" s="353"/>
      <c r="AB123" s="353"/>
      <c r="AC123" s="353"/>
      <c r="AD123" s="354"/>
      <c r="AE123" s="353"/>
      <c r="AF123" s="353"/>
      <c r="AG123" s="353"/>
      <c r="AH123" s="354" t="str">
        <f t="shared" si="172"/>
        <v/>
      </c>
      <c r="AI123" s="355">
        <f t="shared" si="173"/>
        <v>0</v>
      </c>
    </row>
    <row r="124">
      <c r="A124" s="344">
        <v>2025.0</v>
      </c>
      <c r="B124" s="344" t="s">
        <v>931</v>
      </c>
      <c r="C124" s="344" t="s">
        <v>926</v>
      </c>
      <c r="D124" s="390" t="s">
        <v>294</v>
      </c>
      <c r="E124" s="387">
        <v>600000.0</v>
      </c>
      <c r="F124" s="387">
        <v>1000000.0</v>
      </c>
      <c r="G124" s="346">
        <v>1.0</v>
      </c>
      <c r="H124" s="292">
        <f t="shared" si="158"/>
        <v>886.1890455</v>
      </c>
      <c r="I124" s="347">
        <v>0.035</v>
      </c>
      <c r="J124" s="348">
        <f t="shared" si="159"/>
        <v>855.1724289</v>
      </c>
      <c r="K124" s="349">
        <f t="shared" si="160"/>
        <v>31.01661659</v>
      </c>
      <c r="L124" s="296">
        <v>0.001397</v>
      </c>
      <c r="M124" s="347">
        <v>0.0215</v>
      </c>
      <c r="N124" s="350">
        <f t="shared" si="161"/>
        <v>0.0014270355</v>
      </c>
      <c r="O124" s="348">
        <f t="shared" si="162"/>
        <v>33.38620722</v>
      </c>
      <c r="P124" s="348">
        <f t="shared" si="163"/>
        <v>1.241861415</v>
      </c>
      <c r="Q124" s="292">
        <f t="shared" si="164"/>
        <v>1476.981743</v>
      </c>
      <c r="R124" s="347">
        <v>0.06</v>
      </c>
      <c r="S124" s="351"/>
      <c r="T124" s="299">
        <f t="shared" si="141"/>
        <v>400000</v>
      </c>
      <c r="U124" s="315">
        <f t="shared" si="142"/>
        <v>377400</v>
      </c>
      <c r="V124" s="315">
        <f t="shared" si="143"/>
        <v>80000</v>
      </c>
      <c r="W124" s="320">
        <f t="shared" si="144"/>
        <v>260000</v>
      </c>
      <c r="X124" s="321">
        <f t="shared" si="145"/>
        <v>0.6666666667</v>
      </c>
      <c r="Y124" s="388">
        <f t="shared" si="165"/>
        <v>0.4</v>
      </c>
      <c r="Z124" s="321">
        <f t="shared" si="146"/>
        <v>0.26</v>
      </c>
      <c r="AA124" s="353"/>
      <c r="AB124" s="353"/>
      <c r="AC124" s="353"/>
      <c r="AD124" s="354"/>
      <c r="AE124" s="353"/>
      <c r="AF124" s="353"/>
      <c r="AG124" s="353"/>
      <c r="AH124" s="354" t="str">
        <f t="shared" si="172"/>
        <v/>
      </c>
      <c r="AI124" s="355">
        <f t="shared" si="173"/>
        <v>0</v>
      </c>
    </row>
    <row r="125">
      <c r="A125" s="344">
        <v>2025.0</v>
      </c>
      <c r="B125" s="344" t="s">
        <v>932</v>
      </c>
      <c r="C125" s="379" t="s">
        <v>933</v>
      </c>
      <c r="D125" s="344" t="s">
        <v>846</v>
      </c>
      <c r="E125" s="387">
        <v>250000.0</v>
      </c>
      <c r="F125" s="387">
        <f t="shared" ref="F125:F126" si="175">E125*1.6</f>
        <v>400000</v>
      </c>
      <c r="G125" s="346">
        <v>1.0</v>
      </c>
      <c r="H125" s="292">
        <f t="shared" si="158"/>
        <v>369.2454356</v>
      </c>
      <c r="I125" s="347">
        <v>0.035</v>
      </c>
      <c r="J125" s="348">
        <f t="shared" si="159"/>
        <v>356.3218454</v>
      </c>
      <c r="K125" s="349">
        <f t="shared" si="160"/>
        <v>12.92359025</v>
      </c>
      <c r="L125" s="296">
        <v>0.001397</v>
      </c>
      <c r="M125" s="347">
        <v>0.0215</v>
      </c>
      <c r="N125" s="350">
        <f t="shared" si="161"/>
        <v>0.0014270355</v>
      </c>
      <c r="O125" s="348">
        <f t="shared" si="162"/>
        <v>22.66091968</v>
      </c>
      <c r="P125" s="348">
        <f t="shared" si="163"/>
        <v>0.5299839228</v>
      </c>
      <c r="Q125" s="292">
        <f t="shared" si="164"/>
        <v>590.792697</v>
      </c>
      <c r="R125" s="347">
        <v>0.06</v>
      </c>
      <c r="S125" s="351"/>
      <c r="T125" s="299">
        <f t="shared" si="141"/>
        <v>150000</v>
      </c>
      <c r="U125" s="315">
        <f t="shared" si="142"/>
        <v>141525</v>
      </c>
      <c r="V125" s="315">
        <f t="shared" si="143"/>
        <v>30000</v>
      </c>
      <c r="W125" s="320">
        <f t="shared" si="144"/>
        <v>96000</v>
      </c>
      <c r="X125" s="321">
        <f t="shared" si="145"/>
        <v>0.6</v>
      </c>
      <c r="Y125" s="388">
        <f t="shared" si="165"/>
        <v>0.375</v>
      </c>
      <c r="Z125" s="321">
        <f t="shared" si="146"/>
        <v>0.24</v>
      </c>
      <c r="AA125" s="353"/>
      <c r="AB125" s="353"/>
      <c r="AC125" s="353"/>
      <c r="AD125" s="354"/>
      <c r="AE125" s="353"/>
      <c r="AF125" s="353"/>
      <c r="AG125" s="353"/>
      <c r="AH125" s="354" t="str">
        <f t="shared" si="172"/>
        <v/>
      </c>
      <c r="AI125" s="355">
        <f t="shared" si="173"/>
        <v>0</v>
      </c>
    </row>
    <row r="126">
      <c r="A126" s="344">
        <v>2025.0</v>
      </c>
      <c r="B126" s="344" t="s">
        <v>934</v>
      </c>
      <c r="C126" s="379" t="s">
        <v>933</v>
      </c>
      <c r="D126" s="389" t="s">
        <v>290</v>
      </c>
      <c r="E126" s="387">
        <v>350000.0</v>
      </c>
      <c r="F126" s="387">
        <f t="shared" si="175"/>
        <v>560000</v>
      </c>
      <c r="G126" s="346">
        <v>1.0</v>
      </c>
      <c r="H126" s="292">
        <f t="shared" si="158"/>
        <v>516.9436099</v>
      </c>
      <c r="I126" s="347">
        <v>0.035</v>
      </c>
      <c r="J126" s="348">
        <f t="shared" si="159"/>
        <v>498.8505835</v>
      </c>
      <c r="K126" s="349">
        <f t="shared" si="160"/>
        <v>18.09302635</v>
      </c>
      <c r="L126" s="296">
        <v>0.001397</v>
      </c>
      <c r="M126" s="347">
        <v>0.0215</v>
      </c>
      <c r="N126" s="350">
        <f t="shared" si="161"/>
        <v>0.0014270355</v>
      </c>
      <c r="O126" s="348">
        <f t="shared" si="162"/>
        <v>25.72528755</v>
      </c>
      <c r="P126" s="348">
        <f t="shared" si="163"/>
        <v>0.7333774919</v>
      </c>
      <c r="Q126" s="292">
        <f t="shared" si="164"/>
        <v>827.1097758</v>
      </c>
      <c r="R126" s="347">
        <v>0.06</v>
      </c>
      <c r="S126" s="351"/>
      <c r="T126" s="299">
        <f t="shared" si="141"/>
        <v>210000</v>
      </c>
      <c r="U126" s="315">
        <f t="shared" si="142"/>
        <v>198135</v>
      </c>
      <c r="V126" s="315">
        <f t="shared" si="143"/>
        <v>42000</v>
      </c>
      <c r="W126" s="320">
        <f t="shared" si="144"/>
        <v>134400</v>
      </c>
      <c r="X126" s="321">
        <f t="shared" si="145"/>
        <v>0.6</v>
      </c>
      <c r="Y126" s="388">
        <f t="shared" si="165"/>
        <v>0.375</v>
      </c>
      <c r="Z126" s="321">
        <f t="shared" si="146"/>
        <v>0.24</v>
      </c>
      <c r="AA126" s="353"/>
      <c r="AB126" s="353"/>
      <c r="AC126" s="353"/>
      <c r="AD126" s="354"/>
      <c r="AE126" s="353"/>
      <c r="AF126" s="353"/>
      <c r="AG126" s="353"/>
      <c r="AH126" s="354" t="str">
        <f t="shared" si="172"/>
        <v/>
      </c>
      <c r="AI126" s="355">
        <f t="shared" si="173"/>
        <v>0</v>
      </c>
    </row>
    <row r="127">
      <c r="A127" s="344">
        <v>2025.0</v>
      </c>
      <c r="B127" s="344" t="s">
        <v>935</v>
      </c>
      <c r="C127" s="344" t="s">
        <v>933</v>
      </c>
      <c r="D127" s="389" t="s">
        <v>291</v>
      </c>
      <c r="E127" s="387">
        <v>400000.0</v>
      </c>
      <c r="F127" s="387">
        <v>590000.0</v>
      </c>
      <c r="G127" s="346">
        <v>1.0</v>
      </c>
      <c r="H127" s="292">
        <f t="shared" si="158"/>
        <v>590.792697</v>
      </c>
      <c r="I127" s="347">
        <v>0.035</v>
      </c>
      <c r="J127" s="348">
        <f t="shared" si="159"/>
        <v>570.1149526</v>
      </c>
      <c r="K127" s="349">
        <f t="shared" si="160"/>
        <v>20.6777444</v>
      </c>
      <c r="L127" s="296">
        <v>0.001397</v>
      </c>
      <c r="M127" s="347">
        <v>0.0215</v>
      </c>
      <c r="N127" s="350">
        <f t="shared" si="161"/>
        <v>0.0014270355</v>
      </c>
      <c r="O127" s="348">
        <f t="shared" si="162"/>
        <v>27.25747148</v>
      </c>
      <c r="P127" s="348">
        <f t="shared" si="163"/>
        <v>0.8350742764</v>
      </c>
      <c r="Q127" s="292">
        <f t="shared" si="164"/>
        <v>871.4192281</v>
      </c>
      <c r="R127" s="347">
        <v>0.06</v>
      </c>
      <c r="S127" s="351"/>
      <c r="T127" s="299">
        <f t="shared" si="141"/>
        <v>190000</v>
      </c>
      <c r="U127" s="315">
        <f t="shared" si="142"/>
        <v>179265</v>
      </c>
      <c r="V127" s="315">
        <f t="shared" si="143"/>
        <v>38000</v>
      </c>
      <c r="W127" s="320">
        <f t="shared" si="144"/>
        <v>116600</v>
      </c>
      <c r="X127" s="321">
        <f t="shared" si="145"/>
        <v>0.475</v>
      </c>
      <c r="Y127" s="388">
        <f t="shared" si="165"/>
        <v>0.3220338983</v>
      </c>
      <c r="Z127" s="321">
        <f t="shared" si="146"/>
        <v>0.1976271186</v>
      </c>
      <c r="AA127" s="353"/>
      <c r="AB127" s="353"/>
      <c r="AC127" s="353"/>
      <c r="AD127" s="354"/>
      <c r="AE127" s="353"/>
      <c r="AF127" s="353"/>
      <c r="AG127" s="353"/>
      <c r="AH127" s="354" t="str">
        <f t="shared" si="172"/>
        <v/>
      </c>
      <c r="AI127" s="355">
        <f t="shared" si="173"/>
        <v>0</v>
      </c>
    </row>
    <row r="128">
      <c r="A128" s="344">
        <v>2025.0</v>
      </c>
      <c r="B128" s="344" t="s">
        <v>936</v>
      </c>
      <c r="C128" s="344" t="s">
        <v>933</v>
      </c>
      <c r="D128" s="389" t="s">
        <v>292</v>
      </c>
      <c r="E128" s="387">
        <v>500000.0</v>
      </c>
      <c r="F128" s="387">
        <v>780000.0</v>
      </c>
      <c r="G128" s="346">
        <v>1.0</v>
      </c>
      <c r="H128" s="292">
        <f t="shared" si="158"/>
        <v>738.4908713</v>
      </c>
      <c r="I128" s="347">
        <v>0.035</v>
      </c>
      <c r="J128" s="348">
        <f t="shared" si="159"/>
        <v>712.6436908</v>
      </c>
      <c r="K128" s="349">
        <f t="shared" si="160"/>
        <v>25.84718049</v>
      </c>
      <c r="L128" s="296">
        <v>0.001397</v>
      </c>
      <c r="M128" s="347">
        <v>0.0215</v>
      </c>
      <c r="N128" s="350">
        <f t="shared" si="161"/>
        <v>0.0014270355</v>
      </c>
      <c r="O128" s="348">
        <f t="shared" si="162"/>
        <v>30.32183935</v>
      </c>
      <c r="P128" s="348">
        <f t="shared" si="163"/>
        <v>1.038467846</v>
      </c>
      <c r="Q128" s="292">
        <f t="shared" si="164"/>
        <v>1152.045759</v>
      </c>
      <c r="R128" s="347">
        <v>0.06</v>
      </c>
      <c r="S128" s="351"/>
      <c r="T128" s="299">
        <f t="shared" si="141"/>
        <v>280000</v>
      </c>
      <c r="U128" s="315">
        <f t="shared" si="142"/>
        <v>264180</v>
      </c>
      <c r="V128" s="315">
        <f t="shared" si="143"/>
        <v>56000</v>
      </c>
      <c r="W128" s="320">
        <f t="shared" si="144"/>
        <v>177200</v>
      </c>
      <c r="X128" s="321">
        <f t="shared" si="145"/>
        <v>0.56</v>
      </c>
      <c r="Y128" s="388">
        <f t="shared" si="165"/>
        <v>0.358974359</v>
      </c>
      <c r="Z128" s="321">
        <f t="shared" si="146"/>
        <v>0.2271794872</v>
      </c>
      <c r="AA128" s="353"/>
      <c r="AB128" s="353"/>
      <c r="AC128" s="353"/>
      <c r="AD128" s="354"/>
      <c r="AE128" s="353"/>
      <c r="AF128" s="353"/>
      <c r="AG128" s="353"/>
      <c r="AH128" s="354" t="str">
        <f t="shared" si="172"/>
        <v/>
      </c>
      <c r="AI128" s="355">
        <f t="shared" si="173"/>
        <v>0</v>
      </c>
    </row>
    <row r="129">
      <c r="A129" s="344">
        <v>2025.0</v>
      </c>
      <c r="B129" s="344" t="s">
        <v>937</v>
      </c>
      <c r="C129" s="344" t="s">
        <v>933</v>
      </c>
      <c r="D129" s="390" t="s">
        <v>293</v>
      </c>
      <c r="E129" s="387">
        <v>600000.0</v>
      </c>
      <c r="F129" s="387">
        <v>1100000.0</v>
      </c>
      <c r="G129" s="346">
        <v>1.0</v>
      </c>
      <c r="H129" s="292">
        <f t="shared" si="158"/>
        <v>886.1890455</v>
      </c>
      <c r="I129" s="347">
        <v>0.035</v>
      </c>
      <c r="J129" s="348">
        <f t="shared" si="159"/>
        <v>855.1724289</v>
      </c>
      <c r="K129" s="349">
        <f t="shared" si="160"/>
        <v>31.01661659</v>
      </c>
      <c r="L129" s="296">
        <v>0.001397</v>
      </c>
      <c r="M129" s="347">
        <v>0.0215</v>
      </c>
      <c r="N129" s="350">
        <f t="shared" si="161"/>
        <v>0.0014270355</v>
      </c>
      <c r="O129" s="348">
        <f t="shared" si="162"/>
        <v>33.38620722</v>
      </c>
      <c r="P129" s="348">
        <f t="shared" si="163"/>
        <v>1.241861415</v>
      </c>
      <c r="Q129" s="292">
        <f t="shared" si="164"/>
        <v>1624.679917</v>
      </c>
      <c r="R129" s="347">
        <v>0.06</v>
      </c>
      <c r="S129" s="351"/>
      <c r="T129" s="299">
        <f t="shared" si="141"/>
        <v>500000</v>
      </c>
      <c r="U129" s="315">
        <f t="shared" si="142"/>
        <v>471750</v>
      </c>
      <c r="V129" s="315">
        <f t="shared" si="143"/>
        <v>100000</v>
      </c>
      <c r="W129" s="320">
        <f t="shared" si="144"/>
        <v>334000</v>
      </c>
      <c r="X129" s="321">
        <f t="shared" si="145"/>
        <v>0.8333333333</v>
      </c>
      <c r="Y129" s="388">
        <f t="shared" si="165"/>
        <v>0.4545454545</v>
      </c>
      <c r="Z129" s="321">
        <f t="shared" si="146"/>
        <v>0.3036363636</v>
      </c>
      <c r="AA129" s="353"/>
      <c r="AB129" s="353"/>
      <c r="AC129" s="353"/>
      <c r="AD129" s="354"/>
      <c r="AE129" s="353"/>
      <c r="AF129" s="353"/>
      <c r="AG129" s="353"/>
      <c r="AH129" s="354" t="str">
        <f t="shared" si="172"/>
        <v/>
      </c>
      <c r="AI129" s="355">
        <f t="shared" si="173"/>
        <v>0</v>
      </c>
    </row>
    <row r="130">
      <c r="A130" s="344">
        <v>2025.0</v>
      </c>
      <c r="B130" s="344" t="s">
        <v>938</v>
      </c>
      <c r="C130" s="344" t="s">
        <v>933</v>
      </c>
      <c r="D130" s="390" t="s">
        <v>294</v>
      </c>
      <c r="E130" s="387">
        <v>700000.0</v>
      </c>
      <c r="F130" s="387">
        <v>1400000.0</v>
      </c>
      <c r="G130" s="346">
        <v>1.0</v>
      </c>
      <c r="H130" s="292">
        <f t="shared" si="158"/>
        <v>1033.88722</v>
      </c>
      <c r="I130" s="347">
        <v>0.035</v>
      </c>
      <c r="J130" s="348">
        <f t="shared" si="159"/>
        <v>997.7011671</v>
      </c>
      <c r="K130" s="349">
        <f t="shared" si="160"/>
        <v>36.18605269</v>
      </c>
      <c r="L130" s="296">
        <v>0.001397</v>
      </c>
      <c r="M130" s="347">
        <v>0.0215</v>
      </c>
      <c r="N130" s="350">
        <f t="shared" si="161"/>
        <v>0.0014270355</v>
      </c>
      <c r="O130" s="348">
        <f t="shared" si="162"/>
        <v>36.45057509</v>
      </c>
      <c r="P130" s="348">
        <f t="shared" si="163"/>
        <v>1.445254984</v>
      </c>
      <c r="Q130" s="292">
        <f t="shared" si="164"/>
        <v>2067.77444</v>
      </c>
      <c r="R130" s="347">
        <v>0.06</v>
      </c>
      <c r="S130" s="351"/>
      <c r="T130" s="299">
        <f t="shared" si="141"/>
        <v>700000</v>
      </c>
      <c r="U130" s="315">
        <f t="shared" si="142"/>
        <v>660450</v>
      </c>
      <c r="V130" s="315">
        <f t="shared" si="143"/>
        <v>140000</v>
      </c>
      <c r="W130" s="320">
        <f t="shared" si="144"/>
        <v>476000</v>
      </c>
      <c r="X130" s="321">
        <f t="shared" si="145"/>
        <v>1</v>
      </c>
      <c r="Y130" s="388">
        <f t="shared" si="165"/>
        <v>0.5</v>
      </c>
      <c r="Z130" s="321">
        <f t="shared" si="146"/>
        <v>0.34</v>
      </c>
      <c r="AA130" s="353"/>
      <c r="AB130" s="353"/>
      <c r="AC130" s="353"/>
      <c r="AD130" s="354"/>
      <c r="AE130" s="353"/>
      <c r="AF130" s="353"/>
      <c r="AG130" s="353"/>
      <c r="AH130" s="354" t="str">
        <f t="shared" si="172"/>
        <v/>
      </c>
      <c r="AI130" s="355">
        <f t="shared" si="173"/>
        <v>0</v>
      </c>
    </row>
    <row r="131">
      <c r="A131" s="382">
        <v>2026.0</v>
      </c>
      <c r="B131" s="344" t="s">
        <v>936</v>
      </c>
      <c r="C131" s="344" t="s">
        <v>933</v>
      </c>
      <c r="D131" s="344" t="s">
        <v>292</v>
      </c>
      <c r="E131" s="290">
        <f>E343*1.1</f>
        <v>0</v>
      </c>
      <c r="F131" s="345">
        <v>700000.0</v>
      </c>
      <c r="G131" s="346">
        <v>1.0</v>
      </c>
      <c r="H131" s="292">
        <f t="shared" si="158"/>
        <v>0</v>
      </c>
      <c r="I131" s="347">
        <v>0.035</v>
      </c>
      <c r="J131" s="348">
        <f t="shared" si="159"/>
        <v>0</v>
      </c>
      <c r="K131" s="349">
        <f t="shared" si="160"/>
        <v>0</v>
      </c>
      <c r="L131" s="296">
        <v>0.001397</v>
      </c>
      <c r="M131" s="347">
        <v>0.0215</v>
      </c>
      <c r="N131" s="350">
        <f t="shared" si="161"/>
        <v>0.0014270355</v>
      </c>
      <c r="O131" s="348">
        <f t="shared" si="162"/>
        <v>15</v>
      </c>
      <c r="P131" s="348">
        <f t="shared" si="163"/>
        <v>0.0215</v>
      </c>
      <c r="Q131" s="292">
        <f t="shared" si="164"/>
        <v>1033.88722</v>
      </c>
      <c r="R131" s="347">
        <v>0.06</v>
      </c>
      <c r="S131" s="351"/>
      <c r="T131" s="299">
        <f t="shared" si="141"/>
        <v>700000</v>
      </c>
      <c r="U131" s="315">
        <f t="shared" si="142"/>
        <v>660450</v>
      </c>
      <c r="V131" s="315">
        <f t="shared" si="143"/>
        <v>140000</v>
      </c>
      <c r="W131" s="320">
        <f t="shared" si="144"/>
        <v>518000</v>
      </c>
      <c r="X131" s="321" t="str">
        <f t="shared" si="145"/>
        <v/>
      </c>
      <c r="Y131" s="352">
        <f t="shared" si="165"/>
        <v>1</v>
      </c>
      <c r="Z131" s="321">
        <f t="shared" si="146"/>
        <v>0.74</v>
      </c>
      <c r="AA131" s="353"/>
      <c r="AB131" s="353"/>
      <c r="AC131" s="353"/>
      <c r="AD131" s="354"/>
      <c r="AE131" s="353"/>
      <c r="AF131" s="353"/>
      <c r="AG131" s="353"/>
      <c r="AH131" s="354" t="str">
        <f t="shared" si="172"/>
        <v/>
      </c>
      <c r="AI131" s="355">
        <f t="shared" si="173"/>
        <v>0</v>
      </c>
    </row>
    <row r="132">
      <c r="A132" s="376">
        <v>2025.0</v>
      </c>
      <c r="B132" s="376" t="s">
        <v>939</v>
      </c>
      <c r="C132" s="376" t="s">
        <v>940</v>
      </c>
      <c r="D132" s="376" t="s">
        <v>897</v>
      </c>
      <c r="E132" s="377">
        <f>((598400)*1.1)+(110000/G132)</f>
        <v>768240</v>
      </c>
      <c r="F132" s="345">
        <f>E132*1.4</f>
        <v>1075536</v>
      </c>
      <c r="G132" s="346">
        <v>1.0</v>
      </c>
      <c r="H132" s="292">
        <f t="shared" si="158"/>
        <v>1134.676454</v>
      </c>
      <c r="I132" s="347">
        <v>0.035</v>
      </c>
      <c r="J132" s="348">
        <f t="shared" si="159"/>
        <v>1094.962778</v>
      </c>
      <c r="K132" s="349">
        <f t="shared" si="160"/>
        <v>39.71367589</v>
      </c>
      <c r="L132" s="296">
        <v>0.001397</v>
      </c>
      <c r="M132" s="347">
        <v>0.0215</v>
      </c>
      <c r="N132" s="350">
        <f t="shared" si="161"/>
        <v>0.0014270355</v>
      </c>
      <c r="O132" s="348">
        <f t="shared" si="162"/>
        <v>38.54169973</v>
      </c>
      <c r="P132" s="348">
        <f t="shared" si="163"/>
        <v>1.584050755</v>
      </c>
      <c r="Q132" s="292">
        <f t="shared" si="164"/>
        <v>1588.547035</v>
      </c>
      <c r="R132" s="347">
        <v>0.06</v>
      </c>
      <c r="S132" s="351"/>
      <c r="T132" s="299">
        <f t="shared" si="141"/>
        <v>307296</v>
      </c>
      <c r="U132" s="315">
        <f t="shared" si="142"/>
        <v>289933.776</v>
      </c>
      <c r="V132" s="315">
        <f t="shared" si="143"/>
        <v>61459.2</v>
      </c>
      <c r="W132" s="320">
        <f t="shared" si="144"/>
        <v>181304.64</v>
      </c>
      <c r="X132" s="321">
        <f t="shared" si="145"/>
        <v>0.4</v>
      </c>
      <c r="Y132" s="352">
        <f t="shared" si="165"/>
        <v>0.2857142857</v>
      </c>
      <c r="Z132" s="321">
        <f t="shared" si="146"/>
        <v>0.1685714286</v>
      </c>
      <c r="AA132" s="353"/>
      <c r="AB132" s="353"/>
      <c r="AC132" s="353"/>
      <c r="AD132" s="354"/>
      <c r="AE132" s="353"/>
      <c r="AF132" s="353"/>
      <c r="AG132" s="353"/>
      <c r="AH132" s="354" t="str">
        <f t="shared" si="172"/>
        <v/>
      </c>
      <c r="AI132" s="355">
        <f t="shared" si="173"/>
        <v>0</v>
      </c>
    </row>
    <row r="133">
      <c r="A133" s="376">
        <v>2025.0</v>
      </c>
      <c r="B133" s="376" t="s">
        <v>941</v>
      </c>
      <c r="C133" s="376" t="s">
        <v>940</v>
      </c>
      <c r="D133" s="376" t="s">
        <v>891</v>
      </c>
      <c r="E133" s="377">
        <f>((313600)*1.1)+(110000/G133)</f>
        <v>399960</v>
      </c>
      <c r="F133" s="345">
        <f t="shared" ref="F133:F135" si="176">E133*1.6</f>
        <v>639936</v>
      </c>
      <c r="G133" s="378">
        <v>2.0</v>
      </c>
      <c r="H133" s="292">
        <f t="shared" si="158"/>
        <v>1181.467235</v>
      </c>
      <c r="I133" s="347">
        <v>0.035</v>
      </c>
      <c r="J133" s="348">
        <f t="shared" si="159"/>
        <v>1140.115882</v>
      </c>
      <c r="K133" s="349">
        <f t="shared" si="160"/>
        <v>41.35135324</v>
      </c>
      <c r="L133" s="296">
        <v>0.001397</v>
      </c>
      <c r="M133" s="347">
        <v>0.0215</v>
      </c>
      <c r="N133" s="350">
        <f t="shared" si="161"/>
        <v>0.0014270355</v>
      </c>
      <c r="O133" s="348">
        <f t="shared" si="162"/>
        <v>39.51249147</v>
      </c>
      <c r="P133" s="348">
        <f t="shared" si="163"/>
        <v>1.648485838</v>
      </c>
      <c r="Q133" s="292">
        <f t="shared" si="164"/>
        <v>1890.347577</v>
      </c>
      <c r="R133" s="347">
        <v>0.06</v>
      </c>
      <c r="S133" s="351"/>
      <c r="T133" s="299">
        <f t="shared" si="141"/>
        <v>239976</v>
      </c>
      <c r="U133" s="315">
        <f t="shared" si="142"/>
        <v>226417.356</v>
      </c>
      <c r="V133" s="315">
        <f t="shared" si="143"/>
        <v>47995.2</v>
      </c>
      <c r="W133" s="320">
        <f t="shared" si="144"/>
        <v>153584.64</v>
      </c>
      <c r="X133" s="321">
        <f t="shared" si="145"/>
        <v>0.6</v>
      </c>
      <c r="Y133" s="352">
        <f t="shared" si="165"/>
        <v>0.375</v>
      </c>
      <c r="Z133" s="321">
        <f t="shared" si="146"/>
        <v>0.24</v>
      </c>
      <c r="AA133" s="353"/>
      <c r="AB133" s="353"/>
      <c r="AC133" s="353"/>
      <c r="AD133" s="354"/>
      <c r="AE133" s="353"/>
      <c r="AF133" s="353"/>
      <c r="AG133" s="353"/>
      <c r="AH133" s="354" t="str">
        <f t="shared" si="172"/>
        <v/>
      </c>
      <c r="AI133" s="355">
        <f t="shared" si="173"/>
        <v>0</v>
      </c>
    </row>
    <row r="134">
      <c r="A134" s="376">
        <v>2025.0</v>
      </c>
      <c r="B134" s="376" t="s">
        <v>942</v>
      </c>
      <c r="C134" s="376" t="s">
        <v>940</v>
      </c>
      <c r="D134" s="376" t="s">
        <v>893</v>
      </c>
      <c r="E134" s="377">
        <f>((276000)*1.1)+(110000/G134)</f>
        <v>340266.6667</v>
      </c>
      <c r="F134" s="345">
        <f t="shared" si="176"/>
        <v>544426.6667</v>
      </c>
      <c r="G134" s="378">
        <v>3.0</v>
      </c>
      <c r="H134" s="292">
        <f t="shared" si="158"/>
        <v>1507.702963</v>
      </c>
      <c r="I134" s="347">
        <v>0.035</v>
      </c>
      <c r="J134" s="348">
        <f t="shared" si="159"/>
        <v>1454.933359</v>
      </c>
      <c r="K134" s="349">
        <f t="shared" si="160"/>
        <v>52.7696037</v>
      </c>
      <c r="L134" s="296">
        <v>0.001397</v>
      </c>
      <c r="M134" s="347">
        <v>0.0215</v>
      </c>
      <c r="N134" s="350">
        <f t="shared" si="161"/>
        <v>0.0014270355</v>
      </c>
      <c r="O134" s="348">
        <f t="shared" si="162"/>
        <v>46.28106722</v>
      </c>
      <c r="P134" s="348">
        <f t="shared" si="163"/>
        <v>2.097741553</v>
      </c>
      <c r="Q134" s="292">
        <f t="shared" si="164"/>
        <v>2412.32474</v>
      </c>
      <c r="R134" s="347">
        <v>0.06</v>
      </c>
      <c r="S134" s="351"/>
      <c r="T134" s="299">
        <f t="shared" si="141"/>
        <v>204160</v>
      </c>
      <c r="U134" s="315">
        <f t="shared" si="142"/>
        <v>192624.96</v>
      </c>
      <c r="V134" s="315">
        <f t="shared" si="143"/>
        <v>40832</v>
      </c>
      <c r="W134" s="320">
        <f t="shared" si="144"/>
        <v>130662.4</v>
      </c>
      <c r="X134" s="321">
        <f t="shared" si="145"/>
        <v>0.6</v>
      </c>
      <c r="Y134" s="352">
        <f t="shared" si="165"/>
        <v>0.375</v>
      </c>
      <c r="Z134" s="321">
        <f t="shared" si="146"/>
        <v>0.24</v>
      </c>
      <c r="AA134" s="353"/>
      <c r="AB134" s="353"/>
      <c r="AC134" s="353"/>
      <c r="AD134" s="354"/>
      <c r="AE134" s="353"/>
      <c r="AF134" s="353"/>
      <c r="AG134" s="353"/>
      <c r="AH134" s="354" t="str">
        <f t="shared" si="172"/>
        <v/>
      </c>
      <c r="AI134" s="355">
        <f t="shared" si="173"/>
        <v>0</v>
      </c>
    </row>
    <row r="135">
      <c r="A135" s="376">
        <v>2025.0</v>
      </c>
      <c r="B135" s="376" t="s">
        <v>943</v>
      </c>
      <c r="C135" s="376" t="s">
        <v>940</v>
      </c>
      <c r="D135" s="376" t="s">
        <v>895</v>
      </c>
      <c r="E135" s="377">
        <f>((248000)*1.1)+(110000/G135)</f>
        <v>300300</v>
      </c>
      <c r="F135" s="345">
        <f t="shared" si="176"/>
        <v>480480</v>
      </c>
      <c r="G135" s="378">
        <v>4.0</v>
      </c>
      <c r="H135" s="292">
        <f t="shared" si="158"/>
        <v>1774.150469</v>
      </c>
      <c r="I135" s="347">
        <v>0.035</v>
      </c>
      <c r="J135" s="348">
        <f t="shared" si="159"/>
        <v>1712.055203</v>
      </c>
      <c r="K135" s="349">
        <f t="shared" si="160"/>
        <v>62.09526642</v>
      </c>
      <c r="L135" s="296">
        <v>0.001397</v>
      </c>
      <c r="M135" s="347">
        <v>0.0215</v>
      </c>
      <c r="N135" s="350">
        <f t="shared" si="161"/>
        <v>0.0014270355</v>
      </c>
      <c r="O135" s="348">
        <f t="shared" si="162"/>
        <v>51.80918686</v>
      </c>
      <c r="P135" s="348">
        <f t="shared" si="163"/>
        <v>2.464663552</v>
      </c>
      <c r="Q135" s="292">
        <f t="shared" si="164"/>
        <v>2838.640751</v>
      </c>
      <c r="R135" s="347">
        <v>0.06</v>
      </c>
      <c r="S135" s="351"/>
      <c r="T135" s="299">
        <f t="shared" si="141"/>
        <v>180180</v>
      </c>
      <c r="U135" s="315">
        <f t="shared" si="142"/>
        <v>169999.83</v>
      </c>
      <c r="V135" s="315">
        <f t="shared" si="143"/>
        <v>36036</v>
      </c>
      <c r="W135" s="320">
        <f t="shared" si="144"/>
        <v>115315.2</v>
      </c>
      <c r="X135" s="321">
        <f t="shared" si="145"/>
        <v>0.6</v>
      </c>
      <c r="Y135" s="352">
        <f t="shared" si="165"/>
        <v>0.375</v>
      </c>
      <c r="Z135" s="321">
        <f t="shared" si="146"/>
        <v>0.24</v>
      </c>
      <c r="AA135" s="353"/>
      <c r="AB135" s="353"/>
      <c r="AC135" s="353"/>
      <c r="AD135" s="354"/>
      <c r="AE135" s="353"/>
      <c r="AF135" s="353"/>
      <c r="AG135" s="353"/>
      <c r="AH135" s="354" t="str">
        <f t="shared" si="172"/>
        <v/>
      </c>
      <c r="AI135" s="355">
        <f t="shared" si="173"/>
        <v>0</v>
      </c>
    </row>
    <row r="136">
      <c r="A136" s="379">
        <v>2025.0</v>
      </c>
      <c r="B136" s="379" t="s">
        <v>939</v>
      </c>
      <c r="C136" s="379" t="s">
        <v>940</v>
      </c>
      <c r="D136" s="379" t="s">
        <v>897</v>
      </c>
      <c r="E136" s="345">
        <v>698400.0</v>
      </c>
      <c r="F136" s="345">
        <v>800000.0</v>
      </c>
      <c r="G136" s="346">
        <v>1.0</v>
      </c>
      <c r="H136" s="292">
        <f t="shared" si="158"/>
        <v>1031.524049</v>
      </c>
      <c r="I136" s="347">
        <v>0.035</v>
      </c>
      <c r="J136" s="348">
        <f t="shared" si="159"/>
        <v>995.4207072</v>
      </c>
      <c r="K136" s="349">
        <f t="shared" si="160"/>
        <v>36.10334171</v>
      </c>
      <c r="L136" s="296">
        <v>0.001397</v>
      </c>
      <c r="M136" s="347">
        <v>0.0215</v>
      </c>
      <c r="N136" s="350">
        <f t="shared" si="161"/>
        <v>0.0014270355</v>
      </c>
      <c r="O136" s="348">
        <f t="shared" si="162"/>
        <v>36.40154521</v>
      </c>
      <c r="P136" s="348">
        <f t="shared" si="163"/>
        <v>1.442000687</v>
      </c>
      <c r="Q136" s="292">
        <f t="shared" si="164"/>
        <v>1181.585394</v>
      </c>
      <c r="R136" s="347">
        <v>0.06</v>
      </c>
      <c r="S136" s="351"/>
      <c r="T136" s="299">
        <f t="shared" si="141"/>
        <v>101600</v>
      </c>
      <c r="U136" s="315">
        <f t="shared" si="142"/>
        <v>95859.6</v>
      </c>
      <c r="V136" s="315">
        <f t="shared" si="143"/>
        <v>20320</v>
      </c>
      <c r="W136" s="320">
        <f t="shared" si="144"/>
        <v>33280</v>
      </c>
      <c r="X136" s="321">
        <f t="shared" si="145"/>
        <v>0.1454753723</v>
      </c>
      <c r="Y136" s="352">
        <f t="shared" si="165"/>
        <v>0.127</v>
      </c>
      <c r="Z136" s="321">
        <f t="shared" si="146"/>
        <v>0.0416</v>
      </c>
      <c r="AA136" s="353"/>
      <c r="AB136" s="353"/>
      <c r="AC136" s="353"/>
      <c r="AD136" s="354"/>
      <c r="AE136" s="353"/>
      <c r="AF136" s="353"/>
      <c r="AG136" s="353"/>
      <c r="AH136" s="354" t="str">
        <f t="shared" si="172"/>
        <v/>
      </c>
      <c r="AI136" s="355">
        <f t="shared" si="173"/>
        <v>0</v>
      </c>
    </row>
    <row r="137">
      <c r="A137" s="379">
        <v>2025.0</v>
      </c>
      <c r="B137" s="379" t="s">
        <v>941</v>
      </c>
      <c r="C137" s="379" t="s">
        <v>940</v>
      </c>
      <c r="D137" s="379" t="s">
        <v>891</v>
      </c>
      <c r="E137" s="345">
        <v>363600.0</v>
      </c>
      <c r="F137" s="345">
        <v>475000.0</v>
      </c>
      <c r="G137" s="378">
        <v>2.0</v>
      </c>
      <c r="H137" s="292">
        <f t="shared" si="158"/>
        <v>1074.061123</v>
      </c>
      <c r="I137" s="347">
        <v>0.035</v>
      </c>
      <c r="J137" s="348">
        <f t="shared" si="159"/>
        <v>1036.468984</v>
      </c>
      <c r="K137" s="349">
        <f t="shared" si="160"/>
        <v>37.59213931</v>
      </c>
      <c r="L137" s="296">
        <v>0.001397</v>
      </c>
      <c r="M137" s="347">
        <v>0.0215</v>
      </c>
      <c r="N137" s="350">
        <f t="shared" si="161"/>
        <v>0.0014270355</v>
      </c>
      <c r="O137" s="348">
        <f t="shared" si="162"/>
        <v>37.28408315</v>
      </c>
      <c r="P137" s="348">
        <f t="shared" si="163"/>
        <v>1.500578035</v>
      </c>
      <c r="Q137" s="292">
        <f t="shared" si="164"/>
        <v>1403.132655</v>
      </c>
      <c r="R137" s="347">
        <v>0.06</v>
      </c>
      <c r="S137" s="351"/>
      <c r="T137" s="299">
        <f t="shared" si="141"/>
        <v>111400</v>
      </c>
      <c r="U137" s="315">
        <f t="shared" si="142"/>
        <v>105105.9</v>
      </c>
      <c r="V137" s="315">
        <f t="shared" si="143"/>
        <v>22280</v>
      </c>
      <c r="W137" s="320">
        <f t="shared" si="144"/>
        <v>60620</v>
      </c>
      <c r="X137" s="321">
        <f t="shared" si="145"/>
        <v>0.3063806381</v>
      </c>
      <c r="Y137" s="352">
        <f t="shared" si="165"/>
        <v>0.2345263158</v>
      </c>
      <c r="Z137" s="321">
        <f t="shared" si="146"/>
        <v>0.1276210526</v>
      </c>
      <c r="AA137" s="353"/>
      <c r="AB137" s="353"/>
      <c r="AC137" s="353"/>
      <c r="AD137" s="354"/>
      <c r="AE137" s="353"/>
      <c r="AF137" s="353"/>
      <c r="AG137" s="353"/>
      <c r="AH137" s="354" t="str">
        <f t="shared" si="172"/>
        <v/>
      </c>
      <c r="AI137" s="355">
        <f t="shared" si="173"/>
        <v>0</v>
      </c>
    </row>
    <row r="138">
      <c r="A138" s="379">
        <v>2025.0</v>
      </c>
      <c r="B138" s="379" t="s">
        <v>942</v>
      </c>
      <c r="C138" s="379" t="s">
        <v>940</v>
      </c>
      <c r="D138" s="379" t="s">
        <v>893</v>
      </c>
      <c r="E138" s="345">
        <v>309333.0</v>
      </c>
      <c r="F138" s="345">
        <v>444000.0</v>
      </c>
      <c r="G138" s="378">
        <v>3.0</v>
      </c>
      <c r="H138" s="292">
        <f t="shared" si="158"/>
        <v>1370.63758</v>
      </c>
      <c r="I138" s="347">
        <v>0.035</v>
      </c>
      <c r="J138" s="348">
        <f t="shared" si="159"/>
        <v>1322.665265</v>
      </c>
      <c r="K138" s="349">
        <f t="shared" si="160"/>
        <v>47.9723153</v>
      </c>
      <c r="L138" s="296">
        <v>0.001397</v>
      </c>
      <c r="M138" s="347">
        <v>0.0215</v>
      </c>
      <c r="N138" s="350">
        <f t="shared" si="161"/>
        <v>0.0014270355</v>
      </c>
      <c r="O138" s="348">
        <f t="shared" si="162"/>
        <v>43.43730319</v>
      </c>
      <c r="P138" s="348">
        <f t="shared" si="163"/>
        <v>1.908990287</v>
      </c>
      <c r="Q138" s="292">
        <f t="shared" si="164"/>
        <v>1967.339681</v>
      </c>
      <c r="R138" s="347">
        <v>0.06</v>
      </c>
      <c r="S138" s="351"/>
      <c r="T138" s="299">
        <f t="shared" si="141"/>
        <v>134667</v>
      </c>
      <c r="U138" s="315">
        <f t="shared" si="142"/>
        <v>127058.3145</v>
      </c>
      <c r="V138" s="315">
        <f t="shared" si="143"/>
        <v>26933.4</v>
      </c>
      <c r="W138" s="320">
        <f t="shared" si="144"/>
        <v>81093.6</v>
      </c>
      <c r="X138" s="321">
        <f t="shared" si="145"/>
        <v>0.4353463743</v>
      </c>
      <c r="Y138" s="352">
        <f t="shared" si="165"/>
        <v>0.3033040541</v>
      </c>
      <c r="Z138" s="321">
        <f t="shared" si="146"/>
        <v>0.1826432432</v>
      </c>
      <c r="AA138" s="353"/>
      <c r="AB138" s="353"/>
      <c r="AC138" s="353"/>
      <c r="AD138" s="354"/>
      <c r="AE138" s="353"/>
      <c r="AF138" s="353"/>
      <c r="AG138" s="353"/>
      <c r="AH138" s="354" t="str">
        <f t="shared" si="172"/>
        <v/>
      </c>
      <c r="AI138" s="355">
        <f t="shared" si="173"/>
        <v>0</v>
      </c>
    </row>
    <row r="139">
      <c r="A139" s="379">
        <v>2025.0</v>
      </c>
      <c r="B139" s="379" t="s">
        <v>943</v>
      </c>
      <c r="C139" s="379" t="s">
        <v>940</v>
      </c>
      <c r="D139" s="379" t="s">
        <v>895</v>
      </c>
      <c r="E139" s="345">
        <v>273000.0</v>
      </c>
      <c r="F139" s="345">
        <v>395000.0</v>
      </c>
      <c r="G139" s="378">
        <v>4.0</v>
      </c>
      <c r="H139" s="292">
        <f t="shared" si="158"/>
        <v>1612.864063</v>
      </c>
      <c r="I139" s="347">
        <v>0.035</v>
      </c>
      <c r="J139" s="348">
        <f t="shared" si="159"/>
        <v>1556.413821</v>
      </c>
      <c r="K139" s="349">
        <f t="shared" si="160"/>
        <v>56.4502422</v>
      </c>
      <c r="L139" s="296">
        <v>0.001397</v>
      </c>
      <c r="M139" s="347">
        <v>0.0215</v>
      </c>
      <c r="N139" s="350">
        <f t="shared" si="161"/>
        <v>0.0014270355</v>
      </c>
      <c r="O139" s="348">
        <f t="shared" si="162"/>
        <v>48.46289714</v>
      </c>
      <c r="P139" s="348">
        <f t="shared" si="163"/>
        <v>2.242557775</v>
      </c>
      <c r="Q139" s="292">
        <f t="shared" si="164"/>
        <v>2333.631153</v>
      </c>
      <c r="R139" s="347">
        <v>0.06</v>
      </c>
      <c r="S139" s="351"/>
      <c r="T139" s="299">
        <f t="shared" si="141"/>
        <v>122000</v>
      </c>
      <c r="U139" s="315">
        <f t="shared" si="142"/>
        <v>115107</v>
      </c>
      <c r="V139" s="315">
        <f t="shared" si="143"/>
        <v>24400</v>
      </c>
      <c r="W139" s="320">
        <f t="shared" si="144"/>
        <v>73900</v>
      </c>
      <c r="X139" s="321">
        <f t="shared" si="145"/>
        <v>0.4468864469</v>
      </c>
      <c r="Y139" s="352">
        <f t="shared" si="165"/>
        <v>0.3088607595</v>
      </c>
      <c r="Z139" s="321">
        <f t="shared" si="146"/>
        <v>0.1870886076</v>
      </c>
      <c r="AA139" s="353"/>
      <c r="AB139" s="353"/>
      <c r="AC139" s="353"/>
      <c r="AD139" s="354"/>
      <c r="AE139" s="353"/>
      <c r="AF139" s="353"/>
      <c r="AG139" s="353"/>
      <c r="AH139" s="354" t="str">
        <f t="shared" si="172"/>
        <v/>
      </c>
      <c r="AI139" s="355">
        <f t="shared" si="173"/>
        <v>0</v>
      </c>
    </row>
    <row r="140">
      <c r="A140" s="376">
        <v>2025.0</v>
      </c>
      <c r="B140" s="376" t="s">
        <v>944</v>
      </c>
      <c r="C140" s="376" t="s">
        <v>945</v>
      </c>
      <c r="D140" s="376" t="s">
        <v>840</v>
      </c>
      <c r="E140" s="290" t="str">
        <f>E352</f>
        <v/>
      </c>
      <c r="F140" s="345">
        <v>200000.0</v>
      </c>
      <c r="G140" s="346">
        <v>1.0</v>
      </c>
      <c r="H140" s="292">
        <f t="shared" si="158"/>
        <v>0</v>
      </c>
      <c r="I140" s="347">
        <v>0.035</v>
      </c>
      <c r="J140" s="348">
        <f t="shared" si="159"/>
        <v>0</v>
      </c>
      <c r="K140" s="349">
        <f t="shared" si="160"/>
        <v>0</v>
      </c>
      <c r="L140" s="296">
        <v>0.001397</v>
      </c>
      <c r="M140" s="347">
        <v>0.0215</v>
      </c>
      <c r="N140" s="350">
        <f t="shared" si="161"/>
        <v>0.0014270355</v>
      </c>
      <c r="O140" s="348">
        <f t="shared" si="162"/>
        <v>15</v>
      </c>
      <c r="P140" s="348">
        <f t="shared" si="163"/>
        <v>0.0215</v>
      </c>
      <c r="Q140" s="292">
        <f t="shared" si="164"/>
        <v>295.3963485</v>
      </c>
      <c r="R140" s="347">
        <v>0.06</v>
      </c>
      <c r="S140" s="351"/>
      <c r="T140" s="299">
        <f t="shared" si="141"/>
        <v>200000</v>
      </c>
      <c r="U140" s="315">
        <f t="shared" si="142"/>
        <v>188700</v>
      </c>
      <c r="V140" s="315">
        <f t="shared" si="143"/>
        <v>40000</v>
      </c>
      <c r="W140" s="320">
        <f t="shared" si="144"/>
        <v>148000</v>
      </c>
      <c r="X140" s="321" t="str">
        <f t="shared" si="145"/>
        <v/>
      </c>
      <c r="Y140" s="352">
        <f t="shared" si="165"/>
        <v>1</v>
      </c>
      <c r="Z140" s="321">
        <f t="shared" si="146"/>
        <v>0.74</v>
      </c>
      <c r="AA140" s="353"/>
      <c r="AB140" s="353"/>
      <c r="AC140" s="353"/>
      <c r="AD140" s="354"/>
      <c r="AE140" s="353"/>
      <c r="AF140" s="353"/>
      <c r="AG140" s="353"/>
      <c r="AH140" s="354" t="str">
        <f t="shared" si="172"/>
        <v/>
      </c>
      <c r="AI140" s="355">
        <f t="shared" si="173"/>
        <v>0</v>
      </c>
    </row>
    <row r="141">
      <c r="A141" s="376">
        <v>2026.0</v>
      </c>
      <c r="B141" s="376" t="s">
        <v>944</v>
      </c>
      <c r="C141" s="376" t="s">
        <v>945</v>
      </c>
      <c r="D141" s="376" t="s">
        <v>840</v>
      </c>
      <c r="E141" s="290">
        <f>((159000*0.85)*1.1)</f>
        <v>148665</v>
      </c>
      <c r="F141" s="345">
        <v>250000.0</v>
      </c>
      <c r="G141" s="346">
        <v>1.0</v>
      </c>
      <c r="H141" s="292">
        <f t="shared" si="158"/>
        <v>219.5754907</v>
      </c>
      <c r="I141" s="347">
        <v>0.035</v>
      </c>
      <c r="J141" s="348">
        <f t="shared" si="159"/>
        <v>211.8903486</v>
      </c>
      <c r="K141" s="349">
        <f t="shared" si="160"/>
        <v>7.685142176</v>
      </c>
      <c r="L141" s="296">
        <v>0.001397</v>
      </c>
      <c r="M141" s="347">
        <v>0.0215</v>
      </c>
      <c r="N141" s="350">
        <f t="shared" si="161"/>
        <v>0.0014270355</v>
      </c>
      <c r="O141" s="348">
        <f t="shared" si="162"/>
        <v>19.55564249</v>
      </c>
      <c r="P141" s="348">
        <f t="shared" si="163"/>
        <v>0.3238750495</v>
      </c>
      <c r="Q141" s="292">
        <f t="shared" si="164"/>
        <v>369.2454356</v>
      </c>
      <c r="R141" s="347">
        <v>0.06</v>
      </c>
      <c r="S141" s="351"/>
      <c r="T141" s="299">
        <f t="shared" si="141"/>
        <v>101335</v>
      </c>
      <c r="U141" s="315">
        <f t="shared" si="142"/>
        <v>95609.5725</v>
      </c>
      <c r="V141" s="315">
        <f t="shared" si="143"/>
        <v>20267</v>
      </c>
      <c r="W141" s="320">
        <f t="shared" si="144"/>
        <v>66068</v>
      </c>
      <c r="X141" s="321">
        <f t="shared" si="145"/>
        <v>0.6816332022</v>
      </c>
      <c r="Y141" s="352">
        <f t="shared" si="165"/>
        <v>0.40534</v>
      </c>
      <c r="Z141" s="321">
        <f t="shared" si="146"/>
        <v>0.264272</v>
      </c>
      <c r="AA141" s="353"/>
      <c r="AB141" s="353"/>
      <c r="AC141" s="353"/>
      <c r="AD141" s="354"/>
      <c r="AE141" s="353"/>
      <c r="AF141" s="353"/>
      <c r="AG141" s="353"/>
      <c r="AH141" s="354" t="str">
        <f t="shared" si="172"/>
        <v/>
      </c>
      <c r="AI141" s="355">
        <f t="shared" si="173"/>
        <v>0</v>
      </c>
    </row>
    <row r="142">
      <c r="A142" s="344">
        <v>2025.0</v>
      </c>
      <c r="B142" s="344" t="s">
        <v>944</v>
      </c>
      <c r="C142" s="344" t="s">
        <v>945</v>
      </c>
      <c r="D142" s="344" t="s">
        <v>840</v>
      </c>
      <c r="E142" s="345">
        <v>135000.0</v>
      </c>
      <c r="F142" s="345">
        <v>200000.0</v>
      </c>
      <c r="G142" s="346">
        <v>1.0</v>
      </c>
      <c r="H142" s="292">
        <f t="shared" si="158"/>
        <v>199.3925352</v>
      </c>
      <c r="I142" s="347">
        <v>0.035</v>
      </c>
      <c r="J142" s="348">
        <f t="shared" si="159"/>
        <v>192.4137965</v>
      </c>
      <c r="K142" s="349">
        <f t="shared" si="160"/>
        <v>6.978738733</v>
      </c>
      <c r="L142" s="296">
        <v>0.001397</v>
      </c>
      <c r="M142" s="347">
        <v>0.0215</v>
      </c>
      <c r="N142" s="350">
        <f t="shared" si="161"/>
        <v>0.0014270355</v>
      </c>
      <c r="O142" s="348">
        <f t="shared" si="162"/>
        <v>19.13689662</v>
      </c>
      <c r="P142" s="348">
        <f t="shared" si="163"/>
        <v>0.2960813183</v>
      </c>
      <c r="Q142" s="292">
        <f t="shared" si="164"/>
        <v>295.3963485</v>
      </c>
      <c r="R142" s="347">
        <v>0.06</v>
      </c>
      <c r="S142" s="351"/>
      <c r="T142" s="299">
        <f t="shared" si="141"/>
        <v>65000</v>
      </c>
      <c r="U142" s="315">
        <f t="shared" si="142"/>
        <v>61327.5</v>
      </c>
      <c r="V142" s="315">
        <f t="shared" si="143"/>
        <v>13000</v>
      </c>
      <c r="W142" s="320">
        <f t="shared" si="144"/>
        <v>40000</v>
      </c>
      <c r="X142" s="321">
        <f t="shared" si="145"/>
        <v>0.4814814815</v>
      </c>
      <c r="Y142" s="352">
        <f t="shared" si="165"/>
        <v>0.325</v>
      </c>
      <c r="Z142" s="321">
        <f t="shared" si="146"/>
        <v>0.2</v>
      </c>
      <c r="AA142" s="384"/>
      <c r="AB142" s="384"/>
      <c r="AC142" s="384"/>
      <c r="AD142" s="385"/>
      <c r="AE142" s="384"/>
      <c r="AF142" s="384"/>
      <c r="AG142" s="384"/>
      <c r="AH142" s="385"/>
      <c r="AI142" s="385"/>
    </row>
    <row r="143">
      <c r="A143" s="344">
        <v>2026.0</v>
      </c>
      <c r="B143" s="344" t="s">
        <v>944</v>
      </c>
      <c r="C143" s="344" t="s">
        <v>945</v>
      </c>
      <c r="D143" s="344" t="s">
        <v>840</v>
      </c>
      <c r="E143" s="345">
        <v>148665.0</v>
      </c>
      <c r="F143" s="345">
        <v>250000.0</v>
      </c>
      <c r="G143" s="346">
        <v>1.0</v>
      </c>
      <c r="H143" s="292">
        <f t="shared" si="158"/>
        <v>219.5754907</v>
      </c>
      <c r="I143" s="347">
        <v>0.035</v>
      </c>
      <c r="J143" s="348">
        <f t="shared" si="159"/>
        <v>211.8903486</v>
      </c>
      <c r="K143" s="349">
        <f t="shared" si="160"/>
        <v>7.685142176</v>
      </c>
      <c r="L143" s="296">
        <v>0.001397</v>
      </c>
      <c r="M143" s="347">
        <v>0.0215</v>
      </c>
      <c r="N143" s="350">
        <f t="shared" si="161"/>
        <v>0.0014270355</v>
      </c>
      <c r="O143" s="348">
        <f t="shared" si="162"/>
        <v>19.55564249</v>
      </c>
      <c r="P143" s="348">
        <f t="shared" si="163"/>
        <v>0.3238750495</v>
      </c>
      <c r="Q143" s="292">
        <f t="shared" si="164"/>
        <v>369.2454356</v>
      </c>
      <c r="R143" s="347">
        <v>0.06</v>
      </c>
      <c r="S143" s="351"/>
      <c r="T143" s="299">
        <f t="shared" si="141"/>
        <v>101335</v>
      </c>
      <c r="U143" s="315">
        <f t="shared" si="142"/>
        <v>95609.5725</v>
      </c>
      <c r="V143" s="315">
        <f t="shared" si="143"/>
        <v>20267</v>
      </c>
      <c r="W143" s="320">
        <f t="shared" si="144"/>
        <v>66068</v>
      </c>
      <c r="X143" s="321">
        <f t="shared" si="145"/>
        <v>0.6816332022</v>
      </c>
      <c r="Y143" s="352">
        <f t="shared" si="165"/>
        <v>0.40534</v>
      </c>
      <c r="Z143" s="321">
        <f t="shared" si="146"/>
        <v>0.264272</v>
      </c>
      <c r="AA143" s="384"/>
      <c r="AB143" s="384"/>
      <c r="AC143" s="384"/>
      <c r="AD143" s="385"/>
      <c r="AE143" s="384"/>
      <c r="AF143" s="384"/>
      <c r="AG143" s="384"/>
      <c r="AH143" s="385"/>
      <c r="AI143" s="385"/>
    </row>
    <row r="144">
      <c r="A144" s="376">
        <v>2025.0</v>
      </c>
      <c r="B144" s="376" t="s">
        <v>946</v>
      </c>
      <c r="C144" s="376" t="s">
        <v>947</v>
      </c>
      <c r="D144" s="376" t="s">
        <v>897</v>
      </c>
      <c r="E144" s="377">
        <f>((910000)*1.1)+(110000/G144)</f>
        <v>1111000</v>
      </c>
      <c r="F144" s="345">
        <f>E144*1.4</f>
        <v>1555400</v>
      </c>
      <c r="G144" s="346">
        <v>1.0</v>
      </c>
      <c r="H144" s="292">
        <f t="shared" si="158"/>
        <v>1640.926716</v>
      </c>
      <c r="I144" s="347">
        <v>0.035</v>
      </c>
      <c r="J144" s="348">
        <f t="shared" si="159"/>
        <v>1583.494281</v>
      </c>
      <c r="K144" s="349">
        <f t="shared" si="160"/>
        <v>57.43243506</v>
      </c>
      <c r="L144" s="296">
        <v>0.001397</v>
      </c>
      <c r="M144" s="347">
        <v>0.0215</v>
      </c>
      <c r="N144" s="350">
        <f t="shared" si="161"/>
        <v>0.0014270355</v>
      </c>
      <c r="O144" s="348">
        <f t="shared" si="162"/>
        <v>49.04512704</v>
      </c>
      <c r="P144" s="348">
        <f t="shared" si="163"/>
        <v>2.281202553</v>
      </c>
      <c r="Q144" s="292">
        <f t="shared" si="164"/>
        <v>2297.297402</v>
      </c>
      <c r="R144" s="347">
        <v>0.06</v>
      </c>
      <c r="S144" s="351"/>
      <c r="T144" s="299">
        <f t="shared" si="141"/>
        <v>444400</v>
      </c>
      <c r="U144" s="315">
        <f t="shared" si="142"/>
        <v>419291.4</v>
      </c>
      <c r="V144" s="315">
        <f t="shared" si="143"/>
        <v>88880</v>
      </c>
      <c r="W144" s="320">
        <f t="shared" si="144"/>
        <v>262196</v>
      </c>
      <c r="X144" s="321">
        <f t="shared" si="145"/>
        <v>0.4</v>
      </c>
      <c r="Y144" s="352">
        <f t="shared" si="165"/>
        <v>0.2857142857</v>
      </c>
      <c r="Z144" s="321">
        <f t="shared" si="146"/>
        <v>0.1685714286</v>
      </c>
      <c r="AA144" s="353"/>
      <c r="AB144" s="353"/>
      <c r="AC144" s="353"/>
      <c r="AD144" s="354"/>
      <c r="AE144" s="353"/>
      <c r="AF144" s="353"/>
      <c r="AG144" s="353"/>
      <c r="AH144" s="354" t="str">
        <f t="shared" ref="AH144:AH159" si="177">IFERROR(AVERAGE(AE144:AG144),"")</f>
        <v/>
      </c>
      <c r="AI144" s="355">
        <f t="shared" ref="AI144:AI159" si="178">AE144+AF144+AG144</f>
        <v>0</v>
      </c>
    </row>
    <row r="145">
      <c r="A145" s="376">
        <v>2025.0</v>
      </c>
      <c r="B145" s="376" t="s">
        <v>948</v>
      </c>
      <c r="C145" s="376" t="s">
        <v>947</v>
      </c>
      <c r="D145" s="376" t="s">
        <v>891</v>
      </c>
      <c r="E145" s="377">
        <f>((525000)*1.1)+(110000/G145)</f>
        <v>632500</v>
      </c>
      <c r="F145" s="345">
        <f t="shared" ref="F145:F147" si="179">E145*1.6</f>
        <v>1012000</v>
      </c>
      <c r="G145" s="378">
        <v>2.0</v>
      </c>
      <c r="H145" s="292">
        <f t="shared" si="158"/>
        <v>1868.381904</v>
      </c>
      <c r="I145" s="347">
        <v>0.035</v>
      </c>
      <c r="J145" s="348">
        <f t="shared" si="159"/>
        <v>1802.988538</v>
      </c>
      <c r="K145" s="349">
        <f t="shared" si="160"/>
        <v>65.39336665</v>
      </c>
      <c r="L145" s="296">
        <v>0.001397</v>
      </c>
      <c r="M145" s="347">
        <v>0.0215</v>
      </c>
      <c r="N145" s="350">
        <f t="shared" si="161"/>
        <v>0.0014270355</v>
      </c>
      <c r="O145" s="348">
        <f t="shared" si="162"/>
        <v>53.76425356</v>
      </c>
      <c r="P145" s="348">
        <f t="shared" si="163"/>
        <v>2.594428649</v>
      </c>
      <c r="Q145" s="292">
        <f t="shared" si="164"/>
        <v>2989.411047</v>
      </c>
      <c r="R145" s="347">
        <v>0.06</v>
      </c>
      <c r="S145" s="351"/>
      <c r="T145" s="299">
        <f t="shared" si="141"/>
        <v>379500</v>
      </c>
      <c r="U145" s="315">
        <f t="shared" si="142"/>
        <v>358058.25</v>
      </c>
      <c r="V145" s="315">
        <f t="shared" si="143"/>
        <v>75900</v>
      </c>
      <c r="W145" s="320">
        <f t="shared" si="144"/>
        <v>242880</v>
      </c>
      <c r="X145" s="321">
        <f t="shared" si="145"/>
        <v>0.6</v>
      </c>
      <c r="Y145" s="352">
        <f t="shared" si="165"/>
        <v>0.375</v>
      </c>
      <c r="Z145" s="321">
        <f t="shared" si="146"/>
        <v>0.24</v>
      </c>
      <c r="AA145" s="353"/>
      <c r="AB145" s="353"/>
      <c r="AC145" s="353"/>
      <c r="AD145" s="354"/>
      <c r="AE145" s="353"/>
      <c r="AF145" s="353"/>
      <c r="AG145" s="353"/>
      <c r="AH145" s="354" t="str">
        <f t="shared" si="177"/>
        <v/>
      </c>
      <c r="AI145" s="355">
        <f t="shared" si="178"/>
        <v>0</v>
      </c>
    </row>
    <row r="146">
      <c r="A146" s="376">
        <v>2025.0</v>
      </c>
      <c r="B146" s="376" t="s">
        <v>949</v>
      </c>
      <c r="C146" s="376" t="s">
        <v>947</v>
      </c>
      <c r="D146" s="376" t="s">
        <v>893</v>
      </c>
      <c r="E146" s="377">
        <f>((487200)*1.1)+(100000/G146)</f>
        <v>569253.3333</v>
      </c>
      <c r="F146" s="345">
        <f t="shared" si="179"/>
        <v>910805.3333</v>
      </c>
      <c r="G146" s="378">
        <v>3.0</v>
      </c>
      <c r="H146" s="292">
        <f t="shared" si="158"/>
        <v>2522.330341</v>
      </c>
      <c r="I146" s="347">
        <v>0.035</v>
      </c>
      <c r="J146" s="348">
        <f t="shared" si="159"/>
        <v>2434.048779</v>
      </c>
      <c r="K146" s="349">
        <f t="shared" si="160"/>
        <v>88.28156192</v>
      </c>
      <c r="L146" s="296">
        <v>0.001397</v>
      </c>
      <c r="M146" s="347">
        <v>0.0215</v>
      </c>
      <c r="N146" s="350">
        <f t="shared" si="161"/>
        <v>0.0014270355</v>
      </c>
      <c r="O146" s="348">
        <f t="shared" si="162"/>
        <v>67.33204874</v>
      </c>
      <c r="P146" s="348">
        <f t="shared" si="163"/>
        <v>3.494974016</v>
      </c>
      <c r="Q146" s="292">
        <f t="shared" si="164"/>
        <v>4035.728545</v>
      </c>
      <c r="R146" s="347">
        <v>0.06</v>
      </c>
      <c r="S146" s="351"/>
      <c r="T146" s="299">
        <f t="shared" si="141"/>
        <v>341552</v>
      </c>
      <c r="U146" s="315">
        <f t="shared" si="142"/>
        <v>322254.312</v>
      </c>
      <c r="V146" s="315">
        <f t="shared" si="143"/>
        <v>68310.4</v>
      </c>
      <c r="W146" s="320">
        <f t="shared" si="144"/>
        <v>218593.28</v>
      </c>
      <c r="X146" s="321">
        <f t="shared" si="145"/>
        <v>0.6</v>
      </c>
      <c r="Y146" s="352">
        <f t="shared" si="165"/>
        <v>0.375</v>
      </c>
      <c r="Z146" s="321">
        <f t="shared" si="146"/>
        <v>0.24</v>
      </c>
      <c r="AA146" s="353"/>
      <c r="AB146" s="353"/>
      <c r="AC146" s="353"/>
      <c r="AD146" s="354"/>
      <c r="AE146" s="353"/>
      <c r="AF146" s="353"/>
      <c r="AG146" s="353"/>
      <c r="AH146" s="354" t="str">
        <f t="shared" si="177"/>
        <v/>
      </c>
      <c r="AI146" s="355">
        <f t="shared" si="178"/>
        <v>0</v>
      </c>
    </row>
    <row r="147">
      <c r="A147" s="376">
        <v>2025.0</v>
      </c>
      <c r="B147" s="376" t="s">
        <v>950</v>
      </c>
      <c r="C147" s="376" t="s">
        <v>947</v>
      </c>
      <c r="D147" s="376" t="s">
        <v>895</v>
      </c>
      <c r="E147" s="377">
        <f>((400999)*1.1)+(110000/G147)</f>
        <v>468598.9</v>
      </c>
      <c r="F147" s="345">
        <f t="shared" si="179"/>
        <v>749758.24</v>
      </c>
      <c r="G147" s="378">
        <v>4.0</v>
      </c>
      <c r="H147" s="292">
        <f t="shared" si="158"/>
        <v>2768.448079</v>
      </c>
      <c r="I147" s="347">
        <v>0.035</v>
      </c>
      <c r="J147" s="348">
        <f t="shared" si="159"/>
        <v>2671.552397</v>
      </c>
      <c r="K147" s="349">
        <f t="shared" si="160"/>
        <v>96.89568278</v>
      </c>
      <c r="L147" s="296">
        <v>0.001397</v>
      </c>
      <c r="M147" s="347">
        <v>0.0215</v>
      </c>
      <c r="N147" s="350">
        <f t="shared" si="161"/>
        <v>0.0014270355</v>
      </c>
      <c r="O147" s="348">
        <f t="shared" si="162"/>
        <v>72.43837653</v>
      </c>
      <c r="P147" s="348">
        <f t="shared" si="163"/>
        <v>3.83390011</v>
      </c>
      <c r="Q147" s="292">
        <f t="shared" si="164"/>
        <v>4429.516927</v>
      </c>
      <c r="R147" s="347">
        <v>0.06</v>
      </c>
      <c r="S147" s="351"/>
      <c r="T147" s="299">
        <f t="shared" si="141"/>
        <v>281159.34</v>
      </c>
      <c r="U147" s="315">
        <f t="shared" si="142"/>
        <v>265273.8373</v>
      </c>
      <c r="V147" s="315">
        <f t="shared" si="143"/>
        <v>56231.868</v>
      </c>
      <c r="W147" s="320">
        <f t="shared" si="144"/>
        <v>179941.9776</v>
      </c>
      <c r="X147" s="321">
        <f t="shared" si="145"/>
        <v>0.6</v>
      </c>
      <c r="Y147" s="352">
        <f t="shared" si="165"/>
        <v>0.375</v>
      </c>
      <c r="Z147" s="321">
        <f t="shared" si="146"/>
        <v>0.24</v>
      </c>
      <c r="AA147" s="353"/>
      <c r="AB147" s="353"/>
      <c r="AC147" s="353"/>
      <c r="AD147" s="354"/>
      <c r="AE147" s="353"/>
      <c r="AF147" s="353"/>
      <c r="AG147" s="353"/>
      <c r="AH147" s="354" t="str">
        <f t="shared" si="177"/>
        <v/>
      </c>
      <c r="AI147" s="355">
        <f t="shared" si="178"/>
        <v>0</v>
      </c>
    </row>
    <row r="148">
      <c r="A148" s="379">
        <v>2025.0</v>
      </c>
      <c r="B148" s="379" t="s">
        <v>946</v>
      </c>
      <c r="C148" s="379" t="s">
        <v>947</v>
      </c>
      <c r="D148" s="379" t="s">
        <v>897</v>
      </c>
      <c r="E148" s="345">
        <v>1028000.0</v>
      </c>
      <c r="F148" s="345">
        <v>1130000.0</v>
      </c>
      <c r="G148" s="346">
        <v>1.0</v>
      </c>
      <c r="H148" s="292">
        <f t="shared" si="158"/>
        <v>1518.337231</v>
      </c>
      <c r="I148" s="347">
        <v>0.035</v>
      </c>
      <c r="J148" s="348">
        <f t="shared" si="159"/>
        <v>1465.195428</v>
      </c>
      <c r="K148" s="349">
        <f t="shared" si="160"/>
        <v>53.1418031</v>
      </c>
      <c r="L148" s="296">
        <v>0.001397</v>
      </c>
      <c r="M148" s="347">
        <v>0.0215</v>
      </c>
      <c r="N148" s="350">
        <f t="shared" si="161"/>
        <v>0.0014270355</v>
      </c>
      <c r="O148" s="348">
        <f t="shared" si="162"/>
        <v>46.50170171</v>
      </c>
      <c r="P148" s="348">
        <f t="shared" si="163"/>
        <v>2.11238589</v>
      </c>
      <c r="Q148" s="292">
        <f t="shared" si="164"/>
        <v>1668.989369</v>
      </c>
      <c r="R148" s="347">
        <v>0.06</v>
      </c>
      <c r="S148" s="351"/>
      <c r="T148" s="299">
        <f t="shared" si="141"/>
        <v>102000</v>
      </c>
      <c r="U148" s="315">
        <f t="shared" si="142"/>
        <v>96237</v>
      </c>
      <c r="V148" s="315">
        <f t="shared" si="143"/>
        <v>20400</v>
      </c>
      <c r="W148" s="320">
        <f t="shared" si="144"/>
        <v>13800</v>
      </c>
      <c r="X148" s="321">
        <f t="shared" si="145"/>
        <v>0.09922178988</v>
      </c>
      <c r="Y148" s="352">
        <f t="shared" si="165"/>
        <v>0.09026548673</v>
      </c>
      <c r="Z148" s="321">
        <f t="shared" si="146"/>
        <v>0.01221238938</v>
      </c>
      <c r="AA148" s="353"/>
      <c r="AB148" s="353"/>
      <c r="AC148" s="353"/>
      <c r="AD148" s="354"/>
      <c r="AE148" s="353"/>
      <c r="AF148" s="353"/>
      <c r="AG148" s="353"/>
      <c r="AH148" s="354" t="str">
        <f t="shared" si="177"/>
        <v/>
      </c>
      <c r="AI148" s="355">
        <f t="shared" si="178"/>
        <v>0</v>
      </c>
    </row>
    <row r="149">
      <c r="A149" s="379">
        <v>2025.0</v>
      </c>
      <c r="B149" s="379" t="s">
        <v>948</v>
      </c>
      <c r="C149" s="379" t="s">
        <v>947</v>
      </c>
      <c r="D149" s="379" t="s">
        <v>891</v>
      </c>
      <c r="E149" s="345">
        <v>575000.0</v>
      </c>
      <c r="F149" s="345">
        <v>690000.0</v>
      </c>
      <c r="G149" s="378">
        <v>2.0</v>
      </c>
      <c r="H149" s="292">
        <f t="shared" si="158"/>
        <v>1698.529004</v>
      </c>
      <c r="I149" s="347">
        <v>0.035</v>
      </c>
      <c r="J149" s="348">
        <f t="shared" si="159"/>
        <v>1639.080489</v>
      </c>
      <c r="K149" s="349">
        <f t="shared" si="160"/>
        <v>59.44851514</v>
      </c>
      <c r="L149" s="296">
        <v>0.001397</v>
      </c>
      <c r="M149" s="347">
        <v>0.0215</v>
      </c>
      <c r="N149" s="350">
        <f t="shared" si="161"/>
        <v>0.0014270355</v>
      </c>
      <c r="O149" s="348">
        <f t="shared" si="162"/>
        <v>50.24023051</v>
      </c>
      <c r="P149" s="348">
        <f t="shared" si="163"/>
        <v>2.360526045</v>
      </c>
      <c r="Q149" s="292">
        <f t="shared" si="164"/>
        <v>2038.234805</v>
      </c>
      <c r="R149" s="347">
        <v>0.06</v>
      </c>
      <c r="S149" s="351"/>
      <c r="T149" s="299">
        <f t="shared" si="141"/>
        <v>115000</v>
      </c>
      <c r="U149" s="315">
        <f t="shared" si="142"/>
        <v>108502.5</v>
      </c>
      <c r="V149" s="315">
        <f t="shared" si="143"/>
        <v>23000</v>
      </c>
      <c r="W149" s="320">
        <f t="shared" si="144"/>
        <v>50600</v>
      </c>
      <c r="X149" s="321">
        <f t="shared" si="145"/>
        <v>0.2</v>
      </c>
      <c r="Y149" s="352">
        <f t="shared" si="165"/>
        <v>0.1666666667</v>
      </c>
      <c r="Z149" s="321">
        <f t="shared" si="146"/>
        <v>0.07333333333</v>
      </c>
      <c r="AA149" s="353"/>
      <c r="AB149" s="353"/>
      <c r="AC149" s="353"/>
      <c r="AD149" s="354"/>
      <c r="AE149" s="353"/>
      <c r="AF149" s="353"/>
      <c r="AG149" s="353"/>
      <c r="AH149" s="354" t="str">
        <f t="shared" si="177"/>
        <v/>
      </c>
      <c r="AI149" s="355">
        <f t="shared" si="178"/>
        <v>0</v>
      </c>
    </row>
    <row r="150">
      <c r="A150" s="379">
        <v>2025.0</v>
      </c>
      <c r="B150" s="379" t="s">
        <v>949</v>
      </c>
      <c r="C150" s="379" t="s">
        <v>947</v>
      </c>
      <c r="D150" s="379" t="s">
        <v>893</v>
      </c>
      <c r="E150" s="345">
        <v>520533.0</v>
      </c>
      <c r="F150" s="345">
        <v>660000.0</v>
      </c>
      <c r="G150" s="378">
        <v>3.0</v>
      </c>
      <c r="H150" s="292">
        <f t="shared" si="158"/>
        <v>2306.453212</v>
      </c>
      <c r="I150" s="347">
        <v>0.035</v>
      </c>
      <c r="J150" s="348">
        <f t="shared" si="159"/>
        <v>2225.72735</v>
      </c>
      <c r="K150" s="349">
        <f t="shared" si="160"/>
        <v>80.72586242</v>
      </c>
      <c r="L150" s="296">
        <v>0.001397</v>
      </c>
      <c r="M150" s="347">
        <v>0.0215</v>
      </c>
      <c r="N150" s="350">
        <f t="shared" si="161"/>
        <v>0.0014270355</v>
      </c>
      <c r="O150" s="348">
        <f t="shared" si="162"/>
        <v>62.85313802</v>
      </c>
      <c r="P150" s="348">
        <f t="shared" si="163"/>
        <v>3.197691941</v>
      </c>
      <c r="Q150" s="292">
        <f t="shared" si="164"/>
        <v>2924.42385</v>
      </c>
      <c r="R150" s="347">
        <v>0.06</v>
      </c>
      <c r="S150" s="351"/>
      <c r="T150" s="299">
        <f t="shared" si="141"/>
        <v>139467</v>
      </c>
      <c r="U150" s="315">
        <f t="shared" si="142"/>
        <v>131587.1145</v>
      </c>
      <c r="V150" s="315">
        <f t="shared" si="143"/>
        <v>27893.4</v>
      </c>
      <c r="W150" s="320">
        <f t="shared" si="144"/>
        <v>71973.6</v>
      </c>
      <c r="X150" s="321">
        <f t="shared" si="145"/>
        <v>0.2679311398</v>
      </c>
      <c r="Y150" s="352">
        <f t="shared" si="165"/>
        <v>0.2113136364</v>
      </c>
      <c r="Z150" s="321">
        <f t="shared" si="146"/>
        <v>0.1090509091</v>
      </c>
      <c r="AA150" s="353"/>
      <c r="AB150" s="353"/>
      <c r="AC150" s="353"/>
      <c r="AD150" s="354"/>
      <c r="AE150" s="353"/>
      <c r="AF150" s="353"/>
      <c r="AG150" s="353"/>
      <c r="AH150" s="354" t="str">
        <f t="shared" si="177"/>
        <v/>
      </c>
      <c r="AI150" s="355">
        <f t="shared" si="178"/>
        <v>0</v>
      </c>
    </row>
    <row r="151">
      <c r="A151" s="379">
        <v>2025.0</v>
      </c>
      <c r="B151" s="379" t="s">
        <v>950</v>
      </c>
      <c r="C151" s="379" t="s">
        <v>947</v>
      </c>
      <c r="D151" s="379" t="s">
        <v>895</v>
      </c>
      <c r="E151" s="345">
        <v>425000.0</v>
      </c>
      <c r="F151" s="345">
        <v>550000.0</v>
      </c>
      <c r="G151" s="378">
        <v>4.0</v>
      </c>
      <c r="H151" s="292">
        <f t="shared" si="158"/>
        <v>2510.868962</v>
      </c>
      <c r="I151" s="347">
        <v>0.035</v>
      </c>
      <c r="J151" s="348">
        <f t="shared" si="159"/>
        <v>2422.988549</v>
      </c>
      <c r="K151" s="349">
        <f t="shared" si="160"/>
        <v>87.88041368</v>
      </c>
      <c r="L151" s="296">
        <v>0.001397</v>
      </c>
      <c r="M151" s="347">
        <v>0.0215</v>
      </c>
      <c r="N151" s="350">
        <f t="shared" si="161"/>
        <v>0.0014270355</v>
      </c>
      <c r="O151" s="348">
        <f t="shared" si="162"/>
        <v>67.09425379</v>
      </c>
      <c r="P151" s="348">
        <f t="shared" si="163"/>
        <v>3.479190675</v>
      </c>
      <c r="Q151" s="292">
        <f t="shared" si="164"/>
        <v>3249.359834</v>
      </c>
      <c r="R151" s="347">
        <v>0.06</v>
      </c>
      <c r="S151" s="351"/>
      <c r="T151" s="299">
        <f t="shared" si="141"/>
        <v>125000</v>
      </c>
      <c r="U151" s="315">
        <f t="shared" si="142"/>
        <v>117937.5</v>
      </c>
      <c r="V151" s="315">
        <f t="shared" si="143"/>
        <v>25000</v>
      </c>
      <c r="W151" s="320">
        <f t="shared" si="144"/>
        <v>67000</v>
      </c>
      <c r="X151" s="321">
        <f t="shared" si="145"/>
        <v>0.2941176471</v>
      </c>
      <c r="Y151" s="352">
        <f t="shared" si="165"/>
        <v>0.2272727273</v>
      </c>
      <c r="Z151" s="321">
        <f t="shared" si="146"/>
        <v>0.1218181818</v>
      </c>
      <c r="AA151" s="353"/>
      <c r="AB151" s="353"/>
      <c r="AC151" s="353"/>
      <c r="AD151" s="354"/>
      <c r="AE151" s="353"/>
      <c r="AF151" s="353"/>
      <c r="AG151" s="353"/>
      <c r="AH151" s="354" t="str">
        <f t="shared" si="177"/>
        <v/>
      </c>
      <c r="AI151" s="355">
        <f t="shared" si="178"/>
        <v>0</v>
      </c>
    </row>
    <row r="152">
      <c r="A152" s="344">
        <v>2025.0</v>
      </c>
      <c r="B152" s="344" t="s">
        <v>951</v>
      </c>
      <c r="C152" s="344" t="s">
        <v>952</v>
      </c>
      <c r="D152" s="344" t="s">
        <v>909</v>
      </c>
      <c r="E152" s="290">
        <f t="shared" ref="E152:E158" si="180">E364*1.1</f>
        <v>0</v>
      </c>
      <c r="F152" s="345">
        <v>150000.0</v>
      </c>
      <c r="G152" s="346">
        <v>1.0</v>
      </c>
      <c r="H152" s="292">
        <f t="shared" si="158"/>
        <v>0</v>
      </c>
      <c r="I152" s="347">
        <v>0.035</v>
      </c>
      <c r="J152" s="348">
        <f t="shared" si="159"/>
        <v>0</v>
      </c>
      <c r="K152" s="349">
        <f t="shared" si="160"/>
        <v>0</v>
      </c>
      <c r="L152" s="296">
        <v>0.001397</v>
      </c>
      <c r="M152" s="347">
        <v>0.0215</v>
      </c>
      <c r="N152" s="350">
        <f t="shared" si="161"/>
        <v>0.0014270355</v>
      </c>
      <c r="O152" s="348">
        <f t="shared" si="162"/>
        <v>15</v>
      </c>
      <c r="P152" s="348">
        <f t="shared" si="163"/>
        <v>0.0215</v>
      </c>
      <c r="Q152" s="292">
        <f t="shared" si="164"/>
        <v>221.5472614</v>
      </c>
      <c r="R152" s="347">
        <v>0.06</v>
      </c>
      <c r="S152" s="351"/>
      <c r="T152" s="299">
        <f t="shared" si="141"/>
        <v>150000</v>
      </c>
      <c r="U152" s="315">
        <f t="shared" si="142"/>
        <v>141525</v>
      </c>
      <c r="V152" s="315">
        <f t="shared" si="143"/>
        <v>30000</v>
      </c>
      <c r="W152" s="320">
        <f t="shared" si="144"/>
        <v>111000</v>
      </c>
      <c r="X152" s="321" t="str">
        <f t="shared" si="145"/>
        <v/>
      </c>
      <c r="Y152" s="352">
        <f t="shared" si="165"/>
        <v>1</v>
      </c>
      <c r="Z152" s="321">
        <f t="shared" si="146"/>
        <v>0.74</v>
      </c>
      <c r="AA152" s="353"/>
      <c r="AB152" s="353"/>
      <c r="AC152" s="353"/>
      <c r="AD152" s="354"/>
      <c r="AE152" s="353"/>
      <c r="AF152" s="353"/>
      <c r="AG152" s="353"/>
      <c r="AH152" s="354" t="str">
        <f t="shared" si="177"/>
        <v/>
      </c>
      <c r="AI152" s="355">
        <f t="shared" si="178"/>
        <v>0</v>
      </c>
    </row>
    <row r="153">
      <c r="A153" s="382">
        <v>2026.0</v>
      </c>
      <c r="B153" s="344" t="s">
        <v>951</v>
      </c>
      <c r="C153" s="344" t="s">
        <v>952</v>
      </c>
      <c r="D153" s="344" t="s">
        <v>909</v>
      </c>
      <c r="E153" s="290">
        <f t="shared" si="180"/>
        <v>0</v>
      </c>
      <c r="F153" s="345">
        <v>200000.0</v>
      </c>
      <c r="G153" s="346">
        <v>1.0</v>
      </c>
      <c r="H153" s="292">
        <f t="shared" si="158"/>
        <v>0</v>
      </c>
      <c r="I153" s="347">
        <v>0.035</v>
      </c>
      <c r="J153" s="348">
        <f t="shared" si="159"/>
        <v>0</v>
      </c>
      <c r="K153" s="349">
        <f t="shared" si="160"/>
        <v>0</v>
      </c>
      <c r="L153" s="296">
        <v>0.001397</v>
      </c>
      <c r="M153" s="347">
        <v>0.0215</v>
      </c>
      <c r="N153" s="350">
        <f t="shared" si="161"/>
        <v>0.0014270355</v>
      </c>
      <c r="O153" s="348">
        <f t="shared" si="162"/>
        <v>15</v>
      </c>
      <c r="P153" s="348">
        <f t="shared" si="163"/>
        <v>0.0215</v>
      </c>
      <c r="Q153" s="292">
        <f t="shared" si="164"/>
        <v>295.3963485</v>
      </c>
      <c r="R153" s="347">
        <v>0.06</v>
      </c>
      <c r="S153" s="351"/>
      <c r="T153" s="299">
        <f t="shared" si="141"/>
        <v>200000</v>
      </c>
      <c r="U153" s="315">
        <f t="shared" si="142"/>
        <v>188700</v>
      </c>
      <c r="V153" s="315">
        <f t="shared" si="143"/>
        <v>40000</v>
      </c>
      <c r="W153" s="320">
        <f t="shared" si="144"/>
        <v>148000</v>
      </c>
      <c r="X153" s="321" t="str">
        <f t="shared" si="145"/>
        <v/>
      </c>
      <c r="Y153" s="352">
        <f t="shared" si="165"/>
        <v>1</v>
      </c>
      <c r="Z153" s="321">
        <f t="shared" si="146"/>
        <v>0.74</v>
      </c>
      <c r="AA153" s="353"/>
      <c r="AB153" s="353"/>
      <c r="AC153" s="353"/>
      <c r="AD153" s="354"/>
      <c r="AE153" s="353"/>
      <c r="AF153" s="353"/>
      <c r="AG153" s="353"/>
      <c r="AH153" s="354" t="str">
        <f t="shared" si="177"/>
        <v/>
      </c>
      <c r="AI153" s="355">
        <f t="shared" si="178"/>
        <v>0</v>
      </c>
    </row>
    <row r="154">
      <c r="A154" s="344">
        <v>2025.0</v>
      </c>
      <c r="B154" s="344" t="s">
        <v>953</v>
      </c>
      <c r="C154" s="359" t="s">
        <v>954</v>
      </c>
      <c r="D154" s="344" t="s">
        <v>909</v>
      </c>
      <c r="E154" s="290">
        <f t="shared" si="180"/>
        <v>0</v>
      </c>
      <c r="F154" s="345">
        <v>700000.0</v>
      </c>
      <c r="G154" s="346">
        <v>1.0</v>
      </c>
      <c r="H154" s="292">
        <f t="shared" si="158"/>
        <v>0</v>
      </c>
      <c r="I154" s="347">
        <v>0.035</v>
      </c>
      <c r="J154" s="348">
        <f t="shared" si="159"/>
        <v>0</v>
      </c>
      <c r="K154" s="349">
        <f t="shared" si="160"/>
        <v>0</v>
      </c>
      <c r="L154" s="296">
        <v>0.001397</v>
      </c>
      <c r="M154" s="347">
        <v>0.0215</v>
      </c>
      <c r="N154" s="350">
        <f t="shared" si="161"/>
        <v>0.0014270355</v>
      </c>
      <c r="O154" s="348">
        <f t="shared" si="162"/>
        <v>15</v>
      </c>
      <c r="P154" s="348">
        <f t="shared" si="163"/>
        <v>0.0215</v>
      </c>
      <c r="Q154" s="292">
        <f t="shared" si="164"/>
        <v>1033.88722</v>
      </c>
      <c r="R154" s="347">
        <v>0.06</v>
      </c>
      <c r="S154" s="351"/>
      <c r="T154" s="299">
        <f t="shared" si="141"/>
        <v>700000</v>
      </c>
      <c r="U154" s="315">
        <f t="shared" si="142"/>
        <v>660450</v>
      </c>
      <c r="V154" s="315">
        <f t="shared" si="143"/>
        <v>140000</v>
      </c>
      <c r="W154" s="320">
        <f t="shared" si="144"/>
        <v>518000</v>
      </c>
      <c r="X154" s="321" t="str">
        <f t="shared" si="145"/>
        <v/>
      </c>
      <c r="Y154" s="352">
        <f t="shared" si="165"/>
        <v>1</v>
      </c>
      <c r="Z154" s="321">
        <f t="shared" si="146"/>
        <v>0.74</v>
      </c>
      <c r="AA154" s="353"/>
      <c r="AB154" s="353"/>
      <c r="AC154" s="353"/>
      <c r="AD154" s="354"/>
      <c r="AE154" s="353"/>
      <c r="AF154" s="353"/>
      <c r="AG154" s="353"/>
      <c r="AH154" s="354" t="str">
        <f t="shared" si="177"/>
        <v/>
      </c>
      <c r="AI154" s="355">
        <f t="shared" si="178"/>
        <v>0</v>
      </c>
    </row>
    <row r="155">
      <c r="A155" s="382">
        <v>2026.0</v>
      </c>
      <c r="B155" s="344" t="s">
        <v>953</v>
      </c>
      <c r="C155" s="344" t="s">
        <v>954</v>
      </c>
      <c r="D155" s="344" t="s">
        <v>909</v>
      </c>
      <c r="E155" s="290">
        <f t="shared" si="180"/>
        <v>0</v>
      </c>
      <c r="F155" s="345">
        <v>700000.0</v>
      </c>
      <c r="G155" s="346">
        <v>1.0</v>
      </c>
      <c r="H155" s="292">
        <f t="shared" si="158"/>
        <v>0</v>
      </c>
      <c r="I155" s="347">
        <v>0.035</v>
      </c>
      <c r="J155" s="348">
        <f t="shared" si="159"/>
        <v>0</v>
      </c>
      <c r="K155" s="349">
        <f t="shared" si="160"/>
        <v>0</v>
      </c>
      <c r="L155" s="296">
        <v>0.001397</v>
      </c>
      <c r="M155" s="347">
        <v>0.0215</v>
      </c>
      <c r="N155" s="350">
        <f t="shared" si="161"/>
        <v>0.0014270355</v>
      </c>
      <c r="O155" s="348">
        <f t="shared" si="162"/>
        <v>15</v>
      </c>
      <c r="P155" s="348">
        <f t="shared" si="163"/>
        <v>0.0215</v>
      </c>
      <c r="Q155" s="292">
        <f t="shared" si="164"/>
        <v>1033.88722</v>
      </c>
      <c r="R155" s="347">
        <v>0.06</v>
      </c>
      <c r="S155" s="351"/>
      <c r="T155" s="299">
        <f t="shared" si="141"/>
        <v>700000</v>
      </c>
      <c r="U155" s="315">
        <f t="shared" si="142"/>
        <v>660450</v>
      </c>
      <c r="V155" s="315">
        <f t="shared" si="143"/>
        <v>140000</v>
      </c>
      <c r="W155" s="320">
        <f t="shared" si="144"/>
        <v>518000</v>
      </c>
      <c r="X155" s="321" t="str">
        <f t="shared" si="145"/>
        <v/>
      </c>
      <c r="Y155" s="352">
        <f t="shared" si="165"/>
        <v>1</v>
      </c>
      <c r="Z155" s="321">
        <f t="shared" si="146"/>
        <v>0.74</v>
      </c>
      <c r="AA155" s="353"/>
      <c r="AB155" s="353"/>
      <c r="AC155" s="353"/>
      <c r="AD155" s="354"/>
      <c r="AE155" s="353"/>
      <c r="AF155" s="353"/>
      <c r="AG155" s="353"/>
      <c r="AH155" s="354" t="str">
        <f t="shared" si="177"/>
        <v/>
      </c>
      <c r="AI155" s="355">
        <f t="shared" si="178"/>
        <v>0</v>
      </c>
    </row>
    <row r="156">
      <c r="A156" s="344">
        <v>2025.0</v>
      </c>
      <c r="B156" s="344" t="s">
        <v>955</v>
      </c>
      <c r="C156" s="344" t="s">
        <v>956</v>
      </c>
      <c r="D156" s="344" t="s">
        <v>957</v>
      </c>
      <c r="E156" s="290">
        <f t="shared" si="180"/>
        <v>0</v>
      </c>
      <c r="F156" s="345">
        <v>400000.0</v>
      </c>
      <c r="G156" s="346">
        <v>1.0</v>
      </c>
      <c r="H156" s="292">
        <f t="shared" si="158"/>
        <v>0</v>
      </c>
      <c r="I156" s="347">
        <v>0.035</v>
      </c>
      <c r="J156" s="348">
        <f t="shared" si="159"/>
        <v>0</v>
      </c>
      <c r="K156" s="349">
        <f t="shared" si="160"/>
        <v>0</v>
      </c>
      <c r="L156" s="296">
        <v>0.001397</v>
      </c>
      <c r="M156" s="347">
        <v>0.0215</v>
      </c>
      <c r="N156" s="350">
        <f t="shared" si="161"/>
        <v>0.0014270355</v>
      </c>
      <c r="O156" s="348">
        <f t="shared" si="162"/>
        <v>15</v>
      </c>
      <c r="P156" s="348">
        <f t="shared" si="163"/>
        <v>0.0215</v>
      </c>
      <c r="Q156" s="292">
        <f t="shared" si="164"/>
        <v>590.792697</v>
      </c>
      <c r="R156" s="347">
        <v>0.06</v>
      </c>
      <c r="S156" s="351"/>
      <c r="T156" s="299">
        <f t="shared" si="141"/>
        <v>400000</v>
      </c>
      <c r="U156" s="315">
        <f t="shared" si="142"/>
        <v>377400</v>
      </c>
      <c r="V156" s="315">
        <f t="shared" si="143"/>
        <v>80000</v>
      </c>
      <c r="W156" s="320">
        <f t="shared" si="144"/>
        <v>296000</v>
      </c>
      <c r="X156" s="321" t="str">
        <f t="shared" si="145"/>
        <v/>
      </c>
      <c r="Y156" s="352">
        <f t="shared" si="165"/>
        <v>1</v>
      </c>
      <c r="Z156" s="321">
        <f t="shared" si="146"/>
        <v>0.74</v>
      </c>
      <c r="AA156" s="353"/>
      <c r="AB156" s="353"/>
      <c r="AC156" s="353"/>
      <c r="AD156" s="354"/>
      <c r="AE156" s="353"/>
      <c r="AF156" s="353"/>
      <c r="AG156" s="353"/>
      <c r="AH156" s="354" t="str">
        <f t="shared" si="177"/>
        <v/>
      </c>
      <c r="AI156" s="355">
        <f t="shared" si="178"/>
        <v>0</v>
      </c>
    </row>
    <row r="157">
      <c r="A157" s="382">
        <v>2026.0</v>
      </c>
      <c r="B157" s="344" t="s">
        <v>955</v>
      </c>
      <c r="C157" s="344" t="s">
        <v>956</v>
      </c>
      <c r="D157" s="344" t="s">
        <v>957</v>
      </c>
      <c r="E157" s="290">
        <f t="shared" si="180"/>
        <v>0</v>
      </c>
      <c r="F157" s="345">
        <v>450000.0</v>
      </c>
      <c r="G157" s="346">
        <v>1.0</v>
      </c>
      <c r="H157" s="292">
        <f t="shared" si="158"/>
        <v>0</v>
      </c>
      <c r="I157" s="347">
        <v>0.035</v>
      </c>
      <c r="J157" s="348">
        <f t="shared" si="159"/>
        <v>0</v>
      </c>
      <c r="K157" s="349">
        <f t="shared" si="160"/>
        <v>0</v>
      </c>
      <c r="L157" s="296">
        <v>0.001397</v>
      </c>
      <c r="M157" s="347">
        <v>0.0215</v>
      </c>
      <c r="N157" s="350">
        <f t="shared" si="161"/>
        <v>0.0014270355</v>
      </c>
      <c r="O157" s="348">
        <f t="shared" si="162"/>
        <v>15</v>
      </c>
      <c r="P157" s="348">
        <f t="shared" si="163"/>
        <v>0.0215</v>
      </c>
      <c r="Q157" s="292">
        <f t="shared" si="164"/>
        <v>664.6417841</v>
      </c>
      <c r="R157" s="347">
        <v>0.06</v>
      </c>
      <c r="S157" s="351"/>
      <c r="T157" s="299">
        <f t="shared" si="141"/>
        <v>450000</v>
      </c>
      <c r="U157" s="315">
        <f t="shared" si="142"/>
        <v>424575</v>
      </c>
      <c r="V157" s="315">
        <f t="shared" si="143"/>
        <v>90000</v>
      </c>
      <c r="W157" s="320">
        <f t="shared" si="144"/>
        <v>333000</v>
      </c>
      <c r="X157" s="321" t="str">
        <f t="shared" si="145"/>
        <v/>
      </c>
      <c r="Y157" s="352">
        <f t="shared" si="165"/>
        <v>1</v>
      </c>
      <c r="Z157" s="321">
        <f t="shared" si="146"/>
        <v>0.74</v>
      </c>
      <c r="AA157" s="353"/>
      <c r="AB157" s="353"/>
      <c r="AC157" s="353"/>
      <c r="AD157" s="354"/>
      <c r="AE157" s="353"/>
      <c r="AF157" s="353"/>
      <c r="AG157" s="353"/>
      <c r="AH157" s="354" t="str">
        <f t="shared" si="177"/>
        <v/>
      </c>
      <c r="AI157" s="355">
        <f t="shared" si="178"/>
        <v>0</v>
      </c>
    </row>
    <row r="158">
      <c r="A158" s="376">
        <v>2025.0</v>
      </c>
      <c r="B158" s="376" t="s">
        <v>958</v>
      </c>
      <c r="C158" s="376" t="s">
        <v>959</v>
      </c>
      <c r="D158" s="376" t="s">
        <v>840</v>
      </c>
      <c r="E158" s="290">
        <f t="shared" si="180"/>
        <v>0</v>
      </c>
      <c r="F158" s="345">
        <v>320000.0</v>
      </c>
      <c r="G158" s="346">
        <v>1.0</v>
      </c>
      <c r="H158" s="292">
        <f t="shared" si="158"/>
        <v>0</v>
      </c>
      <c r="I158" s="347">
        <v>0.035</v>
      </c>
      <c r="J158" s="348">
        <f t="shared" si="159"/>
        <v>0</v>
      </c>
      <c r="K158" s="349">
        <f t="shared" si="160"/>
        <v>0</v>
      </c>
      <c r="L158" s="296">
        <v>0.001397</v>
      </c>
      <c r="M158" s="347">
        <v>0.0215</v>
      </c>
      <c r="N158" s="350">
        <f t="shared" si="161"/>
        <v>0.0014270355</v>
      </c>
      <c r="O158" s="348">
        <f t="shared" si="162"/>
        <v>15</v>
      </c>
      <c r="P158" s="348">
        <f t="shared" si="163"/>
        <v>0.0215</v>
      </c>
      <c r="Q158" s="292">
        <f t="shared" si="164"/>
        <v>472.6341576</v>
      </c>
      <c r="R158" s="347">
        <v>0.06</v>
      </c>
      <c r="S158" s="351"/>
      <c r="T158" s="299">
        <f t="shared" si="141"/>
        <v>320000</v>
      </c>
      <c r="U158" s="315">
        <f t="shared" si="142"/>
        <v>301920</v>
      </c>
      <c r="V158" s="315">
        <f t="shared" si="143"/>
        <v>64000</v>
      </c>
      <c r="W158" s="320">
        <f t="shared" si="144"/>
        <v>236800</v>
      </c>
      <c r="X158" s="321" t="str">
        <f t="shared" si="145"/>
        <v/>
      </c>
      <c r="Y158" s="352">
        <f t="shared" si="165"/>
        <v>1</v>
      </c>
      <c r="Z158" s="321">
        <f t="shared" si="146"/>
        <v>0.74</v>
      </c>
      <c r="AA158" s="353"/>
      <c r="AB158" s="353"/>
      <c r="AC158" s="353"/>
      <c r="AD158" s="354"/>
      <c r="AE158" s="353"/>
      <c r="AF158" s="353"/>
      <c r="AG158" s="353"/>
      <c r="AH158" s="354" t="str">
        <f t="shared" si="177"/>
        <v/>
      </c>
      <c r="AI158" s="355">
        <f t="shared" si="178"/>
        <v>0</v>
      </c>
    </row>
    <row r="159">
      <c r="A159" s="376">
        <v>2026.0</v>
      </c>
      <c r="B159" s="376" t="s">
        <v>958</v>
      </c>
      <c r="C159" s="376" t="s">
        <v>959</v>
      </c>
      <c r="D159" s="376" t="s">
        <v>840</v>
      </c>
      <c r="E159" s="290">
        <f>((159000*0.85)*1.1)</f>
        <v>148665</v>
      </c>
      <c r="F159" s="345">
        <v>350000.0</v>
      </c>
      <c r="G159" s="346">
        <v>1.0</v>
      </c>
      <c r="H159" s="292">
        <f t="shared" si="158"/>
        <v>219.5754907</v>
      </c>
      <c r="I159" s="347">
        <v>0.035</v>
      </c>
      <c r="J159" s="348">
        <f t="shared" si="159"/>
        <v>211.8903486</v>
      </c>
      <c r="K159" s="349">
        <f t="shared" si="160"/>
        <v>7.685142176</v>
      </c>
      <c r="L159" s="296">
        <v>0.001397</v>
      </c>
      <c r="M159" s="347">
        <v>0.0215</v>
      </c>
      <c r="N159" s="350">
        <f t="shared" si="161"/>
        <v>0.0014270355</v>
      </c>
      <c r="O159" s="348">
        <f t="shared" si="162"/>
        <v>19.55564249</v>
      </c>
      <c r="P159" s="348">
        <f t="shared" si="163"/>
        <v>0.3238750495</v>
      </c>
      <c r="Q159" s="292">
        <f t="shared" si="164"/>
        <v>516.9436099</v>
      </c>
      <c r="R159" s="347">
        <v>0.06</v>
      </c>
      <c r="S159" s="351"/>
      <c r="T159" s="299">
        <f t="shared" si="141"/>
        <v>201335</v>
      </c>
      <c r="U159" s="315">
        <f t="shared" si="142"/>
        <v>189959.5725</v>
      </c>
      <c r="V159" s="315">
        <f t="shared" si="143"/>
        <v>40267</v>
      </c>
      <c r="W159" s="320">
        <f t="shared" si="144"/>
        <v>140068</v>
      </c>
      <c r="X159" s="321">
        <f t="shared" si="145"/>
        <v>1.354286483</v>
      </c>
      <c r="Y159" s="352">
        <f t="shared" si="165"/>
        <v>0.5752428571</v>
      </c>
      <c r="Z159" s="321">
        <f t="shared" si="146"/>
        <v>0.4001942857</v>
      </c>
      <c r="AA159" s="353"/>
      <c r="AB159" s="353"/>
      <c r="AC159" s="353"/>
      <c r="AD159" s="354"/>
      <c r="AE159" s="353"/>
      <c r="AF159" s="353"/>
      <c r="AG159" s="353"/>
      <c r="AH159" s="354" t="str">
        <f t="shared" si="177"/>
        <v/>
      </c>
      <c r="AI159" s="355">
        <f t="shared" si="178"/>
        <v>0</v>
      </c>
    </row>
    <row r="160">
      <c r="A160" s="344">
        <v>2025.0</v>
      </c>
      <c r="B160" s="344" t="s">
        <v>958</v>
      </c>
      <c r="C160" s="344" t="s">
        <v>959</v>
      </c>
      <c r="D160" s="344" t="s">
        <v>840</v>
      </c>
      <c r="E160" s="345">
        <v>135000.0</v>
      </c>
      <c r="F160" s="345">
        <v>320000.0</v>
      </c>
      <c r="G160" s="346">
        <v>1.0</v>
      </c>
      <c r="H160" s="292">
        <f t="shared" si="158"/>
        <v>199.3925352</v>
      </c>
      <c r="I160" s="347">
        <v>0.035</v>
      </c>
      <c r="J160" s="348">
        <f t="shared" si="159"/>
        <v>192.4137965</v>
      </c>
      <c r="K160" s="349">
        <f t="shared" si="160"/>
        <v>6.978738733</v>
      </c>
      <c r="L160" s="296">
        <v>0.001397</v>
      </c>
      <c r="M160" s="347">
        <v>0.0215</v>
      </c>
      <c r="N160" s="350">
        <f t="shared" si="161"/>
        <v>0.0014270355</v>
      </c>
      <c r="O160" s="348">
        <f t="shared" si="162"/>
        <v>19.13689662</v>
      </c>
      <c r="P160" s="348">
        <f t="shared" si="163"/>
        <v>0.2960813183</v>
      </c>
      <c r="Q160" s="292">
        <f t="shared" si="164"/>
        <v>472.6341576</v>
      </c>
      <c r="R160" s="347">
        <v>0.06</v>
      </c>
      <c r="S160" s="351"/>
      <c r="T160" s="299">
        <f t="shared" si="141"/>
        <v>185000</v>
      </c>
      <c r="U160" s="315">
        <f t="shared" si="142"/>
        <v>174547.5</v>
      </c>
      <c r="V160" s="315">
        <f t="shared" si="143"/>
        <v>37000</v>
      </c>
      <c r="W160" s="320">
        <f t="shared" si="144"/>
        <v>128800</v>
      </c>
      <c r="X160" s="321">
        <f t="shared" si="145"/>
        <v>1.37037037</v>
      </c>
      <c r="Y160" s="352">
        <f t="shared" si="165"/>
        <v>0.578125</v>
      </c>
      <c r="Z160" s="321">
        <f t="shared" si="146"/>
        <v>0.4025</v>
      </c>
      <c r="AA160" s="384"/>
      <c r="AB160" s="384"/>
      <c r="AC160" s="384"/>
      <c r="AD160" s="385"/>
      <c r="AE160" s="384"/>
      <c r="AF160" s="384"/>
      <c r="AG160" s="384"/>
      <c r="AH160" s="385"/>
      <c r="AI160" s="385"/>
    </row>
    <row r="161">
      <c r="A161" s="344">
        <v>2026.0</v>
      </c>
      <c r="B161" s="344" t="s">
        <v>958</v>
      </c>
      <c r="C161" s="344" t="s">
        <v>959</v>
      </c>
      <c r="D161" s="344" t="s">
        <v>840</v>
      </c>
      <c r="E161" s="345">
        <v>148665.0</v>
      </c>
      <c r="F161" s="345">
        <v>350000.0</v>
      </c>
      <c r="G161" s="346">
        <v>1.0</v>
      </c>
      <c r="H161" s="292">
        <f t="shared" si="158"/>
        <v>219.5754907</v>
      </c>
      <c r="I161" s="347">
        <v>0.035</v>
      </c>
      <c r="J161" s="348">
        <f t="shared" si="159"/>
        <v>211.8903486</v>
      </c>
      <c r="K161" s="349">
        <f t="shared" si="160"/>
        <v>7.685142176</v>
      </c>
      <c r="L161" s="296">
        <v>0.001397</v>
      </c>
      <c r="M161" s="347">
        <v>0.0215</v>
      </c>
      <c r="N161" s="350">
        <f t="shared" si="161"/>
        <v>0.0014270355</v>
      </c>
      <c r="O161" s="348">
        <f t="shared" si="162"/>
        <v>19.55564249</v>
      </c>
      <c r="P161" s="348">
        <f t="shared" si="163"/>
        <v>0.3238750495</v>
      </c>
      <c r="Q161" s="292">
        <f t="shared" si="164"/>
        <v>516.9436099</v>
      </c>
      <c r="R161" s="347">
        <v>0.06</v>
      </c>
      <c r="S161" s="351"/>
      <c r="T161" s="299">
        <f t="shared" si="141"/>
        <v>201335</v>
      </c>
      <c r="U161" s="315">
        <f t="shared" si="142"/>
        <v>189959.5725</v>
      </c>
      <c r="V161" s="315">
        <f t="shared" si="143"/>
        <v>40267</v>
      </c>
      <c r="W161" s="320">
        <f t="shared" si="144"/>
        <v>140068</v>
      </c>
      <c r="X161" s="321">
        <f t="shared" si="145"/>
        <v>1.354286483</v>
      </c>
      <c r="Y161" s="352">
        <f t="shared" si="165"/>
        <v>0.5752428571</v>
      </c>
      <c r="Z161" s="321">
        <f t="shared" si="146"/>
        <v>0.4001942857</v>
      </c>
      <c r="AA161" s="384"/>
      <c r="AB161" s="384"/>
      <c r="AC161" s="384"/>
      <c r="AD161" s="385"/>
      <c r="AE161" s="384"/>
      <c r="AF161" s="384"/>
      <c r="AG161" s="384"/>
      <c r="AH161" s="385"/>
      <c r="AI161" s="385"/>
    </row>
    <row r="162">
      <c r="A162" s="382">
        <v>2026.0</v>
      </c>
      <c r="B162" s="344" t="s">
        <v>960</v>
      </c>
      <c r="C162" s="344" t="s">
        <v>961</v>
      </c>
      <c r="D162" s="344" t="s">
        <v>162</v>
      </c>
      <c r="E162" s="387">
        <v>148665.0</v>
      </c>
      <c r="F162" s="387">
        <v>350000.0</v>
      </c>
      <c r="G162" s="346">
        <v>1.0</v>
      </c>
      <c r="H162" s="292">
        <f t="shared" si="158"/>
        <v>219.5754907</v>
      </c>
      <c r="I162" s="347">
        <v>0.035</v>
      </c>
      <c r="J162" s="348">
        <f t="shared" si="159"/>
        <v>211.8903486</v>
      </c>
      <c r="K162" s="349">
        <f t="shared" si="160"/>
        <v>7.685142176</v>
      </c>
      <c r="L162" s="296">
        <v>0.001397</v>
      </c>
      <c r="M162" s="347">
        <v>0.0215</v>
      </c>
      <c r="N162" s="350">
        <f t="shared" si="161"/>
        <v>0.0014270355</v>
      </c>
      <c r="O162" s="348">
        <f t="shared" si="162"/>
        <v>19.55564249</v>
      </c>
      <c r="P162" s="348">
        <f t="shared" si="163"/>
        <v>0.3238750495</v>
      </c>
      <c r="Q162" s="292">
        <f t="shared" si="164"/>
        <v>516.9436099</v>
      </c>
      <c r="R162" s="347">
        <v>0.06</v>
      </c>
      <c r="S162" s="351"/>
      <c r="T162" s="299">
        <f t="shared" si="141"/>
        <v>201335</v>
      </c>
      <c r="U162" s="315">
        <f t="shared" si="142"/>
        <v>189959.5725</v>
      </c>
      <c r="V162" s="315">
        <f t="shared" si="143"/>
        <v>40267</v>
      </c>
      <c r="W162" s="320">
        <f t="shared" si="144"/>
        <v>140068</v>
      </c>
      <c r="X162" s="321">
        <f t="shared" si="145"/>
        <v>1.354286483</v>
      </c>
      <c r="Y162" s="388">
        <f t="shared" si="165"/>
        <v>0.5752428571</v>
      </c>
      <c r="Z162" s="321">
        <f t="shared" si="146"/>
        <v>0.4001942857</v>
      </c>
      <c r="AA162" s="353"/>
      <c r="AB162" s="353"/>
      <c r="AC162" s="353"/>
      <c r="AD162" s="354"/>
      <c r="AE162" s="353"/>
      <c r="AF162" s="353"/>
      <c r="AG162" s="353"/>
      <c r="AH162" s="354" t="str">
        <f t="shared" ref="AH162:AH170" si="181">IFERROR(AVERAGE(AE162:AG162),"")</f>
        <v/>
      </c>
      <c r="AI162" s="355">
        <f t="shared" ref="AI162:AI170" si="182">AE162+AF162+AG162</f>
        <v>0</v>
      </c>
    </row>
    <row r="163">
      <c r="A163" s="382">
        <v>2026.0</v>
      </c>
      <c r="B163" s="344" t="s">
        <v>962</v>
      </c>
      <c r="C163" s="344" t="s">
        <v>963</v>
      </c>
      <c r="D163" s="344" t="s">
        <v>964</v>
      </c>
      <c r="E163" s="387">
        <v>309000.0</v>
      </c>
      <c r="F163" s="387">
        <v>450000.0</v>
      </c>
      <c r="G163" s="346">
        <v>1.0</v>
      </c>
      <c r="H163" s="292">
        <f t="shared" si="158"/>
        <v>456.3873584</v>
      </c>
      <c r="I163" s="347">
        <v>0.035</v>
      </c>
      <c r="J163" s="348">
        <f t="shared" si="159"/>
        <v>440.4138009</v>
      </c>
      <c r="K163" s="349">
        <f t="shared" si="160"/>
        <v>15.97355755</v>
      </c>
      <c r="L163" s="296">
        <v>0.001397</v>
      </c>
      <c r="M163" s="347">
        <v>0.0215</v>
      </c>
      <c r="N163" s="350">
        <f t="shared" si="161"/>
        <v>0.0014270355</v>
      </c>
      <c r="O163" s="348">
        <f t="shared" si="162"/>
        <v>24.46889672</v>
      </c>
      <c r="P163" s="348">
        <f t="shared" si="163"/>
        <v>0.6499861286</v>
      </c>
      <c r="Q163" s="292">
        <f t="shared" si="164"/>
        <v>664.6417841</v>
      </c>
      <c r="R163" s="347">
        <v>0.06</v>
      </c>
      <c r="S163" s="351"/>
      <c r="T163" s="299">
        <f t="shared" si="141"/>
        <v>141000</v>
      </c>
      <c r="U163" s="315">
        <f t="shared" si="142"/>
        <v>133033.5</v>
      </c>
      <c r="V163" s="315">
        <f t="shared" si="143"/>
        <v>28200</v>
      </c>
      <c r="W163" s="320">
        <f t="shared" si="144"/>
        <v>85800</v>
      </c>
      <c r="X163" s="321">
        <f t="shared" si="145"/>
        <v>0.4563106796</v>
      </c>
      <c r="Y163" s="388">
        <f t="shared" si="165"/>
        <v>0.3133333333</v>
      </c>
      <c r="Z163" s="321">
        <f t="shared" si="146"/>
        <v>0.1906666667</v>
      </c>
      <c r="AA163" s="353"/>
      <c r="AB163" s="353"/>
      <c r="AC163" s="353"/>
      <c r="AD163" s="354"/>
      <c r="AE163" s="353"/>
      <c r="AF163" s="353"/>
      <c r="AG163" s="353"/>
      <c r="AH163" s="354" t="str">
        <f t="shared" si="181"/>
        <v/>
      </c>
      <c r="AI163" s="355">
        <f t="shared" si="182"/>
        <v>0</v>
      </c>
    </row>
    <row r="164">
      <c r="A164" s="382">
        <v>2026.0</v>
      </c>
      <c r="B164" s="344" t="s">
        <v>965</v>
      </c>
      <c r="C164" s="344" t="s">
        <v>963</v>
      </c>
      <c r="D164" s="344" t="s">
        <v>966</v>
      </c>
      <c r="E164" s="387">
        <v>273000.0</v>
      </c>
      <c r="F164" s="387">
        <v>390000.0</v>
      </c>
      <c r="G164" s="346">
        <v>1.0</v>
      </c>
      <c r="H164" s="292">
        <f t="shared" si="158"/>
        <v>403.2160157</v>
      </c>
      <c r="I164" s="347">
        <v>0.035</v>
      </c>
      <c r="J164" s="348">
        <f t="shared" si="159"/>
        <v>389.1034552</v>
      </c>
      <c r="K164" s="349">
        <f t="shared" si="160"/>
        <v>14.11256055</v>
      </c>
      <c r="L164" s="296">
        <v>0.001397</v>
      </c>
      <c r="M164" s="347">
        <v>0.0215</v>
      </c>
      <c r="N164" s="350">
        <f t="shared" si="161"/>
        <v>0.0014270355</v>
      </c>
      <c r="O164" s="348">
        <f t="shared" si="162"/>
        <v>23.36572429</v>
      </c>
      <c r="P164" s="348">
        <f t="shared" si="163"/>
        <v>0.5767644437</v>
      </c>
      <c r="Q164" s="292">
        <f t="shared" si="164"/>
        <v>576.0228796</v>
      </c>
      <c r="R164" s="347">
        <v>0.06</v>
      </c>
      <c r="S164" s="351"/>
      <c r="T164" s="299">
        <f t="shared" si="141"/>
        <v>117000</v>
      </c>
      <c r="U164" s="315">
        <f t="shared" si="142"/>
        <v>110389.5</v>
      </c>
      <c r="V164" s="315">
        <f t="shared" si="143"/>
        <v>23400</v>
      </c>
      <c r="W164" s="320">
        <f t="shared" si="144"/>
        <v>70200</v>
      </c>
      <c r="X164" s="321">
        <f t="shared" si="145"/>
        <v>0.4285714286</v>
      </c>
      <c r="Y164" s="388">
        <f t="shared" si="165"/>
        <v>0.3</v>
      </c>
      <c r="Z164" s="321">
        <f t="shared" si="146"/>
        <v>0.18</v>
      </c>
      <c r="AA164" s="353"/>
      <c r="AB164" s="353"/>
      <c r="AC164" s="353"/>
      <c r="AD164" s="354"/>
      <c r="AE164" s="353"/>
      <c r="AF164" s="353"/>
      <c r="AG164" s="353"/>
      <c r="AH164" s="354" t="str">
        <f t="shared" si="181"/>
        <v/>
      </c>
      <c r="AI164" s="355">
        <f t="shared" si="182"/>
        <v>0</v>
      </c>
    </row>
    <row r="165">
      <c r="A165" s="382">
        <v>2026.0</v>
      </c>
      <c r="B165" s="344" t="s">
        <v>967</v>
      </c>
      <c r="C165" s="344" t="s">
        <v>968</v>
      </c>
      <c r="D165" s="344" t="s">
        <v>964</v>
      </c>
      <c r="E165" s="387">
        <v>230000.0</v>
      </c>
      <c r="F165" s="387">
        <v>390000.0</v>
      </c>
      <c r="G165" s="346">
        <v>1.0</v>
      </c>
      <c r="H165" s="292">
        <f t="shared" si="158"/>
        <v>339.7058008</v>
      </c>
      <c r="I165" s="347">
        <v>0.035</v>
      </c>
      <c r="J165" s="348">
        <f t="shared" si="159"/>
        <v>327.8160977</v>
      </c>
      <c r="K165" s="349">
        <f t="shared" si="160"/>
        <v>11.88970303</v>
      </c>
      <c r="L165" s="296">
        <v>0.001397</v>
      </c>
      <c r="M165" s="347">
        <v>0.0215</v>
      </c>
      <c r="N165" s="350">
        <f t="shared" si="161"/>
        <v>0.0014270355</v>
      </c>
      <c r="O165" s="348">
        <f t="shared" si="162"/>
        <v>22.0480461</v>
      </c>
      <c r="P165" s="348">
        <f t="shared" si="163"/>
        <v>0.489305209</v>
      </c>
      <c r="Q165" s="292">
        <f t="shared" si="164"/>
        <v>576.0228796</v>
      </c>
      <c r="R165" s="347">
        <v>0.06</v>
      </c>
      <c r="S165" s="351"/>
      <c r="T165" s="299">
        <f t="shared" si="141"/>
        <v>160000</v>
      </c>
      <c r="U165" s="315">
        <f t="shared" si="142"/>
        <v>150960</v>
      </c>
      <c r="V165" s="315">
        <f t="shared" si="143"/>
        <v>32000</v>
      </c>
      <c r="W165" s="320">
        <f t="shared" si="144"/>
        <v>104600</v>
      </c>
      <c r="X165" s="321">
        <f t="shared" si="145"/>
        <v>0.6956521739</v>
      </c>
      <c r="Y165" s="388">
        <f t="shared" si="165"/>
        <v>0.4102564103</v>
      </c>
      <c r="Z165" s="321">
        <f t="shared" si="146"/>
        <v>0.2682051282</v>
      </c>
      <c r="AA165" s="353"/>
      <c r="AB165" s="353"/>
      <c r="AC165" s="353"/>
      <c r="AD165" s="354"/>
      <c r="AE165" s="353"/>
      <c r="AF165" s="353"/>
      <c r="AG165" s="353"/>
      <c r="AH165" s="354" t="str">
        <f t="shared" si="181"/>
        <v/>
      </c>
      <c r="AI165" s="355">
        <f t="shared" si="182"/>
        <v>0</v>
      </c>
    </row>
    <row r="166">
      <c r="A166" s="382">
        <v>2026.0</v>
      </c>
      <c r="B166" s="344" t="s">
        <v>969</v>
      </c>
      <c r="C166" s="344" t="s">
        <v>968</v>
      </c>
      <c r="D166" s="344" t="s">
        <v>966</v>
      </c>
      <c r="E166" s="387">
        <v>230000.0</v>
      </c>
      <c r="F166" s="387">
        <v>300000.0</v>
      </c>
      <c r="G166" s="346">
        <v>1.0</v>
      </c>
      <c r="H166" s="292">
        <f t="shared" si="158"/>
        <v>339.7058008</v>
      </c>
      <c r="I166" s="347">
        <v>0.035</v>
      </c>
      <c r="J166" s="348">
        <f t="shared" si="159"/>
        <v>327.8160977</v>
      </c>
      <c r="K166" s="349">
        <f t="shared" si="160"/>
        <v>11.88970303</v>
      </c>
      <c r="L166" s="296">
        <v>0.001397</v>
      </c>
      <c r="M166" s="347">
        <v>0.0215</v>
      </c>
      <c r="N166" s="350">
        <f t="shared" si="161"/>
        <v>0.0014270355</v>
      </c>
      <c r="O166" s="348">
        <f t="shared" si="162"/>
        <v>22.0480461</v>
      </c>
      <c r="P166" s="348">
        <f t="shared" si="163"/>
        <v>0.489305209</v>
      </c>
      <c r="Q166" s="292">
        <f t="shared" si="164"/>
        <v>443.0945228</v>
      </c>
      <c r="R166" s="347">
        <v>0.06</v>
      </c>
      <c r="S166" s="351"/>
      <c r="T166" s="299">
        <f t="shared" si="141"/>
        <v>70000</v>
      </c>
      <c r="U166" s="315">
        <f t="shared" si="142"/>
        <v>66045</v>
      </c>
      <c r="V166" s="315">
        <f t="shared" si="143"/>
        <v>14000</v>
      </c>
      <c r="W166" s="320">
        <f t="shared" si="144"/>
        <v>38000</v>
      </c>
      <c r="X166" s="321">
        <f t="shared" si="145"/>
        <v>0.3043478261</v>
      </c>
      <c r="Y166" s="388">
        <f t="shared" si="165"/>
        <v>0.2333333333</v>
      </c>
      <c r="Z166" s="321">
        <f t="shared" si="146"/>
        <v>0.1266666667</v>
      </c>
      <c r="AA166" s="353"/>
      <c r="AB166" s="353"/>
      <c r="AC166" s="353"/>
      <c r="AD166" s="354"/>
      <c r="AE166" s="353"/>
      <c r="AF166" s="353"/>
      <c r="AG166" s="353"/>
      <c r="AH166" s="354" t="str">
        <f t="shared" si="181"/>
        <v/>
      </c>
      <c r="AI166" s="355">
        <f t="shared" si="182"/>
        <v>0</v>
      </c>
    </row>
    <row r="167">
      <c r="A167" s="391">
        <v>45748.0</v>
      </c>
      <c r="B167" s="344" t="s">
        <v>970</v>
      </c>
      <c r="C167" s="344" t="s">
        <v>971</v>
      </c>
      <c r="D167" s="344" t="s">
        <v>162</v>
      </c>
      <c r="E167" s="387">
        <v>150000.0</v>
      </c>
      <c r="F167" s="387">
        <v>320000.0</v>
      </c>
      <c r="G167" s="346">
        <v>1.0</v>
      </c>
      <c r="H167" s="292">
        <f t="shared" si="158"/>
        <v>221.5472614</v>
      </c>
      <c r="I167" s="347">
        <v>0.035</v>
      </c>
      <c r="J167" s="348">
        <f t="shared" si="159"/>
        <v>213.7931072</v>
      </c>
      <c r="K167" s="349">
        <f t="shared" si="160"/>
        <v>7.754154148</v>
      </c>
      <c r="L167" s="296">
        <v>0.001397</v>
      </c>
      <c r="M167" s="347">
        <v>0.0215</v>
      </c>
      <c r="N167" s="350">
        <f t="shared" si="161"/>
        <v>0.0014270355</v>
      </c>
      <c r="O167" s="348">
        <f t="shared" si="162"/>
        <v>19.59655181</v>
      </c>
      <c r="P167" s="348">
        <f t="shared" si="163"/>
        <v>0.3265903537</v>
      </c>
      <c r="Q167" s="292">
        <f t="shared" si="164"/>
        <v>472.6341576</v>
      </c>
      <c r="R167" s="347">
        <v>0.06</v>
      </c>
      <c r="S167" s="351"/>
      <c r="T167" s="299">
        <f t="shared" si="141"/>
        <v>170000</v>
      </c>
      <c r="U167" s="315">
        <f t="shared" si="142"/>
        <v>160395</v>
      </c>
      <c r="V167" s="315">
        <f t="shared" si="143"/>
        <v>34000</v>
      </c>
      <c r="W167" s="320">
        <f t="shared" si="144"/>
        <v>116800</v>
      </c>
      <c r="X167" s="321">
        <f t="shared" si="145"/>
        <v>1.133333333</v>
      </c>
      <c r="Y167" s="388">
        <f t="shared" si="165"/>
        <v>0.53125</v>
      </c>
      <c r="Z167" s="321">
        <f t="shared" si="146"/>
        <v>0.365</v>
      </c>
      <c r="AA167" s="353"/>
      <c r="AB167" s="353"/>
      <c r="AC167" s="353"/>
      <c r="AD167" s="354"/>
      <c r="AE167" s="353"/>
      <c r="AF167" s="353"/>
      <c r="AG167" s="353"/>
      <c r="AH167" s="354" t="str">
        <f t="shared" si="181"/>
        <v/>
      </c>
      <c r="AI167" s="355">
        <f t="shared" si="182"/>
        <v>0</v>
      </c>
    </row>
    <row r="168">
      <c r="A168" s="391">
        <v>45748.0</v>
      </c>
      <c r="B168" s="344" t="s">
        <v>972</v>
      </c>
      <c r="C168" s="344" t="s">
        <v>973</v>
      </c>
      <c r="D168" s="344" t="s">
        <v>162</v>
      </c>
      <c r="E168" s="387">
        <v>150000.0</v>
      </c>
      <c r="F168" s="387">
        <v>320000.0</v>
      </c>
      <c r="G168" s="346">
        <v>1.0</v>
      </c>
      <c r="H168" s="292">
        <f t="shared" si="158"/>
        <v>221.5472614</v>
      </c>
      <c r="I168" s="347">
        <v>0.035</v>
      </c>
      <c r="J168" s="348">
        <f t="shared" si="159"/>
        <v>213.7931072</v>
      </c>
      <c r="K168" s="349">
        <f t="shared" si="160"/>
        <v>7.754154148</v>
      </c>
      <c r="L168" s="296">
        <v>0.001397</v>
      </c>
      <c r="M168" s="347">
        <v>0.0215</v>
      </c>
      <c r="N168" s="350">
        <f t="shared" si="161"/>
        <v>0.0014270355</v>
      </c>
      <c r="O168" s="348">
        <f t="shared" si="162"/>
        <v>19.59655181</v>
      </c>
      <c r="P168" s="348">
        <f t="shared" si="163"/>
        <v>0.3265903537</v>
      </c>
      <c r="Q168" s="292">
        <f t="shared" si="164"/>
        <v>472.6341576</v>
      </c>
      <c r="R168" s="347">
        <v>0.06</v>
      </c>
      <c r="S168" s="351"/>
      <c r="T168" s="299">
        <f t="shared" si="141"/>
        <v>170000</v>
      </c>
      <c r="U168" s="315">
        <f t="shared" si="142"/>
        <v>160395</v>
      </c>
      <c r="V168" s="315">
        <f t="shared" si="143"/>
        <v>34000</v>
      </c>
      <c r="W168" s="320">
        <f t="shared" si="144"/>
        <v>116800</v>
      </c>
      <c r="X168" s="321">
        <f t="shared" si="145"/>
        <v>1.133333333</v>
      </c>
      <c r="Y168" s="388">
        <f t="shared" si="165"/>
        <v>0.53125</v>
      </c>
      <c r="Z168" s="321">
        <f t="shared" si="146"/>
        <v>0.365</v>
      </c>
      <c r="AA168" s="353"/>
      <c r="AB168" s="353"/>
      <c r="AC168" s="353"/>
      <c r="AD168" s="354"/>
      <c r="AE168" s="353"/>
      <c r="AF168" s="353"/>
      <c r="AG168" s="353"/>
      <c r="AH168" s="354" t="str">
        <f t="shared" si="181"/>
        <v/>
      </c>
      <c r="AI168" s="355">
        <f t="shared" si="182"/>
        <v>0</v>
      </c>
    </row>
    <row r="169">
      <c r="A169" s="392">
        <v>45839.0</v>
      </c>
      <c r="B169" s="344" t="s">
        <v>974</v>
      </c>
      <c r="C169" s="344" t="s">
        <v>975</v>
      </c>
      <c r="D169" s="344" t="s">
        <v>162</v>
      </c>
      <c r="E169" s="387">
        <v>240000.0</v>
      </c>
      <c r="F169" s="387">
        <v>350000.0</v>
      </c>
      <c r="G169" s="346">
        <v>1.0</v>
      </c>
      <c r="H169" s="292">
        <f t="shared" si="158"/>
        <v>354.4756182</v>
      </c>
      <c r="I169" s="347">
        <v>0.035</v>
      </c>
      <c r="J169" s="348">
        <f t="shared" si="159"/>
        <v>342.0689716</v>
      </c>
      <c r="K169" s="349">
        <f t="shared" si="160"/>
        <v>12.40664664</v>
      </c>
      <c r="L169" s="296">
        <v>0.001397</v>
      </c>
      <c r="M169" s="347">
        <v>0.0215</v>
      </c>
      <c r="N169" s="350">
        <f t="shared" si="161"/>
        <v>0.0014270355</v>
      </c>
      <c r="O169" s="348">
        <f t="shared" si="162"/>
        <v>22.35448289</v>
      </c>
      <c r="P169" s="348">
        <f t="shared" si="163"/>
        <v>0.5096445659</v>
      </c>
      <c r="Q169" s="292">
        <f t="shared" si="164"/>
        <v>516.9436099</v>
      </c>
      <c r="R169" s="347">
        <v>0.06</v>
      </c>
      <c r="S169" s="351"/>
      <c r="T169" s="299">
        <f t="shared" si="141"/>
        <v>110000</v>
      </c>
      <c r="U169" s="315">
        <f t="shared" si="142"/>
        <v>103785</v>
      </c>
      <c r="V169" s="315">
        <f t="shared" si="143"/>
        <v>22000</v>
      </c>
      <c r="W169" s="320">
        <f t="shared" si="144"/>
        <v>67000</v>
      </c>
      <c r="X169" s="321">
        <f t="shared" si="145"/>
        <v>0.4583333333</v>
      </c>
      <c r="Y169" s="388">
        <f t="shared" si="165"/>
        <v>0.3142857143</v>
      </c>
      <c r="Z169" s="321">
        <f t="shared" si="146"/>
        <v>0.1914285714</v>
      </c>
      <c r="AA169" s="353"/>
      <c r="AB169" s="353"/>
      <c r="AC169" s="353"/>
      <c r="AD169" s="354"/>
      <c r="AE169" s="353"/>
      <c r="AF169" s="353"/>
      <c r="AG169" s="353"/>
      <c r="AH169" s="354" t="str">
        <f t="shared" si="181"/>
        <v/>
      </c>
      <c r="AI169" s="355">
        <f t="shared" si="182"/>
        <v>0</v>
      </c>
    </row>
    <row r="170">
      <c r="A170" s="344">
        <v>2025.0</v>
      </c>
      <c r="B170" s="344" t="s">
        <v>976</v>
      </c>
      <c r="C170" s="344" t="s">
        <v>977</v>
      </c>
      <c r="D170" s="344" t="s">
        <v>162</v>
      </c>
      <c r="E170" s="290">
        <f>E382*1.1</f>
        <v>0</v>
      </c>
      <c r="F170" s="345">
        <v>1700000.0</v>
      </c>
      <c r="G170" s="346">
        <v>1.0</v>
      </c>
      <c r="H170" s="292">
        <f t="shared" si="158"/>
        <v>0</v>
      </c>
      <c r="I170" s="347">
        <v>0.035</v>
      </c>
      <c r="J170" s="348">
        <f t="shared" si="159"/>
        <v>0</v>
      </c>
      <c r="K170" s="349">
        <f t="shared" si="160"/>
        <v>0</v>
      </c>
      <c r="L170" s="296">
        <v>0.001397</v>
      </c>
      <c r="M170" s="347">
        <v>0.0215</v>
      </c>
      <c r="N170" s="350">
        <f t="shared" si="161"/>
        <v>0.0014270355</v>
      </c>
      <c r="O170" s="348">
        <f t="shared" si="162"/>
        <v>15</v>
      </c>
      <c r="P170" s="348">
        <f t="shared" si="163"/>
        <v>0.0215</v>
      </c>
      <c r="Q170" s="292">
        <f t="shared" si="164"/>
        <v>2510.868962</v>
      </c>
      <c r="R170" s="347">
        <v>0.06</v>
      </c>
      <c r="S170" s="351"/>
      <c r="T170" s="299">
        <f t="shared" si="141"/>
        <v>1700000</v>
      </c>
      <c r="U170" s="315">
        <f t="shared" si="142"/>
        <v>1603950</v>
      </c>
      <c r="V170" s="315">
        <f t="shared" si="143"/>
        <v>340000</v>
      </c>
      <c r="W170" s="320">
        <f t="shared" si="144"/>
        <v>1258000</v>
      </c>
      <c r="X170" s="321" t="str">
        <f t="shared" si="145"/>
        <v/>
      </c>
      <c r="Y170" s="352">
        <f t="shared" si="165"/>
        <v>1</v>
      </c>
      <c r="Z170" s="321">
        <f t="shared" si="146"/>
        <v>0.74</v>
      </c>
      <c r="AA170" s="353"/>
      <c r="AB170" s="353"/>
      <c r="AC170" s="353"/>
      <c r="AD170" s="354"/>
      <c r="AE170" s="353"/>
      <c r="AF170" s="353"/>
      <c r="AG170" s="353"/>
      <c r="AH170" s="354" t="str">
        <f t="shared" si="181"/>
        <v/>
      </c>
      <c r="AI170" s="355">
        <f t="shared" si="182"/>
        <v>0</v>
      </c>
    </row>
    <row r="171">
      <c r="A171" s="376">
        <v>2025.0</v>
      </c>
      <c r="B171" s="376"/>
      <c r="C171" s="376" t="s">
        <v>978</v>
      </c>
      <c r="D171" s="376" t="s">
        <v>897</v>
      </c>
      <c r="E171" s="377">
        <f>(1373000*0.8)*1.1+(110000/G171)</f>
        <v>1318240</v>
      </c>
      <c r="F171" s="345">
        <f>E171*1.4</f>
        <v>1845536</v>
      </c>
      <c r="G171" s="346">
        <v>1.0</v>
      </c>
      <c r="H171" s="292">
        <f t="shared" si="158"/>
        <v>1947.016412</v>
      </c>
      <c r="I171" s="347">
        <v>0.035</v>
      </c>
      <c r="J171" s="348">
        <f t="shared" si="159"/>
        <v>1878.870838</v>
      </c>
      <c r="K171" s="349">
        <f t="shared" si="160"/>
        <v>68.14557443</v>
      </c>
      <c r="L171" s="296">
        <v>0.001397</v>
      </c>
      <c r="M171" s="347">
        <v>0.0215</v>
      </c>
      <c r="N171" s="350">
        <f t="shared" si="161"/>
        <v>0.0014270355</v>
      </c>
      <c r="O171" s="348">
        <f t="shared" si="162"/>
        <v>55.39572301</v>
      </c>
      <c r="P171" s="348">
        <f t="shared" si="163"/>
        <v>2.702715385</v>
      </c>
      <c r="Q171" s="292">
        <f t="shared" si="164"/>
        <v>2725.822977</v>
      </c>
      <c r="R171" s="347">
        <v>0.06</v>
      </c>
      <c r="S171" s="351"/>
      <c r="T171" s="299">
        <f t="shared" si="141"/>
        <v>527296</v>
      </c>
      <c r="U171" s="315">
        <f t="shared" si="142"/>
        <v>497503.776</v>
      </c>
      <c r="V171" s="315">
        <f t="shared" si="143"/>
        <v>105459.2</v>
      </c>
      <c r="W171" s="320">
        <f t="shared" si="144"/>
        <v>311104.64</v>
      </c>
      <c r="X171" s="321">
        <f t="shared" si="145"/>
        <v>0.4</v>
      </c>
      <c r="Y171" s="352">
        <f t="shared" si="165"/>
        <v>0.2857142857</v>
      </c>
      <c r="Z171" s="321">
        <f t="shared" si="146"/>
        <v>0.1685714286</v>
      </c>
      <c r="AA171" s="353"/>
      <c r="AB171" s="353"/>
      <c r="AC171" s="353"/>
      <c r="AD171" s="393"/>
      <c r="AE171" s="353"/>
      <c r="AF171" s="353"/>
      <c r="AG171" s="353"/>
      <c r="AH171" s="393"/>
      <c r="AI171" s="394"/>
    </row>
    <row r="172">
      <c r="A172" s="376">
        <v>2025.0</v>
      </c>
      <c r="B172" s="376"/>
      <c r="C172" s="376" t="s">
        <v>978</v>
      </c>
      <c r="D172" s="376" t="s">
        <v>891</v>
      </c>
      <c r="E172" s="377">
        <f>(769000*0.8)*1.1+(110000/G172)</f>
        <v>731720</v>
      </c>
      <c r="F172" s="345">
        <f t="shared" ref="F172:F174" si="183">E172*1.6</f>
        <v>1170752</v>
      </c>
      <c r="G172" s="378">
        <v>2.0</v>
      </c>
      <c r="H172" s="292">
        <f t="shared" si="158"/>
        <v>2161.474161</v>
      </c>
      <c r="I172" s="347">
        <v>0.035</v>
      </c>
      <c r="J172" s="348">
        <f t="shared" si="159"/>
        <v>2085.822566</v>
      </c>
      <c r="K172" s="349">
        <f t="shared" si="160"/>
        <v>75.65159564</v>
      </c>
      <c r="L172" s="296">
        <v>0.001397</v>
      </c>
      <c r="M172" s="347">
        <v>0.0215</v>
      </c>
      <c r="N172" s="350">
        <f t="shared" si="161"/>
        <v>0.0014270355</v>
      </c>
      <c r="O172" s="348">
        <f t="shared" si="162"/>
        <v>59.84518516</v>
      </c>
      <c r="P172" s="348">
        <f t="shared" si="163"/>
        <v>2.998042848</v>
      </c>
      <c r="Q172" s="292">
        <f t="shared" si="164"/>
        <v>3458.358658</v>
      </c>
      <c r="R172" s="347">
        <v>0.06</v>
      </c>
      <c r="S172" s="351"/>
      <c r="T172" s="299">
        <f t="shared" si="141"/>
        <v>439032</v>
      </c>
      <c r="U172" s="315">
        <f t="shared" si="142"/>
        <v>414226.692</v>
      </c>
      <c r="V172" s="315">
        <f t="shared" si="143"/>
        <v>87806.4</v>
      </c>
      <c r="W172" s="320">
        <f t="shared" si="144"/>
        <v>280980.48</v>
      </c>
      <c r="X172" s="321">
        <f t="shared" si="145"/>
        <v>0.6</v>
      </c>
      <c r="Y172" s="352">
        <f t="shared" si="165"/>
        <v>0.375</v>
      </c>
      <c r="Z172" s="321">
        <f t="shared" si="146"/>
        <v>0.24</v>
      </c>
      <c r="AA172" s="353"/>
      <c r="AB172" s="353"/>
      <c r="AC172" s="353"/>
      <c r="AD172" s="393"/>
      <c r="AE172" s="353"/>
      <c r="AF172" s="353"/>
      <c r="AG172" s="353"/>
      <c r="AH172" s="393"/>
      <c r="AI172" s="394"/>
    </row>
    <row r="173">
      <c r="A173" s="376">
        <v>2025.0</v>
      </c>
      <c r="B173" s="376"/>
      <c r="C173" s="376" t="s">
        <v>978</v>
      </c>
      <c r="D173" s="376" t="s">
        <v>893</v>
      </c>
      <c r="E173" s="377">
        <f>(704000*0.8)*1.1+(110000/G173)</f>
        <v>656186.6667</v>
      </c>
      <c r="F173" s="345">
        <f t="shared" si="183"/>
        <v>1049898.667</v>
      </c>
      <c r="G173" s="378">
        <v>3.0</v>
      </c>
      <c r="H173" s="292">
        <f t="shared" si="158"/>
        <v>2907.527179</v>
      </c>
      <c r="I173" s="347">
        <v>0.035</v>
      </c>
      <c r="J173" s="348">
        <f t="shared" si="159"/>
        <v>2805.763728</v>
      </c>
      <c r="K173" s="349">
        <f t="shared" si="160"/>
        <v>101.7634513</v>
      </c>
      <c r="L173" s="296">
        <v>0.001397</v>
      </c>
      <c r="M173" s="347">
        <v>0.0215</v>
      </c>
      <c r="N173" s="350">
        <f t="shared" si="161"/>
        <v>0.0014270355</v>
      </c>
      <c r="O173" s="348">
        <f t="shared" si="162"/>
        <v>75.32392015</v>
      </c>
      <c r="P173" s="348">
        <f t="shared" si="163"/>
        <v>4.025424444</v>
      </c>
      <c r="Q173" s="292">
        <f t="shared" si="164"/>
        <v>4652.043486</v>
      </c>
      <c r="R173" s="347">
        <v>0.06</v>
      </c>
      <c r="S173" s="351"/>
      <c r="T173" s="299">
        <f t="shared" si="141"/>
        <v>393712</v>
      </c>
      <c r="U173" s="315">
        <f t="shared" si="142"/>
        <v>371467.272</v>
      </c>
      <c r="V173" s="315">
        <f t="shared" si="143"/>
        <v>78742.4</v>
      </c>
      <c r="W173" s="320">
        <f t="shared" si="144"/>
        <v>251975.68</v>
      </c>
      <c r="X173" s="321">
        <f t="shared" si="145"/>
        <v>0.6</v>
      </c>
      <c r="Y173" s="352">
        <f t="shared" si="165"/>
        <v>0.375</v>
      </c>
      <c r="Z173" s="321">
        <f t="shared" si="146"/>
        <v>0.24</v>
      </c>
      <c r="AA173" s="353"/>
      <c r="AB173" s="353"/>
      <c r="AC173" s="353"/>
      <c r="AD173" s="393"/>
      <c r="AE173" s="353"/>
      <c r="AF173" s="353"/>
      <c r="AG173" s="353"/>
      <c r="AH173" s="393"/>
      <c r="AI173" s="394"/>
    </row>
    <row r="174">
      <c r="A174" s="376">
        <v>2025.0</v>
      </c>
      <c r="B174" s="376"/>
      <c r="C174" s="376" t="s">
        <v>978</v>
      </c>
      <c r="D174" s="376" t="s">
        <v>895</v>
      </c>
      <c r="E174" s="377">
        <f>(569000*0.8)*1.1+(110000/G174)</f>
        <v>528220</v>
      </c>
      <c r="F174" s="345">
        <f t="shared" si="183"/>
        <v>845152</v>
      </c>
      <c r="G174" s="378">
        <v>4.0</v>
      </c>
      <c r="H174" s="292">
        <f t="shared" si="158"/>
        <v>3120.685184</v>
      </c>
      <c r="I174" s="347">
        <v>0.035</v>
      </c>
      <c r="J174" s="348">
        <f t="shared" si="159"/>
        <v>3011.461203</v>
      </c>
      <c r="K174" s="349">
        <f t="shared" si="160"/>
        <v>109.2239814</v>
      </c>
      <c r="L174" s="296">
        <v>0.001397</v>
      </c>
      <c r="M174" s="347">
        <v>0.0215</v>
      </c>
      <c r="N174" s="350">
        <f t="shared" si="161"/>
        <v>0.0014270355</v>
      </c>
      <c r="O174" s="348">
        <f t="shared" si="162"/>
        <v>79.74641586</v>
      </c>
      <c r="P174" s="348">
        <f t="shared" si="163"/>
        <v>4.318962043</v>
      </c>
      <c r="Q174" s="292">
        <f t="shared" si="164"/>
        <v>4993.096295</v>
      </c>
      <c r="R174" s="347">
        <v>0.06</v>
      </c>
      <c r="S174" s="351"/>
      <c r="T174" s="299">
        <f t="shared" si="141"/>
        <v>316932</v>
      </c>
      <c r="U174" s="315">
        <f t="shared" si="142"/>
        <v>299025.342</v>
      </c>
      <c r="V174" s="315">
        <f t="shared" si="143"/>
        <v>63386.4</v>
      </c>
      <c r="W174" s="320">
        <f t="shared" si="144"/>
        <v>202836.48</v>
      </c>
      <c r="X174" s="321">
        <f t="shared" si="145"/>
        <v>0.6</v>
      </c>
      <c r="Y174" s="352">
        <f t="shared" si="165"/>
        <v>0.375</v>
      </c>
      <c r="Z174" s="321">
        <f t="shared" si="146"/>
        <v>0.24</v>
      </c>
      <c r="AA174" s="353"/>
      <c r="AB174" s="353"/>
      <c r="AC174" s="353"/>
      <c r="AD174" s="393"/>
      <c r="AE174" s="353"/>
      <c r="AF174" s="353"/>
      <c r="AG174" s="353"/>
      <c r="AH174" s="393"/>
      <c r="AI174" s="394"/>
    </row>
    <row r="175">
      <c r="A175" s="304">
        <v>2025.0</v>
      </c>
      <c r="B175" s="304" t="s">
        <v>979</v>
      </c>
      <c r="C175" s="379" t="s">
        <v>844</v>
      </c>
      <c r="D175" s="304" t="s">
        <v>840</v>
      </c>
      <c r="E175" s="290">
        <f>E387*1.1</f>
        <v>0</v>
      </c>
      <c r="F175" s="290">
        <v>585000.0</v>
      </c>
      <c r="G175" s="291">
        <v>1.0</v>
      </c>
      <c r="H175" s="292">
        <f t="shared" si="158"/>
        <v>0</v>
      </c>
      <c r="I175" s="293">
        <v>0.035</v>
      </c>
      <c r="J175" s="294">
        <f t="shared" si="159"/>
        <v>0</v>
      </c>
      <c r="K175" s="295">
        <f t="shared" si="160"/>
        <v>0</v>
      </c>
      <c r="L175" s="296">
        <v>0.001397</v>
      </c>
      <c r="M175" s="293">
        <v>0.0215</v>
      </c>
      <c r="N175" s="297">
        <f t="shared" si="161"/>
        <v>0.0014270355</v>
      </c>
      <c r="O175" s="294">
        <f t="shared" si="162"/>
        <v>15</v>
      </c>
      <c r="P175" s="294">
        <f t="shared" si="163"/>
        <v>0.0215</v>
      </c>
      <c r="Q175" s="292">
        <f t="shared" si="164"/>
        <v>864.0343194</v>
      </c>
      <c r="R175" s="293">
        <v>0.06</v>
      </c>
      <c r="S175" s="298"/>
      <c r="T175" s="299">
        <f t="shared" si="141"/>
        <v>585000</v>
      </c>
      <c r="U175" s="315">
        <f t="shared" si="142"/>
        <v>551947.5</v>
      </c>
      <c r="V175" s="315">
        <f t="shared" si="143"/>
        <v>117000</v>
      </c>
      <c r="W175" s="320">
        <f t="shared" si="144"/>
        <v>432900</v>
      </c>
      <c r="X175" s="321" t="str">
        <f t="shared" si="145"/>
        <v/>
      </c>
      <c r="Y175" s="307">
        <f t="shared" si="165"/>
        <v>1</v>
      </c>
      <c r="Z175" s="321">
        <f t="shared" si="146"/>
        <v>0.74</v>
      </c>
      <c r="AA175" s="302"/>
      <c r="AB175" s="302"/>
      <c r="AC175" s="302"/>
      <c r="AD175" s="308"/>
      <c r="AE175" s="302"/>
      <c r="AF175" s="302"/>
      <c r="AG175" s="302"/>
      <c r="AH175" s="308" t="str">
        <f>IFERROR(AVERAGE(AE175:AG175),"")</f>
        <v/>
      </c>
      <c r="AI175" s="306">
        <f>AE175+AF175+AG175</f>
        <v>0</v>
      </c>
    </row>
    <row r="176">
      <c r="A176" s="359">
        <v>2025.0</v>
      </c>
      <c r="B176" s="359" t="s">
        <v>979</v>
      </c>
      <c r="C176" s="359" t="s">
        <v>844</v>
      </c>
      <c r="D176" s="344" t="s">
        <v>840</v>
      </c>
      <c r="E176" s="360">
        <v>339150.0</v>
      </c>
      <c r="F176" s="360">
        <v>585000.0</v>
      </c>
      <c r="G176" s="361">
        <v>1.0</v>
      </c>
      <c r="H176" s="292">
        <f t="shared" si="158"/>
        <v>500.918358</v>
      </c>
      <c r="I176" s="347">
        <v>0.035</v>
      </c>
      <c r="J176" s="348">
        <f t="shared" si="159"/>
        <v>483.3862154</v>
      </c>
      <c r="K176" s="349">
        <f t="shared" si="160"/>
        <v>17.53214253</v>
      </c>
      <c r="L176" s="296">
        <v>0.001397</v>
      </c>
      <c r="M176" s="347">
        <v>0.0215</v>
      </c>
      <c r="N176" s="350">
        <f t="shared" si="161"/>
        <v>0.0014270355</v>
      </c>
      <c r="O176" s="348">
        <f t="shared" si="162"/>
        <v>25.39280363</v>
      </c>
      <c r="P176" s="348">
        <f t="shared" si="163"/>
        <v>0.7113092896</v>
      </c>
      <c r="Q176" s="292">
        <f t="shared" si="164"/>
        <v>864.0343194</v>
      </c>
      <c r="R176" s="347">
        <v>0.06</v>
      </c>
      <c r="S176" s="351"/>
      <c r="T176" s="299">
        <f t="shared" si="141"/>
        <v>245850</v>
      </c>
      <c r="U176" s="315">
        <f t="shared" si="142"/>
        <v>231959.475</v>
      </c>
      <c r="V176" s="315">
        <f t="shared" si="143"/>
        <v>49170</v>
      </c>
      <c r="W176" s="320">
        <f t="shared" si="144"/>
        <v>161580</v>
      </c>
      <c r="X176" s="321">
        <f t="shared" si="145"/>
        <v>0.7249004865</v>
      </c>
      <c r="Y176" s="352">
        <f t="shared" si="165"/>
        <v>0.4202564103</v>
      </c>
      <c r="Z176" s="321">
        <f t="shared" si="146"/>
        <v>0.2762051282</v>
      </c>
      <c r="AA176" s="384"/>
      <c r="AB176" s="384"/>
      <c r="AC176" s="384"/>
      <c r="AD176" s="385"/>
      <c r="AE176" s="384"/>
      <c r="AF176" s="384"/>
      <c r="AG176" s="384"/>
      <c r="AH176" s="385"/>
      <c r="AI176" s="385"/>
    </row>
    <row r="177">
      <c r="A177" s="344">
        <v>2025.0</v>
      </c>
      <c r="B177" s="344" t="s">
        <v>980</v>
      </c>
      <c r="C177" s="344" t="s">
        <v>844</v>
      </c>
      <c r="D177" s="344" t="s">
        <v>840</v>
      </c>
      <c r="E177" s="345">
        <v>185000.0</v>
      </c>
      <c r="F177" s="345">
        <v>280000.0</v>
      </c>
      <c r="G177" s="346">
        <v>1.0</v>
      </c>
      <c r="H177" s="292">
        <f t="shared" si="158"/>
        <v>273.2416224</v>
      </c>
      <c r="I177" s="347">
        <v>0.035</v>
      </c>
      <c r="J177" s="348">
        <f t="shared" si="159"/>
        <v>263.6781656</v>
      </c>
      <c r="K177" s="349">
        <f t="shared" si="160"/>
        <v>9.563456783</v>
      </c>
      <c r="L177" s="296">
        <v>0.001397</v>
      </c>
      <c r="M177" s="347">
        <v>0.0215</v>
      </c>
      <c r="N177" s="350">
        <f t="shared" si="161"/>
        <v>0.0014270355</v>
      </c>
      <c r="O177" s="348">
        <f t="shared" si="162"/>
        <v>20.66908056</v>
      </c>
      <c r="P177" s="348">
        <f t="shared" si="163"/>
        <v>0.3977781029</v>
      </c>
      <c r="Q177" s="292">
        <f t="shared" si="164"/>
        <v>413.5548879</v>
      </c>
      <c r="R177" s="347">
        <v>0.06</v>
      </c>
      <c r="S177" s="351"/>
      <c r="T177" s="299">
        <f t="shared" si="141"/>
        <v>95000</v>
      </c>
      <c r="U177" s="315">
        <f t="shared" si="142"/>
        <v>89632.5</v>
      </c>
      <c r="V177" s="315">
        <f t="shared" si="143"/>
        <v>19000</v>
      </c>
      <c r="W177" s="320">
        <f t="shared" si="144"/>
        <v>59200</v>
      </c>
      <c r="X177" s="321">
        <f t="shared" si="145"/>
        <v>0.5135135135</v>
      </c>
      <c r="Y177" s="352">
        <f t="shared" si="165"/>
        <v>0.3392857143</v>
      </c>
      <c r="Z177" s="321">
        <f t="shared" si="146"/>
        <v>0.2114285714</v>
      </c>
      <c r="AA177" s="384"/>
      <c r="AB177" s="384"/>
      <c r="AC177" s="384"/>
      <c r="AD177" s="385"/>
      <c r="AE177" s="384"/>
      <c r="AF177" s="384"/>
      <c r="AG177" s="384"/>
      <c r="AH177" s="385"/>
      <c r="AI177" s="385"/>
    </row>
    <row r="178">
      <c r="A178" s="344">
        <v>2026.0</v>
      </c>
      <c r="B178" s="344" t="s">
        <v>980</v>
      </c>
      <c r="C178" s="344" t="s">
        <v>844</v>
      </c>
      <c r="D178" s="344" t="s">
        <v>840</v>
      </c>
      <c r="E178" s="345">
        <v>200000.0</v>
      </c>
      <c r="F178" s="345">
        <v>300000.0</v>
      </c>
      <c r="G178" s="346">
        <v>1.0</v>
      </c>
      <c r="H178" s="292">
        <f t="shared" si="158"/>
        <v>295.3963485</v>
      </c>
      <c r="I178" s="347">
        <v>0.035</v>
      </c>
      <c r="J178" s="348">
        <f t="shared" si="159"/>
        <v>285.0574763</v>
      </c>
      <c r="K178" s="349">
        <f t="shared" si="160"/>
        <v>10.3388722</v>
      </c>
      <c r="L178" s="296">
        <v>0.001397</v>
      </c>
      <c r="M178" s="347">
        <v>0.0215</v>
      </c>
      <c r="N178" s="350">
        <f t="shared" si="161"/>
        <v>0.0014270355</v>
      </c>
      <c r="O178" s="348">
        <f t="shared" si="162"/>
        <v>21.12873574</v>
      </c>
      <c r="P178" s="348">
        <f t="shared" si="163"/>
        <v>0.4282871382</v>
      </c>
      <c r="Q178" s="292">
        <f t="shared" si="164"/>
        <v>443.0945228</v>
      </c>
      <c r="R178" s="347">
        <v>0.06</v>
      </c>
      <c r="S178" s="351"/>
      <c r="T178" s="299">
        <f t="shared" si="141"/>
        <v>100000</v>
      </c>
      <c r="U178" s="315">
        <f t="shared" si="142"/>
        <v>94350</v>
      </c>
      <c r="V178" s="315">
        <f t="shared" si="143"/>
        <v>20000</v>
      </c>
      <c r="W178" s="320">
        <f t="shared" si="144"/>
        <v>62000</v>
      </c>
      <c r="X178" s="321">
        <f t="shared" si="145"/>
        <v>0.5</v>
      </c>
      <c r="Y178" s="352">
        <f t="shared" si="165"/>
        <v>0.3333333333</v>
      </c>
      <c r="Z178" s="321">
        <f t="shared" si="146"/>
        <v>0.2066666667</v>
      </c>
      <c r="AA178" s="384"/>
      <c r="AB178" s="384"/>
      <c r="AC178" s="384"/>
      <c r="AD178" s="385"/>
      <c r="AE178" s="384"/>
      <c r="AF178" s="384"/>
      <c r="AG178" s="384"/>
      <c r="AH178" s="385"/>
      <c r="AI178" s="385"/>
    </row>
    <row r="179">
      <c r="A179" s="376">
        <v>2025.0</v>
      </c>
      <c r="B179" s="376" t="s">
        <v>980</v>
      </c>
      <c r="C179" s="376" t="s">
        <v>981</v>
      </c>
      <c r="D179" s="376" t="s">
        <v>840</v>
      </c>
      <c r="E179" s="290">
        <f>E391*1.1</f>
        <v>0</v>
      </c>
      <c r="F179" s="345">
        <v>280000.0</v>
      </c>
      <c r="G179" s="346">
        <v>1.0</v>
      </c>
      <c r="H179" s="292">
        <f t="shared" si="158"/>
        <v>0</v>
      </c>
      <c r="I179" s="347">
        <v>0.035</v>
      </c>
      <c r="J179" s="348">
        <f t="shared" si="159"/>
        <v>0</v>
      </c>
      <c r="K179" s="349">
        <f t="shared" si="160"/>
        <v>0</v>
      </c>
      <c r="L179" s="296">
        <v>0.001397</v>
      </c>
      <c r="M179" s="347">
        <v>0.0215</v>
      </c>
      <c r="N179" s="350">
        <f t="shared" si="161"/>
        <v>0.0014270355</v>
      </c>
      <c r="O179" s="348">
        <f t="shared" si="162"/>
        <v>15</v>
      </c>
      <c r="P179" s="348">
        <f t="shared" si="163"/>
        <v>0.0215</v>
      </c>
      <c r="Q179" s="292">
        <f t="shared" si="164"/>
        <v>413.5548879</v>
      </c>
      <c r="R179" s="347">
        <v>0.06</v>
      </c>
      <c r="S179" s="351"/>
      <c r="T179" s="299">
        <f t="shared" si="141"/>
        <v>280000</v>
      </c>
      <c r="U179" s="315">
        <f t="shared" si="142"/>
        <v>264180</v>
      </c>
      <c r="V179" s="315">
        <f t="shared" si="143"/>
        <v>56000</v>
      </c>
      <c r="W179" s="320">
        <f t="shared" si="144"/>
        <v>207200</v>
      </c>
      <c r="X179" s="321" t="str">
        <f t="shared" si="145"/>
        <v/>
      </c>
      <c r="Y179" s="352">
        <f t="shared" si="165"/>
        <v>1</v>
      </c>
      <c r="Z179" s="321">
        <f t="shared" si="146"/>
        <v>0.74</v>
      </c>
      <c r="AA179" s="353"/>
      <c r="AB179" s="353"/>
      <c r="AC179" s="353"/>
      <c r="AD179" s="354"/>
      <c r="AE179" s="353"/>
      <c r="AF179" s="353"/>
      <c r="AG179" s="353"/>
      <c r="AH179" s="354" t="str">
        <f t="shared" ref="AH179:AH183" si="184">IFERROR(AVERAGE(AE179:AG179),"")</f>
        <v/>
      </c>
      <c r="AI179" s="355">
        <f t="shared" ref="AI179:AI183" si="185">AE179+AF179+AG179</f>
        <v>0</v>
      </c>
    </row>
    <row r="180">
      <c r="A180" s="376">
        <v>2026.0</v>
      </c>
      <c r="B180" s="376" t="s">
        <v>980</v>
      </c>
      <c r="C180" s="376" t="s">
        <v>981</v>
      </c>
      <c r="D180" s="376" t="s">
        <v>840</v>
      </c>
      <c r="E180" s="290">
        <f>((195000)*1.1)</f>
        <v>214500</v>
      </c>
      <c r="F180" s="345">
        <f>E180*1.6</f>
        <v>343200</v>
      </c>
      <c r="G180" s="346">
        <v>1.0</v>
      </c>
      <c r="H180" s="292">
        <f t="shared" si="158"/>
        <v>316.8125838</v>
      </c>
      <c r="I180" s="347">
        <v>0.035</v>
      </c>
      <c r="J180" s="348">
        <f t="shared" si="159"/>
        <v>305.7241433</v>
      </c>
      <c r="K180" s="349">
        <f t="shared" si="160"/>
        <v>11.08844043</v>
      </c>
      <c r="L180" s="296">
        <v>0.001397</v>
      </c>
      <c r="M180" s="347">
        <v>0.0215</v>
      </c>
      <c r="N180" s="350">
        <f t="shared" si="161"/>
        <v>0.0014270355</v>
      </c>
      <c r="O180" s="348">
        <f t="shared" si="162"/>
        <v>21.57306908</v>
      </c>
      <c r="P180" s="348">
        <f t="shared" si="163"/>
        <v>0.4577792057</v>
      </c>
      <c r="Q180" s="292">
        <f t="shared" si="164"/>
        <v>506.900134</v>
      </c>
      <c r="R180" s="347">
        <v>0.06</v>
      </c>
      <c r="S180" s="351"/>
      <c r="T180" s="299">
        <f t="shared" si="141"/>
        <v>128700</v>
      </c>
      <c r="U180" s="315">
        <f t="shared" si="142"/>
        <v>121428.45</v>
      </c>
      <c r="V180" s="315">
        <f t="shared" si="143"/>
        <v>25740</v>
      </c>
      <c r="W180" s="320">
        <f t="shared" si="144"/>
        <v>82368</v>
      </c>
      <c r="X180" s="321">
        <f t="shared" si="145"/>
        <v>0.6</v>
      </c>
      <c r="Y180" s="352">
        <f t="shared" si="165"/>
        <v>0.375</v>
      </c>
      <c r="Z180" s="321">
        <f t="shared" si="146"/>
        <v>0.24</v>
      </c>
      <c r="AA180" s="353"/>
      <c r="AB180" s="353"/>
      <c r="AC180" s="353"/>
      <c r="AD180" s="354"/>
      <c r="AE180" s="353"/>
      <c r="AF180" s="353"/>
      <c r="AG180" s="353"/>
      <c r="AH180" s="354" t="str">
        <f t="shared" si="184"/>
        <v/>
      </c>
      <c r="AI180" s="355">
        <f t="shared" si="185"/>
        <v>0</v>
      </c>
    </row>
    <row r="181">
      <c r="A181" s="382">
        <v>2026.0</v>
      </c>
      <c r="B181" s="344" t="s">
        <v>982</v>
      </c>
      <c r="C181" s="344" t="s">
        <v>983</v>
      </c>
      <c r="D181" s="344" t="s">
        <v>162</v>
      </c>
      <c r="E181" s="387">
        <v>200000.0</v>
      </c>
      <c r="F181" s="387">
        <v>300000.0</v>
      </c>
      <c r="G181" s="346">
        <v>1.0</v>
      </c>
      <c r="H181" s="292">
        <f t="shared" si="158"/>
        <v>295.3963485</v>
      </c>
      <c r="I181" s="347">
        <v>0.035</v>
      </c>
      <c r="J181" s="348">
        <f t="shared" si="159"/>
        <v>285.0574763</v>
      </c>
      <c r="K181" s="349">
        <f t="shared" si="160"/>
        <v>10.3388722</v>
      </c>
      <c r="L181" s="296">
        <v>0.001397</v>
      </c>
      <c r="M181" s="347">
        <v>0.0215</v>
      </c>
      <c r="N181" s="350">
        <f t="shared" si="161"/>
        <v>0.0014270355</v>
      </c>
      <c r="O181" s="348">
        <f t="shared" si="162"/>
        <v>21.12873574</v>
      </c>
      <c r="P181" s="348">
        <f t="shared" si="163"/>
        <v>0.4282871382</v>
      </c>
      <c r="Q181" s="292">
        <f t="shared" si="164"/>
        <v>443.0945228</v>
      </c>
      <c r="R181" s="347">
        <v>0.06</v>
      </c>
      <c r="S181" s="351"/>
      <c r="T181" s="299">
        <f t="shared" si="141"/>
        <v>100000</v>
      </c>
      <c r="U181" s="315">
        <f t="shared" si="142"/>
        <v>94350</v>
      </c>
      <c r="V181" s="315">
        <f t="shared" si="143"/>
        <v>20000</v>
      </c>
      <c r="W181" s="320">
        <f t="shared" si="144"/>
        <v>62000</v>
      </c>
      <c r="X181" s="321">
        <f t="shared" si="145"/>
        <v>0.5</v>
      </c>
      <c r="Y181" s="388">
        <f t="shared" si="165"/>
        <v>0.3333333333</v>
      </c>
      <c r="Z181" s="321">
        <f t="shared" si="146"/>
        <v>0.2066666667</v>
      </c>
      <c r="AA181" s="353"/>
      <c r="AB181" s="353"/>
      <c r="AC181" s="353"/>
      <c r="AD181" s="354"/>
      <c r="AE181" s="353"/>
      <c r="AF181" s="353"/>
      <c r="AG181" s="353"/>
      <c r="AH181" s="354" t="str">
        <f t="shared" si="184"/>
        <v/>
      </c>
      <c r="AI181" s="355">
        <f t="shared" si="185"/>
        <v>0</v>
      </c>
    </row>
    <row r="182">
      <c r="A182" s="376">
        <v>2025.0</v>
      </c>
      <c r="B182" s="376" t="s">
        <v>984</v>
      </c>
      <c r="C182" s="376" t="s">
        <v>985</v>
      </c>
      <c r="D182" s="376" t="s">
        <v>840</v>
      </c>
      <c r="E182" s="290">
        <f>E394*1.1</f>
        <v>0</v>
      </c>
      <c r="F182" s="345">
        <v>320000.0</v>
      </c>
      <c r="G182" s="346">
        <v>1.0</v>
      </c>
      <c r="H182" s="292">
        <f t="shared" si="158"/>
        <v>0</v>
      </c>
      <c r="I182" s="347">
        <v>0.035</v>
      </c>
      <c r="J182" s="348">
        <f t="shared" si="159"/>
        <v>0</v>
      </c>
      <c r="K182" s="349">
        <f t="shared" si="160"/>
        <v>0</v>
      </c>
      <c r="L182" s="296">
        <v>0.001397</v>
      </c>
      <c r="M182" s="347">
        <v>0.0215</v>
      </c>
      <c r="N182" s="350">
        <f t="shared" si="161"/>
        <v>0.0014270355</v>
      </c>
      <c r="O182" s="348">
        <f t="shared" si="162"/>
        <v>15</v>
      </c>
      <c r="P182" s="348">
        <f t="shared" si="163"/>
        <v>0.0215</v>
      </c>
      <c r="Q182" s="292">
        <f t="shared" si="164"/>
        <v>472.6341576</v>
      </c>
      <c r="R182" s="347">
        <v>0.06</v>
      </c>
      <c r="S182" s="351"/>
      <c r="T182" s="299">
        <f t="shared" si="141"/>
        <v>320000</v>
      </c>
      <c r="U182" s="315">
        <f t="shared" si="142"/>
        <v>301920</v>
      </c>
      <c r="V182" s="315">
        <f t="shared" si="143"/>
        <v>64000</v>
      </c>
      <c r="W182" s="320">
        <f t="shared" si="144"/>
        <v>236800</v>
      </c>
      <c r="X182" s="321" t="str">
        <f t="shared" si="145"/>
        <v/>
      </c>
      <c r="Y182" s="352">
        <f t="shared" si="165"/>
        <v>1</v>
      </c>
      <c r="Z182" s="321">
        <f t="shared" si="146"/>
        <v>0.74</v>
      </c>
      <c r="AA182" s="353"/>
      <c r="AB182" s="353"/>
      <c r="AC182" s="353"/>
      <c r="AD182" s="354"/>
      <c r="AE182" s="353"/>
      <c r="AF182" s="353"/>
      <c r="AG182" s="353"/>
      <c r="AH182" s="354" t="str">
        <f t="shared" si="184"/>
        <v/>
      </c>
      <c r="AI182" s="355">
        <f t="shared" si="185"/>
        <v>0</v>
      </c>
    </row>
    <row r="183">
      <c r="A183" s="376">
        <v>2026.0</v>
      </c>
      <c r="B183" s="376" t="s">
        <v>984</v>
      </c>
      <c r="C183" s="376" t="s">
        <v>985</v>
      </c>
      <c r="D183" s="376" t="s">
        <v>840</v>
      </c>
      <c r="E183" s="290">
        <f>((259000*0.85)*1.1)</f>
        <v>242165</v>
      </c>
      <c r="F183" s="345">
        <f>E183*1.6</f>
        <v>387464</v>
      </c>
      <c r="G183" s="346">
        <v>1.0</v>
      </c>
      <c r="H183" s="292">
        <f t="shared" si="158"/>
        <v>357.6732837</v>
      </c>
      <c r="I183" s="347">
        <v>0.035</v>
      </c>
      <c r="J183" s="348">
        <f t="shared" si="159"/>
        <v>345.1547187</v>
      </c>
      <c r="K183" s="349">
        <f t="shared" si="160"/>
        <v>12.51856493</v>
      </c>
      <c r="L183" s="296">
        <v>0.001397</v>
      </c>
      <c r="M183" s="347">
        <v>0.0215</v>
      </c>
      <c r="N183" s="350">
        <f t="shared" si="161"/>
        <v>0.0014270355</v>
      </c>
      <c r="O183" s="348">
        <f t="shared" si="162"/>
        <v>22.42082645</v>
      </c>
      <c r="P183" s="348">
        <f t="shared" si="163"/>
        <v>0.5140480366</v>
      </c>
      <c r="Q183" s="292">
        <f t="shared" si="164"/>
        <v>572.2772539</v>
      </c>
      <c r="R183" s="347">
        <v>0.06</v>
      </c>
      <c r="S183" s="351"/>
      <c r="T183" s="299">
        <f t="shared" si="141"/>
        <v>145299</v>
      </c>
      <c r="U183" s="315">
        <f t="shared" si="142"/>
        <v>137089.6065</v>
      </c>
      <c r="V183" s="315">
        <f t="shared" si="143"/>
        <v>29059.8</v>
      </c>
      <c r="W183" s="320">
        <f t="shared" si="144"/>
        <v>92991.36</v>
      </c>
      <c r="X183" s="321">
        <f t="shared" si="145"/>
        <v>0.6</v>
      </c>
      <c r="Y183" s="352">
        <f t="shared" si="165"/>
        <v>0.375</v>
      </c>
      <c r="Z183" s="321">
        <f t="shared" si="146"/>
        <v>0.24</v>
      </c>
      <c r="AA183" s="353"/>
      <c r="AB183" s="353"/>
      <c r="AC183" s="353"/>
      <c r="AD183" s="354"/>
      <c r="AE183" s="353"/>
      <c r="AF183" s="353"/>
      <c r="AG183" s="353"/>
      <c r="AH183" s="354" t="str">
        <f t="shared" si="184"/>
        <v/>
      </c>
      <c r="AI183" s="355">
        <f t="shared" si="185"/>
        <v>0</v>
      </c>
    </row>
    <row r="184">
      <c r="A184" s="344">
        <v>2025.0</v>
      </c>
      <c r="B184" s="344" t="s">
        <v>984</v>
      </c>
      <c r="C184" s="344" t="s">
        <v>985</v>
      </c>
      <c r="D184" s="344" t="s">
        <v>840</v>
      </c>
      <c r="E184" s="345">
        <v>220150.0</v>
      </c>
      <c r="F184" s="345">
        <v>320000.0</v>
      </c>
      <c r="G184" s="346">
        <v>1.0</v>
      </c>
      <c r="H184" s="292">
        <f t="shared" si="158"/>
        <v>325.1575306</v>
      </c>
      <c r="I184" s="347">
        <v>0.035</v>
      </c>
      <c r="J184" s="348">
        <f t="shared" si="159"/>
        <v>313.777017</v>
      </c>
      <c r="K184" s="349">
        <f t="shared" si="160"/>
        <v>11.38051357</v>
      </c>
      <c r="L184" s="296">
        <v>0.001397</v>
      </c>
      <c r="M184" s="347">
        <v>0.0215</v>
      </c>
      <c r="N184" s="350">
        <f t="shared" si="161"/>
        <v>0.0014270355</v>
      </c>
      <c r="O184" s="348">
        <f t="shared" si="162"/>
        <v>21.74620587</v>
      </c>
      <c r="P184" s="348">
        <f t="shared" si="163"/>
        <v>0.4692709424</v>
      </c>
      <c r="Q184" s="292">
        <f t="shared" si="164"/>
        <v>472.6341576</v>
      </c>
      <c r="R184" s="347">
        <v>0.06</v>
      </c>
      <c r="S184" s="351"/>
      <c r="T184" s="299">
        <f t="shared" si="141"/>
        <v>99850</v>
      </c>
      <c r="U184" s="315">
        <f t="shared" si="142"/>
        <v>94208.475</v>
      </c>
      <c r="V184" s="315">
        <f t="shared" si="143"/>
        <v>19970</v>
      </c>
      <c r="W184" s="320">
        <f t="shared" si="144"/>
        <v>60680</v>
      </c>
      <c r="X184" s="321">
        <f t="shared" si="145"/>
        <v>0.4535543947</v>
      </c>
      <c r="Y184" s="352">
        <f t="shared" si="165"/>
        <v>0.31203125</v>
      </c>
      <c r="Z184" s="321">
        <f t="shared" si="146"/>
        <v>0.189625</v>
      </c>
      <c r="AA184" s="384"/>
      <c r="AB184" s="384"/>
      <c r="AC184" s="384"/>
      <c r="AD184" s="385"/>
      <c r="AE184" s="384"/>
      <c r="AF184" s="384"/>
      <c r="AG184" s="384"/>
      <c r="AH184" s="385"/>
      <c r="AI184" s="385"/>
    </row>
    <row r="185">
      <c r="A185" s="344">
        <v>2026.0</v>
      </c>
      <c r="B185" s="344" t="s">
        <v>984</v>
      </c>
      <c r="C185" s="344" t="s">
        <v>985</v>
      </c>
      <c r="D185" s="344" t="s">
        <v>840</v>
      </c>
      <c r="E185" s="345">
        <v>242165.0</v>
      </c>
      <c r="F185" s="345">
        <v>350000.0</v>
      </c>
      <c r="G185" s="346">
        <v>1.0</v>
      </c>
      <c r="H185" s="292">
        <f t="shared" si="158"/>
        <v>357.6732837</v>
      </c>
      <c r="I185" s="347">
        <v>0.035</v>
      </c>
      <c r="J185" s="348">
        <f t="shared" si="159"/>
        <v>345.1547187</v>
      </c>
      <c r="K185" s="349">
        <f t="shared" si="160"/>
        <v>12.51856493</v>
      </c>
      <c r="L185" s="296">
        <v>0.001397</v>
      </c>
      <c r="M185" s="347">
        <v>0.0215</v>
      </c>
      <c r="N185" s="350">
        <f t="shared" si="161"/>
        <v>0.0014270355</v>
      </c>
      <c r="O185" s="348">
        <f t="shared" si="162"/>
        <v>22.42082645</v>
      </c>
      <c r="P185" s="348">
        <f t="shared" si="163"/>
        <v>0.5140480366</v>
      </c>
      <c r="Q185" s="292">
        <f t="shared" si="164"/>
        <v>516.9436099</v>
      </c>
      <c r="R185" s="347">
        <v>0.06</v>
      </c>
      <c r="S185" s="351"/>
      <c r="T185" s="299">
        <f t="shared" si="141"/>
        <v>107835</v>
      </c>
      <c r="U185" s="315">
        <f t="shared" si="142"/>
        <v>101742.3225</v>
      </c>
      <c r="V185" s="315">
        <f t="shared" si="143"/>
        <v>21567</v>
      </c>
      <c r="W185" s="320">
        <f t="shared" si="144"/>
        <v>65268</v>
      </c>
      <c r="X185" s="321">
        <f t="shared" si="145"/>
        <v>0.4452955629</v>
      </c>
      <c r="Y185" s="352">
        <f t="shared" si="165"/>
        <v>0.3081</v>
      </c>
      <c r="Z185" s="321">
        <f t="shared" si="146"/>
        <v>0.18648</v>
      </c>
      <c r="AA185" s="384"/>
      <c r="AB185" s="384"/>
      <c r="AC185" s="384"/>
      <c r="AD185" s="385"/>
      <c r="AE185" s="384"/>
      <c r="AF185" s="384"/>
      <c r="AG185" s="384"/>
      <c r="AH185" s="385"/>
      <c r="AI185" s="385"/>
    </row>
    <row r="186">
      <c r="A186" s="382">
        <v>2026.0</v>
      </c>
      <c r="B186" s="344" t="s">
        <v>986</v>
      </c>
      <c r="C186" s="344" t="s">
        <v>987</v>
      </c>
      <c r="D186" s="344" t="s">
        <v>162</v>
      </c>
      <c r="E186" s="387">
        <v>242165.0</v>
      </c>
      <c r="F186" s="387">
        <v>350000.0</v>
      </c>
      <c r="G186" s="346">
        <v>1.0</v>
      </c>
      <c r="H186" s="292">
        <f t="shared" si="158"/>
        <v>357.6732837</v>
      </c>
      <c r="I186" s="347">
        <v>0.035</v>
      </c>
      <c r="J186" s="348">
        <f t="shared" si="159"/>
        <v>345.1547187</v>
      </c>
      <c r="K186" s="349">
        <f t="shared" si="160"/>
        <v>12.51856493</v>
      </c>
      <c r="L186" s="296">
        <v>0.001397</v>
      </c>
      <c r="M186" s="347">
        <v>0.0215</v>
      </c>
      <c r="N186" s="350">
        <f t="shared" si="161"/>
        <v>0.0014270355</v>
      </c>
      <c r="O186" s="348">
        <f t="shared" si="162"/>
        <v>22.42082645</v>
      </c>
      <c r="P186" s="348">
        <f t="shared" si="163"/>
        <v>0.5140480366</v>
      </c>
      <c r="Q186" s="292">
        <f t="shared" si="164"/>
        <v>516.9436099</v>
      </c>
      <c r="R186" s="347">
        <v>0.06</v>
      </c>
      <c r="S186" s="351"/>
      <c r="T186" s="299">
        <f t="shared" si="141"/>
        <v>107835</v>
      </c>
      <c r="U186" s="315">
        <f t="shared" si="142"/>
        <v>101742.3225</v>
      </c>
      <c r="V186" s="315">
        <f t="shared" si="143"/>
        <v>21567</v>
      </c>
      <c r="W186" s="320">
        <f t="shared" si="144"/>
        <v>65268</v>
      </c>
      <c r="X186" s="321">
        <f t="shared" si="145"/>
        <v>0.4452955629</v>
      </c>
      <c r="Y186" s="388">
        <f t="shared" si="165"/>
        <v>0.3081</v>
      </c>
      <c r="Z186" s="321">
        <f t="shared" si="146"/>
        <v>0.18648</v>
      </c>
      <c r="AA186" s="353"/>
      <c r="AB186" s="353"/>
      <c r="AC186" s="353"/>
      <c r="AD186" s="354"/>
      <c r="AE186" s="353"/>
      <c r="AF186" s="353"/>
      <c r="AG186" s="353"/>
      <c r="AH186" s="354" t="str">
        <f t="shared" ref="AH186:AH229" si="186">IFERROR(AVERAGE(AE186:AG186),"")</f>
        <v/>
      </c>
      <c r="AI186" s="355">
        <f t="shared" ref="AI186:AI229" si="187">AE186+AF186+AG186</f>
        <v>0</v>
      </c>
    </row>
    <row r="187">
      <c r="A187" s="386">
        <v>2026.0</v>
      </c>
      <c r="B187" s="344" t="s">
        <v>988</v>
      </c>
      <c r="C187" s="344" t="s">
        <v>989</v>
      </c>
      <c r="D187" s="344" t="s">
        <v>964</v>
      </c>
      <c r="E187" s="387">
        <v>375000.0</v>
      </c>
      <c r="F187" s="387">
        <v>570000.0</v>
      </c>
      <c r="G187" s="346">
        <v>1.0</v>
      </c>
      <c r="H187" s="292">
        <f t="shared" si="158"/>
        <v>553.8681534</v>
      </c>
      <c r="I187" s="347">
        <v>0.035</v>
      </c>
      <c r="J187" s="348">
        <f t="shared" si="159"/>
        <v>534.4827681</v>
      </c>
      <c r="K187" s="349">
        <f t="shared" si="160"/>
        <v>19.38538537</v>
      </c>
      <c r="L187" s="296">
        <v>0.001397</v>
      </c>
      <c r="M187" s="347">
        <v>0.0215</v>
      </c>
      <c r="N187" s="350">
        <f t="shared" si="161"/>
        <v>0.0014270355</v>
      </c>
      <c r="O187" s="348">
        <f t="shared" si="162"/>
        <v>26.49137951</v>
      </c>
      <c r="P187" s="348">
        <f t="shared" si="163"/>
        <v>0.7842258842</v>
      </c>
      <c r="Q187" s="292">
        <f t="shared" si="164"/>
        <v>841.8795932</v>
      </c>
      <c r="R187" s="347">
        <v>0.06</v>
      </c>
      <c r="S187" s="351"/>
      <c r="T187" s="299">
        <f t="shared" si="141"/>
        <v>195000</v>
      </c>
      <c r="U187" s="315">
        <f t="shared" si="142"/>
        <v>183982.5</v>
      </c>
      <c r="V187" s="315">
        <f t="shared" si="143"/>
        <v>39000</v>
      </c>
      <c r="W187" s="320">
        <f t="shared" si="144"/>
        <v>121800</v>
      </c>
      <c r="X187" s="321">
        <f t="shared" si="145"/>
        <v>0.52</v>
      </c>
      <c r="Y187" s="388">
        <f t="shared" si="165"/>
        <v>0.3421052632</v>
      </c>
      <c r="Z187" s="321">
        <f t="shared" si="146"/>
        <v>0.2136842105</v>
      </c>
      <c r="AA187" s="353"/>
      <c r="AB187" s="353"/>
      <c r="AC187" s="353"/>
      <c r="AD187" s="354"/>
      <c r="AE187" s="353"/>
      <c r="AF187" s="353"/>
      <c r="AG187" s="353"/>
      <c r="AH187" s="354" t="str">
        <f t="shared" si="186"/>
        <v/>
      </c>
      <c r="AI187" s="355">
        <f t="shared" si="187"/>
        <v>0</v>
      </c>
    </row>
    <row r="188">
      <c r="A188" s="386">
        <v>2026.0</v>
      </c>
      <c r="B188" s="344" t="s">
        <v>990</v>
      </c>
      <c r="C188" s="344" t="s">
        <v>989</v>
      </c>
      <c r="D188" s="344" t="s">
        <v>966</v>
      </c>
      <c r="E188" s="387">
        <v>175000.0</v>
      </c>
      <c r="F188" s="387">
        <v>400000.0</v>
      </c>
      <c r="G188" s="346">
        <v>1.0</v>
      </c>
      <c r="H188" s="292">
        <f t="shared" si="158"/>
        <v>258.4718049</v>
      </c>
      <c r="I188" s="347">
        <v>0.035</v>
      </c>
      <c r="J188" s="348">
        <f t="shared" si="159"/>
        <v>249.4252918</v>
      </c>
      <c r="K188" s="349">
        <f t="shared" si="160"/>
        <v>9.046513173</v>
      </c>
      <c r="L188" s="296">
        <v>0.001397</v>
      </c>
      <c r="M188" s="347">
        <v>0.0215</v>
      </c>
      <c r="N188" s="350">
        <f t="shared" si="161"/>
        <v>0.0014270355</v>
      </c>
      <c r="O188" s="348">
        <f t="shared" si="162"/>
        <v>20.36264377</v>
      </c>
      <c r="P188" s="348">
        <f t="shared" si="163"/>
        <v>0.3774387459</v>
      </c>
      <c r="Q188" s="292">
        <f t="shared" si="164"/>
        <v>590.792697</v>
      </c>
      <c r="R188" s="347">
        <v>0.06</v>
      </c>
      <c r="S188" s="351"/>
      <c r="T188" s="299">
        <f t="shared" si="141"/>
        <v>225000</v>
      </c>
      <c r="U188" s="315">
        <f t="shared" si="142"/>
        <v>212287.5</v>
      </c>
      <c r="V188" s="315">
        <f t="shared" si="143"/>
        <v>45000</v>
      </c>
      <c r="W188" s="320">
        <f t="shared" si="144"/>
        <v>156000</v>
      </c>
      <c r="X188" s="321">
        <f t="shared" si="145"/>
        <v>1.285714286</v>
      </c>
      <c r="Y188" s="388">
        <f t="shared" si="165"/>
        <v>0.5625</v>
      </c>
      <c r="Z188" s="321">
        <f t="shared" si="146"/>
        <v>0.39</v>
      </c>
      <c r="AA188" s="353"/>
      <c r="AB188" s="353"/>
      <c r="AC188" s="353"/>
      <c r="AD188" s="354"/>
      <c r="AE188" s="353"/>
      <c r="AF188" s="353"/>
      <c r="AG188" s="353"/>
      <c r="AH188" s="354" t="str">
        <f t="shared" si="186"/>
        <v/>
      </c>
      <c r="AI188" s="355">
        <f t="shared" si="187"/>
        <v>0</v>
      </c>
    </row>
    <row r="189">
      <c r="A189" s="344">
        <v>2025.0</v>
      </c>
      <c r="B189" s="344" t="s">
        <v>991</v>
      </c>
      <c r="C189" s="344" t="s">
        <v>992</v>
      </c>
      <c r="D189" s="344" t="s">
        <v>162</v>
      </c>
      <c r="E189" s="290">
        <f t="shared" ref="E189:E190" si="188">E403*1.1</f>
        <v>0</v>
      </c>
      <c r="F189" s="345">
        <v>5000000.0</v>
      </c>
      <c r="G189" s="346">
        <v>1.0</v>
      </c>
      <c r="H189" s="292">
        <f t="shared" si="158"/>
        <v>0</v>
      </c>
      <c r="I189" s="347">
        <v>0.035</v>
      </c>
      <c r="J189" s="348">
        <f t="shared" si="159"/>
        <v>0</v>
      </c>
      <c r="K189" s="349">
        <f t="shared" si="160"/>
        <v>0</v>
      </c>
      <c r="L189" s="296">
        <v>0.001397</v>
      </c>
      <c r="M189" s="347">
        <v>0.0215</v>
      </c>
      <c r="N189" s="350">
        <f t="shared" si="161"/>
        <v>0.0014270355</v>
      </c>
      <c r="O189" s="348">
        <f t="shared" si="162"/>
        <v>15</v>
      </c>
      <c r="P189" s="348">
        <f t="shared" si="163"/>
        <v>0.0215</v>
      </c>
      <c r="Q189" s="292">
        <f t="shared" si="164"/>
        <v>7384.908713</v>
      </c>
      <c r="R189" s="347">
        <v>0.06</v>
      </c>
      <c r="S189" s="351"/>
      <c r="T189" s="299">
        <f t="shared" si="141"/>
        <v>5000000</v>
      </c>
      <c r="U189" s="315">
        <f t="shared" si="142"/>
        <v>4717500</v>
      </c>
      <c r="V189" s="315">
        <f t="shared" si="143"/>
        <v>1000000</v>
      </c>
      <c r="W189" s="320">
        <f t="shared" si="144"/>
        <v>3700000</v>
      </c>
      <c r="X189" s="321" t="str">
        <f t="shared" si="145"/>
        <v/>
      </c>
      <c r="Y189" s="352">
        <f t="shared" si="165"/>
        <v>1</v>
      </c>
      <c r="Z189" s="321">
        <f t="shared" si="146"/>
        <v>0.74</v>
      </c>
      <c r="AA189" s="353"/>
      <c r="AB189" s="353"/>
      <c r="AC189" s="353"/>
      <c r="AD189" s="354"/>
      <c r="AE189" s="353"/>
      <c r="AF189" s="353"/>
      <c r="AG189" s="353"/>
      <c r="AH189" s="354" t="str">
        <f t="shared" si="186"/>
        <v/>
      </c>
      <c r="AI189" s="355">
        <f t="shared" si="187"/>
        <v>0</v>
      </c>
    </row>
    <row r="190">
      <c r="A190" s="344">
        <v>2025.0</v>
      </c>
      <c r="B190" s="344" t="s">
        <v>993</v>
      </c>
      <c r="C190" s="344" t="s">
        <v>994</v>
      </c>
      <c r="D190" s="344" t="s">
        <v>162</v>
      </c>
      <c r="E190" s="290">
        <f t="shared" si="188"/>
        <v>0</v>
      </c>
      <c r="F190" s="345">
        <v>7700000.0</v>
      </c>
      <c r="G190" s="346">
        <v>1.0</v>
      </c>
      <c r="H190" s="292">
        <f t="shared" si="158"/>
        <v>0</v>
      </c>
      <c r="I190" s="347">
        <v>0.035</v>
      </c>
      <c r="J190" s="348">
        <f t="shared" si="159"/>
        <v>0</v>
      </c>
      <c r="K190" s="349">
        <f t="shared" si="160"/>
        <v>0</v>
      </c>
      <c r="L190" s="296">
        <v>0.001397</v>
      </c>
      <c r="M190" s="347">
        <v>0.0215</v>
      </c>
      <c r="N190" s="350">
        <f t="shared" si="161"/>
        <v>0.0014270355</v>
      </c>
      <c r="O190" s="348">
        <f t="shared" si="162"/>
        <v>15</v>
      </c>
      <c r="P190" s="348">
        <f t="shared" si="163"/>
        <v>0.0215</v>
      </c>
      <c r="Q190" s="292">
        <f t="shared" si="164"/>
        <v>11372.75942</v>
      </c>
      <c r="R190" s="347">
        <v>0.06</v>
      </c>
      <c r="S190" s="351"/>
      <c r="T190" s="299">
        <f t="shared" si="141"/>
        <v>7700000</v>
      </c>
      <c r="U190" s="315">
        <f t="shared" si="142"/>
        <v>7264950</v>
      </c>
      <c r="V190" s="315">
        <f t="shared" si="143"/>
        <v>1540000</v>
      </c>
      <c r="W190" s="320">
        <f t="shared" si="144"/>
        <v>5698000</v>
      </c>
      <c r="X190" s="321" t="str">
        <f t="shared" si="145"/>
        <v/>
      </c>
      <c r="Y190" s="352">
        <f t="shared" si="165"/>
        <v>1</v>
      </c>
      <c r="Z190" s="321">
        <f t="shared" si="146"/>
        <v>0.74</v>
      </c>
      <c r="AA190" s="353"/>
      <c r="AB190" s="353"/>
      <c r="AC190" s="353"/>
      <c r="AD190" s="354"/>
      <c r="AE190" s="353"/>
      <c r="AF190" s="353"/>
      <c r="AG190" s="353"/>
      <c r="AH190" s="354" t="str">
        <f t="shared" si="186"/>
        <v/>
      </c>
      <c r="AI190" s="355">
        <f t="shared" si="187"/>
        <v>0</v>
      </c>
    </row>
    <row r="191">
      <c r="A191" s="382">
        <v>2026.0</v>
      </c>
      <c r="B191" s="344" t="s">
        <v>995</v>
      </c>
      <c r="C191" s="344" t="s">
        <v>996</v>
      </c>
      <c r="D191" s="344" t="s">
        <v>162</v>
      </c>
      <c r="E191" s="387">
        <v>165000.0</v>
      </c>
      <c r="F191" s="387">
        <v>250000.0</v>
      </c>
      <c r="G191" s="346">
        <v>1.0</v>
      </c>
      <c r="H191" s="292">
        <f t="shared" si="158"/>
        <v>243.7019875</v>
      </c>
      <c r="I191" s="347">
        <v>0.035</v>
      </c>
      <c r="J191" s="348">
        <f t="shared" si="159"/>
        <v>235.1724179</v>
      </c>
      <c r="K191" s="349">
        <f t="shared" si="160"/>
        <v>8.529569563</v>
      </c>
      <c r="L191" s="296">
        <v>0.001397</v>
      </c>
      <c r="M191" s="347">
        <v>0.0215</v>
      </c>
      <c r="N191" s="350">
        <f t="shared" si="161"/>
        <v>0.0014270355</v>
      </c>
      <c r="O191" s="348">
        <f t="shared" si="162"/>
        <v>20.05620699</v>
      </c>
      <c r="P191" s="348">
        <f t="shared" si="163"/>
        <v>0.357099389</v>
      </c>
      <c r="Q191" s="292">
        <f t="shared" si="164"/>
        <v>369.2454356</v>
      </c>
      <c r="R191" s="347">
        <v>0.06</v>
      </c>
      <c r="S191" s="351"/>
      <c r="T191" s="299">
        <f t="shared" si="141"/>
        <v>85000</v>
      </c>
      <c r="U191" s="315">
        <f t="shared" si="142"/>
        <v>80197.5</v>
      </c>
      <c r="V191" s="315">
        <f t="shared" si="143"/>
        <v>17000</v>
      </c>
      <c r="W191" s="320">
        <f t="shared" si="144"/>
        <v>53000</v>
      </c>
      <c r="X191" s="321">
        <f t="shared" si="145"/>
        <v>0.5151515152</v>
      </c>
      <c r="Y191" s="388">
        <f t="shared" si="165"/>
        <v>0.34</v>
      </c>
      <c r="Z191" s="321">
        <f t="shared" si="146"/>
        <v>0.212</v>
      </c>
      <c r="AA191" s="353"/>
      <c r="AB191" s="353"/>
      <c r="AC191" s="353"/>
      <c r="AD191" s="354"/>
      <c r="AE191" s="353"/>
      <c r="AF191" s="353"/>
      <c r="AG191" s="353"/>
      <c r="AH191" s="354" t="str">
        <f t="shared" si="186"/>
        <v/>
      </c>
      <c r="AI191" s="355">
        <f t="shared" si="187"/>
        <v>0</v>
      </c>
    </row>
    <row r="192">
      <c r="A192" s="382">
        <v>2026.0</v>
      </c>
      <c r="B192" s="344" t="s">
        <v>997</v>
      </c>
      <c r="C192" s="344" t="s">
        <v>998</v>
      </c>
      <c r="D192" s="344" t="s">
        <v>162</v>
      </c>
      <c r="E192" s="387">
        <v>148665.0</v>
      </c>
      <c r="F192" s="387">
        <v>250000.0</v>
      </c>
      <c r="G192" s="346">
        <v>1.0</v>
      </c>
      <c r="H192" s="292">
        <f t="shared" si="158"/>
        <v>219.5754907</v>
      </c>
      <c r="I192" s="347">
        <v>0.035</v>
      </c>
      <c r="J192" s="348">
        <f t="shared" si="159"/>
        <v>211.8903486</v>
      </c>
      <c r="K192" s="349">
        <f t="shared" si="160"/>
        <v>7.685142176</v>
      </c>
      <c r="L192" s="296">
        <v>0.001397</v>
      </c>
      <c r="M192" s="347">
        <v>0.0215</v>
      </c>
      <c r="N192" s="350">
        <f t="shared" si="161"/>
        <v>0.0014270355</v>
      </c>
      <c r="O192" s="348">
        <f t="shared" si="162"/>
        <v>19.55564249</v>
      </c>
      <c r="P192" s="348">
        <f t="shared" si="163"/>
        <v>0.3238750495</v>
      </c>
      <c r="Q192" s="292">
        <f t="shared" si="164"/>
        <v>369.2454356</v>
      </c>
      <c r="R192" s="347">
        <v>0.06</v>
      </c>
      <c r="S192" s="351"/>
      <c r="T192" s="299">
        <f t="shared" si="141"/>
        <v>101335</v>
      </c>
      <c r="U192" s="315">
        <f t="shared" si="142"/>
        <v>95609.5725</v>
      </c>
      <c r="V192" s="315">
        <f t="shared" si="143"/>
        <v>20267</v>
      </c>
      <c r="W192" s="320">
        <f t="shared" si="144"/>
        <v>66068</v>
      </c>
      <c r="X192" s="321">
        <f t="shared" si="145"/>
        <v>0.6816332022</v>
      </c>
      <c r="Y192" s="388">
        <f t="shared" si="165"/>
        <v>0.40534</v>
      </c>
      <c r="Z192" s="321">
        <f t="shared" si="146"/>
        <v>0.264272</v>
      </c>
      <c r="AA192" s="353"/>
      <c r="AB192" s="353"/>
      <c r="AC192" s="353"/>
      <c r="AD192" s="354"/>
      <c r="AE192" s="353"/>
      <c r="AF192" s="353"/>
      <c r="AG192" s="353"/>
      <c r="AH192" s="354" t="str">
        <f t="shared" si="186"/>
        <v/>
      </c>
      <c r="AI192" s="355">
        <f t="shared" si="187"/>
        <v>0</v>
      </c>
    </row>
    <row r="193">
      <c r="A193" s="382">
        <v>2026.0</v>
      </c>
      <c r="B193" s="344" t="s">
        <v>999</v>
      </c>
      <c r="C193" s="344" t="s">
        <v>1000</v>
      </c>
      <c r="D193" s="344" t="s">
        <v>162</v>
      </c>
      <c r="E193" s="387">
        <v>540000.0</v>
      </c>
      <c r="F193" s="387" t="s">
        <v>1001</v>
      </c>
      <c r="G193" s="346">
        <v>1.0</v>
      </c>
      <c r="H193" s="292">
        <f t="shared" si="158"/>
        <v>797.570141</v>
      </c>
      <c r="I193" s="347">
        <v>0.035</v>
      </c>
      <c r="J193" s="348">
        <f t="shared" si="159"/>
        <v>769.655186</v>
      </c>
      <c r="K193" s="349">
        <f t="shared" si="160"/>
        <v>27.91495493</v>
      </c>
      <c r="L193" s="296">
        <v>0.001397</v>
      </c>
      <c r="M193" s="347">
        <v>0.0215</v>
      </c>
      <c r="N193" s="350">
        <f t="shared" si="161"/>
        <v>0.0014270355</v>
      </c>
      <c r="O193" s="348">
        <f t="shared" si="162"/>
        <v>31.5475865</v>
      </c>
      <c r="P193" s="348">
        <f t="shared" si="163"/>
        <v>1.119825273</v>
      </c>
      <c r="Q193" s="292" t="str">
        <f t="shared" si="164"/>
        <v>#VALUE!</v>
      </c>
      <c r="R193" s="347">
        <v>0.06</v>
      </c>
      <c r="S193" s="351"/>
      <c r="T193" s="299" t="str">
        <f t="shared" si="141"/>
        <v>#VALUE!</v>
      </c>
      <c r="U193" s="315" t="str">
        <f t="shared" si="142"/>
        <v>#VALUE!</v>
      </c>
      <c r="V193" s="315" t="str">
        <f t="shared" si="143"/>
        <v>#VALUE!</v>
      </c>
      <c r="W193" s="320" t="str">
        <f t="shared" si="144"/>
        <v>#VALUE!</v>
      </c>
      <c r="X193" s="321" t="str">
        <f t="shared" si="145"/>
        <v/>
      </c>
      <c r="Y193" s="388" t="str">
        <f t="shared" si="165"/>
        <v/>
      </c>
      <c r="Z193" s="321" t="str">
        <f t="shared" si="146"/>
        <v/>
      </c>
      <c r="AA193" s="353"/>
      <c r="AB193" s="353"/>
      <c r="AC193" s="353"/>
      <c r="AD193" s="354"/>
      <c r="AE193" s="353"/>
      <c r="AF193" s="353"/>
      <c r="AG193" s="353"/>
      <c r="AH193" s="354" t="str">
        <f t="shared" si="186"/>
        <v/>
      </c>
      <c r="AI193" s="355">
        <f t="shared" si="187"/>
        <v>0</v>
      </c>
    </row>
    <row r="194">
      <c r="A194" s="386">
        <v>2026.0</v>
      </c>
      <c r="B194" s="344" t="s">
        <v>1002</v>
      </c>
      <c r="C194" s="344" t="s">
        <v>1003</v>
      </c>
      <c r="D194" s="344" t="s">
        <v>162</v>
      </c>
      <c r="E194" s="387">
        <v>60000.0</v>
      </c>
      <c r="F194" s="387">
        <v>150000.0</v>
      </c>
      <c r="G194" s="346">
        <v>1.0</v>
      </c>
      <c r="H194" s="292">
        <f t="shared" si="158"/>
        <v>88.61890455</v>
      </c>
      <c r="I194" s="347">
        <v>0.035</v>
      </c>
      <c r="J194" s="348">
        <f t="shared" si="159"/>
        <v>85.51724289</v>
      </c>
      <c r="K194" s="349">
        <f t="shared" si="160"/>
        <v>3.101661659</v>
      </c>
      <c r="L194" s="296">
        <v>0.001397</v>
      </c>
      <c r="M194" s="347">
        <v>0.0215</v>
      </c>
      <c r="N194" s="350">
        <f t="shared" si="161"/>
        <v>0.0014270355</v>
      </c>
      <c r="O194" s="348">
        <f t="shared" si="162"/>
        <v>16.83862072</v>
      </c>
      <c r="P194" s="348">
        <f t="shared" si="163"/>
        <v>0.1435361415</v>
      </c>
      <c r="Q194" s="292">
        <f t="shared" si="164"/>
        <v>221.5472614</v>
      </c>
      <c r="R194" s="347">
        <v>0.06</v>
      </c>
      <c r="S194" s="351"/>
      <c r="T194" s="299">
        <f t="shared" si="141"/>
        <v>90000</v>
      </c>
      <c r="U194" s="315">
        <f t="shared" si="142"/>
        <v>84915</v>
      </c>
      <c r="V194" s="315">
        <f t="shared" si="143"/>
        <v>18000</v>
      </c>
      <c r="W194" s="320">
        <f t="shared" si="144"/>
        <v>63000</v>
      </c>
      <c r="X194" s="321">
        <f t="shared" si="145"/>
        <v>1.5</v>
      </c>
      <c r="Y194" s="388">
        <f t="shared" si="165"/>
        <v>0.6</v>
      </c>
      <c r="Z194" s="321">
        <f t="shared" si="146"/>
        <v>0.42</v>
      </c>
      <c r="AA194" s="353"/>
      <c r="AB194" s="353"/>
      <c r="AC194" s="353"/>
      <c r="AD194" s="354"/>
      <c r="AE194" s="353"/>
      <c r="AF194" s="353"/>
      <c r="AG194" s="353"/>
      <c r="AH194" s="354" t="str">
        <f t="shared" si="186"/>
        <v/>
      </c>
      <c r="AI194" s="355">
        <f t="shared" si="187"/>
        <v>0</v>
      </c>
    </row>
    <row r="195">
      <c r="A195" s="392">
        <v>45901.0</v>
      </c>
      <c r="B195" s="344" t="s">
        <v>1004</v>
      </c>
      <c r="C195" s="359" t="s">
        <v>1005</v>
      </c>
      <c r="D195" s="344" t="s">
        <v>162</v>
      </c>
      <c r="E195" s="387">
        <v>209000.0</v>
      </c>
      <c r="F195" s="387">
        <v>250000.0</v>
      </c>
      <c r="G195" s="346">
        <v>1.0</v>
      </c>
      <c r="H195" s="292">
        <f t="shared" si="158"/>
        <v>308.6891842</v>
      </c>
      <c r="I195" s="347">
        <v>0.035</v>
      </c>
      <c r="J195" s="348">
        <f t="shared" si="159"/>
        <v>297.8850627</v>
      </c>
      <c r="K195" s="349">
        <f t="shared" si="160"/>
        <v>10.80412145</v>
      </c>
      <c r="L195" s="296">
        <v>0.001397</v>
      </c>
      <c r="M195" s="347">
        <v>0.0215</v>
      </c>
      <c r="N195" s="350">
        <f t="shared" si="161"/>
        <v>0.0014270355</v>
      </c>
      <c r="O195" s="348">
        <f t="shared" si="162"/>
        <v>21.40452885</v>
      </c>
      <c r="P195" s="348">
        <f t="shared" si="163"/>
        <v>0.4465925594</v>
      </c>
      <c r="Q195" s="292">
        <f t="shared" si="164"/>
        <v>369.2454356</v>
      </c>
      <c r="R195" s="347">
        <v>0.06</v>
      </c>
      <c r="S195" s="351"/>
      <c r="T195" s="299">
        <f t="shared" si="141"/>
        <v>41000</v>
      </c>
      <c r="U195" s="315">
        <f t="shared" si="142"/>
        <v>38683.5</v>
      </c>
      <c r="V195" s="315">
        <f t="shared" si="143"/>
        <v>8200</v>
      </c>
      <c r="W195" s="320">
        <f t="shared" si="144"/>
        <v>17800</v>
      </c>
      <c r="X195" s="321">
        <f t="shared" si="145"/>
        <v>0.1961722488</v>
      </c>
      <c r="Y195" s="388">
        <f t="shared" si="165"/>
        <v>0.164</v>
      </c>
      <c r="Z195" s="321">
        <f t="shared" si="146"/>
        <v>0.0712</v>
      </c>
      <c r="AA195" s="353"/>
      <c r="AB195" s="353"/>
      <c r="AC195" s="353"/>
      <c r="AD195" s="354"/>
      <c r="AE195" s="353"/>
      <c r="AF195" s="353"/>
      <c r="AG195" s="353"/>
      <c r="AH195" s="354" t="str">
        <f t="shared" si="186"/>
        <v/>
      </c>
      <c r="AI195" s="355">
        <f t="shared" si="187"/>
        <v>0</v>
      </c>
    </row>
    <row r="196">
      <c r="A196" s="386">
        <v>2026.0</v>
      </c>
      <c r="B196" s="344" t="s">
        <v>1006</v>
      </c>
      <c r="C196" s="344" t="s">
        <v>1007</v>
      </c>
      <c r="D196" s="344" t="s">
        <v>1008</v>
      </c>
      <c r="E196" s="345">
        <v>290000.0</v>
      </c>
      <c r="F196" s="387">
        <v>450000.0</v>
      </c>
      <c r="G196" s="346">
        <v>1.0</v>
      </c>
      <c r="H196" s="292">
        <f t="shared" si="158"/>
        <v>428.3247053</v>
      </c>
      <c r="I196" s="347">
        <v>0.035</v>
      </c>
      <c r="J196" s="348">
        <f t="shared" si="159"/>
        <v>413.3333406</v>
      </c>
      <c r="K196" s="349">
        <f t="shared" si="160"/>
        <v>14.99136469</v>
      </c>
      <c r="L196" s="296">
        <v>0.001397</v>
      </c>
      <c r="M196" s="347">
        <v>0.0215</v>
      </c>
      <c r="N196" s="350">
        <f t="shared" si="161"/>
        <v>0.0014270355</v>
      </c>
      <c r="O196" s="348">
        <f t="shared" si="162"/>
        <v>23.88666682</v>
      </c>
      <c r="P196" s="348">
        <f t="shared" si="163"/>
        <v>0.6113413504</v>
      </c>
      <c r="Q196" s="292">
        <f t="shared" si="164"/>
        <v>664.6417841</v>
      </c>
      <c r="R196" s="347">
        <v>0.06</v>
      </c>
      <c r="S196" s="351"/>
      <c r="T196" s="299">
        <f t="shared" si="141"/>
        <v>160000</v>
      </c>
      <c r="U196" s="315">
        <f t="shared" si="142"/>
        <v>150960</v>
      </c>
      <c r="V196" s="315">
        <f t="shared" si="143"/>
        <v>32000</v>
      </c>
      <c r="W196" s="320">
        <f t="shared" si="144"/>
        <v>101000</v>
      </c>
      <c r="X196" s="321">
        <f t="shared" si="145"/>
        <v>0.5517241379</v>
      </c>
      <c r="Y196" s="388">
        <f t="shared" si="165"/>
        <v>0.3555555556</v>
      </c>
      <c r="Z196" s="321">
        <f t="shared" si="146"/>
        <v>0.2244444444</v>
      </c>
      <c r="AA196" s="353"/>
      <c r="AB196" s="353"/>
      <c r="AC196" s="353"/>
      <c r="AD196" s="354"/>
      <c r="AE196" s="353"/>
      <c r="AF196" s="353"/>
      <c r="AG196" s="353"/>
      <c r="AH196" s="354" t="str">
        <f t="shared" si="186"/>
        <v/>
      </c>
      <c r="AI196" s="355">
        <f t="shared" si="187"/>
        <v>0</v>
      </c>
    </row>
    <row r="197">
      <c r="A197" s="386">
        <v>2026.0</v>
      </c>
      <c r="B197" s="344" t="s">
        <v>1009</v>
      </c>
      <c r="C197" s="379" t="s">
        <v>1007</v>
      </c>
      <c r="D197" s="344" t="s">
        <v>1010</v>
      </c>
      <c r="E197" s="345">
        <v>390000.0</v>
      </c>
      <c r="F197" s="387">
        <v>500000.0</v>
      </c>
      <c r="G197" s="346">
        <v>1.0</v>
      </c>
      <c r="H197" s="292">
        <f t="shared" si="158"/>
        <v>576.0228796</v>
      </c>
      <c r="I197" s="347">
        <v>0.035</v>
      </c>
      <c r="J197" s="348">
        <f t="shared" si="159"/>
        <v>555.8620788</v>
      </c>
      <c r="K197" s="349">
        <f t="shared" si="160"/>
        <v>20.16080079</v>
      </c>
      <c r="L197" s="296">
        <v>0.001397</v>
      </c>
      <c r="M197" s="347">
        <v>0.0215</v>
      </c>
      <c r="N197" s="350">
        <f t="shared" si="161"/>
        <v>0.0014270355</v>
      </c>
      <c r="O197" s="348">
        <f t="shared" si="162"/>
        <v>26.95103469</v>
      </c>
      <c r="P197" s="348">
        <f t="shared" si="163"/>
        <v>0.8147349195</v>
      </c>
      <c r="Q197" s="292">
        <f t="shared" si="164"/>
        <v>738.4908713</v>
      </c>
      <c r="R197" s="347">
        <v>0.06</v>
      </c>
      <c r="S197" s="351"/>
      <c r="T197" s="299">
        <f t="shared" si="141"/>
        <v>110000</v>
      </c>
      <c r="U197" s="315">
        <f t="shared" si="142"/>
        <v>103785</v>
      </c>
      <c r="V197" s="315">
        <f t="shared" si="143"/>
        <v>22000</v>
      </c>
      <c r="W197" s="320">
        <f t="shared" si="144"/>
        <v>58000</v>
      </c>
      <c r="X197" s="321">
        <f t="shared" si="145"/>
        <v>0.2820512821</v>
      </c>
      <c r="Y197" s="388">
        <f t="shared" si="165"/>
        <v>0.22</v>
      </c>
      <c r="Z197" s="321">
        <f t="shared" si="146"/>
        <v>0.116</v>
      </c>
      <c r="AA197" s="353"/>
      <c r="AB197" s="353"/>
      <c r="AC197" s="353"/>
      <c r="AD197" s="354"/>
      <c r="AE197" s="353"/>
      <c r="AF197" s="353"/>
      <c r="AG197" s="353"/>
      <c r="AH197" s="354" t="str">
        <f t="shared" si="186"/>
        <v/>
      </c>
      <c r="AI197" s="355">
        <f t="shared" si="187"/>
        <v>0</v>
      </c>
    </row>
    <row r="198">
      <c r="A198" s="386">
        <v>2026.0</v>
      </c>
      <c r="B198" s="344" t="s">
        <v>1011</v>
      </c>
      <c r="C198" s="344" t="s">
        <v>1012</v>
      </c>
      <c r="D198" s="344" t="s">
        <v>964</v>
      </c>
      <c r="E198" s="387">
        <v>330000.0</v>
      </c>
      <c r="F198" s="387">
        <v>510000.0</v>
      </c>
      <c r="G198" s="346">
        <v>1.0</v>
      </c>
      <c r="H198" s="292">
        <f t="shared" si="158"/>
        <v>487.403975</v>
      </c>
      <c r="I198" s="347">
        <v>0.035</v>
      </c>
      <c r="J198" s="348">
        <f t="shared" si="159"/>
        <v>470.3448359</v>
      </c>
      <c r="K198" s="349">
        <f t="shared" si="160"/>
        <v>17.05913913</v>
      </c>
      <c r="L198" s="296">
        <v>0.001397</v>
      </c>
      <c r="M198" s="347">
        <v>0.0215</v>
      </c>
      <c r="N198" s="350">
        <f t="shared" si="161"/>
        <v>0.0014270355</v>
      </c>
      <c r="O198" s="348">
        <f t="shared" si="162"/>
        <v>25.11241397</v>
      </c>
      <c r="P198" s="348">
        <f t="shared" si="163"/>
        <v>0.6926987781</v>
      </c>
      <c r="Q198" s="292">
        <f t="shared" si="164"/>
        <v>753.2606887</v>
      </c>
      <c r="R198" s="347">
        <v>0.06</v>
      </c>
      <c r="S198" s="351"/>
      <c r="T198" s="299">
        <f t="shared" si="141"/>
        <v>180000</v>
      </c>
      <c r="U198" s="315">
        <f t="shared" si="142"/>
        <v>169830</v>
      </c>
      <c r="V198" s="315">
        <f t="shared" si="143"/>
        <v>36000</v>
      </c>
      <c r="W198" s="320">
        <f t="shared" si="144"/>
        <v>113400</v>
      </c>
      <c r="X198" s="321">
        <f t="shared" si="145"/>
        <v>0.5454545455</v>
      </c>
      <c r="Y198" s="388">
        <f t="shared" si="165"/>
        <v>0.3529411765</v>
      </c>
      <c r="Z198" s="321">
        <f t="shared" si="146"/>
        <v>0.2223529412</v>
      </c>
      <c r="AA198" s="353"/>
      <c r="AB198" s="353"/>
      <c r="AC198" s="353"/>
      <c r="AD198" s="354"/>
      <c r="AE198" s="353"/>
      <c r="AF198" s="353"/>
      <c r="AG198" s="353"/>
      <c r="AH198" s="354" t="str">
        <f t="shared" si="186"/>
        <v/>
      </c>
      <c r="AI198" s="355">
        <f t="shared" si="187"/>
        <v>0</v>
      </c>
    </row>
    <row r="199">
      <c r="A199" s="386">
        <v>2026.0</v>
      </c>
      <c r="B199" s="344" t="s">
        <v>1013</v>
      </c>
      <c r="C199" s="344" t="s">
        <v>1012</v>
      </c>
      <c r="D199" s="344" t="s">
        <v>966</v>
      </c>
      <c r="E199" s="387">
        <v>250000.0</v>
      </c>
      <c r="F199" s="387">
        <v>380000.0</v>
      </c>
      <c r="G199" s="346">
        <v>1.0</v>
      </c>
      <c r="H199" s="292">
        <f t="shared" si="158"/>
        <v>369.2454356</v>
      </c>
      <c r="I199" s="347">
        <v>0.035</v>
      </c>
      <c r="J199" s="348">
        <f t="shared" si="159"/>
        <v>356.3218454</v>
      </c>
      <c r="K199" s="349">
        <f t="shared" si="160"/>
        <v>12.92359025</v>
      </c>
      <c r="L199" s="296">
        <v>0.001397</v>
      </c>
      <c r="M199" s="347">
        <v>0.0215</v>
      </c>
      <c r="N199" s="350">
        <f t="shared" si="161"/>
        <v>0.0014270355</v>
      </c>
      <c r="O199" s="348">
        <f t="shared" si="162"/>
        <v>22.66091968</v>
      </c>
      <c r="P199" s="348">
        <f t="shared" si="163"/>
        <v>0.5299839228</v>
      </c>
      <c r="Q199" s="292">
        <f t="shared" si="164"/>
        <v>561.2530622</v>
      </c>
      <c r="R199" s="347">
        <v>0.06</v>
      </c>
      <c r="S199" s="351"/>
      <c r="T199" s="299">
        <f t="shared" si="141"/>
        <v>130000</v>
      </c>
      <c r="U199" s="315">
        <f t="shared" si="142"/>
        <v>122655</v>
      </c>
      <c r="V199" s="315">
        <f t="shared" si="143"/>
        <v>26000</v>
      </c>
      <c r="W199" s="320">
        <f t="shared" si="144"/>
        <v>81200</v>
      </c>
      <c r="X199" s="321">
        <f t="shared" si="145"/>
        <v>0.52</v>
      </c>
      <c r="Y199" s="388">
        <f t="shared" si="165"/>
        <v>0.3421052632</v>
      </c>
      <c r="Z199" s="321">
        <f t="shared" si="146"/>
        <v>0.2136842105</v>
      </c>
      <c r="AA199" s="353"/>
      <c r="AB199" s="353"/>
      <c r="AC199" s="353"/>
      <c r="AD199" s="354"/>
      <c r="AE199" s="353"/>
      <c r="AF199" s="353"/>
      <c r="AG199" s="353"/>
      <c r="AH199" s="354" t="str">
        <f t="shared" si="186"/>
        <v/>
      </c>
      <c r="AI199" s="355">
        <f t="shared" si="187"/>
        <v>0</v>
      </c>
    </row>
    <row r="200">
      <c r="A200" s="386">
        <v>2026.0</v>
      </c>
      <c r="B200" s="344" t="s">
        <v>1014</v>
      </c>
      <c r="C200" s="344" t="s">
        <v>1015</v>
      </c>
      <c r="D200" s="344" t="s">
        <v>964</v>
      </c>
      <c r="E200" s="345">
        <v>380000.0</v>
      </c>
      <c r="F200" s="387">
        <v>510000.0</v>
      </c>
      <c r="G200" s="346">
        <v>1.0</v>
      </c>
      <c r="H200" s="292">
        <f t="shared" si="158"/>
        <v>561.2530622</v>
      </c>
      <c r="I200" s="347">
        <v>0.035</v>
      </c>
      <c r="J200" s="348">
        <f t="shared" si="159"/>
        <v>541.609205</v>
      </c>
      <c r="K200" s="349">
        <f t="shared" si="160"/>
        <v>19.64385718</v>
      </c>
      <c r="L200" s="296">
        <v>0.001397</v>
      </c>
      <c r="M200" s="347">
        <v>0.0215</v>
      </c>
      <c r="N200" s="350">
        <f t="shared" si="161"/>
        <v>0.0014270355</v>
      </c>
      <c r="O200" s="348">
        <f t="shared" si="162"/>
        <v>26.64459791</v>
      </c>
      <c r="P200" s="348">
        <f t="shared" si="163"/>
        <v>0.7943955626</v>
      </c>
      <c r="Q200" s="292">
        <f t="shared" si="164"/>
        <v>753.2606887</v>
      </c>
      <c r="R200" s="347">
        <v>0.06</v>
      </c>
      <c r="S200" s="351"/>
      <c r="T200" s="299">
        <f t="shared" si="141"/>
        <v>130000</v>
      </c>
      <c r="U200" s="315">
        <f t="shared" si="142"/>
        <v>122655</v>
      </c>
      <c r="V200" s="315">
        <f t="shared" si="143"/>
        <v>26000</v>
      </c>
      <c r="W200" s="320">
        <f t="shared" si="144"/>
        <v>73400</v>
      </c>
      <c r="X200" s="321">
        <f t="shared" si="145"/>
        <v>0.3421052632</v>
      </c>
      <c r="Y200" s="388">
        <f t="shared" si="165"/>
        <v>0.2549019608</v>
      </c>
      <c r="Z200" s="321">
        <f t="shared" si="146"/>
        <v>0.1439215686</v>
      </c>
      <c r="AA200" s="353"/>
      <c r="AB200" s="353"/>
      <c r="AC200" s="353"/>
      <c r="AD200" s="354"/>
      <c r="AE200" s="353"/>
      <c r="AF200" s="353"/>
      <c r="AG200" s="353"/>
      <c r="AH200" s="354" t="str">
        <f t="shared" si="186"/>
        <v/>
      </c>
      <c r="AI200" s="355">
        <f t="shared" si="187"/>
        <v>0</v>
      </c>
    </row>
    <row r="201">
      <c r="A201" s="386">
        <v>2026.0</v>
      </c>
      <c r="B201" s="344" t="s">
        <v>1016</v>
      </c>
      <c r="C201" s="344" t="s">
        <v>1015</v>
      </c>
      <c r="D201" s="344" t="s">
        <v>966</v>
      </c>
      <c r="E201" s="387">
        <v>135294.0</v>
      </c>
      <c r="F201" s="387">
        <v>450000.0</v>
      </c>
      <c r="G201" s="346">
        <v>1.0</v>
      </c>
      <c r="H201" s="292">
        <f t="shared" si="158"/>
        <v>199.8267679</v>
      </c>
      <c r="I201" s="347">
        <v>0.035</v>
      </c>
      <c r="J201" s="348">
        <f t="shared" si="159"/>
        <v>192.832831</v>
      </c>
      <c r="K201" s="349">
        <f t="shared" si="160"/>
        <v>6.993936875</v>
      </c>
      <c r="L201" s="296">
        <v>0.001397</v>
      </c>
      <c r="M201" s="347">
        <v>0.0215</v>
      </c>
      <c r="N201" s="350">
        <f t="shared" si="161"/>
        <v>0.0014270355</v>
      </c>
      <c r="O201" s="348">
        <f t="shared" si="162"/>
        <v>19.14590587</v>
      </c>
      <c r="P201" s="348">
        <f t="shared" si="163"/>
        <v>0.2966792954</v>
      </c>
      <c r="Q201" s="292">
        <f t="shared" si="164"/>
        <v>664.6417841</v>
      </c>
      <c r="R201" s="347">
        <v>0.06</v>
      </c>
      <c r="S201" s="351"/>
      <c r="T201" s="299">
        <f t="shared" si="141"/>
        <v>314706</v>
      </c>
      <c r="U201" s="315">
        <f t="shared" si="142"/>
        <v>296925.111</v>
      </c>
      <c r="V201" s="315">
        <f t="shared" si="143"/>
        <v>62941.2</v>
      </c>
      <c r="W201" s="320">
        <f t="shared" si="144"/>
        <v>224764.8</v>
      </c>
      <c r="X201" s="321">
        <f t="shared" si="145"/>
        <v>2.326089849</v>
      </c>
      <c r="Y201" s="388">
        <f t="shared" si="165"/>
        <v>0.6993466667</v>
      </c>
      <c r="Z201" s="321">
        <f t="shared" si="146"/>
        <v>0.4994773333</v>
      </c>
      <c r="AA201" s="353"/>
      <c r="AB201" s="353"/>
      <c r="AC201" s="353"/>
      <c r="AD201" s="354"/>
      <c r="AE201" s="353"/>
      <c r="AF201" s="353"/>
      <c r="AG201" s="353"/>
      <c r="AH201" s="354" t="str">
        <f t="shared" si="186"/>
        <v/>
      </c>
      <c r="AI201" s="355">
        <f t="shared" si="187"/>
        <v>0</v>
      </c>
    </row>
    <row r="202">
      <c r="A202" s="386">
        <v>2026.0</v>
      </c>
      <c r="B202" s="344" t="s">
        <v>1017</v>
      </c>
      <c r="C202" s="344" t="s">
        <v>1018</v>
      </c>
      <c r="D202" s="344" t="s">
        <v>964</v>
      </c>
      <c r="E202" s="345">
        <v>118000.0</v>
      </c>
      <c r="F202" s="387" t="s">
        <v>1001</v>
      </c>
      <c r="G202" s="346">
        <v>1.0</v>
      </c>
      <c r="H202" s="292">
        <f t="shared" si="158"/>
        <v>174.2838456</v>
      </c>
      <c r="I202" s="347">
        <v>0.035</v>
      </c>
      <c r="J202" s="348">
        <f t="shared" si="159"/>
        <v>168.183911</v>
      </c>
      <c r="K202" s="349">
        <f t="shared" si="160"/>
        <v>6.099934597</v>
      </c>
      <c r="L202" s="296">
        <v>0.001397</v>
      </c>
      <c r="M202" s="347">
        <v>0.0215</v>
      </c>
      <c r="N202" s="350">
        <f t="shared" si="161"/>
        <v>0.0014270355</v>
      </c>
      <c r="O202" s="348">
        <f t="shared" si="162"/>
        <v>18.61595409</v>
      </c>
      <c r="P202" s="348">
        <f t="shared" si="163"/>
        <v>0.2615044116</v>
      </c>
      <c r="Q202" s="292" t="str">
        <f t="shared" si="164"/>
        <v>#VALUE!</v>
      </c>
      <c r="R202" s="347">
        <v>0.06</v>
      </c>
      <c r="S202" s="351"/>
      <c r="T202" s="299" t="str">
        <f t="shared" si="141"/>
        <v>#VALUE!</v>
      </c>
      <c r="U202" s="315" t="str">
        <f t="shared" si="142"/>
        <v>#VALUE!</v>
      </c>
      <c r="V202" s="315" t="str">
        <f t="shared" si="143"/>
        <v>#VALUE!</v>
      </c>
      <c r="W202" s="320" t="str">
        <f t="shared" si="144"/>
        <v>#VALUE!</v>
      </c>
      <c r="X202" s="321" t="str">
        <f t="shared" si="145"/>
        <v/>
      </c>
      <c r="Y202" s="352" t="str">
        <f t="shared" si="165"/>
        <v/>
      </c>
      <c r="Z202" s="321" t="str">
        <f t="shared" si="146"/>
        <v/>
      </c>
      <c r="AA202" s="353"/>
      <c r="AB202" s="353"/>
      <c r="AC202" s="353"/>
      <c r="AD202" s="354"/>
      <c r="AE202" s="353"/>
      <c r="AF202" s="353"/>
      <c r="AG202" s="353"/>
      <c r="AH202" s="354" t="str">
        <f t="shared" si="186"/>
        <v/>
      </c>
      <c r="AI202" s="355">
        <f t="shared" si="187"/>
        <v>0</v>
      </c>
    </row>
    <row r="203">
      <c r="A203" s="386">
        <v>2026.0</v>
      </c>
      <c r="B203" s="344" t="s">
        <v>1019</v>
      </c>
      <c r="C203" s="344" t="s">
        <v>1018</v>
      </c>
      <c r="D203" s="344" t="s">
        <v>966</v>
      </c>
      <c r="E203" s="387" t="s">
        <v>1001</v>
      </c>
      <c r="F203" s="387" t="s">
        <v>1001</v>
      </c>
      <c r="G203" s="346">
        <v>1.0</v>
      </c>
      <c r="H203" s="292" t="str">
        <f t="shared" si="158"/>
        <v>#VALUE!</v>
      </c>
      <c r="I203" s="347">
        <v>0.035</v>
      </c>
      <c r="J203" s="348" t="str">
        <f t="shared" si="159"/>
        <v>#VALUE!</v>
      </c>
      <c r="K203" s="349" t="str">
        <f t="shared" si="160"/>
        <v>#VALUE!</v>
      </c>
      <c r="L203" s="296">
        <v>0.001397</v>
      </c>
      <c r="M203" s="347">
        <v>0.0215</v>
      </c>
      <c r="N203" s="350">
        <f t="shared" si="161"/>
        <v>0.0014270355</v>
      </c>
      <c r="O203" s="348" t="str">
        <f t="shared" si="162"/>
        <v>#VALUE!</v>
      </c>
      <c r="P203" s="348" t="str">
        <f t="shared" si="163"/>
        <v>#VALUE!</v>
      </c>
      <c r="Q203" s="292" t="str">
        <f t="shared" si="164"/>
        <v>#VALUE!</v>
      </c>
      <c r="R203" s="347">
        <v>0.06</v>
      </c>
      <c r="S203" s="351"/>
      <c r="T203" s="299" t="str">
        <f t="shared" si="141"/>
        <v>#VALUE!</v>
      </c>
      <c r="U203" s="315" t="str">
        <f t="shared" si="142"/>
        <v>#VALUE!</v>
      </c>
      <c r="V203" s="315" t="str">
        <f t="shared" si="143"/>
        <v>#VALUE!</v>
      </c>
      <c r="W203" s="320" t="str">
        <f t="shared" si="144"/>
        <v>#VALUE!</v>
      </c>
      <c r="X203" s="321" t="str">
        <f t="shared" si="145"/>
        <v/>
      </c>
      <c r="Y203" s="352" t="str">
        <f t="shared" si="165"/>
        <v/>
      </c>
      <c r="Z203" s="321" t="str">
        <f t="shared" si="146"/>
        <v/>
      </c>
      <c r="AA203" s="353"/>
      <c r="AB203" s="353"/>
      <c r="AC203" s="353"/>
      <c r="AD203" s="354"/>
      <c r="AE203" s="353"/>
      <c r="AF203" s="353"/>
      <c r="AG203" s="353"/>
      <c r="AH203" s="354" t="str">
        <f t="shared" si="186"/>
        <v/>
      </c>
      <c r="AI203" s="355">
        <f t="shared" si="187"/>
        <v>0</v>
      </c>
    </row>
    <row r="204">
      <c r="A204" s="386">
        <v>2026.0</v>
      </c>
      <c r="B204" s="344" t="s">
        <v>1020</v>
      </c>
      <c r="C204" s="344" t="s">
        <v>1021</v>
      </c>
      <c r="D204" s="344" t="s">
        <v>1022</v>
      </c>
      <c r="E204" s="387">
        <v>310000.0</v>
      </c>
      <c r="F204" s="387">
        <v>450000.0</v>
      </c>
      <c r="G204" s="346">
        <v>1.0</v>
      </c>
      <c r="H204" s="292">
        <f t="shared" si="158"/>
        <v>457.8643402</v>
      </c>
      <c r="I204" s="347">
        <v>0.035</v>
      </c>
      <c r="J204" s="348">
        <f t="shared" si="159"/>
        <v>441.8390883</v>
      </c>
      <c r="K204" s="349">
        <f t="shared" si="160"/>
        <v>16.02525191</v>
      </c>
      <c r="L204" s="296">
        <v>0.001397</v>
      </c>
      <c r="M204" s="347">
        <v>0.0215</v>
      </c>
      <c r="N204" s="350">
        <f t="shared" si="161"/>
        <v>0.0014270355</v>
      </c>
      <c r="O204" s="348">
        <f t="shared" si="162"/>
        <v>24.4995404</v>
      </c>
      <c r="P204" s="348">
        <f t="shared" si="163"/>
        <v>0.6520200642</v>
      </c>
      <c r="Q204" s="292">
        <f t="shared" si="164"/>
        <v>664.6417841</v>
      </c>
      <c r="R204" s="347">
        <v>0.06</v>
      </c>
      <c r="S204" s="351"/>
      <c r="T204" s="299">
        <f t="shared" si="141"/>
        <v>140000</v>
      </c>
      <c r="U204" s="315">
        <f t="shared" si="142"/>
        <v>132090</v>
      </c>
      <c r="V204" s="315">
        <f t="shared" si="143"/>
        <v>28000</v>
      </c>
      <c r="W204" s="320">
        <f t="shared" si="144"/>
        <v>85000</v>
      </c>
      <c r="X204" s="321">
        <f t="shared" si="145"/>
        <v>0.4516129032</v>
      </c>
      <c r="Y204" s="388">
        <f t="shared" si="165"/>
        <v>0.3111111111</v>
      </c>
      <c r="Z204" s="321">
        <f t="shared" si="146"/>
        <v>0.1888888889</v>
      </c>
      <c r="AA204" s="353"/>
      <c r="AB204" s="353"/>
      <c r="AC204" s="353"/>
      <c r="AD204" s="354"/>
      <c r="AE204" s="353"/>
      <c r="AF204" s="353"/>
      <c r="AG204" s="353"/>
      <c r="AH204" s="354" t="str">
        <f t="shared" si="186"/>
        <v/>
      </c>
      <c r="AI204" s="355">
        <f t="shared" si="187"/>
        <v>0</v>
      </c>
    </row>
    <row r="205">
      <c r="A205" s="386">
        <v>2026.0</v>
      </c>
      <c r="B205" s="344" t="s">
        <v>1023</v>
      </c>
      <c r="C205" s="379" t="s">
        <v>1021</v>
      </c>
      <c r="D205" s="344" t="s">
        <v>1010</v>
      </c>
      <c r="E205" s="387">
        <v>450000.0</v>
      </c>
      <c r="F205" s="387">
        <v>600000.0</v>
      </c>
      <c r="G205" s="346">
        <v>1.0</v>
      </c>
      <c r="H205" s="292">
        <f t="shared" si="158"/>
        <v>664.6417841</v>
      </c>
      <c r="I205" s="347">
        <v>0.035</v>
      </c>
      <c r="J205" s="348">
        <f t="shared" si="159"/>
        <v>641.3793217</v>
      </c>
      <c r="K205" s="349">
        <f t="shared" si="160"/>
        <v>23.26246244</v>
      </c>
      <c r="L205" s="296">
        <v>0.001397</v>
      </c>
      <c r="M205" s="347">
        <v>0.0215</v>
      </c>
      <c r="N205" s="350">
        <f t="shared" si="161"/>
        <v>0.0014270355</v>
      </c>
      <c r="O205" s="348">
        <f t="shared" si="162"/>
        <v>28.78965542</v>
      </c>
      <c r="P205" s="348">
        <f t="shared" si="163"/>
        <v>0.936771061</v>
      </c>
      <c r="Q205" s="292">
        <f t="shared" si="164"/>
        <v>886.1890455</v>
      </c>
      <c r="R205" s="347">
        <v>0.06</v>
      </c>
      <c r="S205" s="351"/>
      <c r="T205" s="299">
        <f t="shared" si="141"/>
        <v>150000</v>
      </c>
      <c r="U205" s="315">
        <f t="shared" si="142"/>
        <v>141525</v>
      </c>
      <c r="V205" s="315">
        <f t="shared" si="143"/>
        <v>30000</v>
      </c>
      <c r="W205" s="320">
        <f t="shared" si="144"/>
        <v>84000</v>
      </c>
      <c r="X205" s="321">
        <f t="shared" si="145"/>
        <v>0.3333333333</v>
      </c>
      <c r="Y205" s="388">
        <f t="shared" si="165"/>
        <v>0.25</v>
      </c>
      <c r="Z205" s="321">
        <f t="shared" si="146"/>
        <v>0.14</v>
      </c>
      <c r="AA205" s="353"/>
      <c r="AB205" s="353"/>
      <c r="AC205" s="353"/>
      <c r="AD205" s="354"/>
      <c r="AE205" s="353"/>
      <c r="AF205" s="353"/>
      <c r="AG205" s="353"/>
      <c r="AH205" s="354" t="str">
        <f t="shared" si="186"/>
        <v/>
      </c>
      <c r="AI205" s="355">
        <f t="shared" si="187"/>
        <v>0</v>
      </c>
    </row>
    <row r="206">
      <c r="A206" s="382">
        <v>2026.0</v>
      </c>
      <c r="B206" s="344" t="s">
        <v>1024</v>
      </c>
      <c r="C206" s="359" t="s">
        <v>1025</v>
      </c>
      <c r="D206" s="344" t="s">
        <v>162</v>
      </c>
      <c r="E206" s="387">
        <v>740000.0</v>
      </c>
      <c r="F206" s="387">
        <v>870000.0</v>
      </c>
      <c r="G206" s="346">
        <v>1.0</v>
      </c>
      <c r="H206" s="292">
        <f t="shared" si="158"/>
        <v>1092.966489</v>
      </c>
      <c r="I206" s="347">
        <v>0.035</v>
      </c>
      <c r="J206" s="348">
        <f t="shared" si="159"/>
        <v>1054.712662</v>
      </c>
      <c r="K206" s="349">
        <f t="shared" si="160"/>
        <v>38.25382713</v>
      </c>
      <c r="L206" s="296">
        <v>0.001397</v>
      </c>
      <c r="M206" s="347">
        <v>0.0215</v>
      </c>
      <c r="N206" s="350">
        <f t="shared" si="161"/>
        <v>0.0014270355</v>
      </c>
      <c r="O206" s="348">
        <f t="shared" si="162"/>
        <v>37.67632224</v>
      </c>
      <c r="P206" s="348">
        <f t="shared" si="163"/>
        <v>1.526612411</v>
      </c>
      <c r="Q206" s="292">
        <f t="shared" si="164"/>
        <v>1284.974116</v>
      </c>
      <c r="R206" s="347">
        <v>0.06</v>
      </c>
      <c r="S206" s="351"/>
      <c r="T206" s="299">
        <f t="shared" si="141"/>
        <v>130000</v>
      </c>
      <c r="U206" s="315">
        <f t="shared" si="142"/>
        <v>122655</v>
      </c>
      <c r="V206" s="315">
        <f t="shared" si="143"/>
        <v>26000</v>
      </c>
      <c r="W206" s="320">
        <f t="shared" si="144"/>
        <v>51800</v>
      </c>
      <c r="X206" s="321">
        <f t="shared" si="145"/>
        <v>0.1756756757</v>
      </c>
      <c r="Y206" s="388">
        <f t="shared" si="165"/>
        <v>0.1494252874</v>
      </c>
      <c r="Z206" s="321">
        <f t="shared" si="146"/>
        <v>0.05954022989</v>
      </c>
      <c r="AA206" s="353"/>
      <c r="AB206" s="353"/>
      <c r="AC206" s="353"/>
      <c r="AD206" s="354"/>
      <c r="AE206" s="353"/>
      <c r="AF206" s="353"/>
      <c r="AG206" s="353"/>
      <c r="AH206" s="354" t="str">
        <f t="shared" si="186"/>
        <v/>
      </c>
      <c r="AI206" s="355">
        <f t="shared" si="187"/>
        <v>0</v>
      </c>
    </row>
    <row r="207">
      <c r="A207" s="386">
        <v>2026.0</v>
      </c>
      <c r="B207" s="344" t="s">
        <v>1026</v>
      </c>
      <c r="C207" s="344" t="s">
        <v>1027</v>
      </c>
      <c r="D207" s="344" t="s">
        <v>964</v>
      </c>
      <c r="E207" s="387">
        <v>370000.0</v>
      </c>
      <c r="F207" s="387">
        <v>550000.0</v>
      </c>
      <c r="G207" s="346">
        <v>1.0</v>
      </c>
      <c r="H207" s="292">
        <f t="shared" si="158"/>
        <v>546.4832447</v>
      </c>
      <c r="I207" s="347">
        <v>0.035</v>
      </c>
      <c r="J207" s="348">
        <f t="shared" si="159"/>
        <v>527.3563312</v>
      </c>
      <c r="K207" s="349">
        <f t="shared" si="160"/>
        <v>19.12691357</v>
      </c>
      <c r="L207" s="296">
        <v>0.001397</v>
      </c>
      <c r="M207" s="347">
        <v>0.0215</v>
      </c>
      <c r="N207" s="350">
        <f t="shared" si="161"/>
        <v>0.0014270355</v>
      </c>
      <c r="O207" s="348">
        <f t="shared" si="162"/>
        <v>26.33816112</v>
      </c>
      <c r="P207" s="348">
        <f t="shared" si="163"/>
        <v>0.7740562057</v>
      </c>
      <c r="Q207" s="292">
        <f t="shared" si="164"/>
        <v>812.3399584</v>
      </c>
      <c r="R207" s="347">
        <v>0.06</v>
      </c>
      <c r="S207" s="351"/>
      <c r="T207" s="299">
        <f t="shared" si="141"/>
        <v>180000</v>
      </c>
      <c r="U207" s="315">
        <f t="shared" si="142"/>
        <v>169830</v>
      </c>
      <c r="V207" s="315">
        <f t="shared" si="143"/>
        <v>36000</v>
      </c>
      <c r="W207" s="320">
        <f t="shared" si="144"/>
        <v>111000</v>
      </c>
      <c r="X207" s="321">
        <f t="shared" si="145"/>
        <v>0.4864864865</v>
      </c>
      <c r="Y207" s="388">
        <f t="shared" si="165"/>
        <v>0.3272727273</v>
      </c>
      <c r="Z207" s="321">
        <f t="shared" si="146"/>
        <v>0.2018181818</v>
      </c>
      <c r="AA207" s="353"/>
      <c r="AB207" s="353"/>
      <c r="AC207" s="353"/>
      <c r="AD207" s="354"/>
      <c r="AE207" s="353"/>
      <c r="AF207" s="353"/>
      <c r="AG207" s="353"/>
      <c r="AH207" s="354" t="str">
        <f t="shared" si="186"/>
        <v/>
      </c>
      <c r="AI207" s="355">
        <f t="shared" si="187"/>
        <v>0</v>
      </c>
    </row>
    <row r="208">
      <c r="A208" s="386">
        <v>2026.0</v>
      </c>
      <c r="B208" s="344" t="s">
        <v>1028</v>
      </c>
      <c r="C208" s="344" t="s">
        <v>1027</v>
      </c>
      <c r="D208" s="344" t="s">
        <v>966</v>
      </c>
      <c r="E208" s="387">
        <v>300000.0</v>
      </c>
      <c r="F208" s="387">
        <v>420000.0</v>
      </c>
      <c r="G208" s="346">
        <v>1.0</v>
      </c>
      <c r="H208" s="292">
        <f t="shared" si="158"/>
        <v>443.0945228</v>
      </c>
      <c r="I208" s="347">
        <v>0.035</v>
      </c>
      <c r="J208" s="348">
        <f t="shared" si="159"/>
        <v>427.5862145</v>
      </c>
      <c r="K208" s="349">
        <f t="shared" si="160"/>
        <v>15.5083083</v>
      </c>
      <c r="L208" s="296">
        <v>0.001397</v>
      </c>
      <c r="M208" s="347">
        <v>0.0215</v>
      </c>
      <c r="N208" s="350">
        <f t="shared" si="161"/>
        <v>0.0014270355</v>
      </c>
      <c r="O208" s="348">
        <f t="shared" si="162"/>
        <v>24.19310361</v>
      </c>
      <c r="P208" s="348">
        <f t="shared" si="163"/>
        <v>0.6316807073</v>
      </c>
      <c r="Q208" s="292">
        <f t="shared" si="164"/>
        <v>620.3323319</v>
      </c>
      <c r="R208" s="347">
        <v>0.06</v>
      </c>
      <c r="S208" s="351"/>
      <c r="T208" s="299">
        <f t="shared" si="141"/>
        <v>120000</v>
      </c>
      <c r="U208" s="315">
        <f t="shared" si="142"/>
        <v>113220</v>
      </c>
      <c r="V208" s="315">
        <f t="shared" si="143"/>
        <v>24000</v>
      </c>
      <c r="W208" s="320">
        <f t="shared" si="144"/>
        <v>70800</v>
      </c>
      <c r="X208" s="321">
        <f t="shared" si="145"/>
        <v>0.4</v>
      </c>
      <c r="Y208" s="388">
        <f t="shared" si="165"/>
        <v>0.2857142857</v>
      </c>
      <c r="Z208" s="321">
        <f t="shared" si="146"/>
        <v>0.1685714286</v>
      </c>
      <c r="AA208" s="353"/>
      <c r="AB208" s="353"/>
      <c r="AC208" s="353"/>
      <c r="AD208" s="354"/>
      <c r="AE208" s="353"/>
      <c r="AF208" s="353"/>
      <c r="AG208" s="353"/>
      <c r="AH208" s="354" t="str">
        <f t="shared" si="186"/>
        <v/>
      </c>
      <c r="AI208" s="355">
        <f t="shared" si="187"/>
        <v>0</v>
      </c>
    </row>
    <row r="209">
      <c r="A209" s="386">
        <v>2026.0</v>
      </c>
      <c r="B209" s="344" t="s">
        <v>1029</v>
      </c>
      <c r="C209" s="344" t="s">
        <v>1030</v>
      </c>
      <c r="D209" s="344" t="s">
        <v>964</v>
      </c>
      <c r="E209" s="387">
        <v>280000.0</v>
      </c>
      <c r="F209" s="387">
        <v>450000.0</v>
      </c>
      <c r="G209" s="346">
        <v>1.0</v>
      </c>
      <c r="H209" s="292">
        <f t="shared" si="158"/>
        <v>413.5548879</v>
      </c>
      <c r="I209" s="347">
        <v>0.035</v>
      </c>
      <c r="J209" s="348">
        <f t="shared" si="159"/>
        <v>399.0804668</v>
      </c>
      <c r="K209" s="349">
        <f t="shared" si="160"/>
        <v>14.47442108</v>
      </c>
      <c r="L209" s="296">
        <v>0.001397</v>
      </c>
      <c r="M209" s="347">
        <v>0.0215</v>
      </c>
      <c r="N209" s="350">
        <f t="shared" si="161"/>
        <v>0.0014270355</v>
      </c>
      <c r="O209" s="348">
        <f t="shared" si="162"/>
        <v>23.58023004</v>
      </c>
      <c r="P209" s="348">
        <f t="shared" si="163"/>
        <v>0.5910019935</v>
      </c>
      <c r="Q209" s="292">
        <f t="shared" si="164"/>
        <v>664.6417841</v>
      </c>
      <c r="R209" s="347">
        <v>0.06</v>
      </c>
      <c r="S209" s="351"/>
      <c r="T209" s="299">
        <f t="shared" si="141"/>
        <v>170000</v>
      </c>
      <c r="U209" s="315">
        <f t="shared" si="142"/>
        <v>160395</v>
      </c>
      <c r="V209" s="315">
        <f t="shared" si="143"/>
        <v>34000</v>
      </c>
      <c r="W209" s="320">
        <f t="shared" si="144"/>
        <v>109000</v>
      </c>
      <c r="X209" s="321">
        <f t="shared" si="145"/>
        <v>0.6071428571</v>
      </c>
      <c r="Y209" s="388">
        <f t="shared" si="165"/>
        <v>0.3777777778</v>
      </c>
      <c r="Z209" s="321">
        <f t="shared" si="146"/>
        <v>0.2422222222</v>
      </c>
      <c r="AA209" s="353"/>
      <c r="AB209" s="353"/>
      <c r="AC209" s="353"/>
      <c r="AD209" s="354"/>
      <c r="AE209" s="353"/>
      <c r="AF209" s="353"/>
      <c r="AG209" s="353"/>
      <c r="AH209" s="354" t="str">
        <f t="shared" si="186"/>
        <v/>
      </c>
      <c r="AI209" s="355">
        <f t="shared" si="187"/>
        <v>0</v>
      </c>
    </row>
    <row r="210">
      <c r="A210" s="386">
        <v>2026.0</v>
      </c>
      <c r="B210" s="344" t="s">
        <v>1031</v>
      </c>
      <c r="C210" s="344" t="s">
        <v>1030</v>
      </c>
      <c r="D210" s="344" t="s">
        <v>966</v>
      </c>
      <c r="E210" s="387">
        <v>240000.0</v>
      </c>
      <c r="F210" s="387">
        <v>340000.0</v>
      </c>
      <c r="G210" s="346">
        <v>1.0</v>
      </c>
      <c r="H210" s="292">
        <f t="shared" si="158"/>
        <v>354.4756182</v>
      </c>
      <c r="I210" s="347">
        <v>0.035</v>
      </c>
      <c r="J210" s="348">
        <f t="shared" si="159"/>
        <v>342.0689716</v>
      </c>
      <c r="K210" s="349">
        <f t="shared" si="160"/>
        <v>12.40664664</v>
      </c>
      <c r="L210" s="296">
        <v>0.001397</v>
      </c>
      <c r="M210" s="347">
        <v>0.0215</v>
      </c>
      <c r="N210" s="350">
        <f t="shared" si="161"/>
        <v>0.0014270355</v>
      </c>
      <c r="O210" s="348">
        <f t="shared" si="162"/>
        <v>22.35448289</v>
      </c>
      <c r="P210" s="348">
        <f t="shared" si="163"/>
        <v>0.5096445659</v>
      </c>
      <c r="Q210" s="292">
        <f t="shared" si="164"/>
        <v>502.1737925</v>
      </c>
      <c r="R210" s="347">
        <v>0.06</v>
      </c>
      <c r="S210" s="351"/>
      <c r="T210" s="299">
        <f t="shared" si="141"/>
        <v>100000</v>
      </c>
      <c r="U210" s="315">
        <f t="shared" si="142"/>
        <v>94350</v>
      </c>
      <c r="V210" s="315">
        <f t="shared" si="143"/>
        <v>20000</v>
      </c>
      <c r="W210" s="320">
        <f t="shared" si="144"/>
        <v>59600</v>
      </c>
      <c r="X210" s="321">
        <f t="shared" si="145"/>
        <v>0.4166666667</v>
      </c>
      <c r="Y210" s="388">
        <f t="shared" si="165"/>
        <v>0.2941176471</v>
      </c>
      <c r="Z210" s="321">
        <f t="shared" si="146"/>
        <v>0.1752941176</v>
      </c>
      <c r="AA210" s="353"/>
      <c r="AB210" s="353"/>
      <c r="AC210" s="353"/>
      <c r="AD210" s="354"/>
      <c r="AE210" s="353"/>
      <c r="AF210" s="353"/>
      <c r="AG210" s="353"/>
      <c r="AH210" s="354" t="str">
        <f t="shared" si="186"/>
        <v/>
      </c>
      <c r="AI210" s="355">
        <f t="shared" si="187"/>
        <v>0</v>
      </c>
    </row>
    <row r="211">
      <c r="A211" s="386">
        <v>2026.0</v>
      </c>
      <c r="B211" s="344" t="s">
        <v>1032</v>
      </c>
      <c r="C211" s="379" t="s">
        <v>1033</v>
      </c>
      <c r="D211" s="344" t="s">
        <v>964</v>
      </c>
      <c r="E211" s="387">
        <v>350000.0</v>
      </c>
      <c r="F211" s="387">
        <v>490000.0</v>
      </c>
      <c r="G211" s="346">
        <v>1.0</v>
      </c>
      <c r="H211" s="292">
        <f t="shared" si="158"/>
        <v>516.9436099</v>
      </c>
      <c r="I211" s="347">
        <v>0.035</v>
      </c>
      <c r="J211" s="348">
        <f t="shared" si="159"/>
        <v>498.8505835</v>
      </c>
      <c r="K211" s="349">
        <f t="shared" si="160"/>
        <v>18.09302635</v>
      </c>
      <c r="L211" s="296">
        <v>0.001397</v>
      </c>
      <c r="M211" s="347">
        <v>0.0215</v>
      </c>
      <c r="N211" s="350">
        <f t="shared" si="161"/>
        <v>0.0014270355</v>
      </c>
      <c r="O211" s="348">
        <f t="shared" si="162"/>
        <v>25.72528755</v>
      </c>
      <c r="P211" s="348">
        <f t="shared" si="163"/>
        <v>0.7333774919</v>
      </c>
      <c r="Q211" s="292">
        <f t="shared" si="164"/>
        <v>723.7210538</v>
      </c>
      <c r="R211" s="347">
        <v>0.06</v>
      </c>
      <c r="S211" s="351"/>
      <c r="T211" s="299">
        <f t="shared" si="141"/>
        <v>140000</v>
      </c>
      <c r="U211" s="315">
        <f t="shared" si="142"/>
        <v>132090</v>
      </c>
      <c r="V211" s="315">
        <f t="shared" si="143"/>
        <v>28000</v>
      </c>
      <c r="W211" s="320">
        <f t="shared" si="144"/>
        <v>82600</v>
      </c>
      <c r="X211" s="321">
        <f t="shared" si="145"/>
        <v>0.4</v>
      </c>
      <c r="Y211" s="388">
        <f t="shared" si="165"/>
        <v>0.2857142857</v>
      </c>
      <c r="Z211" s="321">
        <f t="shared" si="146"/>
        <v>0.1685714286</v>
      </c>
      <c r="AA211" s="353"/>
      <c r="AB211" s="353"/>
      <c r="AC211" s="353"/>
      <c r="AD211" s="354"/>
      <c r="AE211" s="353"/>
      <c r="AF211" s="353"/>
      <c r="AG211" s="353"/>
      <c r="AH211" s="354" t="str">
        <f t="shared" si="186"/>
        <v/>
      </c>
      <c r="AI211" s="355">
        <f t="shared" si="187"/>
        <v>0</v>
      </c>
    </row>
    <row r="212">
      <c r="A212" s="386">
        <v>2026.0</v>
      </c>
      <c r="B212" s="344" t="s">
        <v>1034</v>
      </c>
      <c r="C212" s="344" t="s">
        <v>1033</v>
      </c>
      <c r="D212" s="344" t="s">
        <v>966</v>
      </c>
      <c r="E212" s="387">
        <v>230000.0</v>
      </c>
      <c r="F212" s="387">
        <v>370000.0</v>
      </c>
      <c r="G212" s="346">
        <v>1.0</v>
      </c>
      <c r="H212" s="292">
        <f t="shared" si="158"/>
        <v>339.7058008</v>
      </c>
      <c r="I212" s="347">
        <v>0.035</v>
      </c>
      <c r="J212" s="348">
        <f t="shared" si="159"/>
        <v>327.8160977</v>
      </c>
      <c r="K212" s="349">
        <f t="shared" si="160"/>
        <v>11.88970303</v>
      </c>
      <c r="L212" s="296">
        <v>0.001397</v>
      </c>
      <c r="M212" s="347">
        <v>0.0215</v>
      </c>
      <c r="N212" s="350">
        <f t="shared" si="161"/>
        <v>0.0014270355</v>
      </c>
      <c r="O212" s="348">
        <f t="shared" si="162"/>
        <v>22.0480461</v>
      </c>
      <c r="P212" s="348">
        <f t="shared" si="163"/>
        <v>0.489305209</v>
      </c>
      <c r="Q212" s="292">
        <f t="shared" si="164"/>
        <v>546.4832447</v>
      </c>
      <c r="R212" s="347">
        <v>0.06</v>
      </c>
      <c r="S212" s="351"/>
      <c r="T212" s="299">
        <f t="shared" si="141"/>
        <v>140000</v>
      </c>
      <c r="U212" s="315">
        <f t="shared" si="142"/>
        <v>132090</v>
      </c>
      <c r="V212" s="315">
        <f t="shared" si="143"/>
        <v>28000</v>
      </c>
      <c r="W212" s="320">
        <f t="shared" si="144"/>
        <v>89800</v>
      </c>
      <c r="X212" s="321">
        <f t="shared" si="145"/>
        <v>0.6086956522</v>
      </c>
      <c r="Y212" s="388">
        <f t="shared" si="165"/>
        <v>0.3783783784</v>
      </c>
      <c r="Z212" s="321">
        <f t="shared" si="146"/>
        <v>0.2427027027</v>
      </c>
      <c r="AA212" s="353"/>
      <c r="AB212" s="353"/>
      <c r="AC212" s="353"/>
      <c r="AD212" s="354"/>
      <c r="AE212" s="353"/>
      <c r="AF212" s="353"/>
      <c r="AG212" s="353"/>
      <c r="AH212" s="354" t="str">
        <f t="shared" si="186"/>
        <v/>
      </c>
      <c r="AI212" s="355">
        <f t="shared" si="187"/>
        <v>0</v>
      </c>
    </row>
    <row r="213">
      <c r="A213" s="386">
        <v>2026.0</v>
      </c>
      <c r="B213" s="344" t="s">
        <v>1035</v>
      </c>
      <c r="C213" s="344" t="s">
        <v>1036</v>
      </c>
      <c r="D213" s="344" t="s">
        <v>162</v>
      </c>
      <c r="E213" s="387">
        <v>270000.0</v>
      </c>
      <c r="F213" s="387">
        <v>450000.0</v>
      </c>
      <c r="G213" s="346">
        <v>1.0</v>
      </c>
      <c r="H213" s="292">
        <f t="shared" si="158"/>
        <v>398.7850705</v>
      </c>
      <c r="I213" s="347">
        <v>0.035</v>
      </c>
      <c r="J213" s="348">
        <f t="shared" si="159"/>
        <v>384.827593</v>
      </c>
      <c r="K213" s="349">
        <f t="shared" si="160"/>
        <v>13.95747747</v>
      </c>
      <c r="L213" s="296">
        <v>0.001397</v>
      </c>
      <c r="M213" s="347">
        <v>0.0215</v>
      </c>
      <c r="N213" s="350">
        <f t="shared" si="161"/>
        <v>0.0014270355</v>
      </c>
      <c r="O213" s="348">
        <f t="shared" si="162"/>
        <v>23.27379325</v>
      </c>
      <c r="P213" s="348">
        <f t="shared" si="163"/>
        <v>0.5706626366</v>
      </c>
      <c r="Q213" s="292">
        <f t="shared" si="164"/>
        <v>664.6417841</v>
      </c>
      <c r="R213" s="347">
        <v>0.06</v>
      </c>
      <c r="S213" s="351"/>
      <c r="T213" s="299">
        <f t="shared" si="141"/>
        <v>180000</v>
      </c>
      <c r="U213" s="315">
        <f t="shared" si="142"/>
        <v>169830</v>
      </c>
      <c r="V213" s="315">
        <f t="shared" si="143"/>
        <v>36000</v>
      </c>
      <c r="W213" s="320">
        <f t="shared" si="144"/>
        <v>117000</v>
      </c>
      <c r="X213" s="321">
        <f t="shared" si="145"/>
        <v>0.6666666667</v>
      </c>
      <c r="Y213" s="388">
        <f t="shared" si="165"/>
        <v>0.4</v>
      </c>
      <c r="Z213" s="321">
        <f t="shared" si="146"/>
        <v>0.26</v>
      </c>
      <c r="AA213" s="353"/>
      <c r="AB213" s="353"/>
      <c r="AC213" s="353"/>
      <c r="AD213" s="354"/>
      <c r="AE213" s="353"/>
      <c r="AF213" s="353"/>
      <c r="AG213" s="353"/>
      <c r="AH213" s="354" t="str">
        <f t="shared" si="186"/>
        <v/>
      </c>
      <c r="AI213" s="355">
        <f t="shared" si="187"/>
        <v>0</v>
      </c>
    </row>
    <row r="214">
      <c r="A214" s="386">
        <v>2026.0</v>
      </c>
      <c r="B214" s="344" t="s">
        <v>1037</v>
      </c>
      <c r="C214" s="344" t="s">
        <v>1038</v>
      </c>
      <c r="D214" s="344" t="s">
        <v>964</v>
      </c>
      <c r="E214" s="387">
        <v>300000.0</v>
      </c>
      <c r="F214" s="387">
        <v>450000.0</v>
      </c>
      <c r="G214" s="346">
        <v>1.0</v>
      </c>
      <c r="H214" s="292">
        <f t="shared" si="158"/>
        <v>443.0945228</v>
      </c>
      <c r="I214" s="347">
        <v>0.035</v>
      </c>
      <c r="J214" s="348">
        <f t="shared" si="159"/>
        <v>427.5862145</v>
      </c>
      <c r="K214" s="349">
        <f t="shared" si="160"/>
        <v>15.5083083</v>
      </c>
      <c r="L214" s="296">
        <v>0.001397</v>
      </c>
      <c r="M214" s="347">
        <v>0.0215</v>
      </c>
      <c r="N214" s="350">
        <f t="shared" si="161"/>
        <v>0.0014270355</v>
      </c>
      <c r="O214" s="348">
        <f t="shared" si="162"/>
        <v>24.19310361</v>
      </c>
      <c r="P214" s="348">
        <f t="shared" si="163"/>
        <v>0.6316807073</v>
      </c>
      <c r="Q214" s="292">
        <f t="shared" si="164"/>
        <v>664.6417841</v>
      </c>
      <c r="R214" s="347">
        <v>0.06</v>
      </c>
      <c r="S214" s="351"/>
      <c r="T214" s="299">
        <f t="shared" si="141"/>
        <v>150000</v>
      </c>
      <c r="U214" s="315">
        <f t="shared" si="142"/>
        <v>141525</v>
      </c>
      <c r="V214" s="315">
        <f t="shared" si="143"/>
        <v>30000</v>
      </c>
      <c r="W214" s="320">
        <f t="shared" si="144"/>
        <v>93000</v>
      </c>
      <c r="X214" s="321">
        <f t="shared" si="145"/>
        <v>0.5</v>
      </c>
      <c r="Y214" s="388">
        <f t="shared" si="165"/>
        <v>0.3333333333</v>
      </c>
      <c r="Z214" s="321">
        <f t="shared" si="146"/>
        <v>0.2066666667</v>
      </c>
      <c r="AA214" s="353"/>
      <c r="AB214" s="353"/>
      <c r="AC214" s="353"/>
      <c r="AD214" s="354"/>
      <c r="AE214" s="353"/>
      <c r="AF214" s="353"/>
      <c r="AG214" s="353"/>
      <c r="AH214" s="354" t="str">
        <f t="shared" si="186"/>
        <v/>
      </c>
      <c r="AI214" s="355">
        <f t="shared" si="187"/>
        <v>0</v>
      </c>
    </row>
    <row r="215">
      <c r="A215" s="386">
        <v>2026.0</v>
      </c>
      <c r="B215" s="344" t="s">
        <v>1039</v>
      </c>
      <c r="C215" s="344" t="s">
        <v>1038</v>
      </c>
      <c r="D215" s="344" t="s">
        <v>966</v>
      </c>
      <c r="E215" s="387">
        <v>200000.0</v>
      </c>
      <c r="F215" s="387">
        <v>370000.0</v>
      </c>
      <c r="G215" s="346">
        <v>1.0</v>
      </c>
      <c r="H215" s="292">
        <f t="shared" si="158"/>
        <v>295.3963485</v>
      </c>
      <c r="I215" s="347">
        <v>0.035</v>
      </c>
      <c r="J215" s="348">
        <f t="shared" si="159"/>
        <v>285.0574763</v>
      </c>
      <c r="K215" s="349">
        <f t="shared" si="160"/>
        <v>10.3388722</v>
      </c>
      <c r="L215" s="296">
        <v>0.001397</v>
      </c>
      <c r="M215" s="347">
        <v>0.0215</v>
      </c>
      <c r="N215" s="350">
        <f t="shared" si="161"/>
        <v>0.0014270355</v>
      </c>
      <c r="O215" s="348">
        <f t="shared" si="162"/>
        <v>21.12873574</v>
      </c>
      <c r="P215" s="348">
        <f t="shared" si="163"/>
        <v>0.4282871382</v>
      </c>
      <c r="Q215" s="292">
        <f t="shared" si="164"/>
        <v>546.4832447</v>
      </c>
      <c r="R215" s="347">
        <v>0.06</v>
      </c>
      <c r="S215" s="351"/>
      <c r="T215" s="299">
        <f t="shared" si="141"/>
        <v>170000</v>
      </c>
      <c r="U215" s="315">
        <f t="shared" si="142"/>
        <v>160395</v>
      </c>
      <c r="V215" s="315">
        <f t="shared" si="143"/>
        <v>34000</v>
      </c>
      <c r="W215" s="320">
        <f t="shared" si="144"/>
        <v>113800</v>
      </c>
      <c r="X215" s="321">
        <f t="shared" si="145"/>
        <v>0.85</v>
      </c>
      <c r="Y215" s="388">
        <f t="shared" si="165"/>
        <v>0.4594594595</v>
      </c>
      <c r="Z215" s="321">
        <f t="shared" si="146"/>
        <v>0.3075675676</v>
      </c>
      <c r="AA215" s="353"/>
      <c r="AB215" s="353"/>
      <c r="AC215" s="353"/>
      <c r="AD215" s="354"/>
      <c r="AE215" s="353"/>
      <c r="AF215" s="353"/>
      <c r="AG215" s="353"/>
      <c r="AH215" s="354" t="str">
        <f t="shared" si="186"/>
        <v/>
      </c>
      <c r="AI215" s="355">
        <f t="shared" si="187"/>
        <v>0</v>
      </c>
    </row>
    <row r="216">
      <c r="A216" s="392">
        <v>45901.0</v>
      </c>
      <c r="B216" s="344" t="s">
        <v>1040</v>
      </c>
      <c r="C216" s="344" t="s">
        <v>1041</v>
      </c>
      <c r="D216" s="344" t="s">
        <v>964</v>
      </c>
      <c r="E216" s="387">
        <v>350000.0</v>
      </c>
      <c r="F216" s="387">
        <v>520000.0</v>
      </c>
      <c r="G216" s="346">
        <v>1.0</v>
      </c>
      <c r="H216" s="292">
        <f t="shared" si="158"/>
        <v>516.9436099</v>
      </c>
      <c r="I216" s="347">
        <v>0.035</v>
      </c>
      <c r="J216" s="348">
        <f t="shared" si="159"/>
        <v>498.8505835</v>
      </c>
      <c r="K216" s="349">
        <f t="shared" si="160"/>
        <v>18.09302635</v>
      </c>
      <c r="L216" s="296">
        <v>0.001397</v>
      </c>
      <c r="M216" s="347">
        <v>0.0215</v>
      </c>
      <c r="N216" s="350">
        <f t="shared" si="161"/>
        <v>0.0014270355</v>
      </c>
      <c r="O216" s="348">
        <f t="shared" si="162"/>
        <v>25.72528755</v>
      </c>
      <c r="P216" s="348">
        <f t="shared" si="163"/>
        <v>0.7333774919</v>
      </c>
      <c r="Q216" s="292">
        <f t="shared" si="164"/>
        <v>768.0305061</v>
      </c>
      <c r="R216" s="347">
        <v>0.06</v>
      </c>
      <c r="S216" s="351"/>
      <c r="T216" s="299">
        <f t="shared" si="141"/>
        <v>170000</v>
      </c>
      <c r="U216" s="315">
        <f t="shared" si="142"/>
        <v>160395</v>
      </c>
      <c r="V216" s="315">
        <f t="shared" si="143"/>
        <v>34000</v>
      </c>
      <c r="W216" s="320">
        <f t="shared" si="144"/>
        <v>104800</v>
      </c>
      <c r="X216" s="321">
        <f t="shared" si="145"/>
        <v>0.4857142857</v>
      </c>
      <c r="Y216" s="388">
        <f t="shared" si="165"/>
        <v>0.3269230769</v>
      </c>
      <c r="Z216" s="321">
        <f t="shared" si="146"/>
        <v>0.2015384615</v>
      </c>
      <c r="AA216" s="353"/>
      <c r="AB216" s="353"/>
      <c r="AC216" s="353"/>
      <c r="AD216" s="354"/>
      <c r="AE216" s="353"/>
      <c r="AF216" s="353"/>
      <c r="AG216" s="353"/>
      <c r="AH216" s="354" t="str">
        <f t="shared" si="186"/>
        <v/>
      </c>
      <c r="AI216" s="355">
        <f t="shared" si="187"/>
        <v>0</v>
      </c>
    </row>
    <row r="217">
      <c r="A217" s="392">
        <v>45901.0</v>
      </c>
      <c r="B217" s="344" t="s">
        <v>1042</v>
      </c>
      <c r="C217" s="344" t="s">
        <v>1041</v>
      </c>
      <c r="D217" s="344" t="s">
        <v>966</v>
      </c>
      <c r="E217" s="387">
        <v>340000.0</v>
      </c>
      <c r="F217" s="387">
        <v>450000.0</v>
      </c>
      <c r="G217" s="346">
        <v>1.0</v>
      </c>
      <c r="H217" s="292">
        <f t="shared" si="158"/>
        <v>502.1737925</v>
      </c>
      <c r="I217" s="347">
        <v>0.035</v>
      </c>
      <c r="J217" s="348">
        <f t="shared" si="159"/>
        <v>484.5977097</v>
      </c>
      <c r="K217" s="349">
        <f t="shared" si="160"/>
        <v>17.57608274</v>
      </c>
      <c r="L217" s="296">
        <v>0.001397</v>
      </c>
      <c r="M217" s="347">
        <v>0.0215</v>
      </c>
      <c r="N217" s="350">
        <f t="shared" si="161"/>
        <v>0.0014270355</v>
      </c>
      <c r="O217" s="348">
        <f t="shared" si="162"/>
        <v>25.41885076</v>
      </c>
      <c r="P217" s="348">
        <f t="shared" si="163"/>
        <v>0.713038135</v>
      </c>
      <c r="Q217" s="292">
        <f t="shared" si="164"/>
        <v>664.6417841</v>
      </c>
      <c r="R217" s="347">
        <v>0.06</v>
      </c>
      <c r="S217" s="351"/>
      <c r="T217" s="299">
        <f t="shared" si="141"/>
        <v>110000</v>
      </c>
      <c r="U217" s="315">
        <f t="shared" si="142"/>
        <v>103785</v>
      </c>
      <c r="V217" s="315">
        <f t="shared" si="143"/>
        <v>22000</v>
      </c>
      <c r="W217" s="320">
        <f t="shared" si="144"/>
        <v>61000</v>
      </c>
      <c r="X217" s="321">
        <f t="shared" si="145"/>
        <v>0.3235294118</v>
      </c>
      <c r="Y217" s="388">
        <f t="shared" si="165"/>
        <v>0.2444444444</v>
      </c>
      <c r="Z217" s="321">
        <f t="shared" si="146"/>
        <v>0.1355555556</v>
      </c>
      <c r="AA217" s="353"/>
      <c r="AB217" s="353"/>
      <c r="AC217" s="353"/>
      <c r="AD217" s="354"/>
      <c r="AE217" s="353"/>
      <c r="AF217" s="353"/>
      <c r="AG217" s="353"/>
      <c r="AH217" s="354" t="str">
        <f t="shared" si="186"/>
        <v/>
      </c>
      <c r="AI217" s="355">
        <f t="shared" si="187"/>
        <v>0</v>
      </c>
    </row>
    <row r="218">
      <c r="A218" s="386">
        <v>2026.0</v>
      </c>
      <c r="B218" s="344" t="s">
        <v>1043</v>
      </c>
      <c r="C218" s="344" t="s">
        <v>1044</v>
      </c>
      <c r="D218" s="344" t="s">
        <v>964</v>
      </c>
      <c r="E218" s="387">
        <v>130000.0</v>
      </c>
      <c r="F218" s="387">
        <v>250000.0</v>
      </c>
      <c r="G218" s="346">
        <v>1.0</v>
      </c>
      <c r="H218" s="292">
        <f t="shared" si="158"/>
        <v>192.0076265</v>
      </c>
      <c r="I218" s="347">
        <v>0.035</v>
      </c>
      <c r="J218" s="348">
        <f t="shared" si="159"/>
        <v>185.2873596</v>
      </c>
      <c r="K218" s="349">
        <f t="shared" si="160"/>
        <v>6.720266928</v>
      </c>
      <c r="L218" s="296">
        <v>0.001397</v>
      </c>
      <c r="M218" s="347">
        <v>0.0215</v>
      </c>
      <c r="N218" s="350">
        <f t="shared" si="161"/>
        <v>0.0014270355</v>
      </c>
      <c r="O218" s="348">
        <f t="shared" si="162"/>
        <v>18.98367823</v>
      </c>
      <c r="P218" s="348">
        <f t="shared" si="163"/>
        <v>0.2859116398</v>
      </c>
      <c r="Q218" s="292">
        <f t="shared" si="164"/>
        <v>369.2454356</v>
      </c>
      <c r="R218" s="347">
        <v>0.06</v>
      </c>
      <c r="S218" s="351"/>
      <c r="T218" s="299">
        <f t="shared" si="141"/>
        <v>120000</v>
      </c>
      <c r="U218" s="315">
        <f t="shared" si="142"/>
        <v>113220</v>
      </c>
      <c r="V218" s="315">
        <f t="shared" si="143"/>
        <v>24000</v>
      </c>
      <c r="W218" s="320">
        <f t="shared" si="144"/>
        <v>81000</v>
      </c>
      <c r="X218" s="321">
        <f t="shared" si="145"/>
        <v>0.9230769231</v>
      </c>
      <c r="Y218" s="388">
        <f t="shared" si="165"/>
        <v>0.48</v>
      </c>
      <c r="Z218" s="321">
        <f t="shared" si="146"/>
        <v>0.324</v>
      </c>
      <c r="AA218" s="353"/>
      <c r="AB218" s="353"/>
      <c r="AC218" s="353"/>
      <c r="AD218" s="354"/>
      <c r="AE218" s="353"/>
      <c r="AF218" s="353"/>
      <c r="AG218" s="353"/>
      <c r="AH218" s="354" t="str">
        <f t="shared" si="186"/>
        <v/>
      </c>
      <c r="AI218" s="355">
        <f t="shared" si="187"/>
        <v>0</v>
      </c>
    </row>
    <row r="219">
      <c r="A219" s="386">
        <v>2026.0</v>
      </c>
      <c r="B219" s="344" t="s">
        <v>1045</v>
      </c>
      <c r="C219" s="344" t="s">
        <v>1044</v>
      </c>
      <c r="D219" s="344" t="s">
        <v>966</v>
      </c>
      <c r="E219" s="387">
        <v>65000.0</v>
      </c>
      <c r="F219" s="387" t="s">
        <v>1001</v>
      </c>
      <c r="G219" s="346">
        <v>1.0</v>
      </c>
      <c r="H219" s="292">
        <f t="shared" si="158"/>
        <v>96.00381326</v>
      </c>
      <c r="I219" s="347">
        <v>0.035</v>
      </c>
      <c r="J219" s="348">
        <f t="shared" si="159"/>
        <v>92.6436798</v>
      </c>
      <c r="K219" s="349">
        <f t="shared" si="160"/>
        <v>3.360133464</v>
      </c>
      <c r="L219" s="296">
        <v>0.001397</v>
      </c>
      <c r="M219" s="347">
        <v>0.0215</v>
      </c>
      <c r="N219" s="350">
        <f t="shared" si="161"/>
        <v>0.0014270355</v>
      </c>
      <c r="O219" s="348">
        <f t="shared" si="162"/>
        <v>16.99183912</v>
      </c>
      <c r="P219" s="348">
        <f t="shared" si="163"/>
        <v>0.1537058199</v>
      </c>
      <c r="Q219" s="292" t="str">
        <f t="shared" si="164"/>
        <v>#VALUE!</v>
      </c>
      <c r="R219" s="347">
        <v>0.06</v>
      </c>
      <c r="S219" s="351"/>
      <c r="T219" s="299" t="str">
        <f t="shared" si="141"/>
        <v>#VALUE!</v>
      </c>
      <c r="U219" s="315" t="str">
        <f t="shared" si="142"/>
        <v>#VALUE!</v>
      </c>
      <c r="V219" s="315" t="str">
        <f t="shared" si="143"/>
        <v>#VALUE!</v>
      </c>
      <c r="W219" s="320" t="str">
        <f t="shared" si="144"/>
        <v>#VALUE!</v>
      </c>
      <c r="X219" s="321" t="str">
        <f t="shared" si="145"/>
        <v/>
      </c>
      <c r="Y219" s="388" t="str">
        <f t="shared" si="165"/>
        <v/>
      </c>
      <c r="Z219" s="321" t="str">
        <f t="shared" si="146"/>
        <v/>
      </c>
      <c r="AA219" s="353"/>
      <c r="AB219" s="353"/>
      <c r="AC219" s="353"/>
      <c r="AD219" s="354"/>
      <c r="AE219" s="353"/>
      <c r="AF219" s="353"/>
      <c r="AG219" s="353"/>
      <c r="AH219" s="354" t="str">
        <f t="shared" si="186"/>
        <v/>
      </c>
      <c r="AI219" s="355">
        <f t="shared" si="187"/>
        <v>0</v>
      </c>
    </row>
    <row r="220">
      <c r="A220" s="344">
        <v>2025.0</v>
      </c>
      <c r="B220" s="344" t="s">
        <v>1043</v>
      </c>
      <c r="C220" s="344" t="s">
        <v>1046</v>
      </c>
      <c r="D220" s="344" t="s">
        <v>964</v>
      </c>
      <c r="E220" s="290">
        <f>E434*1.1</f>
        <v>373065</v>
      </c>
      <c r="F220" s="395">
        <v>3200000.0</v>
      </c>
      <c r="G220" s="346">
        <v>1.0</v>
      </c>
      <c r="H220" s="292">
        <f t="shared" si="158"/>
        <v>551.0101938</v>
      </c>
      <c r="I220" s="347">
        <v>0.035</v>
      </c>
      <c r="J220" s="348">
        <f t="shared" si="159"/>
        <v>531.724837</v>
      </c>
      <c r="K220" s="349">
        <f t="shared" si="160"/>
        <v>19.28535678</v>
      </c>
      <c r="L220" s="296">
        <v>0.001397</v>
      </c>
      <c r="M220" s="347">
        <v>0.0215</v>
      </c>
      <c r="N220" s="350">
        <f t="shared" si="161"/>
        <v>0.0014270355</v>
      </c>
      <c r="O220" s="348">
        <f t="shared" si="162"/>
        <v>26.432084</v>
      </c>
      <c r="P220" s="348">
        <f t="shared" si="163"/>
        <v>0.7802902186</v>
      </c>
      <c r="Q220" s="292">
        <f t="shared" si="164"/>
        <v>4726.341576</v>
      </c>
      <c r="R220" s="347">
        <v>0.06</v>
      </c>
      <c r="S220" s="351"/>
      <c r="T220" s="299">
        <f t="shared" si="141"/>
        <v>2826935</v>
      </c>
      <c r="U220" s="315">
        <f t="shared" si="142"/>
        <v>2667213.173</v>
      </c>
      <c r="V220" s="315">
        <f t="shared" si="143"/>
        <v>565387</v>
      </c>
      <c r="W220" s="320">
        <f t="shared" si="144"/>
        <v>2069548</v>
      </c>
      <c r="X220" s="321">
        <f t="shared" si="145"/>
        <v>7.577593717</v>
      </c>
      <c r="Y220" s="352">
        <f t="shared" si="165"/>
        <v>0.8834171875</v>
      </c>
      <c r="Z220" s="321">
        <f t="shared" si="146"/>
        <v>0.64673375</v>
      </c>
      <c r="AA220" s="353"/>
      <c r="AB220" s="353"/>
      <c r="AC220" s="353"/>
      <c r="AD220" s="354"/>
      <c r="AE220" s="353"/>
      <c r="AF220" s="353"/>
      <c r="AG220" s="353"/>
      <c r="AH220" s="354" t="str">
        <f t="shared" si="186"/>
        <v/>
      </c>
      <c r="AI220" s="355">
        <f t="shared" si="187"/>
        <v>0</v>
      </c>
    </row>
    <row r="221">
      <c r="A221" s="386">
        <v>2026.0</v>
      </c>
      <c r="B221" s="344" t="s">
        <v>1047</v>
      </c>
      <c r="C221" s="344" t="s">
        <v>1048</v>
      </c>
      <c r="D221" s="344" t="s">
        <v>162</v>
      </c>
      <c r="E221" s="345">
        <v>360000.0</v>
      </c>
      <c r="F221" s="387">
        <v>450000.0</v>
      </c>
      <c r="G221" s="346">
        <v>1.0</v>
      </c>
      <c r="H221" s="292">
        <f t="shared" si="158"/>
        <v>531.7134273</v>
      </c>
      <c r="I221" s="347">
        <v>0.035</v>
      </c>
      <c r="J221" s="348">
        <f t="shared" si="159"/>
        <v>513.1034573</v>
      </c>
      <c r="K221" s="349">
        <f t="shared" si="160"/>
        <v>18.60996996</v>
      </c>
      <c r="L221" s="296">
        <v>0.001397</v>
      </c>
      <c r="M221" s="347">
        <v>0.0215</v>
      </c>
      <c r="N221" s="350">
        <f t="shared" si="161"/>
        <v>0.0014270355</v>
      </c>
      <c r="O221" s="348">
        <f t="shared" si="162"/>
        <v>26.03172433</v>
      </c>
      <c r="P221" s="348">
        <f t="shared" si="163"/>
        <v>0.7537168488</v>
      </c>
      <c r="Q221" s="292">
        <f t="shared" si="164"/>
        <v>664.6417841</v>
      </c>
      <c r="R221" s="347">
        <v>0.06</v>
      </c>
      <c r="S221" s="351"/>
      <c r="T221" s="299">
        <f t="shared" si="141"/>
        <v>90000</v>
      </c>
      <c r="U221" s="315">
        <f t="shared" si="142"/>
        <v>84915</v>
      </c>
      <c r="V221" s="315">
        <f t="shared" si="143"/>
        <v>18000</v>
      </c>
      <c r="W221" s="320">
        <f t="shared" si="144"/>
        <v>45000</v>
      </c>
      <c r="X221" s="321">
        <f t="shared" si="145"/>
        <v>0.25</v>
      </c>
      <c r="Y221" s="388">
        <f t="shared" si="165"/>
        <v>0.2</v>
      </c>
      <c r="Z221" s="321">
        <f t="shared" si="146"/>
        <v>0.1</v>
      </c>
      <c r="AA221" s="353"/>
      <c r="AB221" s="353"/>
      <c r="AC221" s="353"/>
      <c r="AD221" s="354"/>
      <c r="AE221" s="353"/>
      <c r="AF221" s="353"/>
      <c r="AG221" s="353"/>
      <c r="AH221" s="354" t="str">
        <f t="shared" si="186"/>
        <v/>
      </c>
      <c r="AI221" s="355">
        <f t="shared" si="187"/>
        <v>0</v>
      </c>
    </row>
    <row r="222">
      <c r="A222" s="344">
        <v>2025.0</v>
      </c>
      <c r="B222" s="344" t="s">
        <v>1049</v>
      </c>
      <c r="C222" s="344" t="s">
        <v>1050</v>
      </c>
      <c r="D222" s="344" t="s">
        <v>846</v>
      </c>
      <c r="E222" s="387">
        <v>350000.0</v>
      </c>
      <c r="F222" s="387">
        <v>580000.0</v>
      </c>
      <c r="G222" s="346">
        <v>1.0</v>
      </c>
      <c r="H222" s="292">
        <f t="shared" si="158"/>
        <v>516.9436099</v>
      </c>
      <c r="I222" s="347">
        <v>0.035</v>
      </c>
      <c r="J222" s="348">
        <f t="shared" si="159"/>
        <v>498.8505835</v>
      </c>
      <c r="K222" s="349">
        <f t="shared" si="160"/>
        <v>18.09302635</v>
      </c>
      <c r="L222" s="296">
        <v>0.001397</v>
      </c>
      <c r="M222" s="347">
        <v>0.0215</v>
      </c>
      <c r="N222" s="350">
        <f t="shared" si="161"/>
        <v>0.0014270355</v>
      </c>
      <c r="O222" s="348">
        <f t="shared" si="162"/>
        <v>25.72528755</v>
      </c>
      <c r="P222" s="348">
        <f t="shared" si="163"/>
        <v>0.7333774919</v>
      </c>
      <c r="Q222" s="292">
        <f t="shared" si="164"/>
        <v>856.6494107</v>
      </c>
      <c r="R222" s="347">
        <v>0.06</v>
      </c>
      <c r="S222" s="351"/>
      <c r="T222" s="299">
        <f t="shared" si="141"/>
        <v>230000</v>
      </c>
      <c r="U222" s="315">
        <f t="shared" si="142"/>
        <v>217005</v>
      </c>
      <c r="V222" s="315">
        <f t="shared" si="143"/>
        <v>46000</v>
      </c>
      <c r="W222" s="320">
        <f t="shared" si="144"/>
        <v>149200</v>
      </c>
      <c r="X222" s="321">
        <f t="shared" si="145"/>
        <v>0.6571428571</v>
      </c>
      <c r="Y222" s="388">
        <f t="shared" si="165"/>
        <v>0.3965517241</v>
      </c>
      <c r="Z222" s="321">
        <f t="shared" si="146"/>
        <v>0.2572413793</v>
      </c>
      <c r="AA222" s="353"/>
      <c r="AB222" s="353"/>
      <c r="AC222" s="353"/>
      <c r="AD222" s="354"/>
      <c r="AE222" s="353"/>
      <c r="AF222" s="353"/>
      <c r="AG222" s="353"/>
      <c r="AH222" s="354" t="str">
        <f t="shared" si="186"/>
        <v/>
      </c>
      <c r="AI222" s="355">
        <f t="shared" si="187"/>
        <v>0</v>
      </c>
    </row>
    <row r="223">
      <c r="A223" s="344">
        <v>2025.0</v>
      </c>
      <c r="B223" s="344" t="s">
        <v>1051</v>
      </c>
      <c r="C223" s="344" t="s">
        <v>1050</v>
      </c>
      <c r="D223" s="344" t="s">
        <v>1052</v>
      </c>
      <c r="E223" s="387">
        <v>500000.0</v>
      </c>
      <c r="F223" s="387">
        <v>780000.0</v>
      </c>
      <c r="G223" s="346">
        <v>1.0</v>
      </c>
      <c r="H223" s="292">
        <f t="shared" si="158"/>
        <v>738.4908713</v>
      </c>
      <c r="I223" s="347">
        <v>0.035</v>
      </c>
      <c r="J223" s="348">
        <f t="shared" si="159"/>
        <v>712.6436908</v>
      </c>
      <c r="K223" s="349">
        <f t="shared" si="160"/>
        <v>25.84718049</v>
      </c>
      <c r="L223" s="296">
        <v>0.001397</v>
      </c>
      <c r="M223" s="347">
        <v>0.0215</v>
      </c>
      <c r="N223" s="350">
        <f t="shared" si="161"/>
        <v>0.0014270355</v>
      </c>
      <c r="O223" s="348">
        <f t="shared" si="162"/>
        <v>30.32183935</v>
      </c>
      <c r="P223" s="348">
        <f t="shared" si="163"/>
        <v>1.038467846</v>
      </c>
      <c r="Q223" s="292">
        <f t="shared" si="164"/>
        <v>1152.045759</v>
      </c>
      <c r="R223" s="347">
        <v>0.06</v>
      </c>
      <c r="S223" s="351"/>
      <c r="T223" s="299">
        <f t="shared" si="141"/>
        <v>280000</v>
      </c>
      <c r="U223" s="315">
        <f t="shared" si="142"/>
        <v>264180</v>
      </c>
      <c r="V223" s="315">
        <f t="shared" si="143"/>
        <v>56000</v>
      </c>
      <c r="W223" s="320">
        <f t="shared" si="144"/>
        <v>177200</v>
      </c>
      <c r="X223" s="321">
        <f t="shared" si="145"/>
        <v>0.56</v>
      </c>
      <c r="Y223" s="388">
        <f t="shared" si="165"/>
        <v>0.358974359</v>
      </c>
      <c r="Z223" s="321">
        <f t="shared" si="146"/>
        <v>0.2271794872</v>
      </c>
      <c r="AA223" s="353"/>
      <c r="AB223" s="353"/>
      <c r="AC223" s="353"/>
      <c r="AD223" s="354"/>
      <c r="AE223" s="353"/>
      <c r="AF223" s="353"/>
      <c r="AG223" s="353"/>
      <c r="AH223" s="354" t="str">
        <f t="shared" si="186"/>
        <v/>
      </c>
      <c r="AI223" s="355">
        <f t="shared" si="187"/>
        <v>0</v>
      </c>
    </row>
    <row r="224">
      <c r="A224" s="344">
        <v>2025.0</v>
      </c>
      <c r="B224" s="344" t="s">
        <v>1053</v>
      </c>
      <c r="C224" s="344" t="s">
        <v>1050</v>
      </c>
      <c r="D224" s="344" t="s">
        <v>1054</v>
      </c>
      <c r="E224" s="387">
        <v>600000.0</v>
      </c>
      <c r="F224" s="387">
        <v>900000.0</v>
      </c>
      <c r="G224" s="346">
        <v>1.0</v>
      </c>
      <c r="H224" s="292">
        <f t="shared" si="158"/>
        <v>886.1890455</v>
      </c>
      <c r="I224" s="347">
        <v>0.035</v>
      </c>
      <c r="J224" s="348">
        <f t="shared" si="159"/>
        <v>855.1724289</v>
      </c>
      <c r="K224" s="349">
        <f t="shared" si="160"/>
        <v>31.01661659</v>
      </c>
      <c r="L224" s="296">
        <v>0.001397</v>
      </c>
      <c r="M224" s="347">
        <v>0.0215</v>
      </c>
      <c r="N224" s="350">
        <f t="shared" si="161"/>
        <v>0.0014270355</v>
      </c>
      <c r="O224" s="348">
        <f t="shared" si="162"/>
        <v>33.38620722</v>
      </c>
      <c r="P224" s="348">
        <f t="shared" si="163"/>
        <v>1.241861415</v>
      </c>
      <c r="Q224" s="292">
        <f t="shared" si="164"/>
        <v>1329.283568</v>
      </c>
      <c r="R224" s="347">
        <v>0.06</v>
      </c>
      <c r="S224" s="351"/>
      <c r="T224" s="299">
        <f t="shared" si="141"/>
        <v>300000</v>
      </c>
      <c r="U224" s="315">
        <f t="shared" si="142"/>
        <v>283050</v>
      </c>
      <c r="V224" s="315">
        <f t="shared" si="143"/>
        <v>60000</v>
      </c>
      <c r="W224" s="320">
        <f t="shared" si="144"/>
        <v>186000</v>
      </c>
      <c r="X224" s="321">
        <f t="shared" si="145"/>
        <v>0.5</v>
      </c>
      <c r="Y224" s="388">
        <f t="shared" si="165"/>
        <v>0.3333333333</v>
      </c>
      <c r="Z224" s="321">
        <f t="shared" si="146"/>
        <v>0.2066666667</v>
      </c>
      <c r="AA224" s="353"/>
      <c r="AB224" s="353"/>
      <c r="AC224" s="353"/>
      <c r="AD224" s="354"/>
      <c r="AE224" s="353"/>
      <c r="AF224" s="353"/>
      <c r="AG224" s="353"/>
      <c r="AH224" s="354" t="str">
        <f t="shared" si="186"/>
        <v/>
      </c>
      <c r="AI224" s="355">
        <f t="shared" si="187"/>
        <v>0</v>
      </c>
    </row>
    <row r="225">
      <c r="A225" s="344">
        <v>2025.0</v>
      </c>
      <c r="B225" s="344" t="s">
        <v>1055</v>
      </c>
      <c r="C225" s="344" t="s">
        <v>1050</v>
      </c>
      <c r="D225" s="344" t="s">
        <v>1056</v>
      </c>
      <c r="E225" s="387">
        <v>800000.0</v>
      </c>
      <c r="F225" s="387">
        <v>1200000.0</v>
      </c>
      <c r="G225" s="346">
        <v>1.0</v>
      </c>
      <c r="H225" s="292">
        <f t="shared" si="158"/>
        <v>1181.585394</v>
      </c>
      <c r="I225" s="347">
        <v>0.035</v>
      </c>
      <c r="J225" s="348">
        <f t="shared" si="159"/>
        <v>1140.229905</v>
      </c>
      <c r="K225" s="349">
        <f t="shared" si="160"/>
        <v>41.35548879</v>
      </c>
      <c r="L225" s="296">
        <v>0.001397</v>
      </c>
      <c r="M225" s="347">
        <v>0.0215</v>
      </c>
      <c r="N225" s="350">
        <f t="shared" si="161"/>
        <v>0.0014270355</v>
      </c>
      <c r="O225" s="348">
        <f t="shared" si="162"/>
        <v>39.51494296</v>
      </c>
      <c r="P225" s="348">
        <f t="shared" si="163"/>
        <v>1.648648553</v>
      </c>
      <c r="Q225" s="292">
        <f t="shared" si="164"/>
        <v>1772.378091</v>
      </c>
      <c r="R225" s="347">
        <v>0.06</v>
      </c>
      <c r="S225" s="351"/>
      <c r="T225" s="299">
        <f t="shared" si="141"/>
        <v>400000</v>
      </c>
      <c r="U225" s="315">
        <f t="shared" si="142"/>
        <v>377400</v>
      </c>
      <c r="V225" s="315">
        <f t="shared" si="143"/>
        <v>80000</v>
      </c>
      <c r="W225" s="320">
        <f t="shared" si="144"/>
        <v>248000</v>
      </c>
      <c r="X225" s="321">
        <f t="shared" si="145"/>
        <v>0.5</v>
      </c>
      <c r="Y225" s="388">
        <f t="shared" si="165"/>
        <v>0.3333333333</v>
      </c>
      <c r="Z225" s="321">
        <f t="shared" si="146"/>
        <v>0.2066666667</v>
      </c>
      <c r="AA225" s="353"/>
      <c r="AB225" s="353"/>
      <c r="AC225" s="353"/>
      <c r="AD225" s="354"/>
      <c r="AE225" s="353"/>
      <c r="AF225" s="353"/>
      <c r="AG225" s="353"/>
      <c r="AH225" s="354" t="str">
        <f t="shared" si="186"/>
        <v/>
      </c>
      <c r="AI225" s="355">
        <f t="shared" si="187"/>
        <v>0</v>
      </c>
    </row>
    <row r="226">
      <c r="A226" s="344">
        <v>2025.0</v>
      </c>
      <c r="B226" s="344" t="s">
        <v>1057</v>
      </c>
      <c r="C226" s="344" t="s">
        <v>1050</v>
      </c>
      <c r="D226" s="344" t="s">
        <v>1058</v>
      </c>
      <c r="E226" s="387">
        <v>900000.0</v>
      </c>
      <c r="F226" s="387">
        <v>1500000.0</v>
      </c>
      <c r="G226" s="346">
        <v>1.0</v>
      </c>
      <c r="H226" s="292">
        <f t="shared" si="158"/>
        <v>1329.283568</v>
      </c>
      <c r="I226" s="347">
        <v>0.035</v>
      </c>
      <c r="J226" s="348">
        <f t="shared" si="159"/>
        <v>1282.758643</v>
      </c>
      <c r="K226" s="349">
        <f t="shared" si="160"/>
        <v>46.52492489</v>
      </c>
      <c r="L226" s="296">
        <v>0.001397</v>
      </c>
      <c r="M226" s="347">
        <v>0.0215</v>
      </c>
      <c r="N226" s="350">
        <f t="shared" si="161"/>
        <v>0.0014270355</v>
      </c>
      <c r="O226" s="348">
        <f t="shared" si="162"/>
        <v>42.57931083</v>
      </c>
      <c r="P226" s="348">
        <f t="shared" si="163"/>
        <v>1.852042122</v>
      </c>
      <c r="Q226" s="292">
        <f t="shared" si="164"/>
        <v>2215.472614</v>
      </c>
      <c r="R226" s="347">
        <v>0.06</v>
      </c>
      <c r="S226" s="351"/>
      <c r="T226" s="299">
        <f t="shared" si="141"/>
        <v>600000</v>
      </c>
      <c r="U226" s="315">
        <f t="shared" si="142"/>
        <v>566100</v>
      </c>
      <c r="V226" s="315">
        <f t="shared" si="143"/>
        <v>120000</v>
      </c>
      <c r="W226" s="320">
        <f t="shared" si="144"/>
        <v>390000</v>
      </c>
      <c r="X226" s="321">
        <f t="shared" si="145"/>
        <v>0.6666666667</v>
      </c>
      <c r="Y226" s="388">
        <f t="shared" si="165"/>
        <v>0.4</v>
      </c>
      <c r="Z226" s="321">
        <f t="shared" si="146"/>
        <v>0.26</v>
      </c>
      <c r="AA226" s="353"/>
      <c r="AB226" s="353"/>
      <c r="AC226" s="353"/>
      <c r="AD226" s="354"/>
      <c r="AE226" s="353"/>
      <c r="AF226" s="353"/>
      <c r="AG226" s="353"/>
      <c r="AH226" s="354" t="str">
        <f t="shared" si="186"/>
        <v/>
      </c>
      <c r="AI226" s="355">
        <f t="shared" si="187"/>
        <v>0</v>
      </c>
    </row>
    <row r="227">
      <c r="A227" s="344">
        <v>2025.0</v>
      </c>
      <c r="B227" s="344" t="s">
        <v>1059</v>
      </c>
      <c r="C227" s="344" t="s">
        <v>1050</v>
      </c>
      <c r="D227" s="344" t="s">
        <v>1060</v>
      </c>
      <c r="E227" s="387">
        <v>1000000.0</v>
      </c>
      <c r="F227" s="387">
        <v>2300000.0</v>
      </c>
      <c r="G227" s="346">
        <v>1.0</v>
      </c>
      <c r="H227" s="292">
        <f t="shared" si="158"/>
        <v>1476.981743</v>
      </c>
      <c r="I227" s="347">
        <v>0.035</v>
      </c>
      <c r="J227" s="348">
        <f t="shared" si="159"/>
        <v>1425.287382</v>
      </c>
      <c r="K227" s="349">
        <f t="shared" si="160"/>
        <v>51.69436099</v>
      </c>
      <c r="L227" s="296">
        <v>0.001397</v>
      </c>
      <c r="M227" s="347">
        <v>0.0215</v>
      </c>
      <c r="N227" s="350">
        <f t="shared" si="161"/>
        <v>0.0014270355</v>
      </c>
      <c r="O227" s="348">
        <f t="shared" si="162"/>
        <v>45.6436787</v>
      </c>
      <c r="P227" s="348">
        <f t="shared" si="163"/>
        <v>2.055435691</v>
      </c>
      <c r="Q227" s="292">
        <f t="shared" si="164"/>
        <v>3397.058008</v>
      </c>
      <c r="R227" s="347">
        <v>0.06</v>
      </c>
      <c r="S227" s="351"/>
      <c r="T227" s="299">
        <f t="shared" si="141"/>
        <v>1300000</v>
      </c>
      <c r="U227" s="315">
        <f t="shared" si="142"/>
        <v>1226550</v>
      </c>
      <c r="V227" s="315">
        <f t="shared" si="143"/>
        <v>260000</v>
      </c>
      <c r="W227" s="320">
        <f t="shared" si="144"/>
        <v>902000</v>
      </c>
      <c r="X227" s="321">
        <f t="shared" si="145"/>
        <v>1.3</v>
      </c>
      <c r="Y227" s="388">
        <f t="shared" si="165"/>
        <v>0.5652173913</v>
      </c>
      <c r="Z227" s="321">
        <f t="shared" si="146"/>
        <v>0.392173913</v>
      </c>
      <c r="AA227" s="353"/>
      <c r="AB227" s="353"/>
      <c r="AC227" s="353"/>
      <c r="AD227" s="354"/>
      <c r="AE227" s="353"/>
      <c r="AF227" s="353"/>
      <c r="AG227" s="353"/>
      <c r="AH227" s="354" t="str">
        <f t="shared" si="186"/>
        <v/>
      </c>
      <c r="AI227" s="355">
        <f t="shared" si="187"/>
        <v>0</v>
      </c>
    </row>
    <row r="228">
      <c r="A228" s="344">
        <v>2025.0</v>
      </c>
      <c r="B228" s="344" t="s">
        <v>1061</v>
      </c>
      <c r="C228" s="359" t="s">
        <v>1062</v>
      </c>
      <c r="D228" s="344" t="s">
        <v>1063</v>
      </c>
      <c r="E228" s="290">
        <f t="shared" ref="E228:E229" si="189">E442*1.1</f>
        <v>181500</v>
      </c>
      <c r="F228" s="345">
        <v>500000.0</v>
      </c>
      <c r="G228" s="346">
        <v>1.0</v>
      </c>
      <c r="H228" s="292">
        <f t="shared" si="158"/>
        <v>268.0721863</v>
      </c>
      <c r="I228" s="347">
        <v>0.035</v>
      </c>
      <c r="J228" s="348">
        <f t="shared" si="159"/>
        <v>258.6896597</v>
      </c>
      <c r="K228" s="349">
        <f t="shared" si="160"/>
        <v>9.382526519</v>
      </c>
      <c r="L228" s="296">
        <v>0.001397</v>
      </c>
      <c r="M228" s="347">
        <v>0.0215</v>
      </c>
      <c r="N228" s="350">
        <f t="shared" si="161"/>
        <v>0.0014270355</v>
      </c>
      <c r="O228" s="348">
        <f t="shared" si="162"/>
        <v>20.56182768</v>
      </c>
      <c r="P228" s="348">
        <f t="shared" si="163"/>
        <v>0.3906593279</v>
      </c>
      <c r="Q228" s="292">
        <f t="shared" si="164"/>
        <v>738.4908713</v>
      </c>
      <c r="R228" s="347">
        <v>0.06</v>
      </c>
      <c r="S228" s="351"/>
      <c r="T228" s="299">
        <f t="shared" si="141"/>
        <v>318500</v>
      </c>
      <c r="U228" s="315">
        <f t="shared" si="142"/>
        <v>300504.75</v>
      </c>
      <c r="V228" s="315">
        <f t="shared" si="143"/>
        <v>63700</v>
      </c>
      <c r="W228" s="320">
        <f t="shared" si="144"/>
        <v>224800</v>
      </c>
      <c r="X228" s="321">
        <f t="shared" si="145"/>
        <v>1.754820937</v>
      </c>
      <c r="Y228" s="352">
        <f t="shared" si="165"/>
        <v>0.637</v>
      </c>
      <c r="Z228" s="321">
        <f t="shared" si="146"/>
        <v>0.4496</v>
      </c>
      <c r="AA228" s="353"/>
      <c r="AB228" s="353"/>
      <c r="AC228" s="353"/>
      <c r="AD228" s="354"/>
      <c r="AE228" s="353"/>
      <c r="AF228" s="353"/>
      <c r="AG228" s="353"/>
      <c r="AH228" s="354" t="str">
        <f t="shared" si="186"/>
        <v/>
      </c>
      <c r="AI228" s="355">
        <f t="shared" si="187"/>
        <v>0</v>
      </c>
    </row>
    <row r="229">
      <c r="A229" s="382">
        <v>2026.0</v>
      </c>
      <c r="B229" s="344" t="s">
        <v>1061</v>
      </c>
      <c r="C229" s="344" t="s">
        <v>1062</v>
      </c>
      <c r="D229" s="344" t="s">
        <v>1063</v>
      </c>
      <c r="E229" s="290">
        <f t="shared" si="189"/>
        <v>203500</v>
      </c>
      <c r="F229" s="345">
        <v>600000.0</v>
      </c>
      <c r="G229" s="346">
        <v>1.0</v>
      </c>
      <c r="H229" s="292">
        <f t="shared" si="158"/>
        <v>300.5657846</v>
      </c>
      <c r="I229" s="347">
        <v>0.035</v>
      </c>
      <c r="J229" s="348">
        <f t="shared" si="159"/>
        <v>290.0459821</v>
      </c>
      <c r="K229" s="349">
        <f t="shared" si="160"/>
        <v>10.51980246</v>
      </c>
      <c r="L229" s="296">
        <v>0.001397</v>
      </c>
      <c r="M229" s="347">
        <v>0.0215</v>
      </c>
      <c r="N229" s="350">
        <f t="shared" si="161"/>
        <v>0.0014270355</v>
      </c>
      <c r="O229" s="348">
        <f t="shared" si="162"/>
        <v>21.23598862</v>
      </c>
      <c r="P229" s="348">
        <f t="shared" si="163"/>
        <v>0.4354059131</v>
      </c>
      <c r="Q229" s="292">
        <f t="shared" si="164"/>
        <v>886.1890455</v>
      </c>
      <c r="R229" s="347">
        <v>0.06</v>
      </c>
      <c r="S229" s="351"/>
      <c r="T229" s="299">
        <f t="shared" si="141"/>
        <v>396500</v>
      </c>
      <c r="U229" s="315">
        <f t="shared" si="142"/>
        <v>374097.75</v>
      </c>
      <c r="V229" s="315">
        <f t="shared" si="143"/>
        <v>79300</v>
      </c>
      <c r="W229" s="320">
        <f t="shared" si="144"/>
        <v>281200</v>
      </c>
      <c r="X229" s="321">
        <f t="shared" si="145"/>
        <v>1.948402948</v>
      </c>
      <c r="Y229" s="352">
        <f t="shared" si="165"/>
        <v>0.6608333333</v>
      </c>
      <c r="Z229" s="321">
        <f t="shared" si="146"/>
        <v>0.4686666667</v>
      </c>
      <c r="AA229" s="353"/>
      <c r="AB229" s="353"/>
      <c r="AC229" s="353"/>
      <c r="AD229" s="354"/>
      <c r="AE229" s="353"/>
      <c r="AF229" s="353"/>
      <c r="AG229" s="353"/>
      <c r="AH229" s="354" t="str">
        <f t="shared" si="186"/>
        <v/>
      </c>
      <c r="AI229" s="355">
        <f t="shared" si="187"/>
        <v>0</v>
      </c>
    </row>
    <row r="230">
      <c r="A230" s="376">
        <v>2025.0</v>
      </c>
      <c r="B230" s="376"/>
      <c r="C230" s="376" t="s">
        <v>1064</v>
      </c>
      <c r="D230" s="376" t="s">
        <v>897</v>
      </c>
      <c r="E230" s="377">
        <f>(638000*0.8)*1.1+(110000/G230)</f>
        <v>671440</v>
      </c>
      <c r="F230" s="345">
        <f>E230*1.4</f>
        <v>940016</v>
      </c>
      <c r="G230" s="346">
        <v>1.0</v>
      </c>
      <c r="H230" s="292">
        <f t="shared" si="158"/>
        <v>991.7046212</v>
      </c>
      <c r="I230" s="347">
        <v>0.035</v>
      </c>
      <c r="J230" s="348">
        <f t="shared" si="159"/>
        <v>956.9949594</v>
      </c>
      <c r="K230" s="349">
        <f t="shared" si="160"/>
        <v>34.70966174</v>
      </c>
      <c r="L230" s="296">
        <v>0.001397</v>
      </c>
      <c r="M230" s="347">
        <v>0.0215</v>
      </c>
      <c r="N230" s="350">
        <f t="shared" si="161"/>
        <v>0.0014270355</v>
      </c>
      <c r="O230" s="348">
        <f t="shared" si="162"/>
        <v>35.57539163</v>
      </c>
      <c r="P230" s="348">
        <f t="shared" si="163"/>
        <v>1.38716578</v>
      </c>
      <c r="Q230" s="292">
        <f t="shared" si="164"/>
        <v>1388.38647</v>
      </c>
      <c r="R230" s="347">
        <v>0.06</v>
      </c>
      <c r="S230" s="351"/>
      <c r="T230" s="299">
        <f t="shared" si="141"/>
        <v>268576</v>
      </c>
      <c r="U230" s="315">
        <f t="shared" si="142"/>
        <v>253401.456</v>
      </c>
      <c r="V230" s="315">
        <f t="shared" si="143"/>
        <v>53715.2</v>
      </c>
      <c r="W230" s="320">
        <f t="shared" si="144"/>
        <v>158459.84</v>
      </c>
      <c r="X230" s="321">
        <f t="shared" si="145"/>
        <v>0.4</v>
      </c>
      <c r="Y230" s="352">
        <f t="shared" si="165"/>
        <v>0.2857142857</v>
      </c>
      <c r="Z230" s="321">
        <f t="shared" si="146"/>
        <v>0.1685714286</v>
      </c>
      <c r="AA230" s="353"/>
      <c r="AB230" s="353"/>
      <c r="AC230" s="353"/>
      <c r="AD230" s="393"/>
      <c r="AE230" s="353"/>
      <c r="AF230" s="353"/>
      <c r="AG230" s="353"/>
      <c r="AH230" s="393"/>
      <c r="AI230" s="394"/>
    </row>
    <row r="231">
      <c r="A231" s="376">
        <v>2025.0</v>
      </c>
      <c r="B231" s="376"/>
      <c r="C231" s="376" t="s">
        <v>1064</v>
      </c>
      <c r="D231" s="376" t="s">
        <v>891</v>
      </c>
      <c r="E231" s="377">
        <f>(341000*0.8)*1.1+(110000/G231)</f>
        <v>355080</v>
      </c>
      <c r="F231" s="345">
        <f t="shared" ref="F231:F233" si="190">E231*1.6</f>
        <v>568128</v>
      </c>
      <c r="G231" s="378">
        <v>2.0</v>
      </c>
      <c r="H231" s="292">
        <f t="shared" si="158"/>
        <v>1048.893354</v>
      </c>
      <c r="I231" s="347">
        <v>0.035</v>
      </c>
      <c r="J231" s="348">
        <f t="shared" si="159"/>
        <v>1012.182087</v>
      </c>
      <c r="K231" s="349">
        <f t="shared" si="160"/>
        <v>36.7112674</v>
      </c>
      <c r="L231" s="296">
        <v>0.001397</v>
      </c>
      <c r="M231" s="347">
        <v>0.0215</v>
      </c>
      <c r="N231" s="350">
        <f t="shared" si="161"/>
        <v>0.0014270355</v>
      </c>
      <c r="O231" s="348">
        <f t="shared" si="162"/>
        <v>36.76191487</v>
      </c>
      <c r="P231" s="348">
        <f t="shared" si="163"/>
        <v>1.46591977</v>
      </c>
      <c r="Q231" s="292">
        <f t="shared" si="164"/>
        <v>1678.229367</v>
      </c>
      <c r="R231" s="347">
        <v>0.06</v>
      </c>
      <c r="S231" s="351"/>
      <c r="T231" s="299">
        <f t="shared" si="141"/>
        <v>213048</v>
      </c>
      <c r="U231" s="315">
        <f t="shared" si="142"/>
        <v>201010.788</v>
      </c>
      <c r="V231" s="315">
        <f t="shared" si="143"/>
        <v>42609.6</v>
      </c>
      <c r="W231" s="320">
        <f t="shared" si="144"/>
        <v>136350.72</v>
      </c>
      <c r="X231" s="321">
        <f t="shared" si="145"/>
        <v>0.6</v>
      </c>
      <c r="Y231" s="352">
        <f t="shared" si="165"/>
        <v>0.375</v>
      </c>
      <c r="Z231" s="321">
        <f t="shared" si="146"/>
        <v>0.24</v>
      </c>
      <c r="AA231" s="353"/>
      <c r="AB231" s="353"/>
      <c r="AC231" s="353"/>
      <c r="AD231" s="393"/>
      <c r="AE231" s="353"/>
      <c r="AF231" s="353"/>
      <c r="AG231" s="353"/>
      <c r="AH231" s="393"/>
      <c r="AI231" s="394"/>
    </row>
    <row r="232">
      <c r="A232" s="376">
        <v>2025.0</v>
      </c>
      <c r="B232" s="376"/>
      <c r="C232" s="376" t="s">
        <v>1064</v>
      </c>
      <c r="D232" s="376" t="s">
        <v>893</v>
      </c>
      <c r="E232" s="377">
        <f>(302000*0.8)*1.1+(110000/G232)</f>
        <v>302426.6667</v>
      </c>
      <c r="F232" s="345">
        <f t="shared" si="190"/>
        <v>483882.6667</v>
      </c>
      <c r="G232" s="378">
        <v>3.0</v>
      </c>
      <c r="H232" s="292">
        <f t="shared" si="158"/>
        <v>1340.035995</v>
      </c>
      <c r="I232" s="347">
        <v>0.035</v>
      </c>
      <c r="J232" s="348">
        <f t="shared" si="159"/>
        <v>1293.134735</v>
      </c>
      <c r="K232" s="349">
        <f t="shared" si="160"/>
        <v>46.90125984</v>
      </c>
      <c r="L232" s="296">
        <v>0.001397</v>
      </c>
      <c r="M232" s="347">
        <v>0.0215</v>
      </c>
      <c r="N232" s="350">
        <f t="shared" si="161"/>
        <v>0.0014270355</v>
      </c>
      <c r="O232" s="348">
        <f t="shared" si="162"/>
        <v>42.80239681</v>
      </c>
      <c r="P232" s="348">
        <f t="shared" si="163"/>
        <v>1.866849174</v>
      </c>
      <c r="Q232" s="292">
        <f t="shared" si="164"/>
        <v>2144.057593</v>
      </c>
      <c r="R232" s="347">
        <v>0.06</v>
      </c>
      <c r="S232" s="351"/>
      <c r="T232" s="299">
        <f t="shared" si="141"/>
        <v>181456</v>
      </c>
      <c r="U232" s="315">
        <f t="shared" si="142"/>
        <v>171203.736</v>
      </c>
      <c r="V232" s="315">
        <f t="shared" si="143"/>
        <v>36291.2</v>
      </c>
      <c r="W232" s="320">
        <f t="shared" si="144"/>
        <v>116131.84</v>
      </c>
      <c r="X232" s="321">
        <f t="shared" si="145"/>
        <v>0.6</v>
      </c>
      <c r="Y232" s="352">
        <f t="shared" si="165"/>
        <v>0.375</v>
      </c>
      <c r="Z232" s="321">
        <f t="shared" si="146"/>
        <v>0.24</v>
      </c>
      <c r="AA232" s="353"/>
      <c r="AB232" s="353"/>
      <c r="AC232" s="353"/>
      <c r="AD232" s="393"/>
      <c r="AE232" s="353"/>
      <c r="AF232" s="353"/>
      <c r="AG232" s="353"/>
      <c r="AH232" s="393"/>
      <c r="AI232" s="394"/>
    </row>
    <row r="233">
      <c r="A233" s="376">
        <v>2025.0</v>
      </c>
      <c r="B233" s="376"/>
      <c r="C233" s="376" t="s">
        <v>1064</v>
      </c>
      <c r="D233" s="376" t="s">
        <v>895</v>
      </c>
      <c r="E233" s="377">
        <f>(238000*0.8)*1.1+(110000/G233)</f>
        <v>236940</v>
      </c>
      <c r="F233" s="345">
        <f t="shared" si="190"/>
        <v>379104</v>
      </c>
      <c r="G233" s="378">
        <v>4.0</v>
      </c>
      <c r="H233" s="292">
        <f t="shared" si="158"/>
        <v>1399.824216</v>
      </c>
      <c r="I233" s="347">
        <v>0.035</v>
      </c>
      <c r="J233" s="348">
        <f t="shared" si="159"/>
        <v>1350.830369</v>
      </c>
      <c r="K233" s="349">
        <f t="shared" si="160"/>
        <v>48.99384757</v>
      </c>
      <c r="L233" s="296">
        <v>0.001397</v>
      </c>
      <c r="M233" s="347">
        <v>0.0215</v>
      </c>
      <c r="N233" s="350">
        <f t="shared" si="161"/>
        <v>0.0014270355</v>
      </c>
      <c r="O233" s="348">
        <f t="shared" si="162"/>
        <v>44.04285293</v>
      </c>
      <c r="P233" s="348">
        <f t="shared" si="163"/>
        <v>1.949182891</v>
      </c>
      <c r="Q233" s="292">
        <f t="shared" si="164"/>
        <v>2239.718746</v>
      </c>
      <c r="R233" s="347">
        <v>0.06</v>
      </c>
      <c r="S233" s="351"/>
      <c r="T233" s="299">
        <f t="shared" si="141"/>
        <v>142164</v>
      </c>
      <c r="U233" s="315">
        <f t="shared" si="142"/>
        <v>134131.734</v>
      </c>
      <c r="V233" s="315">
        <f t="shared" si="143"/>
        <v>28432.8</v>
      </c>
      <c r="W233" s="320">
        <f t="shared" si="144"/>
        <v>90984.96</v>
      </c>
      <c r="X233" s="321">
        <f t="shared" si="145"/>
        <v>0.6</v>
      </c>
      <c r="Y233" s="352">
        <f t="shared" si="165"/>
        <v>0.375</v>
      </c>
      <c r="Z233" s="321">
        <f t="shared" si="146"/>
        <v>0.24</v>
      </c>
      <c r="AA233" s="353"/>
      <c r="AB233" s="353"/>
      <c r="AC233" s="353"/>
      <c r="AD233" s="393"/>
      <c r="AE233" s="353"/>
      <c r="AF233" s="353"/>
      <c r="AG233" s="353"/>
      <c r="AH233" s="393"/>
      <c r="AI233" s="394"/>
    </row>
    <row r="234">
      <c r="A234" s="304">
        <v>2025.0</v>
      </c>
      <c r="B234" s="304" t="s">
        <v>1065</v>
      </c>
      <c r="C234" s="304" t="s">
        <v>1064</v>
      </c>
      <c r="D234" s="304" t="s">
        <v>1066</v>
      </c>
      <c r="E234" s="290">
        <f>E448*1.1</f>
        <v>511500</v>
      </c>
      <c r="F234" s="290">
        <v>350000.0</v>
      </c>
      <c r="G234" s="396">
        <v>1.0</v>
      </c>
      <c r="H234" s="292">
        <f t="shared" si="158"/>
        <v>755.4761613</v>
      </c>
      <c r="I234" s="293">
        <v>0.035</v>
      </c>
      <c r="J234" s="294">
        <f t="shared" si="159"/>
        <v>729.0344956</v>
      </c>
      <c r="K234" s="295">
        <f t="shared" si="160"/>
        <v>26.44166565</v>
      </c>
      <c r="L234" s="296">
        <v>0.001397</v>
      </c>
      <c r="M234" s="293">
        <v>0.0215</v>
      </c>
      <c r="N234" s="297">
        <f t="shared" si="161"/>
        <v>0.0014270355</v>
      </c>
      <c r="O234" s="294">
        <f t="shared" si="162"/>
        <v>30.67424166</v>
      </c>
      <c r="P234" s="294">
        <f t="shared" si="163"/>
        <v>1.061858106</v>
      </c>
      <c r="Q234" s="292">
        <f t="shared" si="164"/>
        <v>516.9436099</v>
      </c>
      <c r="R234" s="293">
        <v>0.06</v>
      </c>
      <c r="S234" s="298"/>
      <c r="T234" s="299">
        <f t="shared" si="141"/>
        <v>-161500</v>
      </c>
      <c r="U234" s="315">
        <f t="shared" si="142"/>
        <v>-152375.25</v>
      </c>
      <c r="V234" s="315">
        <f t="shared" si="143"/>
        <v>-32300</v>
      </c>
      <c r="W234" s="320">
        <f t="shared" si="144"/>
        <v>-150200</v>
      </c>
      <c r="X234" s="321">
        <f t="shared" si="145"/>
        <v>-0.3157380254</v>
      </c>
      <c r="Y234" s="307">
        <f t="shared" si="165"/>
        <v>-0.4614285714</v>
      </c>
      <c r="Z234" s="321">
        <f t="shared" si="146"/>
        <v>-0.4291428571</v>
      </c>
      <c r="AA234" s="302"/>
      <c r="AB234" s="302"/>
      <c r="AC234" s="302"/>
      <c r="AD234" s="308"/>
      <c r="AE234" s="302"/>
      <c r="AF234" s="302"/>
      <c r="AG234" s="302"/>
      <c r="AH234" s="308" t="str">
        <f t="shared" ref="AH234:AH238" si="191">IFERROR(AVERAGE(AE234:AG234),"")</f>
        <v/>
      </c>
      <c r="AI234" s="306">
        <f t="shared" ref="AI234:AI238" si="192">AE234+AF234+AG234</f>
        <v>0</v>
      </c>
    </row>
    <row r="235">
      <c r="A235" s="376">
        <v>2025.0</v>
      </c>
      <c r="B235" s="376" t="s">
        <v>1067</v>
      </c>
      <c r="C235" s="376" t="s">
        <v>1068</v>
      </c>
      <c r="D235" s="376" t="s">
        <v>897</v>
      </c>
      <c r="E235" s="377">
        <f>((278400)*1.1)+(110000/G235)</f>
        <v>416240</v>
      </c>
      <c r="F235" s="345">
        <f>E235*1.4</f>
        <v>582736</v>
      </c>
      <c r="G235" s="346">
        <v>1.0</v>
      </c>
      <c r="H235" s="292">
        <f t="shared" si="158"/>
        <v>614.7788805</v>
      </c>
      <c r="I235" s="347">
        <v>0.035</v>
      </c>
      <c r="J235" s="348">
        <f t="shared" si="159"/>
        <v>593.2616197</v>
      </c>
      <c r="K235" s="349">
        <f t="shared" si="160"/>
        <v>21.51726082</v>
      </c>
      <c r="L235" s="296">
        <v>0.001397</v>
      </c>
      <c r="M235" s="347">
        <v>0.0215</v>
      </c>
      <c r="N235" s="350">
        <f t="shared" si="161"/>
        <v>0.0014270355</v>
      </c>
      <c r="O235" s="348">
        <f t="shared" si="162"/>
        <v>27.75512482</v>
      </c>
      <c r="P235" s="348">
        <f t="shared" si="163"/>
        <v>0.8681053921</v>
      </c>
      <c r="Q235" s="292">
        <f t="shared" si="164"/>
        <v>860.6904327</v>
      </c>
      <c r="R235" s="347">
        <v>0.06</v>
      </c>
      <c r="S235" s="351"/>
      <c r="T235" s="299">
        <f t="shared" si="141"/>
        <v>166496</v>
      </c>
      <c r="U235" s="315">
        <f t="shared" si="142"/>
        <v>157088.976</v>
      </c>
      <c r="V235" s="315">
        <f t="shared" si="143"/>
        <v>33299.2</v>
      </c>
      <c r="W235" s="320">
        <f t="shared" si="144"/>
        <v>98232.64</v>
      </c>
      <c r="X235" s="321">
        <f t="shared" si="145"/>
        <v>0.4</v>
      </c>
      <c r="Y235" s="352">
        <f t="shared" si="165"/>
        <v>0.2857142857</v>
      </c>
      <c r="Z235" s="321">
        <f t="shared" si="146"/>
        <v>0.1685714286</v>
      </c>
      <c r="AA235" s="353"/>
      <c r="AB235" s="353"/>
      <c r="AC235" s="353"/>
      <c r="AD235" s="354"/>
      <c r="AE235" s="353"/>
      <c r="AF235" s="353"/>
      <c r="AG235" s="353"/>
      <c r="AH235" s="354" t="str">
        <f t="shared" si="191"/>
        <v/>
      </c>
      <c r="AI235" s="355">
        <f t="shared" si="192"/>
        <v>0</v>
      </c>
    </row>
    <row r="236">
      <c r="A236" s="376">
        <v>2025.0</v>
      </c>
      <c r="B236" s="376" t="s">
        <v>1069</v>
      </c>
      <c r="C236" s="376" t="s">
        <v>1068</v>
      </c>
      <c r="D236" s="376" t="s">
        <v>891</v>
      </c>
      <c r="E236" s="377">
        <f>((171200)*1.1)+(110000/G236)</f>
        <v>243320</v>
      </c>
      <c r="F236" s="345">
        <f>E236*1.6</f>
        <v>389312</v>
      </c>
      <c r="G236" s="378">
        <v>2.0</v>
      </c>
      <c r="H236" s="292">
        <f t="shared" si="158"/>
        <v>718.7583952</v>
      </c>
      <c r="I236" s="347">
        <v>0.035</v>
      </c>
      <c r="J236" s="348">
        <f t="shared" si="159"/>
        <v>693.6018513</v>
      </c>
      <c r="K236" s="349">
        <f t="shared" si="160"/>
        <v>25.15654383</v>
      </c>
      <c r="L236" s="296">
        <v>0.001397</v>
      </c>
      <c r="M236" s="347">
        <v>0.0215</v>
      </c>
      <c r="N236" s="350">
        <f t="shared" si="161"/>
        <v>0.0014270355</v>
      </c>
      <c r="O236" s="348">
        <f t="shared" si="162"/>
        <v>29.9124398</v>
      </c>
      <c r="P236" s="348">
        <f t="shared" si="163"/>
        <v>1.011294465</v>
      </c>
      <c r="Q236" s="292">
        <f t="shared" si="164"/>
        <v>1150.013432</v>
      </c>
      <c r="R236" s="347">
        <v>0.06</v>
      </c>
      <c r="S236" s="351"/>
      <c r="T236" s="299">
        <f t="shared" si="141"/>
        <v>145992</v>
      </c>
      <c r="U236" s="315">
        <f t="shared" si="142"/>
        <v>137743.452</v>
      </c>
      <c r="V236" s="315">
        <f t="shared" si="143"/>
        <v>29198.4</v>
      </c>
      <c r="W236" s="320">
        <f t="shared" si="144"/>
        <v>93434.88</v>
      </c>
      <c r="X236" s="321">
        <f t="shared" si="145"/>
        <v>0.6</v>
      </c>
      <c r="Y236" s="352">
        <f t="shared" si="165"/>
        <v>0.375</v>
      </c>
      <c r="Z236" s="321">
        <f t="shared" si="146"/>
        <v>0.24</v>
      </c>
      <c r="AA236" s="353"/>
      <c r="AB236" s="353"/>
      <c r="AC236" s="353"/>
      <c r="AD236" s="354"/>
      <c r="AE236" s="353"/>
      <c r="AF236" s="353"/>
      <c r="AG236" s="353"/>
      <c r="AH236" s="354" t="str">
        <f t="shared" si="191"/>
        <v/>
      </c>
      <c r="AI236" s="355">
        <f t="shared" si="192"/>
        <v>0</v>
      </c>
    </row>
    <row r="237">
      <c r="A237" s="376">
        <v>2025.0</v>
      </c>
      <c r="B237" s="376" t="s">
        <v>1070</v>
      </c>
      <c r="C237" s="376" t="s">
        <v>1068</v>
      </c>
      <c r="D237" s="376" t="s">
        <v>893</v>
      </c>
      <c r="E237" s="377">
        <f>((135200)*1.1)+(110000/G237)</f>
        <v>185386.6667</v>
      </c>
      <c r="F237" s="345">
        <v>325000.0</v>
      </c>
      <c r="G237" s="378">
        <v>3.0</v>
      </c>
      <c r="H237" s="292">
        <f t="shared" si="158"/>
        <v>821.4381659</v>
      </c>
      <c r="I237" s="347">
        <v>0.035</v>
      </c>
      <c r="J237" s="348">
        <f t="shared" si="159"/>
        <v>792.6878301</v>
      </c>
      <c r="K237" s="349">
        <f t="shared" si="160"/>
        <v>28.75033581</v>
      </c>
      <c r="L237" s="296">
        <v>0.001397</v>
      </c>
      <c r="M237" s="347">
        <v>0.0215</v>
      </c>
      <c r="N237" s="350">
        <f t="shared" si="161"/>
        <v>0.0014270355</v>
      </c>
      <c r="O237" s="348">
        <f t="shared" si="162"/>
        <v>32.04278835</v>
      </c>
      <c r="P237" s="348">
        <f t="shared" si="163"/>
        <v>1.152693674</v>
      </c>
      <c r="Q237" s="292">
        <f t="shared" si="164"/>
        <v>1440.057199</v>
      </c>
      <c r="R237" s="347">
        <v>0.06</v>
      </c>
      <c r="S237" s="351"/>
      <c r="T237" s="299">
        <f t="shared" si="141"/>
        <v>139613.3333</v>
      </c>
      <c r="U237" s="315">
        <f t="shared" si="142"/>
        <v>131725.18</v>
      </c>
      <c r="V237" s="315">
        <f t="shared" si="143"/>
        <v>27922.66667</v>
      </c>
      <c r="W237" s="320">
        <f t="shared" si="144"/>
        <v>92190.66667</v>
      </c>
      <c r="X237" s="321">
        <f t="shared" si="145"/>
        <v>0.7530926352</v>
      </c>
      <c r="Y237" s="352">
        <f t="shared" si="165"/>
        <v>0.4295794872</v>
      </c>
      <c r="Z237" s="321">
        <f t="shared" si="146"/>
        <v>0.2836635897</v>
      </c>
      <c r="AA237" s="353"/>
      <c r="AB237" s="353"/>
      <c r="AC237" s="353"/>
      <c r="AD237" s="354"/>
      <c r="AE237" s="353"/>
      <c r="AF237" s="353"/>
      <c r="AG237" s="353"/>
      <c r="AH237" s="354" t="str">
        <f t="shared" si="191"/>
        <v/>
      </c>
      <c r="AI237" s="355">
        <f t="shared" si="192"/>
        <v>0</v>
      </c>
    </row>
    <row r="238">
      <c r="A238" s="376">
        <v>2025.0</v>
      </c>
      <c r="B238" s="376" t="s">
        <v>1071</v>
      </c>
      <c r="C238" s="376" t="s">
        <v>1068</v>
      </c>
      <c r="D238" s="376" t="s">
        <v>895</v>
      </c>
      <c r="E238" s="377">
        <f>((117600)*1.1)+(110000/G238)</f>
        <v>156860</v>
      </c>
      <c r="F238" s="345">
        <v>275000.0</v>
      </c>
      <c r="G238" s="378">
        <v>4.0</v>
      </c>
      <c r="H238" s="292">
        <f t="shared" si="158"/>
        <v>926.7174245</v>
      </c>
      <c r="I238" s="347">
        <v>0.035</v>
      </c>
      <c r="J238" s="348">
        <f t="shared" si="159"/>
        <v>894.2823147</v>
      </c>
      <c r="K238" s="349">
        <f t="shared" si="160"/>
        <v>32.43510986</v>
      </c>
      <c r="L238" s="296">
        <v>0.001397</v>
      </c>
      <c r="M238" s="347">
        <v>0.0215</v>
      </c>
      <c r="N238" s="350">
        <f t="shared" si="161"/>
        <v>0.0014270355</v>
      </c>
      <c r="O238" s="348">
        <f t="shared" si="162"/>
        <v>34.22706977</v>
      </c>
      <c r="P238" s="348">
        <f t="shared" si="163"/>
        <v>1.29767261</v>
      </c>
      <c r="Q238" s="292">
        <f t="shared" si="164"/>
        <v>1624.679917</v>
      </c>
      <c r="R238" s="347">
        <v>0.06</v>
      </c>
      <c r="S238" s="351"/>
      <c r="T238" s="299">
        <f t="shared" si="141"/>
        <v>118140</v>
      </c>
      <c r="U238" s="315">
        <f t="shared" si="142"/>
        <v>111465.09</v>
      </c>
      <c r="V238" s="315">
        <f t="shared" si="143"/>
        <v>23628</v>
      </c>
      <c r="W238" s="320">
        <f t="shared" si="144"/>
        <v>78012</v>
      </c>
      <c r="X238" s="321">
        <f t="shared" si="145"/>
        <v>0.7531556802</v>
      </c>
      <c r="Y238" s="352">
        <f t="shared" si="165"/>
        <v>0.4296</v>
      </c>
      <c r="Z238" s="321">
        <f t="shared" si="146"/>
        <v>0.28368</v>
      </c>
      <c r="AA238" s="353"/>
      <c r="AB238" s="353"/>
      <c r="AC238" s="353"/>
      <c r="AD238" s="354"/>
      <c r="AE238" s="353"/>
      <c r="AF238" s="353"/>
      <c r="AG238" s="353"/>
      <c r="AH238" s="354" t="str">
        <f t="shared" si="191"/>
        <v/>
      </c>
      <c r="AI238" s="355">
        <f t="shared" si="192"/>
        <v>0</v>
      </c>
    </row>
    <row r="239">
      <c r="A239" s="379">
        <v>2025.0</v>
      </c>
      <c r="B239" s="379" t="s">
        <v>1067</v>
      </c>
      <c r="C239" s="379" t="s">
        <v>1068</v>
      </c>
      <c r="D239" s="379" t="s">
        <v>897</v>
      </c>
      <c r="E239" s="345">
        <v>372000.0</v>
      </c>
      <c r="F239" s="345">
        <v>480000.0</v>
      </c>
      <c r="G239" s="346">
        <v>1.0</v>
      </c>
      <c r="H239" s="292">
        <f t="shared" si="158"/>
        <v>549.4372082</v>
      </c>
      <c r="I239" s="347">
        <v>0.035</v>
      </c>
      <c r="J239" s="348">
        <f t="shared" si="159"/>
        <v>530.2069059</v>
      </c>
      <c r="K239" s="349">
        <f t="shared" si="160"/>
        <v>19.23030229</v>
      </c>
      <c r="L239" s="296">
        <v>0.001397</v>
      </c>
      <c r="M239" s="347">
        <v>0.0215</v>
      </c>
      <c r="N239" s="350">
        <f t="shared" si="161"/>
        <v>0.0014270355</v>
      </c>
      <c r="O239" s="348">
        <f t="shared" si="162"/>
        <v>26.39944848</v>
      </c>
      <c r="P239" s="348">
        <f t="shared" si="163"/>
        <v>0.7781240771</v>
      </c>
      <c r="Q239" s="292">
        <f t="shared" si="164"/>
        <v>708.9512364</v>
      </c>
      <c r="R239" s="347">
        <v>0.06</v>
      </c>
      <c r="S239" s="351"/>
      <c r="T239" s="299">
        <f t="shared" si="141"/>
        <v>108000</v>
      </c>
      <c r="U239" s="315">
        <f t="shared" si="142"/>
        <v>101898</v>
      </c>
      <c r="V239" s="315">
        <f t="shared" si="143"/>
        <v>21600</v>
      </c>
      <c r="W239" s="320">
        <f t="shared" si="144"/>
        <v>57600</v>
      </c>
      <c r="X239" s="321">
        <f t="shared" si="145"/>
        <v>0.2903225806</v>
      </c>
      <c r="Y239" s="352">
        <f t="shared" si="165"/>
        <v>0.225</v>
      </c>
      <c r="Z239" s="321">
        <f t="shared" si="146"/>
        <v>0.12</v>
      </c>
      <c r="AA239" s="384"/>
      <c r="AB239" s="384"/>
      <c r="AC239" s="384"/>
      <c r="AD239" s="385"/>
      <c r="AE239" s="384"/>
      <c r="AF239" s="384"/>
      <c r="AG239" s="384"/>
      <c r="AH239" s="385"/>
      <c r="AI239" s="385"/>
    </row>
    <row r="240">
      <c r="A240" s="379">
        <v>2025.0</v>
      </c>
      <c r="B240" s="379" t="s">
        <v>1069</v>
      </c>
      <c r="C240" s="379" t="s">
        <v>1068</v>
      </c>
      <c r="D240" s="379" t="s">
        <v>891</v>
      </c>
      <c r="E240" s="345">
        <v>221200.0</v>
      </c>
      <c r="F240" s="345">
        <v>345000.0</v>
      </c>
      <c r="G240" s="378">
        <v>2.0</v>
      </c>
      <c r="H240" s="292">
        <f t="shared" si="158"/>
        <v>653.4167229</v>
      </c>
      <c r="I240" s="347">
        <v>0.035</v>
      </c>
      <c r="J240" s="348">
        <f t="shared" si="159"/>
        <v>630.5471376</v>
      </c>
      <c r="K240" s="349">
        <f t="shared" si="160"/>
        <v>22.8695853</v>
      </c>
      <c r="L240" s="296">
        <v>0.001397</v>
      </c>
      <c r="M240" s="347">
        <v>0.0215</v>
      </c>
      <c r="N240" s="350">
        <f t="shared" si="161"/>
        <v>0.0014270355</v>
      </c>
      <c r="O240" s="348">
        <f t="shared" si="162"/>
        <v>28.55676346</v>
      </c>
      <c r="P240" s="348">
        <f t="shared" si="163"/>
        <v>0.9213131498</v>
      </c>
      <c r="Q240" s="292">
        <f t="shared" si="164"/>
        <v>1019.117402</v>
      </c>
      <c r="R240" s="347">
        <v>0.06</v>
      </c>
      <c r="S240" s="351"/>
      <c r="T240" s="299">
        <f t="shared" si="141"/>
        <v>123800</v>
      </c>
      <c r="U240" s="315">
        <f t="shared" si="142"/>
        <v>116805.3</v>
      </c>
      <c r="V240" s="315">
        <f t="shared" si="143"/>
        <v>24760</v>
      </c>
      <c r="W240" s="320">
        <f t="shared" si="144"/>
        <v>78340</v>
      </c>
      <c r="X240" s="321">
        <f t="shared" si="145"/>
        <v>0.5596745027</v>
      </c>
      <c r="Y240" s="352">
        <f t="shared" si="165"/>
        <v>0.3588405797</v>
      </c>
      <c r="Z240" s="321">
        <f t="shared" si="146"/>
        <v>0.2270724638</v>
      </c>
      <c r="AA240" s="384"/>
      <c r="AB240" s="384"/>
      <c r="AC240" s="384"/>
      <c r="AD240" s="385"/>
      <c r="AE240" s="384"/>
      <c r="AF240" s="384"/>
      <c r="AG240" s="384"/>
      <c r="AH240" s="385"/>
      <c r="AI240" s="385"/>
    </row>
    <row r="241">
      <c r="A241" s="379">
        <v>2025.0</v>
      </c>
      <c r="B241" s="379" t="s">
        <v>1070</v>
      </c>
      <c r="C241" s="379" t="s">
        <v>1068</v>
      </c>
      <c r="D241" s="379" t="s">
        <v>893</v>
      </c>
      <c r="E241" s="345">
        <v>168533.0</v>
      </c>
      <c r="F241" s="345">
        <v>325000.0</v>
      </c>
      <c r="G241" s="378">
        <v>3.0</v>
      </c>
      <c r="H241" s="292">
        <f t="shared" si="158"/>
        <v>746.760492</v>
      </c>
      <c r="I241" s="347">
        <v>0.035</v>
      </c>
      <c r="J241" s="348">
        <f t="shared" si="159"/>
        <v>720.6238748</v>
      </c>
      <c r="K241" s="349">
        <f t="shared" si="160"/>
        <v>26.13661722</v>
      </c>
      <c r="L241" s="296">
        <v>0.001397</v>
      </c>
      <c r="M241" s="347">
        <v>0.0215</v>
      </c>
      <c r="N241" s="350">
        <f t="shared" si="161"/>
        <v>0.0014270355</v>
      </c>
      <c r="O241" s="348">
        <f t="shared" si="162"/>
        <v>30.49341331</v>
      </c>
      <c r="P241" s="348">
        <f t="shared" si="163"/>
        <v>1.049855851</v>
      </c>
      <c r="Q241" s="292">
        <f t="shared" si="164"/>
        <v>1440.057199</v>
      </c>
      <c r="R241" s="347">
        <v>0.06</v>
      </c>
      <c r="S241" s="351"/>
      <c r="T241" s="299">
        <f t="shared" si="141"/>
        <v>156467</v>
      </c>
      <c r="U241" s="315">
        <f t="shared" si="142"/>
        <v>147626.6145</v>
      </c>
      <c r="V241" s="315">
        <f t="shared" si="143"/>
        <v>31293.4</v>
      </c>
      <c r="W241" s="320">
        <f t="shared" si="144"/>
        <v>105673.6</v>
      </c>
      <c r="X241" s="321">
        <f t="shared" si="145"/>
        <v>0.9284057128</v>
      </c>
      <c r="Y241" s="352">
        <f t="shared" si="165"/>
        <v>0.4814369231</v>
      </c>
      <c r="Z241" s="321">
        <f t="shared" si="146"/>
        <v>0.3251495385</v>
      </c>
      <c r="AA241" s="384"/>
      <c r="AB241" s="384"/>
      <c r="AC241" s="384"/>
      <c r="AD241" s="385"/>
      <c r="AE241" s="384"/>
      <c r="AF241" s="384"/>
      <c r="AG241" s="384"/>
      <c r="AH241" s="385"/>
      <c r="AI241" s="385"/>
    </row>
    <row r="242">
      <c r="A242" s="379">
        <v>2025.0</v>
      </c>
      <c r="B242" s="379" t="s">
        <v>1071</v>
      </c>
      <c r="C242" s="379" t="s">
        <v>1068</v>
      </c>
      <c r="D242" s="379" t="s">
        <v>895</v>
      </c>
      <c r="E242" s="345">
        <v>142600.0</v>
      </c>
      <c r="F242" s="345">
        <v>270000.0</v>
      </c>
      <c r="G242" s="378">
        <v>4.0</v>
      </c>
      <c r="H242" s="292">
        <f t="shared" si="158"/>
        <v>842.4703859</v>
      </c>
      <c r="I242" s="347">
        <v>0.035</v>
      </c>
      <c r="J242" s="348">
        <f t="shared" si="159"/>
        <v>812.9839224</v>
      </c>
      <c r="K242" s="349">
        <f t="shared" si="160"/>
        <v>29.48646351</v>
      </c>
      <c r="L242" s="296">
        <v>0.001397</v>
      </c>
      <c r="M242" s="347">
        <v>0.0215</v>
      </c>
      <c r="N242" s="350">
        <f t="shared" si="161"/>
        <v>0.0014270355</v>
      </c>
      <c r="O242" s="348">
        <f t="shared" si="162"/>
        <v>32.47915433</v>
      </c>
      <c r="P242" s="348">
        <f t="shared" si="163"/>
        <v>1.181656918</v>
      </c>
      <c r="Q242" s="292">
        <f t="shared" si="164"/>
        <v>1595.140282</v>
      </c>
      <c r="R242" s="347">
        <v>0.06</v>
      </c>
      <c r="S242" s="351"/>
      <c r="T242" s="299">
        <f t="shared" si="141"/>
        <v>127400</v>
      </c>
      <c r="U242" s="315">
        <f t="shared" si="142"/>
        <v>120201.9</v>
      </c>
      <c r="V242" s="315">
        <f t="shared" si="143"/>
        <v>25480</v>
      </c>
      <c r="W242" s="320">
        <f t="shared" si="144"/>
        <v>85720</v>
      </c>
      <c r="X242" s="321">
        <f t="shared" si="145"/>
        <v>0.8934081346</v>
      </c>
      <c r="Y242" s="352">
        <f t="shared" si="165"/>
        <v>0.4718518519</v>
      </c>
      <c r="Z242" s="321">
        <f t="shared" si="146"/>
        <v>0.3174814815</v>
      </c>
      <c r="AA242" s="384"/>
      <c r="AB242" s="384"/>
      <c r="AC242" s="384"/>
      <c r="AD242" s="385"/>
      <c r="AE242" s="384"/>
      <c r="AF242" s="384"/>
      <c r="AG242" s="384"/>
      <c r="AH242" s="385"/>
      <c r="AI242" s="385"/>
    </row>
    <row r="243">
      <c r="A243" s="359">
        <v>2025.0</v>
      </c>
      <c r="B243" s="359" t="s">
        <v>905</v>
      </c>
      <c r="C243" s="359" t="s">
        <v>1072</v>
      </c>
      <c r="D243" s="344" t="s">
        <v>840</v>
      </c>
      <c r="E243" s="360">
        <v>109650.0</v>
      </c>
      <c r="F243" s="360">
        <v>220000.0</v>
      </c>
      <c r="G243" s="361">
        <v>1.0</v>
      </c>
      <c r="H243" s="292">
        <f t="shared" si="158"/>
        <v>161.9510481</v>
      </c>
      <c r="I243" s="347">
        <v>0.035</v>
      </c>
      <c r="J243" s="348">
        <f t="shared" si="159"/>
        <v>156.2827614</v>
      </c>
      <c r="K243" s="349">
        <f t="shared" si="160"/>
        <v>5.668286682</v>
      </c>
      <c r="L243" s="296">
        <v>0.001397</v>
      </c>
      <c r="M243" s="347">
        <v>0.0215</v>
      </c>
      <c r="N243" s="350">
        <f t="shared" si="161"/>
        <v>0.0014270355</v>
      </c>
      <c r="O243" s="348">
        <f t="shared" si="162"/>
        <v>18.36007937</v>
      </c>
      <c r="P243" s="348">
        <f t="shared" si="163"/>
        <v>0.2445210485</v>
      </c>
      <c r="Q243" s="292">
        <f t="shared" si="164"/>
        <v>324.9359834</v>
      </c>
      <c r="R243" s="347">
        <v>0.06</v>
      </c>
      <c r="S243" s="351"/>
      <c r="T243" s="299">
        <f t="shared" si="141"/>
        <v>110350</v>
      </c>
      <c r="U243" s="315">
        <f t="shared" si="142"/>
        <v>104115.225</v>
      </c>
      <c r="V243" s="315">
        <f t="shared" si="143"/>
        <v>22070</v>
      </c>
      <c r="W243" s="320">
        <f t="shared" si="144"/>
        <v>75080</v>
      </c>
      <c r="X243" s="321">
        <f t="shared" si="145"/>
        <v>1.006383949</v>
      </c>
      <c r="Y243" s="352">
        <f t="shared" si="165"/>
        <v>0.5015909091</v>
      </c>
      <c r="Z243" s="321">
        <f t="shared" si="146"/>
        <v>0.3412727273</v>
      </c>
      <c r="AA243" s="384"/>
      <c r="AB243" s="384"/>
      <c r="AC243" s="384"/>
      <c r="AD243" s="385"/>
      <c r="AE243" s="384"/>
      <c r="AF243" s="384"/>
      <c r="AG243" s="384"/>
      <c r="AH243" s="385"/>
      <c r="AI243" s="385"/>
    </row>
    <row r="244">
      <c r="A244" s="376">
        <v>2025.0</v>
      </c>
      <c r="B244" s="376" t="s">
        <v>1073</v>
      </c>
      <c r="C244" s="376" t="s">
        <v>1074</v>
      </c>
      <c r="D244" s="376" t="s">
        <v>897</v>
      </c>
      <c r="E244" s="377">
        <f>((846400)*1.1)+(110000/G244)</f>
        <v>1041040</v>
      </c>
      <c r="F244" s="345">
        <f>E244*1.4</f>
        <v>1457456</v>
      </c>
      <c r="G244" s="346">
        <v>1.0</v>
      </c>
      <c r="H244" s="292">
        <f t="shared" si="158"/>
        <v>1537.597073</v>
      </c>
      <c r="I244" s="347">
        <v>0.035</v>
      </c>
      <c r="J244" s="348">
        <f t="shared" si="159"/>
        <v>1483.781176</v>
      </c>
      <c r="K244" s="349">
        <f t="shared" si="160"/>
        <v>53.81589756</v>
      </c>
      <c r="L244" s="296">
        <v>0.001397</v>
      </c>
      <c r="M244" s="347">
        <v>0.0215</v>
      </c>
      <c r="N244" s="350">
        <f t="shared" si="161"/>
        <v>0.0014270355</v>
      </c>
      <c r="O244" s="348">
        <f t="shared" si="162"/>
        <v>46.90129528</v>
      </c>
      <c r="P244" s="348">
        <f t="shared" si="163"/>
        <v>2.138908412</v>
      </c>
      <c r="Q244" s="292">
        <f t="shared" si="164"/>
        <v>2152.635902</v>
      </c>
      <c r="R244" s="347">
        <v>0.06</v>
      </c>
      <c r="S244" s="351"/>
      <c r="T244" s="299">
        <f t="shared" si="141"/>
        <v>416416</v>
      </c>
      <c r="U244" s="315">
        <f t="shared" si="142"/>
        <v>392888.496</v>
      </c>
      <c r="V244" s="315">
        <f t="shared" si="143"/>
        <v>83283.2</v>
      </c>
      <c r="W244" s="320">
        <f t="shared" si="144"/>
        <v>245685.44</v>
      </c>
      <c r="X244" s="321">
        <f t="shared" si="145"/>
        <v>0.4</v>
      </c>
      <c r="Y244" s="352">
        <f t="shared" si="165"/>
        <v>0.2857142857</v>
      </c>
      <c r="Z244" s="321">
        <f t="shared" si="146"/>
        <v>0.1685714286</v>
      </c>
      <c r="AA244" s="353"/>
      <c r="AB244" s="353"/>
      <c r="AC244" s="353"/>
      <c r="AD244" s="354"/>
      <c r="AE244" s="353"/>
      <c r="AF244" s="353"/>
      <c r="AG244" s="353"/>
      <c r="AH244" s="354" t="str">
        <f t="shared" ref="AH244:AH247" si="193">IFERROR(AVERAGE(AE244:AG244),"")</f>
        <v/>
      </c>
      <c r="AI244" s="355">
        <f t="shared" ref="AI244:AI247" si="194">AE244+AF244+AG244</f>
        <v>0</v>
      </c>
    </row>
    <row r="245">
      <c r="A245" s="376">
        <v>2025.0</v>
      </c>
      <c r="B245" s="376" t="s">
        <v>1075</v>
      </c>
      <c r="C245" s="376" t="s">
        <v>1074</v>
      </c>
      <c r="D245" s="376" t="s">
        <v>891</v>
      </c>
      <c r="E245" s="377">
        <f>((493600)*1.1)+(110000/G245)</f>
        <v>597960</v>
      </c>
      <c r="F245" s="345">
        <f t="shared" ref="F245:F247" si="195">E245*1.6</f>
        <v>956736</v>
      </c>
      <c r="G245" s="378">
        <v>2.0</v>
      </c>
      <c r="H245" s="292">
        <f t="shared" si="158"/>
        <v>1766.352005</v>
      </c>
      <c r="I245" s="347">
        <v>0.035</v>
      </c>
      <c r="J245" s="348">
        <f t="shared" si="159"/>
        <v>1704.529685</v>
      </c>
      <c r="K245" s="349">
        <f t="shared" si="160"/>
        <v>61.82232019</v>
      </c>
      <c r="L245" s="296">
        <v>0.001397</v>
      </c>
      <c r="M245" s="347">
        <v>0.0215</v>
      </c>
      <c r="N245" s="350">
        <f t="shared" si="161"/>
        <v>0.0014270355</v>
      </c>
      <c r="O245" s="348">
        <f t="shared" si="162"/>
        <v>51.64738823</v>
      </c>
      <c r="P245" s="348">
        <f t="shared" si="163"/>
        <v>2.453924372</v>
      </c>
      <c r="Q245" s="292">
        <f t="shared" si="164"/>
        <v>2826.163209</v>
      </c>
      <c r="R245" s="347">
        <v>0.06</v>
      </c>
      <c r="S245" s="351"/>
      <c r="T245" s="299">
        <f t="shared" si="141"/>
        <v>358776</v>
      </c>
      <c r="U245" s="315">
        <f t="shared" si="142"/>
        <v>338505.156</v>
      </c>
      <c r="V245" s="315">
        <f t="shared" si="143"/>
        <v>71755.2</v>
      </c>
      <c r="W245" s="320">
        <f t="shared" si="144"/>
        <v>229616.64</v>
      </c>
      <c r="X245" s="321">
        <f t="shared" si="145"/>
        <v>0.6</v>
      </c>
      <c r="Y245" s="352">
        <f t="shared" si="165"/>
        <v>0.375</v>
      </c>
      <c r="Z245" s="321">
        <f t="shared" si="146"/>
        <v>0.24</v>
      </c>
      <c r="AA245" s="353"/>
      <c r="AB245" s="353"/>
      <c r="AC245" s="353"/>
      <c r="AD245" s="354"/>
      <c r="AE245" s="353"/>
      <c r="AF245" s="353"/>
      <c r="AG245" s="353"/>
      <c r="AH245" s="354" t="str">
        <f t="shared" si="193"/>
        <v/>
      </c>
      <c r="AI245" s="355">
        <f t="shared" si="194"/>
        <v>0</v>
      </c>
    </row>
    <row r="246">
      <c r="A246" s="376">
        <v>2025.0</v>
      </c>
      <c r="B246" s="376" t="s">
        <v>1076</v>
      </c>
      <c r="C246" s="376" t="s">
        <v>1074</v>
      </c>
      <c r="D246" s="376" t="s">
        <v>893</v>
      </c>
      <c r="E246" s="377">
        <f>((449600)*1.1)+(110000/G246)</f>
        <v>531226.6667</v>
      </c>
      <c r="F246" s="345">
        <f t="shared" si="195"/>
        <v>849962.6667</v>
      </c>
      <c r="G246" s="378">
        <v>3.0</v>
      </c>
      <c r="H246" s="292">
        <f>(((E246*N246)*(1+I246)))*G246</f>
        <v>2353.836263</v>
      </c>
      <c r="I246" s="347">
        <v>0.035</v>
      </c>
      <c r="J246" s="348">
        <f t="shared" si="159"/>
        <v>2271.451994</v>
      </c>
      <c r="K246" s="349">
        <f t="shared" si="160"/>
        <v>82.38426922</v>
      </c>
      <c r="L246" s="296">
        <v>0.001397</v>
      </c>
      <c r="M246" s="347">
        <v>0.0215</v>
      </c>
      <c r="N246" s="350">
        <f t="shared" si="161"/>
        <v>0.0014270355</v>
      </c>
      <c r="O246" s="348">
        <f t="shared" si="162"/>
        <v>63.83621787</v>
      </c>
      <c r="P246" s="348">
        <f t="shared" si="163"/>
        <v>3.262942632</v>
      </c>
      <c r="Q246" s="292">
        <f t="shared" si="164"/>
        <v>3766.138021</v>
      </c>
      <c r="R246" s="347">
        <v>0.06</v>
      </c>
      <c r="S246" s="351"/>
      <c r="T246" s="299">
        <f t="shared" si="141"/>
        <v>318736</v>
      </c>
      <c r="U246" s="315">
        <f t="shared" si="142"/>
        <v>300727.416</v>
      </c>
      <c r="V246" s="315">
        <f t="shared" si="143"/>
        <v>63747.2</v>
      </c>
      <c r="W246" s="320">
        <f t="shared" si="144"/>
        <v>203991.04</v>
      </c>
      <c r="X246" s="321">
        <f t="shared" si="145"/>
        <v>0.6</v>
      </c>
      <c r="Y246" s="352">
        <f t="shared" si="165"/>
        <v>0.375</v>
      </c>
      <c r="Z246" s="321">
        <f t="shared" si="146"/>
        <v>0.24</v>
      </c>
      <c r="AA246" s="353"/>
      <c r="AB246" s="353"/>
      <c r="AC246" s="353"/>
      <c r="AD246" s="354"/>
      <c r="AE246" s="353"/>
      <c r="AF246" s="353"/>
      <c r="AG246" s="353"/>
      <c r="AH246" s="354" t="str">
        <f t="shared" si="193"/>
        <v/>
      </c>
      <c r="AI246" s="355">
        <f t="shared" si="194"/>
        <v>0</v>
      </c>
    </row>
    <row r="247">
      <c r="A247" s="376">
        <v>2025.0</v>
      </c>
      <c r="B247" s="376" t="s">
        <v>1077</v>
      </c>
      <c r="C247" s="376" t="s">
        <v>1074</v>
      </c>
      <c r="D247" s="376" t="s">
        <v>895</v>
      </c>
      <c r="E247" s="377">
        <f>((374400)*1.1)+(110000/G247)</f>
        <v>439340</v>
      </c>
      <c r="F247" s="345">
        <f t="shared" si="195"/>
        <v>702944</v>
      </c>
      <c r="G247" s="378">
        <v>4.0</v>
      </c>
      <c r="H247" s="292">
        <f t="shared" ref="H247:H297" si="196">((E247*N247)*(1+I247))*G247</f>
        <v>2595.588635</v>
      </c>
      <c r="I247" s="347">
        <v>0.035</v>
      </c>
      <c r="J247" s="348">
        <f t="shared" si="159"/>
        <v>2504.743033</v>
      </c>
      <c r="K247" s="349">
        <f t="shared" si="160"/>
        <v>90.84560222</v>
      </c>
      <c r="L247" s="296">
        <v>0.001397</v>
      </c>
      <c r="M247" s="347">
        <v>0.0215</v>
      </c>
      <c r="N247" s="350">
        <f t="shared" si="161"/>
        <v>0.0014270355</v>
      </c>
      <c r="O247" s="348">
        <f t="shared" si="162"/>
        <v>68.8519752</v>
      </c>
      <c r="P247" s="348">
        <f t="shared" si="163"/>
        <v>3.595857226</v>
      </c>
      <c r="Q247" s="292">
        <f t="shared" si="164"/>
        <v>4152.941816</v>
      </c>
      <c r="R247" s="347">
        <v>0.06</v>
      </c>
      <c r="S247" s="351"/>
      <c r="T247" s="299">
        <f t="shared" si="141"/>
        <v>263604</v>
      </c>
      <c r="U247" s="315">
        <f t="shared" si="142"/>
        <v>248710.374</v>
      </c>
      <c r="V247" s="315">
        <f t="shared" si="143"/>
        <v>52720.8</v>
      </c>
      <c r="W247" s="320">
        <f t="shared" si="144"/>
        <v>168706.56</v>
      </c>
      <c r="X247" s="321">
        <f t="shared" si="145"/>
        <v>0.6</v>
      </c>
      <c r="Y247" s="352">
        <f t="shared" si="165"/>
        <v>0.375</v>
      </c>
      <c r="Z247" s="321">
        <f t="shared" si="146"/>
        <v>0.24</v>
      </c>
      <c r="AA247" s="353"/>
      <c r="AB247" s="353"/>
      <c r="AC247" s="353"/>
      <c r="AD247" s="354"/>
      <c r="AE247" s="353"/>
      <c r="AF247" s="353"/>
      <c r="AG247" s="353"/>
      <c r="AH247" s="354" t="str">
        <f t="shared" si="193"/>
        <v/>
      </c>
      <c r="AI247" s="355">
        <f t="shared" si="194"/>
        <v>0</v>
      </c>
    </row>
    <row r="248">
      <c r="A248" s="379">
        <v>2025.0</v>
      </c>
      <c r="B248" s="379" t="s">
        <v>1073</v>
      </c>
      <c r="C248" s="379" t="s">
        <v>1074</v>
      </c>
      <c r="D248" s="379" t="s">
        <v>897</v>
      </c>
      <c r="E248" s="345">
        <v>946400.0</v>
      </c>
      <c r="F248" s="345">
        <v>1055000.0</v>
      </c>
      <c r="G248" s="346">
        <v>1.0</v>
      </c>
      <c r="H248" s="292">
        <f t="shared" si="196"/>
        <v>1397.815521</v>
      </c>
      <c r="I248" s="347">
        <v>0.035</v>
      </c>
      <c r="J248" s="348">
        <f t="shared" si="159"/>
        <v>1348.891978</v>
      </c>
      <c r="K248" s="349">
        <f t="shared" si="160"/>
        <v>48.92354324</v>
      </c>
      <c r="L248" s="296">
        <v>0.001397</v>
      </c>
      <c r="M248" s="347">
        <v>0.0215</v>
      </c>
      <c r="N248" s="350">
        <f t="shared" si="161"/>
        <v>0.0014270355</v>
      </c>
      <c r="O248" s="348">
        <f t="shared" si="162"/>
        <v>44.00117752</v>
      </c>
      <c r="P248" s="348">
        <f t="shared" si="163"/>
        <v>1.946416738</v>
      </c>
      <c r="Q248" s="292">
        <f t="shared" si="164"/>
        <v>1558.215738</v>
      </c>
      <c r="R248" s="347">
        <v>0.06</v>
      </c>
      <c r="S248" s="351"/>
      <c r="T248" s="299">
        <f t="shared" si="141"/>
        <v>108600</v>
      </c>
      <c r="U248" s="315">
        <f t="shared" si="142"/>
        <v>102464.1</v>
      </c>
      <c r="V248" s="315">
        <f t="shared" si="143"/>
        <v>21720</v>
      </c>
      <c r="W248" s="320">
        <f t="shared" si="144"/>
        <v>23580</v>
      </c>
      <c r="X248" s="321">
        <f t="shared" si="145"/>
        <v>0.114750634</v>
      </c>
      <c r="Y248" s="352">
        <f t="shared" si="165"/>
        <v>0.1029383886</v>
      </c>
      <c r="Z248" s="321">
        <f t="shared" si="146"/>
        <v>0.0223507109</v>
      </c>
      <c r="AA248" s="384"/>
      <c r="AB248" s="384"/>
      <c r="AC248" s="384"/>
      <c r="AD248" s="385"/>
      <c r="AE248" s="384"/>
      <c r="AF248" s="384"/>
      <c r="AG248" s="384"/>
      <c r="AH248" s="385"/>
      <c r="AI248" s="385"/>
    </row>
    <row r="249">
      <c r="A249" s="379">
        <v>2025.0</v>
      </c>
      <c r="B249" s="379" t="s">
        <v>1075</v>
      </c>
      <c r="C249" s="379" t="s">
        <v>1074</v>
      </c>
      <c r="D249" s="379" t="s">
        <v>891</v>
      </c>
      <c r="E249" s="345">
        <v>543600.0</v>
      </c>
      <c r="F249" s="345">
        <v>660000.0</v>
      </c>
      <c r="G249" s="378">
        <v>2.0</v>
      </c>
      <c r="H249" s="292">
        <f t="shared" si="196"/>
        <v>1605.77455</v>
      </c>
      <c r="I249" s="347">
        <v>0.035</v>
      </c>
      <c r="J249" s="348">
        <f t="shared" si="159"/>
        <v>1549.572441</v>
      </c>
      <c r="K249" s="349">
        <f t="shared" si="160"/>
        <v>56.20210927</v>
      </c>
      <c r="L249" s="296">
        <v>0.001397</v>
      </c>
      <c r="M249" s="347">
        <v>0.0215</v>
      </c>
      <c r="N249" s="350">
        <f t="shared" si="161"/>
        <v>0.0014270355</v>
      </c>
      <c r="O249" s="348">
        <f t="shared" si="162"/>
        <v>48.31580749</v>
      </c>
      <c r="P249" s="348">
        <f t="shared" si="163"/>
        <v>2.232794883</v>
      </c>
      <c r="Q249" s="292">
        <f t="shared" si="164"/>
        <v>1949.6159</v>
      </c>
      <c r="R249" s="347">
        <v>0.06</v>
      </c>
      <c r="S249" s="351"/>
      <c r="T249" s="299">
        <f t="shared" si="141"/>
        <v>116400</v>
      </c>
      <c r="U249" s="315">
        <f t="shared" si="142"/>
        <v>109823.4</v>
      </c>
      <c r="V249" s="315">
        <f t="shared" si="143"/>
        <v>23280</v>
      </c>
      <c r="W249" s="320">
        <f t="shared" si="144"/>
        <v>53520</v>
      </c>
      <c r="X249" s="321">
        <f t="shared" si="145"/>
        <v>0.2141280353</v>
      </c>
      <c r="Y249" s="352">
        <f t="shared" si="165"/>
        <v>0.1763636364</v>
      </c>
      <c r="Z249" s="321">
        <f t="shared" si="146"/>
        <v>0.08109090909</v>
      </c>
      <c r="AA249" s="384"/>
      <c r="AB249" s="384"/>
      <c r="AC249" s="384"/>
      <c r="AD249" s="385"/>
      <c r="AE249" s="384"/>
      <c r="AF249" s="384"/>
      <c r="AG249" s="384"/>
      <c r="AH249" s="385"/>
      <c r="AI249" s="385"/>
    </row>
    <row r="250">
      <c r="A250" s="379">
        <v>2025.0</v>
      </c>
      <c r="B250" s="379" t="s">
        <v>1076</v>
      </c>
      <c r="C250" s="379" t="s">
        <v>1074</v>
      </c>
      <c r="D250" s="379" t="s">
        <v>893</v>
      </c>
      <c r="E250" s="345">
        <v>482933.0</v>
      </c>
      <c r="F250" s="345">
        <v>615000.0</v>
      </c>
      <c r="G250" s="378">
        <v>3.0</v>
      </c>
      <c r="H250" s="292">
        <f t="shared" si="196"/>
        <v>2139.849672</v>
      </c>
      <c r="I250" s="347">
        <v>0.035</v>
      </c>
      <c r="J250" s="348">
        <f t="shared" si="159"/>
        <v>2064.954933</v>
      </c>
      <c r="K250" s="349">
        <f t="shared" si="160"/>
        <v>74.8947385</v>
      </c>
      <c r="L250" s="296">
        <v>0.001397</v>
      </c>
      <c r="M250" s="347">
        <v>0.0215</v>
      </c>
      <c r="N250" s="350">
        <f t="shared" si="161"/>
        <v>0.0014270355</v>
      </c>
      <c r="O250" s="348">
        <f t="shared" si="162"/>
        <v>59.39653106</v>
      </c>
      <c r="P250" s="348">
        <f t="shared" si="163"/>
        <v>2.968263995</v>
      </c>
      <c r="Q250" s="292">
        <f t="shared" si="164"/>
        <v>2725.031315</v>
      </c>
      <c r="R250" s="347">
        <v>0.06</v>
      </c>
      <c r="S250" s="351"/>
      <c r="T250" s="299">
        <f t="shared" si="141"/>
        <v>132067</v>
      </c>
      <c r="U250" s="315">
        <f t="shared" si="142"/>
        <v>124605.2145</v>
      </c>
      <c r="V250" s="315">
        <f t="shared" si="143"/>
        <v>26413.4</v>
      </c>
      <c r="W250" s="320">
        <f t="shared" si="144"/>
        <v>68753.6</v>
      </c>
      <c r="X250" s="321">
        <f t="shared" si="145"/>
        <v>0.2734685764</v>
      </c>
      <c r="Y250" s="352">
        <f t="shared" si="165"/>
        <v>0.2147430894</v>
      </c>
      <c r="Z250" s="321">
        <f t="shared" si="146"/>
        <v>0.1117944715</v>
      </c>
      <c r="AA250" s="384"/>
      <c r="AB250" s="384"/>
      <c r="AC250" s="384"/>
      <c r="AD250" s="385"/>
      <c r="AE250" s="384"/>
      <c r="AF250" s="384"/>
      <c r="AG250" s="384"/>
      <c r="AH250" s="385"/>
      <c r="AI250" s="385"/>
    </row>
    <row r="251">
      <c r="A251" s="379">
        <v>2025.0</v>
      </c>
      <c r="B251" s="379" t="s">
        <v>1077</v>
      </c>
      <c r="C251" s="379" t="s">
        <v>1074</v>
      </c>
      <c r="D251" s="379" t="s">
        <v>895</v>
      </c>
      <c r="E251" s="345">
        <v>399400.0</v>
      </c>
      <c r="F251" s="345">
        <v>525000.0</v>
      </c>
      <c r="G251" s="378">
        <v>4.0</v>
      </c>
      <c r="H251" s="292">
        <f t="shared" si="196"/>
        <v>2359.626032</v>
      </c>
      <c r="I251" s="347">
        <v>0.035</v>
      </c>
      <c r="J251" s="348">
        <f t="shared" si="159"/>
        <v>2277.039121</v>
      </c>
      <c r="K251" s="349">
        <f t="shared" si="160"/>
        <v>82.58691111</v>
      </c>
      <c r="L251" s="296">
        <v>0.001397</v>
      </c>
      <c r="M251" s="347">
        <v>0.0215</v>
      </c>
      <c r="N251" s="350">
        <f t="shared" si="161"/>
        <v>0.0014270355</v>
      </c>
      <c r="O251" s="348">
        <f t="shared" si="162"/>
        <v>63.9563411</v>
      </c>
      <c r="P251" s="348">
        <f t="shared" si="163"/>
        <v>3.27091566</v>
      </c>
      <c r="Q251" s="292">
        <f t="shared" si="164"/>
        <v>3101.661659</v>
      </c>
      <c r="R251" s="347">
        <v>0.06</v>
      </c>
      <c r="S251" s="351"/>
      <c r="T251" s="299">
        <f t="shared" si="141"/>
        <v>125600</v>
      </c>
      <c r="U251" s="315">
        <f t="shared" si="142"/>
        <v>118503.6</v>
      </c>
      <c r="V251" s="315">
        <f t="shared" si="143"/>
        <v>25120</v>
      </c>
      <c r="W251" s="320">
        <f t="shared" si="144"/>
        <v>68980</v>
      </c>
      <c r="X251" s="321">
        <f t="shared" si="145"/>
        <v>0.3144717076</v>
      </c>
      <c r="Y251" s="352">
        <f t="shared" si="165"/>
        <v>0.2392380952</v>
      </c>
      <c r="Z251" s="321">
        <f t="shared" si="146"/>
        <v>0.1313904762</v>
      </c>
      <c r="AA251" s="384"/>
      <c r="AB251" s="384"/>
      <c r="AC251" s="384"/>
      <c r="AD251" s="385"/>
      <c r="AE251" s="384"/>
      <c r="AF251" s="384"/>
      <c r="AG251" s="384"/>
      <c r="AH251" s="385"/>
      <c r="AI251" s="385"/>
    </row>
    <row r="252">
      <c r="A252" s="376">
        <v>2025.0</v>
      </c>
      <c r="B252" s="376" t="s">
        <v>1078</v>
      </c>
      <c r="C252" s="376" t="s">
        <v>1079</v>
      </c>
      <c r="D252" s="376" t="s">
        <v>840</v>
      </c>
      <c r="E252" s="290">
        <f>E466*1.1</f>
        <v>440000</v>
      </c>
      <c r="F252" s="345">
        <v>210000.0</v>
      </c>
      <c r="G252" s="346">
        <v>1.0</v>
      </c>
      <c r="H252" s="292">
        <f t="shared" si="196"/>
        <v>649.8719667</v>
      </c>
      <c r="I252" s="347">
        <v>0.035</v>
      </c>
      <c r="J252" s="348">
        <f t="shared" si="159"/>
        <v>627.1264479</v>
      </c>
      <c r="K252" s="349">
        <f t="shared" si="160"/>
        <v>22.74551883</v>
      </c>
      <c r="L252" s="296">
        <v>0.001397</v>
      </c>
      <c r="M252" s="347">
        <v>0.0215</v>
      </c>
      <c r="N252" s="350">
        <f t="shared" si="161"/>
        <v>0.0014270355</v>
      </c>
      <c r="O252" s="348">
        <f t="shared" si="162"/>
        <v>28.48321863</v>
      </c>
      <c r="P252" s="348">
        <f t="shared" si="163"/>
        <v>0.9164317041</v>
      </c>
      <c r="Q252" s="292">
        <f t="shared" si="164"/>
        <v>310.1661659</v>
      </c>
      <c r="R252" s="347">
        <v>0.06</v>
      </c>
      <c r="S252" s="351"/>
      <c r="T252" s="299">
        <f t="shared" si="141"/>
        <v>-230000</v>
      </c>
      <c r="U252" s="315">
        <f t="shared" si="142"/>
        <v>-217005</v>
      </c>
      <c r="V252" s="315">
        <f t="shared" si="143"/>
        <v>-46000</v>
      </c>
      <c r="W252" s="320">
        <f t="shared" si="144"/>
        <v>-196600</v>
      </c>
      <c r="X252" s="321">
        <f t="shared" si="145"/>
        <v>-0.5227272727</v>
      </c>
      <c r="Y252" s="352">
        <f t="shared" si="165"/>
        <v>-1.095238095</v>
      </c>
      <c r="Z252" s="321">
        <f t="shared" si="146"/>
        <v>-0.9361904762</v>
      </c>
      <c r="AA252" s="353"/>
      <c r="AB252" s="353"/>
      <c r="AC252" s="353"/>
      <c r="AD252" s="354"/>
      <c r="AE252" s="353"/>
      <c r="AF252" s="353"/>
      <c r="AG252" s="353"/>
      <c r="AH252" s="354" t="str">
        <f t="shared" ref="AH252:AH253" si="197">IFERROR(AVERAGE(AE252:AG252),"")</f>
        <v/>
      </c>
      <c r="AI252" s="355">
        <f t="shared" ref="AI252:AI253" si="198">AE252+AF252+AG252</f>
        <v>0</v>
      </c>
    </row>
    <row r="253">
      <c r="A253" s="376">
        <v>2026.0</v>
      </c>
      <c r="B253" s="376" t="s">
        <v>1078</v>
      </c>
      <c r="C253" s="376" t="s">
        <v>1079</v>
      </c>
      <c r="D253" s="376" t="s">
        <v>840</v>
      </c>
      <c r="E253" s="290">
        <f>((155000)*1.1)</f>
        <v>170500</v>
      </c>
      <c r="F253" s="345">
        <f>E253*1.8</f>
        <v>306900</v>
      </c>
      <c r="G253" s="346">
        <v>1.0</v>
      </c>
      <c r="H253" s="292">
        <f t="shared" si="196"/>
        <v>251.8253871</v>
      </c>
      <c r="I253" s="347">
        <v>0.035</v>
      </c>
      <c r="J253" s="348">
        <f t="shared" si="159"/>
        <v>243.0114985</v>
      </c>
      <c r="K253" s="349">
        <f t="shared" si="160"/>
        <v>8.813888548</v>
      </c>
      <c r="L253" s="296">
        <v>0.001397</v>
      </c>
      <c r="M253" s="347">
        <v>0.0215</v>
      </c>
      <c r="N253" s="350">
        <f t="shared" si="161"/>
        <v>0.0014270355</v>
      </c>
      <c r="O253" s="348">
        <f t="shared" si="162"/>
        <v>20.22474722</v>
      </c>
      <c r="P253" s="348">
        <f t="shared" si="163"/>
        <v>0.3682860353</v>
      </c>
      <c r="Q253" s="292">
        <f t="shared" si="164"/>
        <v>453.2856968</v>
      </c>
      <c r="R253" s="347">
        <v>0.06</v>
      </c>
      <c r="S253" s="351"/>
      <c r="T253" s="299">
        <f t="shared" si="141"/>
        <v>136400</v>
      </c>
      <c r="U253" s="315">
        <f t="shared" si="142"/>
        <v>128693.4</v>
      </c>
      <c r="V253" s="315">
        <f t="shared" si="143"/>
        <v>27280</v>
      </c>
      <c r="W253" s="320">
        <f t="shared" si="144"/>
        <v>90706</v>
      </c>
      <c r="X253" s="321">
        <f t="shared" si="145"/>
        <v>0.8</v>
      </c>
      <c r="Y253" s="352">
        <f t="shared" si="165"/>
        <v>0.4444444444</v>
      </c>
      <c r="Z253" s="321">
        <f t="shared" si="146"/>
        <v>0.2955555556</v>
      </c>
      <c r="AA253" s="353"/>
      <c r="AB253" s="353"/>
      <c r="AC253" s="353"/>
      <c r="AD253" s="354"/>
      <c r="AE253" s="353"/>
      <c r="AF253" s="353"/>
      <c r="AG253" s="353"/>
      <c r="AH253" s="354" t="str">
        <f t="shared" si="197"/>
        <v/>
      </c>
      <c r="AI253" s="355">
        <f t="shared" si="198"/>
        <v>0</v>
      </c>
    </row>
    <row r="254">
      <c r="A254" s="344">
        <v>2025.0</v>
      </c>
      <c r="B254" s="344" t="s">
        <v>1078</v>
      </c>
      <c r="C254" s="344" t="s">
        <v>1079</v>
      </c>
      <c r="D254" s="344" t="s">
        <v>840</v>
      </c>
      <c r="E254" s="345">
        <v>145000.0</v>
      </c>
      <c r="F254" s="345">
        <v>210000.0</v>
      </c>
      <c r="G254" s="346">
        <v>1.0</v>
      </c>
      <c r="H254" s="292">
        <f t="shared" si="196"/>
        <v>214.1623527</v>
      </c>
      <c r="I254" s="347">
        <v>0.035</v>
      </c>
      <c r="J254" s="348">
        <f t="shared" si="159"/>
        <v>206.6666703</v>
      </c>
      <c r="K254" s="349">
        <f t="shared" si="160"/>
        <v>7.495682343</v>
      </c>
      <c r="L254" s="296">
        <v>0.001397</v>
      </c>
      <c r="M254" s="347">
        <v>0.0215</v>
      </c>
      <c r="N254" s="350">
        <f t="shared" si="161"/>
        <v>0.0014270355</v>
      </c>
      <c r="O254" s="348">
        <f t="shared" si="162"/>
        <v>19.44333341</v>
      </c>
      <c r="P254" s="348">
        <f t="shared" si="163"/>
        <v>0.3164206752</v>
      </c>
      <c r="Q254" s="292">
        <f t="shared" si="164"/>
        <v>310.1661659</v>
      </c>
      <c r="R254" s="347">
        <v>0.06</v>
      </c>
      <c r="S254" s="351"/>
      <c r="T254" s="299">
        <f t="shared" si="141"/>
        <v>65000</v>
      </c>
      <c r="U254" s="315">
        <f t="shared" si="142"/>
        <v>61327.5</v>
      </c>
      <c r="V254" s="315">
        <f t="shared" si="143"/>
        <v>13000</v>
      </c>
      <c r="W254" s="320">
        <f t="shared" si="144"/>
        <v>39400</v>
      </c>
      <c r="X254" s="321">
        <f t="shared" si="145"/>
        <v>0.4482758621</v>
      </c>
      <c r="Y254" s="352">
        <f t="shared" si="165"/>
        <v>0.3095238095</v>
      </c>
      <c r="Z254" s="321">
        <f t="shared" si="146"/>
        <v>0.1876190476</v>
      </c>
      <c r="AA254" s="384"/>
      <c r="AB254" s="384"/>
      <c r="AC254" s="384"/>
      <c r="AD254" s="385"/>
      <c r="AE254" s="384"/>
      <c r="AF254" s="384"/>
      <c r="AG254" s="384"/>
      <c r="AH254" s="385"/>
      <c r="AI254" s="385"/>
    </row>
    <row r="255">
      <c r="A255" s="344">
        <v>2026.0</v>
      </c>
      <c r="B255" s="344" t="s">
        <v>1078</v>
      </c>
      <c r="C255" s="344" t="s">
        <v>1079</v>
      </c>
      <c r="D255" s="344" t="s">
        <v>840</v>
      </c>
      <c r="E255" s="345">
        <v>165000.0</v>
      </c>
      <c r="F255" s="345">
        <v>250000.0</v>
      </c>
      <c r="G255" s="346">
        <v>1.0</v>
      </c>
      <c r="H255" s="292">
        <f t="shared" si="196"/>
        <v>243.7019875</v>
      </c>
      <c r="I255" s="347">
        <v>0.035</v>
      </c>
      <c r="J255" s="348">
        <f t="shared" si="159"/>
        <v>235.1724179</v>
      </c>
      <c r="K255" s="349">
        <f t="shared" si="160"/>
        <v>8.529569563</v>
      </c>
      <c r="L255" s="296">
        <v>0.001397</v>
      </c>
      <c r="M255" s="347">
        <v>0.0215</v>
      </c>
      <c r="N255" s="350">
        <f t="shared" si="161"/>
        <v>0.0014270355</v>
      </c>
      <c r="O255" s="348">
        <f t="shared" si="162"/>
        <v>20.05620699</v>
      </c>
      <c r="P255" s="348">
        <f t="shared" si="163"/>
        <v>0.357099389</v>
      </c>
      <c r="Q255" s="292">
        <f t="shared" si="164"/>
        <v>369.2454356</v>
      </c>
      <c r="R255" s="347">
        <v>0.06</v>
      </c>
      <c r="S255" s="351"/>
      <c r="T255" s="299">
        <f t="shared" si="141"/>
        <v>85000</v>
      </c>
      <c r="U255" s="315">
        <f t="shared" si="142"/>
        <v>80197.5</v>
      </c>
      <c r="V255" s="315">
        <f t="shared" si="143"/>
        <v>17000</v>
      </c>
      <c r="W255" s="320">
        <f t="shared" si="144"/>
        <v>53000</v>
      </c>
      <c r="X255" s="321">
        <f t="shared" si="145"/>
        <v>0.5151515152</v>
      </c>
      <c r="Y255" s="352">
        <f t="shared" si="165"/>
        <v>0.34</v>
      </c>
      <c r="Z255" s="321">
        <f t="shared" si="146"/>
        <v>0.212</v>
      </c>
      <c r="AA255" s="384"/>
      <c r="AB255" s="384"/>
      <c r="AC255" s="384"/>
      <c r="AD255" s="385"/>
      <c r="AE255" s="384"/>
      <c r="AF255" s="384"/>
      <c r="AG255" s="384"/>
      <c r="AH255" s="385"/>
      <c r="AI255" s="385"/>
    </row>
    <row r="256">
      <c r="A256" s="344">
        <v>2025.0</v>
      </c>
      <c r="B256" s="344" t="s">
        <v>1080</v>
      </c>
      <c r="C256" s="359" t="s">
        <v>1081</v>
      </c>
      <c r="D256" s="344" t="s">
        <v>846</v>
      </c>
      <c r="E256" s="387">
        <v>560000.0</v>
      </c>
      <c r="F256" s="387">
        <f>E256*1.45</f>
        <v>812000</v>
      </c>
      <c r="G256" s="346">
        <v>1.0</v>
      </c>
      <c r="H256" s="292">
        <f t="shared" si="196"/>
        <v>827.1097758</v>
      </c>
      <c r="I256" s="347">
        <v>0.035</v>
      </c>
      <c r="J256" s="348">
        <f t="shared" si="159"/>
        <v>798.1609336</v>
      </c>
      <c r="K256" s="349">
        <f t="shared" si="160"/>
        <v>28.94884215</v>
      </c>
      <c r="L256" s="296">
        <v>0.001397</v>
      </c>
      <c r="M256" s="347">
        <v>0.0215</v>
      </c>
      <c r="N256" s="350">
        <f t="shared" si="161"/>
        <v>0.0014270355</v>
      </c>
      <c r="O256" s="348">
        <f t="shared" si="162"/>
        <v>32.16046007</v>
      </c>
      <c r="P256" s="348">
        <f t="shared" si="163"/>
        <v>1.160503987</v>
      </c>
      <c r="Q256" s="292">
        <f t="shared" si="164"/>
        <v>1199.309175</v>
      </c>
      <c r="R256" s="347">
        <v>0.06</v>
      </c>
      <c r="S256" s="351"/>
      <c r="T256" s="299">
        <f t="shared" si="141"/>
        <v>252000</v>
      </c>
      <c r="U256" s="315">
        <f t="shared" si="142"/>
        <v>237762</v>
      </c>
      <c r="V256" s="315">
        <f t="shared" si="143"/>
        <v>50400</v>
      </c>
      <c r="W256" s="320">
        <f t="shared" si="144"/>
        <v>152880</v>
      </c>
      <c r="X256" s="321">
        <f t="shared" si="145"/>
        <v>0.45</v>
      </c>
      <c r="Y256" s="388">
        <f t="shared" si="165"/>
        <v>0.3103448276</v>
      </c>
      <c r="Z256" s="321">
        <f t="shared" si="146"/>
        <v>0.1882758621</v>
      </c>
      <c r="AA256" s="353"/>
      <c r="AB256" s="353"/>
      <c r="AC256" s="353"/>
      <c r="AD256" s="354"/>
      <c r="AE256" s="353"/>
      <c r="AF256" s="353"/>
      <c r="AG256" s="353"/>
      <c r="AH256" s="354" t="str">
        <f t="shared" ref="AH256:AH269" si="199">IFERROR(AVERAGE(AE256:AG256),"")</f>
        <v/>
      </c>
      <c r="AI256" s="355">
        <f t="shared" ref="AI256:AI269" si="200">AE256+AF256+AG256</f>
        <v>0</v>
      </c>
    </row>
    <row r="257">
      <c r="A257" s="344">
        <v>2025.0</v>
      </c>
      <c r="B257" s="344" t="s">
        <v>1082</v>
      </c>
      <c r="C257" s="397" t="s">
        <v>1081</v>
      </c>
      <c r="D257" s="344" t="s">
        <v>1052</v>
      </c>
      <c r="E257" s="387">
        <v>880000.0</v>
      </c>
      <c r="F257" s="387">
        <v>1280000.0</v>
      </c>
      <c r="G257" s="346">
        <v>1.0</v>
      </c>
      <c r="H257" s="292">
        <f t="shared" si="196"/>
        <v>1299.743933</v>
      </c>
      <c r="I257" s="347">
        <v>0.035</v>
      </c>
      <c r="J257" s="348">
        <f t="shared" si="159"/>
        <v>1254.252896</v>
      </c>
      <c r="K257" s="349">
        <f t="shared" si="160"/>
        <v>45.49103767</v>
      </c>
      <c r="L257" s="296">
        <v>0.001397</v>
      </c>
      <c r="M257" s="347">
        <v>0.0215</v>
      </c>
      <c r="N257" s="350">
        <f t="shared" si="161"/>
        <v>0.0014270355</v>
      </c>
      <c r="O257" s="348">
        <f t="shared" si="162"/>
        <v>41.96643726</v>
      </c>
      <c r="P257" s="348">
        <f t="shared" si="163"/>
        <v>1.811363408</v>
      </c>
      <c r="Q257" s="292">
        <f t="shared" si="164"/>
        <v>1890.53663</v>
      </c>
      <c r="R257" s="347">
        <v>0.06</v>
      </c>
      <c r="S257" s="351"/>
      <c r="T257" s="299">
        <f t="shared" si="141"/>
        <v>400000</v>
      </c>
      <c r="U257" s="315">
        <f t="shared" si="142"/>
        <v>377400</v>
      </c>
      <c r="V257" s="315">
        <f t="shared" si="143"/>
        <v>80000</v>
      </c>
      <c r="W257" s="320">
        <f t="shared" si="144"/>
        <v>243200</v>
      </c>
      <c r="X257" s="321">
        <f t="shared" si="145"/>
        <v>0.4545454545</v>
      </c>
      <c r="Y257" s="388">
        <f t="shared" si="165"/>
        <v>0.3125</v>
      </c>
      <c r="Z257" s="321">
        <f t="shared" si="146"/>
        <v>0.19</v>
      </c>
      <c r="AA257" s="353"/>
      <c r="AB257" s="353"/>
      <c r="AC257" s="353"/>
      <c r="AD257" s="354"/>
      <c r="AE257" s="353"/>
      <c r="AF257" s="353"/>
      <c r="AG257" s="353"/>
      <c r="AH257" s="354" t="str">
        <f t="shared" si="199"/>
        <v/>
      </c>
      <c r="AI257" s="355">
        <f t="shared" si="200"/>
        <v>0</v>
      </c>
    </row>
    <row r="258">
      <c r="A258" s="344">
        <v>2025.0</v>
      </c>
      <c r="B258" s="344" t="s">
        <v>1083</v>
      </c>
      <c r="C258" s="344" t="s">
        <v>1081</v>
      </c>
      <c r="D258" s="344" t="s">
        <v>1054</v>
      </c>
      <c r="E258" s="387">
        <v>1320000.0</v>
      </c>
      <c r="F258" s="387">
        <v>1890000.0</v>
      </c>
      <c r="G258" s="346">
        <v>1.0</v>
      </c>
      <c r="H258" s="292">
        <f t="shared" si="196"/>
        <v>1949.6159</v>
      </c>
      <c r="I258" s="347">
        <v>0.035</v>
      </c>
      <c r="J258" s="348">
        <f t="shared" si="159"/>
        <v>1881.379344</v>
      </c>
      <c r="K258" s="349">
        <f t="shared" si="160"/>
        <v>68.2365565</v>
      </c>
      <c r="L258" s="296">
        <v>0.001397</v>
      </c>
      <c r="M258" s="347">
        <v>0.0215</v>
      </c>
      <c r="N258" s="350">
        <f t="shared" si="161"/>
        <v>0.0014270355</v>
      </c>
      <c r="O258" s="348">
        <f t="shared" si="162"/>
        <v>55.44965589</v>
      </c>
      <c r="P258" s="348">
        <f t="shared" si="163"/>
        <v>2.706295112</v>
      </c>
      <c r="Q258" s="292">
        <f t="shared" si="164"/>
        <v>2791.495493</v>
      </c>
      <c r="R258" s="347">
        <v>0.06</v>
      </c>
      <c r="S258" s="351"/>
      <c r="T258" s="299">
        <f t="shared" si="141"/>
        <v>570000</v>
      </c>
      <c r="U258" s="315">
        <f t="shared" si="142"/>
        <v>537795</v>
      </c>
      <c r="V258" s="315">
        <f t="shared" si="143"/>
        <v>114000</v>
      </c>
      <c r="W258" s="320">
        <f t="shared" si="144"/>
        <v>342600</v>
      </c>
      <c r="X258" s="321">
        <f t="shared" si="145"/>
        <v>0.4318181818</v>
      </c>
      <c r="Y258" s="388">
        <f t="shared" si="165"/>
        <v>0.3015873016</v>
      </c>
      <c r="Z258" s="321">
        <f t="shared" si="146"/>
        <v>0.1812698413</v>
      </c>
      <c r="AA258" s="353"/>
      <c r="AB258" s="353"/>
      <c r="AC258" s="353"/>
      <c r="AD258" s="354"/>
      <c r="AE258" s="353"/>
      <c r="AF258" s="353"/>
      <c r="AG258" s="353"/>
      <c r="AH258" s="354" t="str">
        <f t="shared" si="199"/>
        <v/>
      </c>
      <c r="AI258" s="355">
        <f t="shared" si="200"/>
        <v>0</v>
      </c>
    </row>
    <row r="259">
      <c r="A259" s="344">
        <v>2025.0</v>
      </c>
      <c r="B259" s="344" t="s">
        <v>1084</v>
      </c>
      <c r="C259" s="344" t="s">
        <v>1081</v>
      </c>
      <c r="D259" s="344" t="s">
        <v>1056</v>
      </c>
      <c r="E259" s="387">
        <v>1600000.0</v>
      </c>
      <c r="F259" s="387">
        <v>2300000.0</v>
      </c>
      <c r="G259" s="346">
        <v>1.0</v>
      </c>
      <c r="H259" s="292">
        <f t="shared" si="196"/>
        <v>2363.170788</v>
      </c>
      <c r="I259" s="347">
        <v>0.035</v>
      </c>
      <c r="J259" s="348">
        <f t="shared" si="159"/>
        <v>2280.45981</v>
      </c>
      <c r="K259" s="349">
        <f t="shared" si="160"/>
        <v>82.71097758</v>
      </c>
      <c r="L259" s="296">
        <v>0.001397</v>
      </c>
      <c r="M259" s="347">
        <v>0.0215</v>
      </c>
      <c r="N259" s="350">
        <f t="shared" si="161"/>
        <v>0.0014270355</v>
      </c>
      <c r="O259" s="348">
        <f t="shared" si="162"/>
        <v>64.02988592</v>
      </c>
      <c r="P259" s="348">
        <f t="shared" si="163"/>
        <v>3.275797106</v>
      </c>
      <c r="Q259" s="292">
        <f t="shared" si="164"/>
        <v>3397.058008</v>
      </c>
      <c r="R259" s="347">
        <v>0.06</v>
      </c>
      <c r="S259" s="351"/>
      <c r="T259" s="299">
        <f t="shared" si="141"/>
        <v>700000</v>
      </c>
      <c r="U259" s="315">
        <f t="shared" si="142"/>
        <v>660450</v>
      </c>
      <c r="V259" s="315">
        <f t="shared" si="143"/>
        <v>140000</v>
      </c>
      <c r="W259" s="320">
        <f t="shared" si="144"/>
        <v>422000</v>
      </c>
      <c r="X259" s="321">
        <f t="shared" si="145"/>
        <v>0.4375</v>
      </c>
      <c r="Y259" s="388">
        <f t="shared" si="165"/>
        <v>0.3043478261</v>
      </c>
      <c r="Z259" s="321">
        <f t="shared" si="146"/>
        <v>0.1834782609</v>
      </c>
      <c r="AA259" s="353"/>
      <c r="AB259" s="353"/>
      <c r="AC259" s="353"/>
      <c r="AD259" s="354"/>
      <c r="AE259" s="353"/>
      <c r="AF259" s="353"/>
      <c r="AG259" s="353"/>
      <c r="AH259" s="354" t="str">
        <f t="shared" si="199"/>
        <v/>
      </c>
      <c r="AI259" s="355">
        <f t="shared" si="200"/>
        <v>0</v>
      </c>
    </row>
    <row r="260">
      <c r="A260" s="344">
        <v>2025.0</v>
      </c>
      <c r="B260" s="344" t="s">
        <v>1085</v>
      </c>
      <c r="C260" s="344" t="s">
        <v>1081</v>
      </c>
      <c r="D260" s="344" t="s">
        <v>1058</v>
      </c>
      <c r="E260" s="387">
        <v>1800000.0</v>
      </c>
      <c r="F260" s="387">
        <v>2600000.0</v>
      </c>
      <c r="G260" s="346">
        <v>1.0</v>
      </c>
      <c r="H260" s="292">
        <f t="shared" si="196"/>
        <v>2658.567137</v>
      </c>
      <c r="I260" s="347">
        <v>0.035</v>
      </c>
      <c r="J260" s="348">
        <f t="shared" si="159"/>
        <v>2565.517287</v>
      </c>
      <c r="K260" s="349">
        <f t="shared" si="160"/>
        <v>93.04984978</v>
      </c>
      <c r="L260" s="296">
        <v>0.001397</v>
      </c>
      <c r="M260" s="347">
        <v>0.0215</v>
      </c>
      <c r="N260" s="350">
        <f t="shared" si="161"/>
        <v>0.0014270355</v>
      </c>
      <c r="O260" s="348">
        <f t="shared" si="162"/>
        <v>70.15862166</v>
      </c>
      <c r="P260" s="348">
        <f t="shared" si="163"/>
        <v>3.682584244</v>
      </c>
      <c r="Q260" s="292">
        <f t="shared" si="164"/>
        <v>3840.152531</v>
      </c>
      <c r="R260" s="347">
        <v>0.06</v>
      </c>
      <c r="S260" s="351"/>
      <c r="T260" s="299">
        <f t="shared" si="141"/>
        <v>800000</v>
      </c>
      <c r="U260" s="315">
        <f t="shared" si="142"/>
        <v>754800</v>
      </c>
      <c r="V260" s="315">
        <f t="shared" si="143"/>
        <v>160000</v>
      </c>
      <c r="W260" s="320">
        <f t="shared" si="144"/>
        <v>484000</v>
      </c>
      <c r="X260" s="321">
        <f t="shared" si="145"/>
        <v>0.4444444444</v>
      </c>
      <c r="Y260" s="388">
        <f t="shared" si="165"/>
        <v>0.3076923077</v>
      </c>
      <c r="Z260" s="321">
        <f t="shared" si="146"/>
        <v>0.1861538462</v>
      </c>
      <c r="AA260" s="353"/>
      <c r="AB260" s="353"/>
      <c r="AC260" s="353"/>
      <c r="AD260" s="354"/>
      <c r="AE260" s="353"/>
      <c r="AF260" s="353"/>
      <c r="AG260" s="353"/>
      <c r="AH260" s="354" t="str">
        <f t="shared" si="199"/>
        <v/>
      </c>
      <c r="AI260" s="355">
        <f t="shared" si="200"/>
        <v>0</v>
      </c>
    </row>
    <row r="261">
      <c r="A261" s="344">
        <v>2025.0</v>
      </c>
      <c r="B261" s="397" t="s">
        <v>1086</v>
      </c>
      <c r="C261" s="344" t="s">
        <v>1081</v>
      </c>
      <c r="D261" s="344" t="s">
        <v>1060</v>
      </c>
      <c r="E261" s="387">
        <v>2200000.0</v>
      </c>
      <c r="F261" s="387">
        <v>3200000.0</v>
      </c>
      <c r="G261" s="346">
        <v>1.0</v>
      </c>
      <c r="H261" s="292">
        <f t="shared" si="196"/>
        <v>3249.359834</v>
      </c>
      <c r="I261" s="347">
        <v>0.035</v>
      </c>
      <c r="J261" s="348">
        <f t="shared" si="159"/>
        <v>3135.632239</v>
      </c>
      <c r="K261" s="349">
        <f t="shared" si="160"/>
        <v>113.7275942</v>
      </c>
      <c r="L261" s="296">
        <v>0.001397</v>
      </c>
      <c r="M261" s="347">
        <v>0.0215</v>
      </c>
      <c r="N261" s="350">
        <f t="shared" si="161"/>
        <v>0.0014270355</v>
      </c>
      <c r="O261" s="348">
        <f t="shared" si="162"/>
        <v>82.41609315</v>
      </c>
      <c r="P261" s="348">
        <f t="shared" si="163"/>
        <v>4.49615852</v>
      </c>
      <c r="Q261" s="292">
        <f t="shared" si="164"/>
        <v>4726.341576</v>
      </c>
      <c r="R261" s="347">
        <v>0.06</v>
      </c>
      <c r="S261" s="351"/>
      <c r="T261" s="299">
        <f t="shared" si="141"/>
        <v>1000000</v>
      </c>
      <c r="U261" s="315">
        <f t="shared" si="142"/>
        <v>943500</v>
      </c>
      <c r="V261" s="315">
        <f t="shared" si="143"/>
        <v>200000</v>
      </c>
      <c r="W261" s="320">
        <f t="shared" si="144"/>
        <v>608000</v>
      </c>
      <c r="X261" s="321">
        <f t="shared" si="145"/>
        <v>0.4545454545</v>
      </c>
      <c r="Y261" s="388">
        <f t="shared" si="165"/>
        <v>0.3125</v>
      </c>
      <c r="Z261" s="321">
        <f t="shared" si="146"/>
        <v>0.19</v>
      </c>
      <c r="AA261" s="353"/>
      <c r="AB261" s="353"/>
      <c r="AC261" s="353"/>
      <c r="AD261" s="354"/>
      <c r="AE261" s="353"/>
      <c r="AF261" s="353"/>
      <c r="AG261" s="353"/>
      <c r="AH261" s="354" t="str">
        <f t="shared" si="199"/>
        <v/>
      </c>
      <c r="AI261" s="355">
        <f t="shared" si="200"/>
        <v>0</v>
      </c>
    </row>
    <row r="262">
      <c r="A262" s="344">
        <v>2025.0</v>
      </c>
      <c r="B262" s="344" t="s">
        <v>1087</v>
      </c>
      <c r="C262" s="344" t="s">
        <v>1088</v>
      </c>
      <c r="D262" s="344" t="s">
        <v>846</v>
      </c>
      <c r="E262" s="387">
        <v>55000.0</v>
      </c>
      <c r="F262" s="387">
        <v>150000.0</v>
      </c>
      <c r="G262" s="346">
        <v>1.0</v>
      </c>
      <c r="H262" s="292">
        <f t="shared" si="196"/>
        <v>81.23399584</v>
      </c>
      <c r="I262" s="347">
        <v>0.035</v>
      </c>
      <c r="J262" s="348">
        <f t="shared" si="159"/>
        <v>78.39080598</v>
      </c>
      <c r="K262" s="349">
        <f t="shared" si="160"/>
        <v>2.843189854</v>
      </c>
      <c r="L262" s="296">
        <v>0.001397</v>
      </c>
      <c r="M262" s="347">
        <v>0.0215</v>
      </c>
      <c r="N262" s="350">
        <f t="shared" si="161"/>
        <v>0.0014270355</v>
      </c>
      <c r="O262" s="348">
        <f t="shared" si="162"/>
        <v>16.68540233</v>
      </c>
      <c r="P262" s="348">
        <f t="shared" si="163"/>
        <v>0.133366463</v>
      </c>
      <c r="Q262" s="292">
        <f t="shared" si="164"/>
        <v>221.5472614</v>
      </c>
      <c r="R262" s="347">
        <v>0.06</v>
      </c>
      <c r="S262" s="351"/>
      <c r="T262" s="299">
        <f t="shared" si="141"/>
        <v>95000</v>
      </c>
      <c r="U262" s="315">
        <f t="shared" si="142"/>
        <v>89632.5</v>
      </c>
      <c r="V262" s="315">
        <f t="shared" si="143"/>
        <v>19000</v>
      </c>
      <c r="W262" s="320">
        <f t="shared" si="144"/>
        <v>67000</v>
      </c>
      <c r="X262" s="321">
        <f t="shared" si="145"/>
        <v>1.727272727</v>
      </c>
      <c r="Y262" s="388">
        <f t="shared" si="165"/>
        <v>0.6333333333</v>
      </c>
      <c r="Z262" s="321">
        <f t="shared" si="146"/>
        <v>0.4466666667</v>
      </c>
      <c r="AA262" s="398"/>
      <c r="AB262" s="398"/>
      <c r="AC262" s="398"/>
      <c r="AD262" s="354"/>
      <c r="AE262" s="353"/>
      <c r="AF262" s="353"/>
      <c r="AG262" s="353"/>
      <c r="AH262" s="354" t="str">
        <f t="shared" si="199"/>
        <v/>
      </c>
      <c r="AI262" s="355">
        <f t="shared" si="200"/>
        <v>0</v>
      </c>
    </row>
    <row r="263">
      <c r="A263" s="344">
        <v>2025.0</v>
      </c>
      <c r="B263" s="344" t="s">
        <v>1089</v>
      </c>
      <c r="C263" s="344" t="s">
        <v>1088</v>
      </c>
      <c r="D263" s="389" t="s">
        <v>290</v>
      </c>
      <c r="E263" s="387">
        <v>145000.0</v>
      </c>
      <c r="F263" s="387">
        <v>280000.0</v>
      </c>
      <c r="G263" s="346">
        <v>1.0</v>
      </c>
      <c r="H263" s="292">
        <f t="shared" si="196"/>
        <v>214.1623527</v>
      </c>
      <c r="I263" s="347">
        <v>0.035</v>
      </c>
      <c r="J263" s="348">
        <f t="shared" si="159"/>
        <v>206.6666703</v>
      </c>
      <c r="K263" s="349">
        <f t="shared" si="160"/>
        <v>7.495682343</v>
      </c>
      <c r="L263" s="296">
        <v>0.001397</v>
      </c>
      <c r="M263" s="347">
        <v>0.0215</v>
      </c>
      <c r="N263" s="350">
        <f t="shared" si="161"/>
        <v>0.0014270355</v>
      </c>
      <c r="O263" s="348">
        <f t="shared" si="162"/>
        <v>19.44333341</v>
      </c>
      <c r="P263" s="348">
        <f t="shared" si="163"/>
        <v>0.3164206752</v>
      </c>
      <c r="Q263" s="292">
        <f t="shared" si="164"/>
        <v>413.5548879</v>
      </c>
      <c r="R263" s="347">
        <v>0.06</v>
      </c>
      <c r="S263" s="351"/>
      <c r="T263" s="299">
        <f t="shared" si="141"/>
        <v>135000</v>
      </c>
      <c r="U263" s="315">
        <f t="shared" si="142"/>
        <v>127372.5</v>
      </c>
      <c r="V263" s="315">
        <f t="shared" si="143"/>
        <v>27000</v>
      </c>
      <c r="W263" s="320">
        <f t="shared" si="144"/>
        <v>91200</v>
      </c>
      <c r="X263" s="321">
        <f t="shared" si="145"/>
        <v>0.9310344828</v>
      </c>
      <c r="Y263" s="388">
        <f t="shared" si="165"/>
        <v>0.4821428571</v>
      </c>
      <c r="Z263" s="321">
        <f t="shared" si="146"/>
        <v>0.3257142857</v>
      </c>
      <c r="AA263" s="398"/>
      <c r="AB263" s="398"/>
      <c r="AC263" s="398"/>
      <c r="AD263" s="354"/>
      <c r="AE263" s="353"/>
      <c r="AF263" s="353"/>
      <c r="AG263" s="353"/>
      <c r="AH263" s="354" t="str">
        <f t="shared" si="199"/>
        <v/>
      </c>
      <c r="AI263" s="355">
        <f t="shared" si="200"/>
        <v>0</v>
      </c>
    </row>
    <row r="264">
      <c r="A264" s="344">
        <v>2025.0</v>
      </c>
      <c r="B264" s="344" t="s">
        <v>1090</v>
      </c>
      <c r="C264" s="344" t="s">
        <v>1088</v>
      </c>
      <c r="D264" s="389" t="s">
        <v>291</v>
      </c>
      <c r="E264" s="387">
        <v>170000.0</v>
      </c>
      <c r="F264" s="387">
        <v>320000.0</v>
      </c>
      <c r="G264" s="346">
        <v>1.0</v>
      </c>
      <c r="H264" s="292">
        <f t="shared" si="196"/>
        <v>251.0868962</v>
      </c>
      <c r="I264" s="347">
        <v>0.035</v>
      </c>
      <c r="J264" s="348">
        <f t="shared" si="159"/>
        <v>242.2988549</v>
      </c>
      <c r="K264" s="349">
        <f t="shared" si="160"/>
        <v>8.788041368</v>
      </c>
      <c r="L264" s="296">
        <v>0.001397</v>
      </c>
      <c r="M264" s="347">
        <v>0.0215</v>
      </c>
      <c r="N264" s="350">
        <f t="shared" si="161"/>
        <v>0.0014270355</v>
      </c>
      <c r="O264" s="348">
        <f t="shared" si="162"/>
        <v>20.20942538</v>
      </c>
      <c r="P264" s="348">
        <f t="shared" si="163"/>
        <v>0.3672690675</v>
      </c>
      <c r="Q264" s="292">
        <f t="shared" si="164"/>
        <v>472.6341576</v>
      </c>
      <c r="R264" s="347">
        <v>0.06</v>
      </c>
      <c r="S264" s="351"/>
      <c r="T264" s="299">
        <f t="shared" si="141"/>
        <v>150000</v>
      </c>
      <c r="U264" s="315">
        <f t="shared" si="142"/>
        <v>141525</v>
      </c>
      <c r="V264" s="315">
        <f t="shared" si="143"/>
        <v>30000</v>
      </c>
      <c r="W264" s="320">
        <f t="shared" si="144"/>
        <v>100800</v>
      </c>
      <c r="X264" s="321">
        <f t="shared" si="145"/>
        <v>0.8823529412</v>
      </c>
      <c r="Y264" s="388">
        <f t="shared" si="165"/>
        <v>0.46875</v>
      </c>
      <c r="Z264" s="321">
        <f t="shared" si="146"/>
        <v>0.315</v>
      </c>
      <c r="AA264" s="398"/>
      <c r="AB264" s="398"/>
      <c r="AC264" s="398"/>
      <c r="AD264" s="354"/>
      <c r="AE264" s="353"/>
      <c r="AF264" s="353"/>
      <c r="AG264" s="353"/>
      <c r="AH264" s="354" t="str">
        <f t="shared" si="199"/>
        <v/>
      </c>
      <c r="AI264" s="355">
        <f t="shared" si="200"/>
        <v>0</v>
      </c>
    </row>
    <row r="265">
      <c r="A265" s="344">
        <v>2025.0</v>
      </c>
      <c r="B265" s="344" t="s">
        <v>1091</v>
      </c>
      <c r="C265" s="344" t="s">
        <v>1088</v>
      </c>
      <c r="D265" s="389" t="s">
        <v>292</v>
      </c>
      <c r="E265" s="387">
        <v>200000.0</v>
      </c>
      <c r="F265" s="387">
        <v>500000.0</v>
      </c>
      <c r="G265" s="346">
        <v>1.0</v>
      </c>
      <c r="H265" s="292">
        <f t="shared" si="196"/>
        <v>295.3963485</v>
      </c>
      <c r="I265" s="347">
        <v>0.035</v>
      </c>
      <c r="J265" s="348">
        <f t="shared" si="159"/>
        <v>285.0574763</v>
      </c>
      <c r="K265" s="349">
        <f t="shared" si="160"/>
        <v>10.3388722</v>
      </c>
      <c r="L265" s="296">
        <v>0.001397</v>
      </c>
      <c r="M265" s="347">
        <v>0.0215</v>
      </c>
      <c r="N265" s="350">
        <f t="shared" si="161"/>
        <v>0.0014270355</v>
      </c>
      <c r="O265" s="348">
        <f t="shared" si="162"/>
        <v>21.12873574</v>
      </c>
      <c r="P265" s="348">
        <f t="shared" si="163"/>
        <v>0.4282871382</v>
      </c>
      <c r="Q265" s="292">
        <f t="shared" si="164"/>
        <v>738.4908713</v>
      </c>
      <c r="R265" s="347">
        <v>0.06</v>
      </c>
      <c r="S265" s="351"/>
      <c r="T265" s="299">
        <f t="shared" si="141"/>
        <v>300000</v>
      </c>
      <c r="U265" s="315">
        <f t="shared" si="142"/>
        <v>283050</v>
      </c>
      <c r="V265" s="315">
        <f t="shared" si="143"/>
        <v>60000</v>
      </c>
      <c r="W265" s="320">
        <f t="shared" si="144"/>
        <v>210000</v>
      </c>
      <c r="X265" s="321">
        <f t="shared" si="145"/>
        <v>1.5</v>
      </c>
      <c r="Y265" s="388">
        <f t="shared" si="165"/>
        <v>0.6</v>
      </c>
      <c r="Z265" s="321">
        <f t="shared" si="146"/>
        <v>0.42</v>
      </c>
      <c r="AA265" s="398"/>
      <c r="AB265" s="398"/>
      <c r="AC265" s="398"/>
      <c r="AD265" s="354"/>
      <c r="AE265" s="353"/>
      <c r="AF265" s="353"/>
      <c r="AG265" s="353"/>
      <c r="AH265" s="354" t="str">
        <f t="shared" si="199"/>
        <v/>
      </c>
      <c r="AI265" s="355">
        <f t="shared" si="200"/>
        <v>0</v>
      </c>
    </row>
    <row r="266">
      <c r="A266" s="344">
        <v>2025.0</v>
      </c>
      <c r="B266" s="344" t="s">
        <v>1092</v>
      </c>
      <c r="C266" s="344" t="s">
        <v>1088</v>
      </c>
      <c r="D266" s="390" t="s">
        <v>293</v>
      </c>
      <c r="E266" s="387">
        <v>260000.0</v>
      </c>
      <c r="F266" s="387">
        <v>720000.0</v>
      </c>
      <c r="G266" s="346">
        <v>1.0</v>
      </c>
      <c r="H266" s="292">
        <f t="shared" si="196"/>
        <v>384.0152531</v>
      </c>
      <c r="I266" s="347">
        <v>0.035</v>
      </c>
      <c r="J266" s="348">
        <f t="shared" si="159"/>
        <v>370.5747192</v>
      </c>
      <c r="K266" s="349">
        <f t="shared" si="160"/>
        <v>13.44053386</v>
      </c>
      <c r="L266" s="296">
        <v>0.001397</v>
      </c>
      <c r="M266" s="347">
        <v>0.0215</v>
      </c>
      <c r="N266" s="350">
        <f t="shared" si="161"/>
        <v>0.0014270355</v>
      </c>
      <c r="O266" s="348">
        <f t="shared" si="162"/>
        <v>22.96735646</v>
      </c>
      <c r="P266" s="348">
        <f t="shared" si="163"/>
        <v>0.5503232797</v>
      </c>
      <c r="Q266" s="292">
        <f t="shared" si="164"/>
        <v>1063.426855</v>
      </c>
      <c r="R266" s="347">
        <v>0.06</v>
      </c>
      <c r="S266" s="351"/>
      <c r="T266" s="299">
        <f t="shared" si="141"/>
        <v>460000</v>
      </c>
      <c r="U266" s="315">
        <f t="shared" si="142"/>
        <v>434010</v>
      </c>
      <c r="V266" s="315">
        <f t="shared" si="143"/>
        <v>92000</v>
      </c>
      <c r="W266" s="320">
        <f t="shared" si="144"/>
        <v>324800</v>
      </c>
      <c r="X266" s="321">
        <f t="shared" si="145"/>
        <v>1.769230769</v>
      </c>
      <c r="Y266" s="388">
        <f t="shared" si="165"/>
        <v>0.6388888889</v>
      </c>
      <c r="Z266" s="321">
        <f t="shared" si="146"/>
        <v>0.4511111111</v>
      </c>
      <c r="AA266" s="398"/>
      <c r="AB266" s="398"/>
      <c r="AC266" s="398"/>
      <c r="AD266" s="354"/>
      <c r="AE266" s="353"/>
      <c r="AF266" s="353"/>
      <c r="AG266" s="353"/>
      <c r="AH266" s="354" t="str">
        <f t="shared" si="199"/>
        <v/>
      </c>
      <c r="AI266" s="355">
        <f t="shared" si="200"/>
        <v>0</v>
      </c>
    </row>
    <row r="267">
      <c r="A267" s="344">
        <v>2025.0</v>
      </c>
      <c r="B267" s="344" t="s">
        <v>1093</v>
      </c>
      <c r="C267" s="344" t="s">
        <v>1088</v>
      </c>
      <c r="D267" s="390" t="s">
        <v>294</v>
      </c>
      <c r="E267" s="387">
        <v>380000.0</v>
      </c>
      <c r="F267" s="387">
        <v>890000.0</v>
      </c>
      <c r="G267" s="346">
        <v>1.0</v>
      </c>
      <c r="H267" s="292">
        <f t="shared" si="196"/>
        <v>561.2530622</v>
      </c>
      <c r="I267" s="347">
        <v>0.035</v>
      </c>
      <c r="J267" s="348">
        <f t="shared" si="159"/>
        <v>541.609205</v>
      </c>
      <c r="K267" s="349">
        <f t="shared" si="160"/>
        <v>19.64385718</v>
      </c>
      <c r="L267" s="296">
        <v>0.001397</v>
      </c>
      <c r="M267" s="347">
        <v>0.0215</v>
      </c>
      <c r="N267" s="350">
        <f t="shared" si="161"/>
        <v>0.0014270355</v>
      </c>
      <c r="O267" s="348">
        <f t="shared" si="162"/>
        <v>26.64459791</v>
      </c>
      <c r="P267" s="348">
        <f t="shared" si="163"/>
        <v>0.7943955626</v>
      </c>
      <c r="Q267" s="292">
        <f t="shared" si="164"/>
        <v>1314.513751</v>
      </c>
      <c r="R267" s="347">
        <v>0.06</v>
      </c>
      <c r="S267" s="351"/>
      <c r="T267" s="299">
        <f t="shared" si="141"/>
        <v>510000</v>
      </c>
      <c r="U267" s="315">
        <f t="shared" si="142"/>
        <v>481185</v>
      </c>
      <c r="V267" s="315">
        <f t="shared" si="143"/>
        <v>102000</v>
      </c>
      <c r="W267" s="320">
        <f t="shared" si="144"/>
        <v>354600</v>
      </c>
      <c r="X267" s="321">
        <f t="shared" si="145"/>
        <v>1.342105263</v>
      </c>
      <c r="Y267" s="388">
        <f t="shared" si="165"/>
        <v>0.5730337079</v>
      </c>
      <c r="Z267" s="321">
        <f t="shared" si="146"/>
        <v>0.3984269663</v>
      </c>
      <c r="AA267" s="398"/>
      <c r="AB267" s="398"/>
      <c r="AC267" s="398"/>
      <c r="AD267" s="354"/>
      <c r="AE267" s="353"/>
      <c r="AF267" s="353"/>
      <c r="AG267" s="353"/>
      <c r="AH267" s="354" t="str">
        <f t="shared" si="199"/>
        <v/>
      </c>
      <c r="AI267" s="355">
        <f t="shared" si="200"/>
        <v>0</v>
      </c>
    </row>
    <row r="268">
      <c r="A268" s="344">
        <v>2025.0</v>
      </c>
      <c r="B268" s="344" t="s">
        <v>1092</v>
      </c>
      <c r="C268" s="344" t="s">
        <v>1088</v>
      </c>
      <c r="D268" s="344" t="s">
        <v>293</v>
      </c>
      <c r="E268" s="290">
        <f t="shared" ref="E268:E269" si="201">E482*1.1</f>
        <v>0</v>
      </c>
      <c r="F268" s="345">
        <v>400000.0</v>
      </c>
      <c r="G268" s="346">
        <v>1.0</v>
      </c>
      <c r="H268" s="292">
        <f t="shared" si="196"/>
        <v>0</v>
      </c>
      <c r="I268" s="347">
        <v>0.035</v>
      </c>
      <c r="J268" s="348">
        <f t="shared" si="159"/>
        <v>0</v>
      </c>
      <c r="K268" s="349">
        <f t="shared" si="160"/>
        <v>0</v>
      </c>
      <c r="L268" s="296">
        <v>0.001397</v>
      </c>
      <c r="M268" s="347">
        <v>0.0215</v>
      </c>
      <c r="N268" s="350">
        <f t="shared" si="161"/>
        <v>0.0014270355</v>
      </c>
      <c r="O268" s="348">
        <f t="shared" si="162"/>
        <v>15</v>
      </c>
      <c r="P268" s="348">
        <f t="shared" si="163"/>
        <v>0.0215</v>
      </c>
      <c r="Q268" s="292">
        <f t="shared" si="164"/>
        <v>590.792697</v>
      </c>
      <c r="R268" s="347">
        <v>0.06</v>
      </c>
      <c r="S268" s="351"/>
      <c r="T268" s="299">
        <f t="shared" si="141"/>
        <v>400000</v>
      </c>
      <c r="U268" s="315">
        <f t="shared" si="142"/>
        <v>377400</v>
      </c>
      <c r="V268" s="315">
        <f t="shared" si="143"/>
        <v>80000</v>
      </c>
      <c r="W268" s="320">
        <f t="shared" si="144"/>
        <v>296000</v>
      </c>
      <c r="X268" s="321" t="str">
        <f t="shared" si="145"/>
        <v/>
      </c>
      <c r="Y268" s="352">
        <f t="shared" si="165"/>
        <v>1</v>
      </c>
      <c r="Z268" s="321">
        <f t="shared" si="146"/>
        <v>0.74</v>
      </c>
      <c r="AA268" s="353"/>
      <c r="AB268" s="353"/>
      <c r="AC268" s="353"/>
      <c r="AD268" s="354"/>
      <c r="AE268" s="353"/>
      <c r="AF268" s="353"/>
      <c r="AG268" s="353"/>
      <c r="AH268" s="354" t="str">
        <f t="shared" si="199"/>
        <v/>
      </c>
      <c r="AI268" s="355">
        <f t="shared" si="200"/>
        <v>0</v>
      </c>
    </row>
    <row r="269">
      <c r="A269" s="382">
        <v>2026.0</v>
      </c>
      <c r="B269" s="344" t="s">
        <v>1092</v>
      </c>
      <c r="C269" s="344" t="s">
        <v>1088</v>
      </c>
      <c r="D269" s="344" t="s">
        <v>293</v>
      </c>
      <c r="E269" s="290">
        <f t="shared" si="201"/>
        <v>0</v>
      </c>
      <c r="F269" s="345">
        <v>400000.0</v>
      </c>
      <c r="G269" s="346">
        <v>1.0</v>
      </c>
      <c r="H269" s="292">
        <f t="shared" si="196"/>
        <v>0</v>
      </c>
      <c r="I269" s="347">
        <v>0.035</v>
      </c>
      <c r="J269" s="348">
        <f t="shared" si="159"/>
        <v>0</v>
      </c>
      <c r="K269" s="349">
        <f t="shared" si="160"/>
        <v>0</v>
      </c>
      <c r="L269" s="296">
        <v>0.001397</v>
      </c>
      <c r="M269" s="347">
        <v>0.0215</v>
      </c>
      <c r="N269" s="350">
        <f t="shared" si="161"/>
        <v>0.0014270355</v>
      </c>
      <c r="O269" s="348">
        <f t="shared" si="162"/>
        <v>15</v>
      </c>
      <c r="P269" s="348">
        <f t="shared" si="163"/>
        <v>0.0215</v>
      </c>
      <c r="Q269" s="292">
        <f t="shared" si="164"/>
        <v>590.792697</v>
      </c>
      <c r="R269" s="347">
        <v>0.06</v>
      </c>
      <c r="S269" s="351"/>
      <c r="T269" s="299">
        <f t="shared" si="141"/>
        <v>400000</v>
      </c>
      <c r="U269" s="315">
        <f t="shared" si="142"/>
        <v>377400</v>
      </c>
      <c r="V269" s="315">
        <f t="shared" si="143"/>
        <v>80000</v>
      </c>
      <c r="W269" s="320">
        <f t="shared" si="144"/>
        <v>296000</v>
      </c>
      <c r="X269" s="321" t="str">
        <f t="shared" si="145"/>
        <v/>
      </c>
      <c r="Y269" s="352">
        <f t="shared" si="165"/>
        <v>1</v>
      </c>
      <c r="Z269" s="321">
        <f t="shared" si="146"/>
        <v>0.74</v>
      </c>
      <c r="AA269" s="353"/>
      <c r="AB269" s="353"/>
      <c r="AC269" s="353"/>
      <c r="AD269" s="354"/>
      <c r="AE269" s="353"/>
      <c r="AF269" s="353"/>
      <c r="AG269" s="353"/>
      <c r="AH269" s="354" t="str">
        <f t="shared" si="199"/>
        <v/>
      </c>
      <c r="AI269" s="355">
        <f t="shared" si="200"/>
        <v>0</v>
      </c>
    </row>
    <row r="270">
      <c r="A270" s="376">
        <v>2025.0</v>
      </c>
      <c r="B270" s="376"/>
      <c r="C270" s="376" t="s">
        <v>1094</v>
      </c>
      <c r="D270" s="376" t="s">
        <v>846</v>
      </c>
      <c r="E270" s="377">
        <f>(159000*0.8)*1.1</f>
        <v>139920</v>
      </c>
      <c r="F270" s="345">
        <f>E270*2.59</f>
        <v>362392.8</v>
      </c>
      <c r="G270" s="378">
        <v>1.0</v>
      </c>
      <c r="H270" s="292">
        <f t="shared" si="196"/>
        <v>206.6592854</v>
      </c>
      <c r="I270" s="347">
        <v>0.035</v>
      </c>
      <c r="J270" s="348">
        <f t="shared" si="159"/>
        <v>199.4262104</v>
      </c>
      <c r="K270" s="349">
        <f t="shared" si="160"/>
        <v>7.233074989</v>
      </c>
      <c r="L270" s="296">
        <v>0.001397</v>
      </c>
      <c r="M270" s="347">
        <v>0.0215</v>
      </c>
      <c r="N270" s="350">
        <f t="shared" si="161"/>
        <v>0.0014270355</v>
      </c>
      <c r="O270" s="348">
        <f t="shared" si="162"/>
        <v>19.28766352</v>
      </c>
      <c r="P270" s="348">
        <f t="shared" si="163"/>
        <v>0.3060882819</v>
      </c>
      <c r="Q270" s="292">
        <f t="shared" si="164"/>
        <v>535.2475492</v>
      </c>
      <c r="R270" s="347">
        <v>0.06</v>
      </c>
      <c r="S270" s="351"/>
      <c r="T270" s="299">
        <f t="shared" si="141"/>
        <v>222472.8</v>
      </c>
      <c r="U270" s="315">
        <f t="shared" si="142"/>
        <v>209903.0868</v>
      </c>
      <c r="V270" s="315">
        <f t="shared" si="143"/>
        <v>44494.56</v>
      </c>
      <c r="W270" s="320">
        <f t="shared" si="144"/>
        <v>156234.672</v>
      </c>
      <c r="X270" s="321">
        <f t="shared" si="145"/>
        <v>1.59</v>
      </c>
      <c r="Y270" s="352">
        <f t="shared" si="165"/>
        <v>0.6138996139</v>
      </c>
      <c r="Z270" s="321">
        <f t="shared" si="146"/>
        <v>0.4311196911</v>
      </c>
      <c r="AA270" s="353"/>
      <c r="AB270" s="353"/>
      <c r="AC270" s="353"/>
      <c r="AD270" s="393"/>
      <c r="AE270" s="353"/>
      <c r="AF270" s="353"/>
      <c r="AG270" s="353"/>
      <c r="AH270" s="393"/>
      <c r="AI270" s="394"/>
    </row>
    <row r="271">
      <c r="A271" s="376">
        <v>2025.0</v>
      </c>
      <c r="B271" s="376"/>
      <c r="C271" s="376" t="s">
        <v>1094</v>
      </c>
      <c r="D271" s="399" t="s">
        <v>1095</v>
      </c>
      <c r="E271" s="377">
        <f>(271000*0.8)*1.1</f>
        <v>238480</v>
      </c>
      <c r="F271" s="345">
        <f>E271*2.3</f>
        <v>548504</v>
      </c>
      <c r="G271" s="378">
        <v>1.0</v>
      </c>
      <c r="H271" s="292">
        <f t="shared" si="196"/>
        <v>352.230606</v>
      </c>
      <c r="I271" s="347">
        <v>0.035</v>
      </c>
      <c r="J271" s="348">
        <f t="shared" si="159"/>
        <v>339.9025347</v>
      </c>
      <c r="K271" s="349">
        <f t="shared" si="160"/>
        <v>12.32807121</v>
      </c>
      <c r="L271" s="296">
        <v>0.001397</v>
      </c>
      <c r="M271" s="347">
        <v>0.0215</v>
      </c>
      <c r="N271" s="350">
        <f t="shared" si="161"/>
        <v>0.0014270355</v>
      </c>
      <c r="O271" s="348">
        <f t="shared" si="162"/>
        <v>22.3079045</v>
      </c>
      <c r="P271" s="348">
        <f t="shared" si="163"/>
        <v>0.5065529836</v>
      </c>
      <c r="Q271" s="292">
        <f t="shared" si="164"/>
        <v>810.1303937</v>
      </c>
      <c r="R271" s="347">
        <v>0.06</v>
      </c>
      <c r="S271" s="351"/>
      <c r="T271" s="299">
        <f t="shared" si="141"/>
        <v>310024</v>
      </c>
      <c r="U271" s="315">
        <f t="shared" si="142"/>
        <v>292507.644</v>
      </c>
      <c r="V271" s="315">
        <f t="shared" si="143"/>
        <v>62004.8</v>
      </c>
      <c r="W271" s="320">
        <f t="shared" si="144"/>
        <v>215108.96</v>
      </c>
      <c r="X271" s="321">
        <f t="shared" si="145"/>
        <v>1.3</v>
      </c>
      <c r="Y271" s="352">
        <f t="shared" si="165"/>
        <v>0.5652173913</v>
      </c>
      <c r="Z271" s="321">
        <f t="shared" si="146"/>
        <v>0.392173913</v>
      </c>
      <c r="AA271" s="353"/>
      <c r="AB271" s="353"/>
      <c r="AC271" s="353"/>
      <c r="AD271" s="393"/>
      <c r="AE271" s="353"/>
      <c r="AF271" s="353"/>
      <c r="AG271" s="353"/>
      <c r="AH271" s="393"/>
      <c r="AI271" s="394"/>
    </row>
    <row r="272">
      <c r="A272" s="376">
        <v>2025.0</v>
      </c>
      <c r="B272" s="376"/>
      <c r="C272" s="376" t="s">
        <v>1094</v>
      </c>
      <c r="D272" s="399" t="s">
        <v>849</v>
      </c>
      <c r="E272" s="377">
        <f>(365000*0.8)*1.1</f>
        <v>321200</v>
      </c>
      <c r="F272" s="345">
        <f>E272*2.39</f>
        <v>767668</v>
      </c>
      <c r="G272" s="378">
        <v>1.0</v>
      </c>
      <c r="H272" s="292">
        <f t="shared" si="196"/>
        <v>474.4065357</v>
      </c>
      <c r="I272" s="347">
        <v>0.035</v>
      </c>
      <c r="J272" s="348">
        <f t="shared" si="159"/>
        <v>457.8023069</v>
      </c>
      <c r="K272" s="349">
        <f t="shared" si="160"/>
        <v>16.60422875</v>
      </c>
      <c r="L272" s="296">
        <v>0.001397</v>
      </c>
      <c r="M272" s="347">
        <v>0.0215</v>
      </c>
      <c r="N272" s="350">
        <f t="shared" si="161"/>
        <v>0.0014270355</v>
      </c>
      <c r="O272" s="348">
        <f t="shared" si="162"/>
        <v>24.8427496</v>
      </c>
      <c r="P272" s="348">
        <f t="shared" si="163"/>
        <v>0.674800144</v>
      </c>
      <c r="Q272" s="292">
        <f t="shared" si="164"/>
        <v>1133.83162</v>
      </c>
      <c r="R272" s="347">
        <v>0.06</v>
      </c>
      <c r="S272" s="351"/>
      <c r="T272" s="299">
        <f t="shared" si="141"/>
        <v>446468</v>
      </c>
      <c r="U272" s="315">
        <f t="shared" si="142"/>
        <v>421242.558</v>
      </c>
      <c r="V272" s="315">
        <f t="shared" si="143"/>
        <v>89293.6</v>
      </c>
      <c r="W272" s="320">
        <f t="shared" si="144"/>
        <v>311114.32</v>
      </c>
      <c r="X272" s="321">
        <f t="shared" si="145"/>
        <v>1.39</v>
      </c>
      <c r="Y272" s="352">
        <f t="shared" si="165"/>
        <v>0.5815899582</v>
      </c>
      <c r="Z272" s="321">
        <f t="shared" si="146"/>
        <v>0.4052719665</v>
      </c>
      <c r="AA272" s="353"/>
      <c r="AB272" s="353"/>
      <c r="AC272" s="353"/>
      <c r="AD272" s="393"/>
      <c r="AE272" s="353"/>
      <c r="AF272" s="353"/>
      <c r="AG272" s="353"/>
      <c r="AH272" s="393"/>
      <c r="AI272" s="394"/>
    </row>
    <row r="273">
      <c r="A273" s="376">
        <v>2025.0</v>
      </c>
      <c r="B273" s="376"/>
      <c r="C273" s="376" t="s">
        <v>1094</v>
      </c>
      <c r="D273" s="400" t="s">
        <v>1096</v>
      </c>
      <c r="E273" s="377">
        <f>(419000*0.8)*1.1</f>
        <v>368720</v>
      </c>
      <c r="F273" s="345">
        <f t="shared" ref="F273:F275" si="202">E273*2.35</f>
        <v>866492</v>
      </c>
      <c r="G273" s="378">
        <v>1.0</v>
      </c>
      <c r="H273" s="292">
        <f t="shared" si="196"/>
        <v>544.5927081</v>
      </c>
      <c r="I273" s="347">
        <v>0.035</v>
      </c>
      <c r="J273" s="348">
        <f t="shared" si="159"/>
        <v>525.5319633</v>
      </c>
      <c r="K273" s="349">
        <f t="shared" si="160"/>
        <v>19.06074478</v>
      </c>
      <c r="L273" s="296">
        <v>0.001397</v>
      </c>
      <c r="M273" s="347">
        <v>0.0215</v>
      </c>
      <c r="N273" s="350">
        <f t="shared" si="161"/>
        <v>0.0014270355</v>
      </c>
      <c r="O273" s="348">
        <f t="shared" si="162"/>
        <v>26.29893721</v>
      </c>
      <c r="P273" s="348">
        <f t="shared" si="163"/>
        <v>0.771452768</v>
      </c>
      <c r="Q273" s="292">
        <f t="shared" si="164"/>
        <v>1279.792864</v>
      </c>
      <c r="R273" s="347">
        <v>0.06</v>
      </c>
      <c r="S273" s="351"/>
      <c r="T273" s="299">
        <f t="shared" si="141"/>
        <v>497772</v>
      </c>
      <c r="U273" s="315">
        <f t="shared" si="142"/>
        <v>469647.882</v>
      </c>
      <c r="V273" s="315">
        <f t="shared" si="143"/>
        <v>99554.4</v>
      </c>
      <c r="W273" s="320">
        <f t="shared" si="144"/>
        <v>346228.08</v>
      </c>
      <c r="X273" s="321">
        <f t="shared" si="145"/>
        <v>1.35</v>
      </c>
      <c r="Y273" s="352">
        <f t="shared" si="165"/>
        <v>0.5744680851</v>
      </c>
      <c r="Z273" s="321">
        <f t="shared" si="146"/>
        <v>0.3995744681</v>
      </c>
      <c r="AA273" s="353"/>
      <c r="AB273" s="353"/>
      <c r="AC273" s="353"/>
      <c r="AD273" s="393"/>
      <c r="AE273" s="353"/>
      <c r="AF273" s="353"/>
      <c r="AG273" s="353"/>
      <c r="AH273" s="393"/>
      <c r="AI273" s="394"/>
    </row>
    <row r="274">
      <c r="A274" s="376">
        <v>2025.0</v>
      </c>
      <c r="B274" s="376"/>
      <c r="C274" s="376" t="s">
        <v>1094</v>
      </c>
      <c r="D274" s="400" t="s">
        <v>1097</v>
      </c>
      <c r="E274" s="377">
        <f>(479000*0.8)*1.1</f>
        <v>421520</v>
      </c>
      <c r="F274" s="345">
        <f t="shared" si="202"/>
        <v>990572</v>
      </c>
      <c r="G274" s="378">
        <v>1.0</v>
      </c>
      <c r="H274" s="292">
        <f t="shared" si="196"/>
        <v>622.5773441</v>
      </c>
      <c r="I274" s="347">
        <v>0.035</v>
      </c>
      <c r="J274" s="348">
        <f t="shared" si="159"/>
        <v>600.7871371</v>
      </c>
      <c r="K274" s="349">
        <f t="shared" si="160"/>
        <v>21.79020704</v>
      </c>
      <c r="L274" s="296">
        <v>0.001397</v>
      </c>
      <c r="M274" s="347">
        <v>0.0215</v>
      </c>
      <c r="N274" s="350">
        <f t="shared" si="161"/>
        <v>0.0014270355</v>
      </c>
      <c r="O274" s="348">
        <f t="shared" si="162"/>
        <v>27.91692345</v>
      </c>
      <c r="P274" s="348">
        <f t="shared" si="163"/>
        <v>0.8788445725</v>
      </c>
      <c r="Q274" s="292">
        <f t="shared" si="164"/>
        <v>1463.056759</v>
      </c>
      <c r="R274" s="347">
        <v>0.06</v>
      </c>
      <c r="S274" s="351"/>
      <c r="T274" s="299">
        <f t="shared" si="141"/>
        <v>569052</v>
      </c>
      <c r="U274" s="315">
        <f t="shared" si="142"/>
        <v>536900.562</v>
      </c>
      <c r="V274" s="315">
        <f t="shared" si="143"/>
        <v>113810.4</v>
      </c>
      <c r="W274" s="320">
        <f t="shared" si="144"/>
        <v>395807.28</v>
      </c>
      <c r="X274" s="321">
        <f t="shared" si="145"/>
        <v>1.35</v>
      </c>
      <c r="Y274" s="352">
        <f t="shared" si="165"/>
        <v>0.5744680851</v>
      </c>
      <c r="Z274" s="321">
        <f t="shared" si="146"/>
        <v>0.3995744681</v>
      </c>
      <c r="AA274" s="353"/>
      <c r="AB274" s="353"/>
      <c r="AC274" s="353"/>
      <c r="AD274" s="393"/>
      <c r="AE274" s="353"/>
      <c r="AF274" s="353"/>
      <c r="AG274" s="353"/>
      <c r="AH274" s="393"/>
      <c r="AI274" s="394"/>
    </row>
    <row r="275">
      <c r="A275" s="376">
        <v>2025.0</v>
      </c>
      <c r="B275" s="376"/>
      <c r="C275" s="376" t="s">
        <v>1094</v>
      </c>
      <c r="D275" s="400" t="s">
        <v>1098</v>
      </c>
      <c r="E275" s="377">
        <f>(619000*0.8)*1.1</f>
        <v>544720</v>
      </c>
      <c r="F275" s="345">
        <f t="shared" si="202"/>
        <v>1280092</v>
      </c>
      <c r="G275" s="378">
        <v>1.0</v>
      </c>
      <c r="H275" s="292">
        <f t="shared" si="196"/>
        <v>804.5414948</v>
      </c>
      <c r="I275" s="347">
        <v>0.035</v>
      </c>
      <c r="J275" s="348">
        <f t="shared" si="159"/>
        <v>776.3825425</v>
      </c>
      <c r="K275" s="349">
        <f t="shared" si="160"/>
        <v>28.15895232</v>
      </c>
      <c r="L275" s="296">
        <v>0.001397</v>
      </c>
      <c r="M275" s="347">
        <v>0.0215</v>
      </c>
      <c r="N275" s="350">
        <f t="shared" si="161"/>
        <v>0.0014270355</v>
      </c>
      <c r="O275" s="348">
        <f t="shared" si="162"/>
        <v>31.69222466</v>
      </c>
      <c r="P275" s="348">
        <f t="shared" si="163"/>
        <v>1.12942545</v>
      </c>
      <c r="Q275" s="292">
        <f t="shared" si="164"/>
        <v>1890.672513</v>
      </c>
      <c r="R275" s="347">
        <v>0.06</v>
      </c>
      <c r="S275" s="351"/>
      <c r="T275" s="299">
        <f t="shared" si="141"/>
        <v>735372</v>
      </c>
      <c r="U275" s="315">
        <f t="shared" si="142"/>
        <v>693823.482</v>
      </c>
      <c r="V275" s="315">
        <f t="shared" si="143"/>
        <v>147074.4</v>
      </c>
      <c r="W275" s="320">
        <f t="shared" si="144"/>
        <v>511492.08</v>
      </c>
      <c r="X275" s="321">
        <f t="shared" si="145"/>
        <v>1.35</v>
      </c>
      <c r="Y275" s="352">
        <f t="shared" si="165"/>
        <v>0.5744680851</v>
      </c>
      <c r="Z275" s="321">
        <f t="shared" si="146"/>
        <v>0.3995744681</v>
      </c>
      <c r="AA275" s="353"/>
      <c r="AB275" s="353"/>
      <c r="AC275" s="353"/>
      <c r="AD275" s="393"/>
      <c r="AE275" s="353"/>
      <c r="AF275" s="353"/>
      <c r="AG275" s="353"/>
      <c r="AH275" s="393"/>
      <c r="AI275" s="394"/>
    </row>
    <row r="276">
      <c r="A276" s="344">
        <v>2025.0</v>
      </c>
      <c r="B276" s="344" t="s">
        <v>1099</v>
      </c>
      <c r="C276" s="344" t="s">
        <v>1100</v>
      </c>
      <c r="D276" s="344" t="s">
        <v>162</v>
      </c>
      <c r="E276" s="290">
        <f t="shared" ref="E276:E278" si="203">E490*1.1</f>
        <v>0</v>
      </c>
      <c r="F276" s="345">
        <v>720000.0</v>
      </c>
      <c r="G276" s="346">
        <v>1.0</v>
      </c>
      <c r="H276" s="292">
        <f t="shared" si="196"/>
        <v>0</v>
      </c>
      <c r="I276" s="347">
        <v>0.035</v>
      </c>
      <c r="J276" s="348">
        <f t="shared" si="159"/>
        <v>0</v>
      </c>
      <c r="K276" s="349">
        <f t="shared" si="160"/>
        <v>0</v>
      </c>
      <c r="L276" s="296">
        <v>0.001397</v>
      </c>
      <c r="M276" s="347">
        <v>0.0215</v>
      </c>
      <c r="N276" s="350">
        <f t="shared" si="161"/>
        <v>0.0014270355</v>
      </c>
      <c r="O276" s="348">
        <f t="shared" si="162"/>
        <v>15</v>
      </c>
      <c r="P276" s="348">
        <f t="shared" si="163"/>
        <v>0.0215</v>
      </c>
      <c r="Q276" s="292">
        <f t="shared" si="164"/>
        <v>1063.426855</v>
      </c>
      <c r="R276" s="347">
        <v>0.06</v>
      </c>
      <c r="S276" s="351"/>
      <c r="T276" s="299">
        <f t="shared" si="141"/>
        <v>720000</v>
      </c>
      <c r="U276" s="315">
        <f t="shared" si="142"/>
        <v>679320</v>
      </c>
      <c r="V276" s="315">
        <f t="shared" si="143"/>
        <v>144000</v>
      </c>
      <c r="W276" s="320">
        <f t="shared" si="144"/>
        <v>532800</v>
      </c>
      <c r="X276" s="321" t="str">
        <f t="shared" si="145"/>
        <v/>
      </c>
      <c r="Y276" s="352">
        <f t="shared" si="165"/>
        <v>1</v>
      </c>
      <c r="Z276" s="321">
        <f t="shared" si="146"/>
        <v>0.74</v>
      </c>
      <c r="AA276" s="353"/>
      <c r="AB276" s="353"/>
      <c r="AC276" s="353"/>
      <c r="AD276" s="354"/>
      <c r="AE276" s="353"/>
      <c r="AF276" s="353"/>
      <c r="AG276" s="353"/>
      <c r="AH276" s="354" t="str">
        <f t="shared" ref="AH276:AH297" si="204">IFERROR(AVERAGE(AE276:AG276),"")</f>
        <v/>
      </c>
      <c r="AI276" s="355">
        <f t="shared" ref="AI276:AI297" si="205">AE276+AF276+AG276</f>
        <v>0</v>
      </c>
    </row>
    <row r="277">
      <c r="A277" s="344">
        <v>2025.0</v>
      </c>
      <c r="B277" s="344" t="s">
        <v>1101</v>
      </c>
      <c r="C277" s="344" t="s">
        <v>1102</v>
      </c>
      <c r="D277" s="344" t="s">
        <v>162</v>
      </c>
      <c r="E277" s="290">
        <f t="shared" si="203"/>
        <v>0</v>
      </c>
      <c r="F277" s="345">
        <v>720000.0</v>
      </c>
      <c r="G277" s="346">
        <v>1.0</v>
      </c>
      <c r="H277" s="292">
        <f t="shared" si="196"/>
        <v>0</v>
      </c>
      <c r="I277" s="347">
        <v>0.035</v>
      </c>
      <c r="J277" s="348">
        <f t="shared" si="159"/>
        <v>0</v>
      </c>
      <c r="K277" s="349">
        <f t="shared" si="160"/>
        <v>0</v>
      </c>
      <c r="L277" s="296">
        <v>0.001397</v>
      </c>
      <c r="M277" s="347">
        <v>0.0215</v>
      </c>
      <c r="N277" s="350">
        <f t="shared" si="161"/>
        <v>0.0014270355</v>
      </c>
      <c r="O277" s="348">
        <f t="shared" si="162"/>
        <v>15</v>
      </c>
      <c r="P277" s="348">
        <f t="shared" si="163"/>
        <v>0.0215</v>
      </c>
      <c r="Q277" s="292">
        <f t="shared" si="164"/>
        <v>1063.426855</v>
      </c>
      <c r="R277" s="347">
        <v>0.06</v>
      </c>
      <c r="S277" s="351"/>
      <c r="T277" s="299">
        <f t="shared" si="141"/>
        <v>720000</v>
      </c>
      <c r="U277" s="315">
        <f t="shared" si="142"/>
        <v>679320</v>
      </c>
      <c r="V277" s="315">
        <f t="shared" si="143"/>
        <v>144000</v>
      </c>
      <c r="W277" s="320">
        <f t="shared" si="144"/>
        <v>532800</v>
      </c>
      <c r="X277" s="321" t="str">
        <f t="shared" si="145"/>
        <v/>
      </c>
      <c r="Y277" s="352">
        <f t="shared" si="165"/>
        <v>1</v>
      </c>
      <c r="Z277" s="321">
        <f t="shared" si="146"/>
        <v>0.74</v>
      </c>
      <c r="AA277" s="353"/>
      <c r="AB277" s="353"/>
      <c r="AC277" s="353"/>
      <c r="AD277" s="354"/>
      <c r="AE277" s="353"/>
      <c r="AF277" s="353"/>
      <c r="AG277" s="353"/>
      <c r="AH277" s="354" t="str">
        <f t="shared" si="204"/>
        <v/>
      </c>
      <c r="AI277" s="355">
        <f t="shared" si="205"/>
        <v>0</v>
      </c>
    </row>
    <row r="278">
      <c r="A278" s="344">
        <v>2025.0</v>
      </c>
      <c r="B278" s="344" t="s">
        <v>1103</v>
      </c>
      <c r="C278" s="344" t="s">
        <v>1104</v>
      </c>
      <c r="D278" s="344" t="s">
        <v>162</v>
      </c>
      <c r="E278" s="290">
        <f t="shared" si="203"/>
        <v>0</v>
      </c>
      <c r="F278" s="345">
        <v>720000.0</v>
      </c>
      <c r="G278" s="346">
        <v>1.0</v>
      </c>
      <c r="H278" s="292">
        <f t="shared" si="196"/>
        <v>0</v>
      </c>
      <c r="I278" s="347">
        <v>0.035</v>
      </c>
      <c r="J278" s="348">
        <f t="shared" si="159"/>
        <v>0</v>
      </c>
      <c r="K278" s="349">
        <f t="shared" si="160"/>
        <v>0</v>
      </c>
      <c r="L278" s="296">
        <v>0.001397</v>
      </c>
      <c r="M278" s="347">
        <v>0.0215</v>
      </c>
      <c r="N278" s="350">
        <f t="shared" si="161"/>
        <v>0.0014270355</v>
      </c>
      <c r="O278" s="348">
        <f t="shared" si="162"/>
        <v>15</v>
      </c>
      <c r="P278" s="348">
        <f t="shared" si="163"/>
        <v>0.0215</v>
      </c>
      <c r="Q278" s="292">
        <f t="shared" si="164"/>
        <v>1063.426855</v>
      </c>
      <c r="R278" s="347">
        <v>0.06</v>
      </c>
      <c r="S278" s="351"/>
      <c r="T278" s="299">
        <f t="shared" si="141"/>
        <v>720000</v>
      </c>
      <c r="U278" s="315">
        <f t="shared" si="142"/>
        <v>679320</v>
      </c>
      <c r="V278" s="315">
        <f t="shared" si="143"/>
        <v>144000</v>
      </c>
      <c r="W278" s="320">
        <f t="shared" si="144"/>
        <v>532800</v>
      </c>
      <c r="X278" s="321" t="str">
        <f t="shared" si="145"/>
        <v/>
      </c>
      <c r="Y278" s="352">
        <f t="shared" si="165"/>
        <v>1</v>
      </c>
      <c r="Z278" s="321">
        <f t="shared" si="146"/>
        <v>0.74</v>
      </c>
      <c r="AA278" s="353"/>
      <c r="AB278" s="353"/>
      <c r="AC278" s="353"/>
      <c r="AD278" s="354"/>
      <c r="AE278" s="353"/>
      <c r="AF278" s="353"/>
      <c r="AG278" s="353"/>
      <c r="AH278" s="354" t="str">
        <f t="shared" si="204"/>
        <v/>
      </c>
      <c r="AI278" s="355">
        <f t="shared" si="205"/>
        <v>0</v>
      </c>
    </row>
    <row r="279">
      <c r="A279" s="344">
        <v>2025.0</v>
      </c>
      <c r="B279" s="344" t="s">
        <v>1105</v>
      </c>
      <c r="C279" s="344" t="s">
        <v>1106</v>
      </c>
      <c r="D279" s="344" t="s">
        <v>846</v>
      </c>
      <c r="E279" s="387">
        <v>90000.0</v>
      </c>
      <c r="F279" s="387">
        <v>170000.0</v>
      </c>
      <c r="G279" s="346">
        <v>1.0</v>
      </c>
      <c r="H279" s="292">
        <f t="shared" si="196"/>
        <v>132.9283568</v>
      </c>
      <c r="I279" s="347">
        <v>0.035</v>
      </c>
      <c r="J279" s="348">
        <f t="shared" si="159"/>
        <v>128.2758643</v>
      </c>
      <c r="K279" s="349">
        <f t="shared" si="160"/>
        <v>4.652492489</v>
      </c>
      <c r="L279" s="296">
        <v>0.001397</v>
      </c>
      <c r="M279" s="347">
        <v>0.0215</v>
      </c>
      <c r="N279" s="350">
        <f t="shared" si="161"/>
        <v>0.0014270355</v>
      </c>
      <c r="O279" s="348">
        <f t="shared" si="162"/>
        <v>17.75793108</v>
      </c>
      <c r="P279" s="348">
        <f t="shared" si="163"/>
        <v>0.2045542122</v>
      </c>
      <c r="Q279" s="292">
        <f t="shared" si="164"/>
        <v>251.0868962</v>
      </c>
      <c r="R279" s="347">
        <v>0.06</v>
      </c>
      <c r="S279" s="351"/>
      <c r="T279" s="299">
        <f t="shared" si="141"/>
        <v>80000</v>
      </c>
      <c r="U279" s="315">
        <f t="shared" si="142"/>
        <v>75480</v>
      </c>
      <c r="V279" s="315">
        <f t="shared" si="143"/>
        <v>16000</v>
      </c>
      <c r="W279" s="320">
        <f t="shared" si="144"/>
        <v>53800</v>
      </c>
      <c r="X279" s="321">
        <f t="shared" si="145"/>
        <v>0.8888888889</v>
      </c>
      <c r="Y279" s="388">
        <f t="shared" si="165"/>
        <v>0.4705882353</v>
      </c>
      <c r="Z279" s="321">
        <f t="shared" si="146"/>
        <v>0.3164705882</v>
      </c>
      <c r="AA279" s="353"/>
      <c r="AB279" s="353"/>
      <c r="AC279" s="353"/>
      <c r="AD279" s="354"/>
      <c r="AE279" s="353"/>
      <c r="AF279" s="353"/>
      <c r="AG279" s="353"/>
      <c r="AH279" s="354" t="str">
        <f t="shared" si="204"/>
        <v/>
      </c>
      <c r="AI279" s="355">
        <f t="shared" si="205"/>
        <v>0</v>
      </c>
    </row>
    <row r="280">
      <c r="A280" s="344">
        <v>2025.0</v>
      </c>
      <c r="B280" s="344" t="s">
        <v>1107</v>
      </c>
      <c r="C280" s="344" t="s">
        <v>1106</v>
      </c>
      <c r="D280" s="344" t="s">
        <v>1052</v>
      </c>
      <c r="E280" s="387">
        <v>180000.0</v>
      </c>
      <c r="F280" s="387">
        <v>320000.0</v>
      </c>
      <c r="G280" s="346">
        <v>1.0</v>
      </c>
      <c r="H280" s="292">
        <f t="shared" si="196"/>
        <v>265.8567137</v>
      </c>
      <c r="I280" s="347">
        <v>0.035</v>
      </c>
      <c r="J280" s="348">
        <f t="shared" si="159"/>
        <v>256.5517287</v>
      </c>
      <c r="K280" s="349">
        <f t="shared" si="160"/>
        <v>9.304984978</v>
      </c>
      <c r="L280" s="296">
        <v>0.001397</v>
      </c>
      <c r="M280" s="347">
        <v>0.0215</v>
      </c>
      <c r="N280" s="350">
        <f t="shared" si="161"/>
        <v>0.0014270355</v>
      </c>
      <c r="O280" s="348">
        <f t="shared" si="162"/>
        <v>20.51586217</v>
      </c>
      <c r="P280" s="348">
        <f t="shared" si="163"/>
        <v>0.3876084244</v>
      </c>
      <c r="Q280" s="292">
        <f t="shared" si="164"/>
        <v>472.6341576</v>
      </c>
      <c r="R280" s="347">
        <v>0.06</v>
      </c>
      <c r="S280" s="351"/>
      <c r="T280" s="299">
        <f t="shared" si="141"/>
        <v>140000</v>
      </c>
      <c r="U280" s="315">
        <f t="shared" si="142"/>
        <v>132090</v>
      </c>
      <c r="V280" s="315">
        <f t="shared" si="143"/>
        <v>28000</v>
      </c>
      <c r="W280" s="320">
        <f t="shared" si="144"/>
        <v>92800</v>
      </c>
      <c r="X280" s="321">
        <f t="shared" si="145"/>
        <v>0.7777777778</v>
      </c>
      <c r="Y280" s="388">
        <f t="shared" si="165"/>
        <v>0.4375</v>
      </c>
      <c r="Z280" s="321">
        <f t="shared" si="146"/>
        <v>0.29</v>
      </c>
      <c r="AA280" s="353"/>
      <c r="AB280" s="353"/>
      <c r="AC280" s="353"/>
      <c r="AD280" s="354"/>
      <c r="AE280" s="353"/>
      <c r="AF280" s="353"/>
      <c r="AG280" s="353"/>
      <c r="AH280" s="354" t="str">
        <f t="shared" si="204"/>
        <v/>
      </c>
      <c r="AI280" s="355">
        <f t="shared" si="205"/>
        <v>0</v>
      </c>
    </row>
    <row r="281">
      <c r="A281" s="344">
        <v>2025.0</v>
      </c>
      <c r="B281" s="344" t="s">
        <v>1108</v>
      </c>
      <c r="C281" s="344" t="s">
        <v>1106</v>
      </c>
      <c r="D281" s="344" t="s">
        <v>1054</v>
      </c>
      <c r="E281" s="387">
        <v>200000.0</v>
      </c>
      <c r="F281" s="387">
        <v>350000.0</v>
      </c>
      <c r="G281" s="346">
        <v>1.0</v>
      </c>
      <c r="H281" s="292">
        <f t="shared" si="196"/>
        <v>295.3963485</v>
      </c>
      <c r="I281" s="347">
        <v>0.035</v>
      </c>
      <c r="J281" s="348">
        <f t="shared" si="159"/>
        <v>285.0574763</v>
      </c>
      <c r="K281" s="349">
        <f t="shared" si="160"/>
        <v>10.3388722</v>
      </c>
      <c r="L281" s="296">
        <v>0.001397</v>
      </c>
      <c r="M281" s="347">
        <v>0.0215</v>
      </c>
      <c r="N281" s="350">
        <f t="shared" si="161"/>
        <v>0.0014270355</v>
      </c>
      <c r="O281" s="348">
        <f t="shared" si="162"/>
        <v>21.12873574</v>
      </c>
      <c r="P281" s="348">
        <f t="shared" si="163"/>
        <v>0.4282871382</v>
      </c>
      <c r="Q281" s="292">
        <f t="shared" si="164"/>
        <v>516.9436099</v>
      </c>
      <c r="R281" s="347">
        <v>0.06</v>
      </c>
      <c r="S281" s="351"/>
      <c r="T281" s="299">
        <f t="shared" si="141"/>
        <v>150000</v>
      </c>
      <c r="U281" s="315">
        <f t="shared" si="142"/>
        <v>141525</v>
      </c>
      <c r="V281" s="315">
        <f t="shared" si="143"/>
        <v>30000</v>
      </c>
      <c r="W281" s="320">
        <f t="shared" si="144"/>
        <v>99000</v>
      </c>
      <c r="X281" s="321">
        <f t="shared" si="145"/>
        <v>0.75</v>
      </c>
      <c r="Y281" s="388">
        <f t="shared" si="165"/>
        <v>0.4285714286</v>
      </c>
      <c r="Z281" s="321">
        <f t="shared" si="146"/>
        <v>0.2828571429</v>
      </c>
      <c r="AA281" s="353"/>
      <c r="AB281" s="353"/>
      <c r="AC281" s="353"/>
      <c r="AD281" s="354"/>
      <c r="AE281" s="353"/>
      <c r="AF281" s="353"/>
      <c r="AG281" s="353"/>
      <c r="AH281" s="354" t="str">
        <f t="shared" si="204"/>
        <v/>
      </c>
      <c r="AI281" s="355">
        <f t="shared" si="205"/>
        <v>0</v>
      </c>
    </row>
    <row r="282">
      <c r="A282" s="344">
        <v>2025.0</v>
      </c>
      <c r="B282" s="344" t="s">
        <v>1109</v>
      </c>
      <c r="C282" s="344" t="s">
        <v>1106</v>
      </c>
      <c r="D282" s="344" t="s">
        <v>1056</v>
      </c>
      <c r="E282" s="387">
        <v>260000.0</v>
      </c>
      <c r="F282" s="387">
        <v>550000.0</v>
      </c>
      <c r="G282" s="346">
        <v>1.0</v>
      </c>
      <c r="H282" s="292">
        <f t="shared" si="196"/>
        <v>384.0152531</v>
      </c>
      <c r="I282" s="347">
        <v>0.035</v>
      </c>
      <c r="J282" s="348">
        <f t="shared" si="159"/>
        <v>370.5747192</v>
      </c>
      <c r="K282" s="349">
        <f t="shared" si="160"/>
        <v>13.44053386</v>
      </c>
      <c r="L282" s="296">
        <v>0.001397</v>
      </c>
      <c r="M282" s="347">
        <v>0.0215</v>
      </c>
      <c r="N282" s="350">
        <f t="shared" si="161"/>
        <v>0.0014270355</v>
      </c>
      <c r="O282" s="348">
        <f t="shared" si="162"/>
        <v>22.96735646</v>
      </c>
      <c r="P282" s="348">
        <f t="shared" si="163"/>
        <v>0.5503232797</v>
      </c>
      <c r="Q282" s="292">
        <f t="shared" si="164"/>
        <v>812.3399584</v>
      </c>
      <c r="R282" s="347">
        <v>0.06</v>
      </c>
      <c r="S282" s="351"/>
      <c r="T282" s="299">
        <f t="shared" si="141"/>
        <v>290000</v>
      </c>
      <c r="U282" s="315">
        <f t="shared" si="142"/>
        <v>273615</v>
      </c>
      <c r="V282" s="315">
        <f t="shared" si="143"/>
        <v>58000</v>
      </c>
      <c r="W282" s="320">
        <f t="shared" si="144"/>
        <v>199000</v>
      </c>
      <c r="X282" s="321">
        <f t="shared" si="145"/>
        <v>1.115384615</v>
      </c>
      <c r="Y282" s="388">
        <f t="shared" si="165"/>
        <v>0.5272727273</v>
      </c>
      <c r="Z282" s="321">
        <f t="shared" si="146"/>
        <v>0.3618181818</v>
      </c>
      <c r="AA282" s="353"/>
      <c r="AB282" s="353"/>
      <c r="AC282" s="353"/>
      <c r="AD282" s="354"/>
      <c r="AE282" s="353"/>
      <c r="AF282" s="353"/>
      <c r="AG282" s="353"/>
      <c r="AH282" s="354" t="str">
        <f t="shared" si="204"/>
        <v/>
      </c>
      <c r="AI282" s="355">
        <f t="shared" si="205"/>
        <v>0</v>
      </c>
    </row>
    <row r="283">
      <c r="A283" s="344">
        <v>2025.0</v>
      </c>
      <c r="B283" s="344" t="s">
        <v>1110</v>
      </c>
      <c r="C283" s="344" t="s">
        <v>1106</v>
      </c>
      <c r="D283" s="344" t="s">
        <v>1058</v>
      </c>
      <c r="E283" s="387">
        <v>300000.0</v>
      </c>
      <c r="F283" s="387">
        <v>750000.0</v>
      </c>
      <c r="G283" s="346">
        <v>1.0</v>
      </c>
      <c r="H283" s="292">
        <f t="shared" si="196"/>
        <v>443.0945228</v>
      </c>
      <c r="I283" s="347">
        <v>0.035</v>
      </c>
      <c r="J283" s="348">
        <f t="shared" si="159"/>
        <v>427.5862145</v>
      </c>
      <c r="K283" s="349">
        <f t="shared" si="160"/>
        <v>15.5083083</v>
      </c>
      <c r="L283" s="296">
        <v>0.001397</v>
      </c>
      <c r="M283" s="347">
        <v>0.0215</v>
      </c>
      <c r="N283" s="350">
        <f t="shared" si="161"/>
        <v>0.0014270355</v>
      </c>
      <c r="O283" s="348">
        <f t="shared" si="162"/>
        <v>24.19310361</v>
      </c>
      <c r="P283" s="348">
        <f t="shared" si="163"/>
        <v>0.6316807073</v>
      </c>
      <c r="Q283" s="292">
        <f t="shared" si="164"/>
        <v>1107.736307</v>
      </c>
      <c r="R283" s="347">
        <v>0.06</v>
      </c>
      <c r="S283" s="351"/>
      <c r="T283" s="299">
        <f t="shared" si="141"/>
        <v>450000</v>
      </c>
      <c r="U283" s="315">
        <f t="shared" si="142"/>
        <v>424575</v>
      </c>
      <c r="V283" s="315">
        <f t="shared" si="143"/>
        <v>90000</v>
      </c>
      <c r="W283" s="320">
        <f t="shared" si="144"/>
        <v>315000</v>
      </c>
      <c r="X283" s="321">
        <f t="shared" si="145"/>
        <v>1.5</v>
      </c>
      <c r="Y283" s="388">
        <f t="shared" si="165"/>
        <v>0.6</v>
      </c>
      <c r="Z283" s="321">
        <f t="shared" si="146"/>
        <v>0.42</v>
      </c>
      <c r="AA283" s="353"/>
      <c r="AB283" s="353"/>
      <c r="AC283" s="353"/>
      <c r="AD283" s="354"/>
      <c r="AE283" s="353"/>
      <c r="AF283" s="353"/>
      <c r="AG283" s="353"/>
      <c r="AH283" s="354" t="str">
        <f t="shared" si="204"/>
        <v/>
      </c>
      <c r="AI283" s="355">
        <f t="shared" si="205"/>
        <v>0</v>
      </c>
    </row>
    <row r="284">
      <c r="A284" s="344">
        <v>2025.0</v>
      </c>
      <c r="B284" s="344" t="s">
        <v>1111</v>
      </c>
      <c r="C284" s="344" t="s">
        <v>1106</v>
      </c>
      <c r="D284" s="344" t="s">
        <v>1060</v>
      </c>
      <c r="E284" s="387">
        <v>450000.0</v>
      </c>
      <c r="F284" s="387">
        <v>950000.0</v>
      </c>
      <c r="G284" s="346">
        <v>1.0</v>
      </c>
      <c r="H284" s="292">
        <f t="shared" si="196"/>
        <v>664.6417841</v>
      </c>
      <c r="I284" s="347">
        <v>0.035</v>
      </c>
      <c r="J284" s="348">
        <f t="shared" si="159"/>
        <v>641.3793217</v>
      </c>
      <c r="K284" s="349">
        <f t="shared" si="160"/>
        <v>23.26246244</v>
      </c>
      <c r="L284" s="296">
        <v>0.001397</v>
      </c>
      <c r="M284" s="347">
        <v>0.0215</v>
      </c>
      <c r="N284" s="350">
        <f t="shared" si="161"/>
        <v>0.0014270355</v>
      </c>
      <c r="O284" s="348">
        <f t="shared" si="162"/>
        <v>28.78965542</v>
      </c>
      <c r="P284" s="348">
        <f t="shared" si="163"/>
        <v>0.936771061</v>
      </c>
      <c r="Q284" s="292">
        <f t="shared" si="164"/>
        <v>1403.132655</v>
      </c>
      <c r="R284" s="347">
        <v>0.06</v>
      </c>
      <c r="S284" s="351"/>
      <c r="T284" s="299">
        <f t="shared" si="141"/>
        <v>500000</v>
      </c>
      <c r="U284" s="315">
        <f t="shared" si="142"/>
        <v>471750</v>
      </c>
      <c r="V284" s="315">
        <f t="shared" si="143"/>
        <v>100000</v>
      </c>
      <c r="W284" s="320">
        <f t="shared" si="144"/>
        <v>343000</v>
      </c>
      <c r="X284" s="321">
        <f t="shared" si="145"/>
        <v>1.111111111</v>
      </c>
      <c r="Y284" s="388">
        <f t="shared" si="165"/>
        <v>0.5263157895</v>
      </c>
      <c r="Z284" s="321">
        <f t="shared" si="146"/>
        <v>0.3610526316</v>
      </c>
      <c r="AA284" s="353"/>
      <c r="AB284" s="353"/>
      <c r="AC284" s="353"/>
      <c r="AD284" s="354"/>
      <c r="AE284" s="353"/>
      <c r="AF284" s="353"/>
      <c r="AG284" s="353"/>
      <c r="AH284" s="354" t="str">
        <f t="shared" si="204"/>
        <v/>
      </c>
      <c r="AI284" s="355">
        <f t="shared" si="205"/>
        <v>0</v>
      </c>
    </row>
    <row r="285">
      <c r="A285" s="382">
        <v>2026.0</v>
      </c>
      <c r="B285" s="344" t="s">
        <v>1112</v>
      </c>
      <c r="C285" s="344" t="s">
        <v>233</v>
      </c>
      <c r="D285" s="344" t="s">
        <v>897</v>
      </c>
      <c r="E285" s="387">
        <f>320000+36000+30000+10000</f>
        <v>396000</v>
      </c>
      <c r="F285" s="387">
        <f>E285*1.3</f>
        <v>514800</v>
      </c>
      <c r="G285" s="346">
        <v>1.0</v>
      </c>
      <c r="H285" s="292">
        <f t="shared" si="196"/>
        <v>584.88477</v>
      </c>
      <c r="I285" s="347">
        <v>0.035</v>
      </c>
      <c r="J285" s="348">
        <f t="shared" si="159"/>
        <v>564.4138031</v>
      </c>
      <c r="K285" s="349">
        <f t="shared" si="160"/>
        <v>20.47096695</v>
      </c>
      <c r="L285" s="296">
        <v>0.001397</v>
      </c>
      <c r="M285" s="347">
        <v>0.0215</v>
      </c>
      <c r="N285" s="350">
        <f t="shared" si="161"/>
        <v>0.0014270355</v>
      </c>
      <c r="O285" s="348">
        <f t="shared" si="162"/>
        <v>27.13489677</v>
      </c>
      <c r="P285" s="348">
        <f t="shared" si="163"/>
        <v>0.8269385337</v>
      </c>
      <c r="Q285" s="292">
        <f t="shared" si="164"/>
        <v>760.350201</v>
      </c>
      <c r="R285" s="347">
        <v>0.06</v>
      </c>
      <c r="S285" s="351"/>
      <c r="T285" s="299">
        <f t="shared" si="141"/>
        <v>118800</v>
      </c>
      <c r="U285" s="315">
        <f t="shared" si="142"/>
        <v>112087.8</v>
      </c>
      <c r="V285" s="315">
        <f t="shared" si="143"/>
        <v>23760</v>
      </c>
      <c r="W285" s="320">
        <f t="shared" si="144"/>
        <v>64152</v>
      </c>
      <c r="X285" s="321">
        <f t="shared" si="145"/>
        <v>0.3</v>
      </c>
      <c r="Y285" s="352">
        <f t="shared" si="165"/>
        <v>0.2307692308</v>
      </c>
      <c r="Z285" s="321">
        <f t="shared" si="146"/>
        <v>0.1246153846</v>
      </c>
      <c r="AA285" s="353"/>
      <c r="AB285" s="353"/>
      <c r="AC285" s="353"/>
      <c r="AD285" s="354"/>
      <c r="AE285" s="353"/>
      <c r="AF285" s="353"/>
      <c r="AG285" s="353"/>
      <c r="AH285" s="354" t="str">
        <f t="shared" si="204"/>
        <v/>
      </c>
      <c r="AI285" s="355">
        <f t="shared" si="205"/>
        <v>0</v>
      </c>
    </row>
    <row r="286">
      <c r="A286" s="382">
        <v>2026.0</v>
      </c>
      <c r="B286" s="344" t="s">
        <v>1113</v>
      </c>
      <c r="C286" s="344" t="s">
        <v>233</v>
      </c>
      <c r="D286" s="344" t="s">
        <v>891</v>
      </c>
      <c r="E286" s="387">
        <f>320000+(36000*2)+30000+(10000*2)</f>
        <v>442000</v>
      </c>
      <c r="F286" s="387">
        <f t="shared" ref="F286:F287" si="206">E286*1.5</f>
        <v>663000</v>
      </c>
      <c r="G286" s="346">
        <v>1.0</v>
      </c>
      <c r="H286" s="292">
        <f t="shared" si="196"/>
        <v>652.8259302</v>
      </c>
      <c r="I286" s="347">
        <v>0.035</v>
      </c>
      <c r="J286" s="348">
        <f t="shared" si="159"/>
        <v>629.9770226</v>
      </c>
      <c r="K286" s="349">
        <f t="shared" si="160"/>
        <v>22.84890756</v>
      </c>
      <c r="L286" s="296">
        <v>0.001397</v>
      </c>
      <c r="M286" s="347">
        <v>0.0215</v>
      </c>
      <c r="N286" s="350">
        <f t="shared" si="161"/>
        <v>0.0014270355</v>
      </c>
      <c r="O286" s="348">
        <f t="shared" si="162"/>
        <v>28.54450599</v>
      </c>
      <c r="P286" s="348">
        <f t="shared" si="163"/>
        <v>0.9204995755</v>
      </c>
      <c r="Q286" s="292">
        <f t="shared" si="164"/>
        <v>979.2388953</v>
      </c>
      <c r="R286" s="347">
        <v>0.06</v>
      </c>
      <c r="S286" s="351"/>
      <c r="T286" s="299">
        <f t="shared" si="141"/>
        <v>221000</v>
      </c>
      <c r="U286" s="315">
        <f t="shared" si="142"/>
        <v>208513.5</v>
      </c>
      <c r="V286" s="315">
        <f t="shared" si="143"/>
        <v>44200</v>
      </c>
      <c r="W286" s="320">
        <f t="shared" si="144"/>
        <v>137020</v>
      </c>
      <c r="X286" s="321">
        <f t="shared" si="145"/>
        <v>0.5</v>
      </c>
      <c r="Y286" s="352">
        <f t="shared" si="165"/>
        <v>0.3333333333</v>
      </c>
      <c r="Z286" s="321">
        <f t="shared" si="146"/>
        <v>0.2066666667</v>
      </c>
      <c r="AA286" s="353"/>
      <c r="AB286" s="353"/>
      <c r="AC286" s="353"/>
      <c r="AD286" s="354"/>
      <c r="AE286" s="353"/>
      <c r="AF286" s="353"/>
      <c r="AG286" s="353"/>
      <c r="AH286" s="354" t="str">
        <f t="shared" si="204"/>
        <v/>
      </c>
      <c r="AI286" s="355">
        <f t="shared" si="205"/>
        <v>0</v>
      </c>
    </row>
    <row r="287">
      <c r="A287" s="382">
        <v>2026.0</v>
      </c>
      <c r="B287" s="344" t="s">
        <v>1114</v>
      </c>
      <c r="C287" s="344" t="s">
        <v>233</v>
      </c>
      <c r="D287" s="344" t="s">
        <v>893</v>
      </c>
      <c r="E287" s="387">
        <f>320000+(36000*3)+30000+(10000*3)</f>
        <v>488000</v>
      </c>
      <c r="F287" s="387">
        <f t="shared" si="206"/>
        <v>732000</v>
      </c>
      <c r="G287" s="346">
        <v>1.0</v>
      </c>
      <c r="H287" s="292">
        <f t="shared" si="196"/>
        <v>720.7670903</v>
      </c>
      <c r="I287" s="347">
        <v>0.035</v>
      </c>
      <c r="J287" s="348">
        <f t="shared" si="159"/>
        <v>695.5402422</v>
      </c>
      <c r="K287" s="349">
        <f t="shared" si="160"/>
        <v>25.22684816</v>
      </c>
      <c r="L287" s="296">
        <v>0.001397</v>
      </c>
      <c r="M287" s="347">
        <v>0.0215</v>
      </c>
      <c r="N287" s="350">
        <f t="shared" si="161"/>
        <v>0.0014270355</v>
      </c>
      <c r="O287" s="348">
        <f t="shared" si="162"/>
        <v>29.95411521</v>
      </c>
      <c r="P287" s="348">
        <f t="shared" si="163"/>
        <v>1.014060617</v>
      </c>
      <c r="Q287" s="292">
        <f t="shared" si="164"/>
        <v>1081.150636</v>
      </c>
      <c r="R287" s="347">
        <v>0.06</v>
      </c>
      <c r="S287" s="351"/>
      <c r="T287" s="299">
        <f t="shared" si="141"/>
        <v>244000</v>
      </c>
      <c r="U287" s="315">
        <f t="shared" si="142"/>
        <v>230214</v>
      </c>
      <c r="V287" s="315">
        <f t="shared" si="143"/>
        <v>48800</v>
      </c>
      <c r="W287" s="320">
        <f t="shared" si="144"/>
        <v>151280</v>
      </c>
      <c r="X287" s="321">
        <f t="shared" si="145"/>
        <v>0.5</v>
      </c>
      <c r="Y287" s="352">
        <f t="shared" si="165"/>
        <v>0.3333333333</v>
      </c>
      <c r="Z287" s="321">
        <f t="shared" si="146"/>
        <v>0.2066666667</v>
      </c>
      <c r="AA287" s="353"/>
      <c r="AB287" s="353"/>
      <c r="AC287" s="353"/>
      <c r="AD287" s="354"/>
      <c r="AE287" s="353"/>
      <c r="AF287" s="353"/>
      <c r="AG287" s="353"/>
      <c r="AH287" s="354" t="str">
        <f t="shared" si="204"/>
        <v/>
      </c>
      <c r="AI287" s="355">
        <f t="shared" si="205"/>
        <v>0</v>
      </c>
    </row>
    <row r="288">
      <c r="A288" s="382">
        <v>2026.0</v>
      </c>
      <c r="B288" s="344" t="s">
        <v>1115</v>
      </c>
      <c r="C288" s="344" t="s">
        <v>233</v>
      </c>
      <c r="D288" s="344" t="s">
        <v>895</v>
      </c>
      <c r="E288" s="395">
        <f>400000+(36000*4)+30000+(10000*4)</f>
        <v>614000</v>
      </c>
      <c r="F288" s="387">
        <f t="shared" ref="F288:F289" si="207">E288*1.3</f>
        <v>798200</v>
      </c>
      <c r="G288" s="346">
        <v>1.0</v>
      </c>
      <c r="H288" s="292">
        <f t="shared" si="196"/>
        <v>906.8667899</v>
      </c>
      <c r="I288" s="347">
        <v>0.035</v>
      </c>
      <c r="J288" s="348">
        <f t="shared" si="159"/>
        <v>875.1264522</v>
      </c>
      <c r="K288" s="349">
        <f t="shared" si="160"/>
        <v>31.74033765</v>
      </c>
      <c r="L288" s="296">
        <v>0.001397</v>
      </c>
      <c r="M288" s="347">
        <v>0.0215</v>
      </c>
      <c r="N288" s="350">
        <f t="shared" si="161"/>
        <v>0.0014270355</v>
      </c>
      <c r="O288" s="348">
        <f t="shared" si="162"/>
        <v>33.81521872</v>
      </c>
      <c r="P288" s="348">
        <f t="shared" si="163"/>
        <v>1.270336514</v>
      </c>
      <c r="Q288" s="292">
        <f t="shared" si="164"/>
        <v>1178.926827</v>
      </c>
      <c r="R288" s="347">
        <v>0.06</v>
      </c>
      <c r="S288" s="351"/>
      <c r="T288" s="299">
        <f t="shared" si="141"/>
        <v>184200</v>
      </c>
      <c r="U288" s="315">
        <f t="shared" si="142"/>
        <v>173792.7</v>
      </c>
      <c r="V288" s="315">
        <f t="shared" si="143"/>
        <v>36840</v>
      </c>
      <c r="W288" s="320">
        <f t="shared" si="144"/>
        <v>99468</v>
      </c>
      <c r="X288" s="321">
        <f t="shared" si="145"/>
        <v>0.3</v>
      </c>
      <c r="Y288" s="352">
        <f t="shared" si="165"/>
        <v>0.2307692308</v>
      </c>
      <c r="Z288" s="321">
        <f t="shared" si="146"/>
        <v>0.1246153846</v>
      </c>
      <c r="AA288" s="353"/>
      <c r="AB288" s="353"/>
      <c r="AC288" s="353"/>
      <c r="AD288" s="354"/>
      <c r="AE288" s="353"/>
      <c r="AF288" s="353"/>
      <c r="AG288" s="353"/>
      <c r="AH288" s="354" t="str">
        <f t="shared" si="204"/>
        <v/>
      </c>
      <c r="AI288" s="355">
        <f t="shared" si="205"/>
        <v>0</v>
      </c>
    </row>
    <row r="289">
      <c r="A289" s="382">
        <v>2026.0</v>
      </c>
      <c r="B289" s="344" t="s">
        <v>1116</v>
      </c>
      <c r="C289" s="344" t="s">
        <v>233</v>
      </c>
      <c r="D289" s="344" t="s">
        <v>904</v>
      </c>
      <c r="E289" s="387">
        <f>600000+(36000*5)+350000+(10000*5)</f>
        <v>1180000</v>
      </c>
      <c r="F289" s="387">
        <f t="shared" si="207"/>
        <v>1534000</v>
      </c>
      <c r="G289" s="346">
        <v>1.0</v>
      </c>
      <c r="H289" s="292">
        <f t="shared" si="196"/>
        <v>1742.838456</v>
      </c>
      <c r="I289" s="347">
        <v>0.035</v>
      </c>
      <c r="J289" s="348">
        <f t="shared" si="159"/>
        <v>1681.83911</v>
      </c>
      <c r="K289" s="349">
        <f t="shared" si="160"/>
        <v>60.99934597</v>
      </c>
      <c r="L289" s="296">
        <v>0.001397</v>
      </c>
      <c r="M289" s="347">
        <v>0.0215</v>
      </c>
      <c r="N289" s="350">
        <f t="shared" si="161"/>
        <v>0.0014270355</v>
      </c>
      <c r="O289" s="348">
        <f t="shared" si="162"/>
        <v>51.15954087</v>
      </c>
      <c r="P289" s="348">
        <f t="shared" si="163"/>
        <v>2.421544116</v>
      </c>
      <c r="Q289" s="292">
        <f t="shared" si="164"/>
        <v>2265.689993</v>
      </c>
      <c r="R289" s="347">
        <v>0.06</v>
      </c>
      <c r="S289" s="351"/>
      <c r="T289" s="299">
        <f t="shared" si="141"/>
        <v>354000</v>
      </c>
      <c r="U289" s="315">
        <f t="shared" si="142"/>
        <v>333999</v>
      </c>
      <c r="V289" s="315">
        <f t="shared" si="143"/>
        <v>70800</v>
      </c>
      <c r="W289" s="320">
        <f t="shared" si="144"/>
        <v>191160</v>
      </c>
      <c r="X289" s="321">
        <f t="shared" si="145"/>
        <v>0.3</v>
      </c>
      <c r="Y289" s="352">
        <f t="shared" si="165"/>
        <v>0.2307692308</v>
      </c>
      <c r="Z289" s="321">
        <f t="shared" si="146"/>
        <v>0.1246153846</v>
      </c>
      <c r="AA289" s="353"/>
      <c r="AB289" s="353"/>
      <c r="AC289" s="353"/>
      <c r="AD289" s="354"/>
      <c r="AE289" s="353"/>
      <c r="AF289" s="353"/>
      <c r="AG289" s="353"/>
      <c r="AH289" s="354" t="str">
        <f t="shared" si="204"/>
        <v/>
      </c>
      <c r="AI289" s="355">
        <f t="shared" si="205"/>
        <v>0</v>
      </c>
    </row>
    <row r="290">
      <c r="A290" s="382">
        <v>2026.0</v>
      </c>
      <c r="B290" s="344" t="s">
        <v>1117</v>
      </c>
      <c r="C290" s="344" t="s">
        <v>233</v>
      </c>
      <c r="D290" s="344" t="s">
        <v>1118</v>
      </c>
      <c r="E290" s="387">
        <f>600000+(36000*6)+350000+(10000*6)</f>
        <v>1226000</v>
      </c>
      <c r="F290" s="387">
        <f>E290*1.5</f>
        <v>1839000</v>
      </c>
      <c r="G290" s="346">
        <v>1.0</v>
      </c>
      <c r="H290" s="292">
        <f t="shared" si="196"/>
        <v>1810.779616</v>
      </c>
      <c r="I290" s="347">
        <v>0.035</v>
      </c>
      <c r="J290" s="348">
        <f t="shared" si="159"/>
        <v>1747.40233</v>
      </c>
      <c r="K290" s="349">
        <f t="shared" si="160"/>
        <v>63.37728657</v>
      </c>
      <c r="L290" s="296">
        <v>0.001397</v>
      </c>
      <c r="M290" s="347">
        <v>0.0215</v>
      </c>
      <c r="N290" s="350">
        <f t="shared" si="161"/>
        <v>0.0014270355</v>
      </c>
      <c r="O290" s="348">
        <f t="shared" si="162"/>
        <v>52.56915009</v>
      </c>
      <c r="P290" s="348">
        <f t="shared" si="163"/>
        <v>2.515105157</v>
      </c>
      <c r="Q290" s="292">
        <f t="shared" si="164"/>
        <v>2716.169424</v>
      </c>
      <c r="R290" s="347">
        <v>0.06</v>
      </c>
      <c r="S290" s="351"/>
      <c r="T290" s="299">
        <f t="shared" si="141"/>
        <v>613000</v>
      </c>
      <c r="U290" s="315">
        <f t="shared" si="142"/>
        <v>578365.5</v>
      </c>
      <c r="V290" s="315">
        <f t="shared" si="143"/>
        <v>122600</v>
      </c>
      <c r="W290" s="320">
        <f t="shared" si="144"/>
        <v>380060</v>
      </c>
      <c r="X290" s="321">
        <f t="shared" si="145"/>
        <v>0.5</v>
      </c>
      <c r="Y290" s="352">
        <f t="shared" si="165"/>
        <v>0.3333333333</v>
      </c>
      <c r="Z290" s="321">
        <f t="shared" si="146"/>
        <v>0.2066666667</v>
      </c>
      <c r="AA290" s="353"/>
      <c r="AB290" s="353"/>
      <c r="AC290" s="353"/>
      <c r="AD290" s="354"/>
      <c r="AE290" s="353"/>
      <c r="AF290" s="353"/>
      <c r="AG290" s="353"/>
      <c r="AH290" s="354" t="str">
        <f t="shared" si="204"/>
        <v/>
      </c>
      <c r="AI290" s="355">
        <f t="shared" si="205"/>
        <v>0</v>
      </c>
    </row>
    <row r="291">
      <c r="A291" s="382">
        <v>2026.0</v>
      </c>
      <c r="B291" s="344" t="s">
        <v>1119</v>
      </c>
      <c r="C291" s="344" t="s">
        <v>233</v>
      </c>
      <c r="D291" s="344" t="s">
        <v>1120</v>
      </c>
      <c r="E291" s="387">
        <f>600000+(36000*7)+350000+(10000*7)</f>
        <v>1272000</v>
      </c>
      <c r="F291" s="387">
        <f t="shared" ref="F291:F293" si="208">E291*1.51</f>
        <v>1920720</v>
      </c>
      <c r="G291" s="346">
        <v>1.0</v>
      </c>
      <c r="H291" s="292">
        <f t="shared" si="196"/>
        <v>1878.720776</v>
      </c>
      <c r="I291" s="347">
        <v>0.035</v>
      </c>
      <c r="J291" s="348">
        <f t="shared" si="159"/>
        <v>1812.965549</v>
      </c>
      <c r="K291" s="349">
        <f t="shared" si="160"/>
        <v>65.75522718</v>
      </c>
      <c r="L291" s="296">
        <v>0.001397</v>
      </c>
      <c r="M291" s="347">
        <v>0.0215</v>
      </c>
      <c r="N291" s="350">
        <f t="shared" si="161"/>
        <v>0.0014270355</v>
      </c>
      <c r="O291" s="348">
        <f t="shared" si="162"/>
        <v>53.97875931</v>
      </c>
      <c r="P291" s="348">
        <f t="shared" si="163"/>
        <v>2.608666199</v>
      </c>
      <c r="Q291" s="292">
        <f t="shared" si="164"/>
        <v>2836.868372</v>
      </c>
      <c r="R291" s="347">
        <v>0.06</v>
      </c>
      <c r="S291" s="351"/>
      <c r="T291" s="299">
        <f t="shared" si="141"/>
        <v>648720</v>
      </c>
      <c r="U291" s="315">
        <f t="shared" si="142"/>
        <v>612067.32</v>
      </c>
      <c r="V291" s="315">
        <f t="shared" si="143"/>
        <v>129744</v>
      </c>
      <c r="W291" s="320">
        <f t="shared" si="144"/>
        <v>403732.8</v>
      </c>
      <c r="X291" s="321">
        <f t="shared" si="145"/>
        <v>0.51</v>
      </c>
      <c r="Y291" s="352">
        <f t="shared" si="165"/>
        <v>0.3377483444</v>
      </c>
      <c r="Z291" s="321">
        <f t="shared" si="146"/>
        <v>0.2101986755</v>
      </c>
      <c r="AA291" s="353"/>
      <c r="AB291" s="353"/>
      <c r="AC291" s="353"/>
      <c r="AD291" s="354"/>
      <c r="AE291" s="353"/>
      <c r="AF291" s="353"/>
      <c r="AG291" s="353"/>
      <c r="AH291" s="354" t="str">
        <f t="shared" si="204"/>
        <v/>
      </c>
      <c r="AI291" s="355">
        <f t="shared" si="205"/>
        <v>0</v>
      </c>
    </row>
    <row r="292">
      <c r="A292" s="382">
        <v>2026.0</v>
      </c>
      <c r="B292" s="344" t="s">
        <v>1121</v>
      </c>
      <c r="C292" s="344" t="s">
        <v>233</v>
      </c>
      <c r="D292" s="344" t="s">
        <v>1122</v>
      </c>
      <c r="E292" s="387">
        <f>600000+(36000*8)+400000+(10000*8)</f>
        <v>1368000</v>
      </c>
      <c r="F292" s="387">
        <f t="shared" si="208"/>
        <v>2065680</v>
      </c>
      <c r="G292" s="346">
        <v>1.0</v>
      </c>
      <c r="H292" s="292">
        <f t="shared" si="196"/>
        <v>2020.511024</v>
      </c>
      <c r="I292" s="347">
        <v>0.035</v>
      </c>
      <c r="J292" s="348">
        <f t="shared" si="159"/>
        <v>1949.793138</v>
      </c>
      <c r="K292" s="349">
        <f t="shared" si="160"/>
        <v>70.71788583</v>
      </c>
      <c r="L292" s="296">
        <v>0.001397</v>
      </c>
      <c r="M292" s="347">
        <v>0.0215</v>
      </c>
      <c r="N292" s="350">
        <f t="shared" si="161"/>
        <v>0.0014270355</v>
      </c>
      <c r="O292" s="348">
        <f t="shared" si="162"/>
        <v>56.92055247</v>
      </c>
      <c r="P292" s="348">
        <f t="shared" si="163"/>
        <v>2.803924025</v>
      </c>
      <c r="Q292" s="292">
        <f t="shared" si="164"/>
        <v>3050.971646</v>
      </c>
      <c r="R292" s="347">
        <v>0.06</v>
      </c>
      <c r="S292" s="351"/>
      <c r="T292" s="299">
        <f t="shared" si="141"/>
        <v>697680</v>
      </c>
      <c r="U292" s="315">
        <f t="shared" si="142"/>
        <v>658261.08</v>
      </c>
      <c r="V292" s="315">
        <f t="shared" si="143"/>
        <v>139536</v>
      </c>
      <c r="W292" s="320">
        <f t="shared" si="144"/>
        <v>434203.2</v>
      </c>
      <c r="X292" s="321">
        <f t="shared" si="145"/>
        <v>0.51</v>
      </c>
      <c r="Y292" s="352">
        <f t="shared" si="165"/>
        <v>0.3377483444</v>
      </c>
      <c r="Z292" s="321">
        <f t="shared" si="146"/>
        <v>0.2101986755</v>
      </c>
      <c r="AA292" s="353"/>
      <c r="AB292" s="353"/>
      <c r="AC292" s="353"/>
      <c r="AD292" s="354"/>
      <c r="AE292" s="353"/>
      <c r="AF292" s="353"/>
      <c r="AG292" s="353"/>
      <c r="AH292" s="354" t="str">
        <f t="shared" si="204"/>
        <v/>
      </c>
      <c r="AI292" s="355">
        <f t="shared" si="205"/>
        <v>0</v>
      </c>
    </row>
    <row r="293">
      <c r="A293" s="382">
        <v>2026.0</v>
      </c>
      <c r="B293" s="344" t="s">
        <v>1123</v>
      </c>
      <c r="C293" s="344" t="s">
        <v>233</v>
      </c>
      <c r="D293" s="344" t="s">
        <v>1124</v>
      </c>
      <c r="E293" s="387">
        <f>600000+(36000*9)+400000+(10000*9)</f>
        <v>1414000</v>
      </c>
      <c r="F293" s="387">
        <f t="shared" si="208"/>
        <v>2135140</v>
      </c>
      <c r="G293" s="346">
        <v>1.0</v>
      </c>
      <c r="H293" s="292">
        <f t="shared" si="196"/>
        <v>2088.452184</v>
      </c>
      <c r="I293" s="347">
        <v>0.035</v>
      </c>
      <c r="J293" s="348">
        <f t="shared" si="159"/>
        <v>2015.356357</v>
      </c>
      <c r="K293" s="349">
        <f t="shared" si="160"/>
        <v>73.09582644</v>
      </c>
      <c r="L293" s="296">
        <v>0.001397</v>
      </c>
      <c r="M293" s="347">
        <v>0.0215</v>
      </c>
      <c r="N293" s="350">
        <f t="shared" si="161"/>
        <v>0.0014270355</v>
      </c>
      <c r="O293" s="348">
        <f t="shared" si="162"/>
        <v>58.33016169</v>
      </c>
      <c r="P293" s="348">
        <f t="shared" si="163"/>
        <v>2.897485067</v>
      </c>
      <c r="Q293" s="292">
        <f t="shared" si="164"/>
        <v>3153.562798</v>
      </c>
      <c r="R293" s="347">
        <v>0.06</v>
      </c>
      <c r="S293" s="351"/>
      <c r="T293" s="299">
        <f t="shared" si="141"/>
        <v>721140</v>
      </c>
      <c r="U293" s="315">
        <f t="shared" si="142"/>
        <v>680395.59</v>
      </c>
      <c r="V293" s="315">
        <f t="shared" si="143"/>
        <v>144228</v>
      </c>
      <c r="W293" s="320">
        <f t="shared" si="144"/>
        <v>448803.6</v>
      </c>
      <c r="X293" s="321">
        <f t="shared" si="145"/>
        <v>0.51</v>
      </c>
      <c r="Y293" s="352">
        <f t="shared" si="165"/>
        <v>0.3377483444</v>
      </c>
      <c r="Z293" s="321">
        <f t="shared" si="146"/>
        <v>0.2101986755</v>
      </c>
      <c r="AA293" s="353"/>
      <c r="AB293" s="353"/>
      <c r="AC293" s="353"/>
      <c r="AD293" s="354"/>
      <c r="AE293" s="353"/>
      <c r="AF293" s="353"/>
      <c r="AG293" s="353"/>
      <c r="AH293" s="354" t="str">
        <f t="shared" si="204"/>
        <v/>
      </c>
      <c r="AI293" s="355">
        <f t="shared" si="205"/>
        <v>0</v>
      </c>
    </row>
    <row r="294">
      <c r="A294" s="382">
        <v>2026.0</v>
      </c>
      <c r="B294" s="344" t="s">
        <v>1125</v>
      </c>
      <c r="C294" s="344" t="s">
        <v>233</v>
      </c>
      <c r="D294" s="344" t="s">
        <v>1126</v>
      </c>
      <c r="E294" s="387">
        <f>600000+(36000*10)+400000+(10000*10)</f>
        <v>1460000</v>
      </c>
      <c r="F294" s="387">
        <f t="shared" ref="F294:F296" si="209">E294*1.75</f>
        <v>2555000</v>
      </c>
      <c r="G294" s="346">
        <v>1.0</v>
      </c>
      <c r="H294" s="292">
        <f t="shared" si="196"/>
        <v>2156.393344</v>
      </c>
      <c r="I294" s="347">
        <v>0.035</v>
      </c>
      <c r="J294" s="348">
        <f t="shared" si="159"/>
        <v>2080.919577</v>
      </c>
      <c r="K294" s="349">
        <f t="shared" si="160"/>
        <v>75.47376704</v>
      </c>
      <c r="L294" s="296">
        <v>0.001397</v>
      </c>
      <c r="M294" s="347">
        <v>0.0215</v>
      </c>
      <c r="N294" s="350">
        <f t="shared" si="161"/>
        <v>0.0014270355</v>
      </c>
      <c r="O294" s="348">
        <f t="shared" si="162"/>
        <v>59.73977091</v>
      </c>
      <c r="P294" s="348">
        <f t="shared" si="163"/>
        <v>2.991046109</v>
      </c>
      <c r="Q294" s="292">
        <f t="shared" si="164"/>
        <v>3773.688352</v>
      </c>
      <c r="R294" s="347">
        <v>0.06</v>
      </c>
      <c r="S294" s="351"/>
      <c r="T294" s="299">
        <f t="shared" si="141"/>
        <v>1095000</v>
      </c>
      <c r="U294" s="315">
        <f t="shared" si="142"/>
        <v>1033132.5</v>
      </c>
      <c r="V294" s="315">
        <f t="shared" si="143"/>
        <v>219000</v>
      </c>
      <c r="W294" s="320">
        <f t="shared" si="144"/>
        <v>722700</v>
      </c>
      <c r="X294" s="321">
        <f t="shared" si="145"/>
        <v>0.75</v>
      </c>
      <c r="Y294" s="352">
        <f t="shared" si="165"/>
        <v>0.4285714286</v>
      </c>
      <c r="Z294" s="321">
        <f t="shared" si="146"/>
        <v>0.2828571429</v>
      </c>
      <c r="AA294" s="353"/>
      <c r="AB294" s="353"/>
      <c r="AC294" s="353"/>
      <c r="AD294" s="354"/>
      <c r="AE294" s="353"/>
      <c r="AF294" s="353"/>
      <c r="AG294" s="353"/>
      <c r="AH294" s="354" t="str">
        <f t="shared" si="204"/>
        <v/>
      </c>
      <c r="AI294" s="355">
        <f t="shared" si="205"/>
        <v>0</v>
      </c>
    </row>
    <row r="295">
      <c r="A295" s="382">
        <v>2026.0</v>
      </c>
      <c r="B295" s="344" t="s">
        <v>1127</v>
      </c>
      <c r="C295" s="344" t="s">
        <v>233</v>
      </c>
      <c r="D295" s="344" t="s">
        <v>1128</v>
      </c>
      <c r="E295" s="387">
        <f>900000+(36000*11)+400000+(10000*11)</f>
        <v>1806000</v>
      </c>
      <c r="F295" s="387">
        <f t="shared" si="209"/>
        <v>3160500</v>
      </c>
      <c r="G295" s="346">
        <v>1.0</v>
      </c>
      <c r="H295" s="292">
        <f t="shared" si="196"/>
        <v>2667.429027</v>
      </c>
      <c r="I295" s="347">
        <v>0.035</v>
      </c>
      <c r="J295" s="348">
        <f t="shared" si="159"/>
        <v>2574.069011</v>
      </c>
      <c r="K295" s="349">
        <f t="shared" si="160"/>
        <v>93.36001594</v>
      </c>
      <c r="L295" s="296">
        <v>0.001397</v>
      </c>
      <c r="M295" s="347">
        <v>0.0215</v>
      </c>
      <c r="N295" s="350">
        <f t="shared" si="161"/>
        <v>0.0014270355</v>
      </c>
      <c r="O295" s="348">
        <f t="shared" si="162"/>
        <v>70.34248374</v>
      </c>
      <c r="P295" s="348">
        <f t="shared" si="163"/>
        <v>3.694787858</v>
      </c>
      <c r="Q295" s="292">
        <f t="shared" si="164"/>
        <v>4668.000797</v>
      </c>
      <c r="R295" s="347">
        <v>0.06</v>
      </c>
      <c r="S295" s="351"/>
      <c r="T295" s="299">
        <f t="shared" si="141"/>
        <v>1354500</v>
      </c>
      <c r="U295" s="315">
        <f t="shared" si="142"/>
        <v>1277970.75</v>
      </c>
      <c r="V295" s="315">
        <f t="shared" si="143"/>
        <v>270900</v>
      </c>
      <c r="W295" s="320">
        <f t="shared" si="144"/>
        <v>893970</v>
      </c>
      <c r="X295" s="321">
        <f t="shared" si="145"/>
        <v>0.75</v>
      </c>
      <c r="Y295" s="352">
        <f t="shared" si="165"/>
        <v>0.4285714286</v>
      </c>
      <c r="Z295" s="321">
        <f t="shared" si="146"/>
        <v>0.2828571429</v>
      </c>
      <c r="AA295" s="401"/>
      <c r="AB295" s="401"/>
      <c r="AC295" s="401"/>
      <c r="AD295" s="402"/>
      <c r="AE295" s="401"/>
      <c r="AF295" s="401"/>
      <c r="AG295" s="401"/>
      <c r="AH295" s="402" t="str">
        <f t="shared" si="204"/>
        <v/>
      </c>
      <c r="AI295" s="403">
        <f t="shared" si="205"/>
        <v>0</v>
      </c>
    </row>
    <row r="296">
      <c r="A296" s="382">
        <v>2026.0</v>
      </c>
      <c r="B296" s="344" t="s">
        <v>1129</v>
      </c>
      <c r="C296" s="344" t="s">
        <v>233</v>
      </c>
      <c r="D296" s="344" t="s">
        <v>1130</v>
      </c>
      <c r="E296" s="387">
        <f>900000+(36000*12)+400000+(10000*12)</f>
        <v>1852000</v>
      </c>
      <c r="F296" s="387">
        <f t="shared" si="209"/>
        <v>3241000</v>
      </c>
      <c r="G296" s="346">
        <v>1.0</v>
      </c>
      <c r="H296" s="292">
        <f t="shared" si="196"/>
        <v>2735.370187</v>
      </c>
      <c r="I296" s="347">
        <v>0.035</v>
      </c>
      <c r="J296" s="348">
        <f t="shared" si="159"/>
        <v>2639.632231</v>
      </c>
      <c r="K296" s="349">
        <f t="shared" si="160"/>
        <v>95.73795655</v>
      </c>
      <c r="L296" s="296">
        <v>0.001397</v>
      </c>
      <c r="M296" s="347">
        <v>0.0215</v>
      </c>
      <c r="N296" s="350">
        <f t="shared" si="161"/>
        <v>0.0014270355</v>
      </c>
      <c r="O296" s="348">
        <f t="shared" si="162"/>
        <v>71.75209296</v>
      </c>
      <c r="P296" s="348">
        <f t="shared" si="163"/>
        <v>3.7883489</v>
      </c>
      <c r="Q296" s="292">
        <f t="shared" si="164"/>
        <v>4786.897827</v>
      </c>
      <c r="R296" s="347">
        <v>0.06</v>
      </c>
      <c r="S296" s="351"/>
      <c r="T296" s="299">
        <f t="shared" si="141"/>
        <v>1389000</v>
      </c>
      <c r="U296" s="315">
        <f t="shared" si="142"/>
        <v>1310521.5</v>
      </c>
      <c r="V296" s="315">
        <f t="shared" si="143"/>
        <v>277800</v>
      </c>
      <c r="W296" s="320">
        <f t="shared" si="144"/>
        <v>916740</v>
      </c>
      <c r="X296" s="321">
        <f t="shared" si="145"/>
        <v>0.75</v>
      </c>
      <c r="Y296" s="352">
        <f t="shared" si="165"/>
        <v>0.4285714286</v>
      </c>
      <c r="Z296" s="321">
        <f t="shared" si="146"/>
        <v>0.2828571429</v>
      </c>
      <c r="AA296" s="401"/>
      <c r="AB296" s="401"/>
      <c r="AC296" s="401"/>
      <c r="AD296" s="402"/>
      <c r="AE296" s="401"/>
      <c r="AF296" s="401"/>
      <c r="AG296" s="401"/>
      <c r="AH296" s="402" t="str">
        <f t="shared" si="204"/>
        <v/>
      </c>
      <c r="AI296" s="403">
        <f t="shared" si="205"/>
        <v>0</v>
      </c>
    </row>
    <row r="297">
      <c r="A297" s="344">
        <v>2025.0</v>
      </c>
      <c r="B297" s="344" t="s">
        <v>1112</v>
      </c>
      <c r="C297" s="344" t="s">
        <v>1131</v>
      </c>
      <c r="D297" s="344" t="s">
        <v>897</v>
      </c>
      <c r="E297" s="290">
        <f>E511*1.1</f>
        <v>0</v>
      </c>
      <c r="F297" s="345">
        <f>F299+(36000*16)+10000*16</f>
        <v>736000</v>
      </c>
      <c r="G297" s="346">
        <v>1.0</v>
      </c>
      <c r="H297" s="292">
        <f t="shared" si="196"/>
        <v>0</v>
      </c>
      <c r="I297" s="347">
        <v>0.035</v>
      </c>
      <c r="J297" s="348">
        <f t="shared" si="159"/>
        <v>0</v>
      </c>
      <c r="K297" s="349">
        <f t="shared" si="160"/>
        <v>0</v>
      </c>
      <c r="L297" s="296">
        <v>0.001397</v>
      </c>
      <c r="M297" s="347">
        <v>0.0215</v>
      </c>
      <c r="N297" s="350">
        <f t="shared" si="161"/>
        <v>0.0014270355</v>
      </c>
      <c r="O297" s="348">
        <f t="shared" si="162"/>
        <v>15</v>
      </c>
      <c r="P297" s="348">
        <f t="shared" si="163"/>
        <v>0.0215</v>
      </c>
      <c r="Q297" s="292">
        <f t="shared" si="164"/>
        <v>1087.058562</v>
      </c>
      <c r="R297" s="347">
        <v>0.06</v>
      </c>
      <c r="S297" s="351"/>
      <c r="T297" s="299">
        <f t="shared" si="141"/>
        <v>736000</v>
      </c>
      <c r="U297" s="315">
        <f t="shared" si="142"/>
        <v>694416</v>
      </c>
      <c r="V297" s="315">
        <f t="shared" si="143"/>
        <v>147200</v>
      </c>
      <c r="W297" s="320">
        <f t="shared" si="144"/>
        <v>544640</v>
      </c>
      <c r="X297" s="321" t="str">
        <f t="shared" si="145"/>
        <v/>
      </c>
      <c r="Y297" s="352">
        <f t="shared" si="165"/>
        <v>1</v>
      </c>
      <c r="Z297" s="321">
        <f t="shared" si="146"/>
        <v>0.74</v>
      </c>
      <c r="AA297" s="401"/>
      <c r="AB297" s="401"/>
      <c r="AC297" s="401"/>
      <c r="AD297" s="402"/>
      <c r="AE297" s="401"/>
      <c r="AF297" s="401"/>
      <c r="AG297" s="401"/>
      <c r="AH297" s="402" t="str">
        <f t="shared" si="204"/>
        <v/>
      </c>
      <c r="AI297" s="403">
        <f t="shared" si="205"/>
        <v>0</v>
      </c>
    </row>
    <row r="298">
      <c r="A298" s="344"/>
      <c r="B298" s="344"/>
      <c r="C298" s="344"/>
      <c r="D298" s="344"/>
      <c r="E298" s="377"/>
      <c r="F298" s="345"/>
      <c r="G298" s="378"/>
      <c r="H298" s="404"/>
      <c r="I298" s="347"/>
      <c r="J298" s="348"/>
      <c r="K298" s="349"/>
      <c r="L298" s="296"/>
      <c r="M298" s="347"/>
      <c r="N298" s="350"/>
      <c r="O298" s="348"/>
      <c r="P298" s="348"/>
      <c r="Q298" s="404"/>
      <c r="R298" s="347"/>
      <c r="S298" s="351"/>
      <c r="T298" s="299">
        <f t="shared" si="141"/>
        <v>0</v>
      </c>
      <c r="U298" s="315">
        <f t="shared" si="142"/>
        <v>0</v>
      </c>
      <c r="V298" s="315">
        <f t="shared" si="143"/>
        <v>0</v>
      </c>
      <c r="W298" s="320">
        <f t="shared" si="144"/>
        <v>0</v>
      </c>
      <c r="X298" s="321" t="str">
        <f t="shared" si="145"/>
        <v/>
      </c>
      <c r="Y298" s="405"/>
      <c r="Z298" s="321" t="str">
        <f t="shared" si="146"/>
        <v/>
      </c>
      <c r="AA298" s="401"/>
      <c r="AB298" s="401"/>
      <c r="AC298" s="401"/>
      <c r="AD298" s="401"/>
      <c r="AE298" s="401"/>
      <c r="AF298" s="401"/>
      <c r="AG298" s="401"/>
      <c r="AH298" s="401"/>
      <c r="AI298" s="406"/>
    </row>
    <row r="299">
      <c r="A299" s="344"/>
      <c r="B299" s="344"/>
      <c r="C299" s="344"/>
      <c r="D299" s="344"/>
      <c r="E299" s="377"/>
      <c r="F299" s="345"/>
      <c r="G299" s="378"/>
      <c r="H299" s="404"/>
      <c r="I299" s="347"/>
      <c r="J299" s="348"/>
      <c r="K299" s="349"/>
      <c r="L299" s="296"/>
      <c r="M299" s="347"/>
      <c r="N299" s="350"/>
      <c r="O299" s="348"/>
      <c r="P299" s="348"/>
      <c r="Q299" s="404"/>
      <c r="R299" s="347"/>
      <c r="S299" s="351"/>
      <c r="T299" s="299">
        <f t="shared" si="141"/>
        <v>0</v>
      </c>
      <c r="U299" s="315">
        <f t="shared" si="142"/>
        <v>0</v>
      </c>
      <c r="V299" s="315">
        <f t="shared" si="143"/>
        <v>0</v>
      </c>
      <c r="W299" s="320">
        <f t="shared" si="144"/>
        <v>0</v>
      </c>
      <c r="X299" s="321" t="str">
        <f t="shared" si="145"/>
        <v/>
      </c>
      <c r="Y299" s="405"/>
      <c r="Z299" s="321" t="str">
        <f t="shared" si="146"/>
        <v/>
      </c>
      <c r="AA299" s="401"/>
      <c r="AB299" s="401"/>
      <c r="AC299" s="401"/>
      <c r="AD299" s="401"/>
      <c r="AE299" s="401"/>
      <c r="AF299" s="401"/>
      <c r="AG299" s="401"/>
      <c r="AH299" s="401"/>
      <c r="AI299" s="406"/>
    </row>
    <row r="300">
      <c r="A300" s="407"/>
      <c r="B300" s="407"/>
      <c r="C300" s="407"/>
      <c r="D300" s="407"/>
      <c r="E300" s="408"/>
      <c r="F300" s="409"/>
      <c r="G300" s="410"/>
      <c r="H300" s="292"/>
      <c r="I300" s="411"/>
      <c r="J300" s="412"/>
      <c r="K300" s="413"/>
      <c r="L300" s="296">
        <v>0.001397</v>
      </c>
      <c r="M300" s="411"/>
      <c r="N300" s="414"/>
      <c r="O300" s="412"/>
      <c r="P300" s="412"/>
      <c r="Q300" s="292"/>
      <c r="R300" s="411"/>
      <c r="S300" s="415"/>
      <c r="T300" s="299">
        <f t="shared" si="141"/>
        <v>0</v>
      </c>
      <c r="U300" s="315">
        <f t="shared" si="142"/>
        <v>0</v>
      </c>
      <c r="V300" s="315">
        <f t="shared" si="143"/>
        <v>0</v>
      </c>
      <c r="W300" s="320">
        <f t="shared" si="144"/>
        <v>0</v>
      </c>
      <c r="X300" s="321" t="str">
        <f t="shared" si="145"/>
        <v/>
      </c>
      <c r="Y300" s="416"/>
      <c r="Z300" s="321" t="str">
        <f t="shared" si="146"/>
        <v/>
      </c>
      <c r="AA300" s="417"/>
      <c r="AB300" s="417"/>
      <c r="AC300" s="417"/>
      <c r="AD300" s="417"/>
      <c r="AE300" s="417"/>
      <c r="AF300" s="417"/>
      <c r="AG300" s="417"/>
      <c r="AH300" s="417"/>
      <c r="AI300" s="418"/>
    </row>
    <row r="301">
      <c r="A301" s="419"/>
      <c r="B301" s="420"/>
      <c r="C301" s="421"/>
      <c r="D301" s="422"/>
      <c r="E301" s="345"/>
      <c r="F301" s="387"/>
      <c r="G301" s="423"/>
      <c r="H301" s="292">
        <f t="shared" ref="H301:H302" si="210">((E301*N301)*(1+I301))*G301</f>
        <v>0</v>
      </c>
      <c r="I301" s="347">
        <v>0.035</v>
      </c>
      <c r="J301" s="348">
        <f t="shared" ref="J301:J302" si="211">H301*(1-I301)</f>
        <v>0</v>
      </c>
      <c r="K301" s="349">
        <f t="shared" ref="K301:K302" si="212">H301-J301</f>
        <v>0</v>
      </c>
      <c r="L301" s="296">
        <v>0.001397</v>
      </c>
      <c r="M301" s="347">
        <v>0.0215</v>
      </c>
      <c r="N301" s="350">
        <f t="shared" ref="N301:N302" si="213">L301*(1+M301)</f>
        <v>0.0014270355</v>
      </c>
      <c r="O301" s="348">
        <f t="shared" ref="O301:O302" si="214">(J301*M301)+15</f>
        <v>15</v>
      </c>
      <c r="P301" s="348">
        <f t="shared" ref="P301:P302" si="215">(J301*N301)+M301</f>
        <v>0.0215</v>
      </c>
      <c r="Q301" s="292">
        <f t="shared" ref="Q301:Q330" si="216">((F301*N301)*(1+I301))*G301</f>
        <v>0</v>
      </c>
      <c r="R301" s="347">
        <v>0.06</v>
      </c>
      <c r="S301" s="351"/>
      <c r="T301" s="299">
        <f t="shared" si="141"/>
        <v>0</v>
      </c>
      <c r="U301" s="315">
        <f t="shared" si="142"/>
        <v>0</v>
      </c>
      <c r="V301" s="315">
        <f t="shared" si="143"/>
        <v>0</v>
      </c>
      <c r="W301" s="320">
        <f t="shared" si="144"/>
        <v>0</v>
      </c>
      <c r="X301" s="321" t="str">
        <f t="shared" si="145"/>
        <v/>
      </c>
      <c r="Y301" s="352" t="str">
        <f t="shared" ref="Y301:Y302" si="217">IFERROR((Q301-H301)/Q301,"")</f>
        <v/>
      </c>
      <c r="Z301" s="321" t="str">
        <f t="shared" si="146"/>
        <v/>
      </c>
      <c r="AA301" s="401"/>
      <c r="AB301" s="401"/>
      <c r="AC301" s="401"/>
      <c r="AD301" s="402"/>
      <c r="AE301" s="401"/>
      <c r="AF301" s="401"/>
      <c r="AG301" s="401"/>
      <c r="AH301" s="402" t="str">
        <f t="shared" ref="AH301:AH302" si="218">IFERROR(AVERAGE(AE301:AG301),"")</f>
        <v/>
      </c>
      <c r="AI301" s="403">
        <f t="shared" ref="AI301:AI302" si="219">AE301+AF301+AG301</f>
        <v>0</v>
      </c>
    </row>
    <row r="302">
      <c r="A302" s="421"/>
      <c r="B302" s="421"/>
      <c r="D302" s="422"/>
      <c r="E302" s="345"/>
      <c r="F302" s="387"/>
      <c r="G302" s="423"/>
      <c r="H302" s="292">
        <f t="shared" si="210"/>
        <v>0</v>
      </c>
      <c r="I302" s="347">
        <v>0.035</v>
      </c>
      <c r="J302" s="348">
        <f t="shared" si="211"/>
        <v>0</v>
      </c>
      <c r="K302" s="349">
        <f t="shared" si="212"/>
        <v>0</v>
      </c>
      <c r="L302" s="296">
        <v>0.001397</v>
      </c>
      <c r="M302" s="347">
        <v>0.0215</v>
      </c>
      <c r="N302" s="350">
        <f t="shared" si="213"/>
        <v>0.0014270355</v>
      </c>
      <c r="O302" s="348">
        <f t="shared" si="214"/>
        <v>15</v>
      </c>
      <c r="P302" s="348">
        <f t="shared" si="215"/>
        <v>0.0215</v>
      </c>
      <c r="Q302" s="292">
        <f t="shared" si="216"/>
        <v>0</v>
      </c>
      <c r="R302" s="347">
        <v>0.06</v>
      </c>
      <c r="S302" s="351"/>
      <c r="T302" s="299">
        <f t="shared" si="141"/>
        <v>0</v>
      </c>
      <c r="U302" s="315">
        <f t="shared" si="142"/>
        <v>0</v>
      </c>
      <c r="V302" s="315">
        <f t="shared" si="143"/>
        <v>0</v>
      </c>
      <c r="W302" s="320">
        <f t="shared" si="144"/>
        <v>0</v>
      </c>
      <c r="X302" s="321" t="str">
        <f t="shared" si="145"/>
        <v/>
      </c>
      <c r="Y302" s="352" t="str">
        <f t="shared" si="217"/>
        <v/>
      </c>
      <c r="Z302" s="321" t="str">
        <f t="shared" si="146"/>
        <v/>
      </c>
      <c r="AA302" s="401"/>
      <c r="AB302" s="401"/>
      <c r="AC302" s="401"/>
      <c r="AD302" s="402"/>
      <c r="AE302" s="401"/>
      <c r="AF302" s="401"/>
      <c r="AG302" s="401"/>
      <c r="AH302" s="402" t="str">
        <f t="shared" si="218"/>
        <v/>
      </c>
      <c r="AI302" s="403">
        <f t="shared" si="219"/>
        <v>0</v>
      </c>
    </row>
    <row r="303">
      <c r="A303" s="419"/>
      <c r="B303" s="421"/>
      <c r="C303" s="420"/>
      <c r="D303" s="422"/>
      <c r="E303" s="387"/>
      <c r="F303" s="387"/>
      <c r="G303" s="423"/>
      <c r="H303" s="292"/>
      <c r="I303" s="347"/>
      <c r="J303" s="348"/>
      <c r="K303" s="349"/>
      <c r="L303" s="296">
        <v>0.001397</v>
      </c>
      <c r="M303" s="347"/>
      <c r="N303" s="350"/>
      <c r="O303" s="348"/>
      <c r="P303" s="348"/>
      <c r="Q303" s="292">
        <f t="shared" si="216"/>
        <v>0</v>
      </c>
      <c r="R303" s="347"/>
      <c r="S303" s="351"/>
      <c r="T303" s="299">
        <f t="shared" si="141"/>
        <v>0</v>
      </c>
      <c r="U303" s="315">
        <f t="shared" si="142"/>
        <v>0</v>
      </c>
      <c r="V303" s="315">
        <f t="shared" si="143"/>
        <v>0</v>
      </c>
      <c r="W303" s="320">
        <f t="shared" si="144"/>
        <v>0</v>
      </c>
      <c r="X303" s="321" t="str">
        <f t="shared" si="145"/>
        <v/>
      </c>
      <c r="Y303" s="352"/>
      <c r="Z303" s="321" t="str">
        <f t="shared" si="146"/>
        <v/>
      </c>
      <c r="AA303" s="401"/>
      <c r="AB303" s="401"/>
      <c r="AC303" s="401"/>
      <c r="AD303" s="402"/>
      <c r="AE303" s="401"/>
      <c r="AF303" s="401"/>
      <c r="AG303" s="401"/>
      <c r="AH303" s="402"/>
      <c r="AI303" s="403"/>
    </row>
    <row r="304">
      <c r="A304" s="419"/>
      <c r="B304" s="421"/>
      <c r="C304" s="419"/>
      <c r="D304" s="422"/>
      <c r="E304" s="345"/>
      <c r="F304" s="387"/>
      <c r="G304" s="423"/>
      <c r="H304" s="292">
        <f t="shared" ref="H304:H330" si="220">((E304*N304)*(1+I304))*G304</f>
        <v>0</v>
      </c>
      <c r="I304" s="347">
        <v>0.035</v>
      </c>
      <c r="J304" s="348">
        <f t="shared" ref="J304:J330" si="221">H304*(1-I304)</f>
        <v>0</v>
      </c>
      <c r="K304" s="349">
        <f t="shared" ref="K304:K330" si="222">H304-J304</f>
        <v>0</v>
      </c>
      <c r="L304" s="296">
        <v>0.001397</v>
      </c>
      <c r="M304" s="347">
        <v>0.0215</v>
      </c>
      <c r="N304" s="350">
        <f t="shared" ref="N304:N330" si="223">L304*(1+M304)</f>
        <v>0.0014270355</v>
      </c>
      <c r="O304" s="348">
        <f t="shared" ref="O304:O330" si="224">(J304*M304)+15</f>
        <v>15</v>
      </c>
      <c r="P304" s="348">
        <f t="shared" ref="P304:P330" si="225">(J304*N304)+M304</f>
        <v>0.0215</v>
      </c>
      <c r="Q304" s="292">
        <f t="shared" si="216"/>
        <v>0</v>
      </c>
      <c r="R304" s="347">
        <v>0.06</v>
      </c>
      <c r="S304" s="351"/>
      <c r="T304" s="299">
        <f t="shared" si="141"/>
        <v>0</v>
      </c>
      <c r="U304" s="315">
        <f t="shared" si="142"/>
        <v>0</v>
      </c>
      <c r="V304" s="315">
        <f t="shared" si="143"/>
        <v>0</v>
      </c>
      <c r="W304" s="320">
        <f t="shared" si="144"/>
        <v>0</v>
      </c>
      <c r="X304" s="321" t="str">
        <f t="shared" si="145"/>
        <v/>
      </c>
      <c r="Y304" s="352" t="str">
        <f t="shared" ref="Y304:Y330" si="226">IFERROR((Q304-H304)/Q304,"")</f>
        <v/>
      </c>
      <c r="Z304" s="321" t="str">
        <f t="shared" si="146"/>
        <v/>
      </c>
      <c r="AA304" s="401"/>
      <c r="AB304" s="401"/>
      <c r="AC304" s="401"/>
      <c r="AD304" s="402"/>
      <c r="AE304" s="401"/>
      <c r="AF304" s="401"/>
      <c r="AG304" s="401"/>
      <c r="AH304" s="402" t="str">
        <f t="shared" ref="AH304:AH321" si="227">IFERROR(AVERAGE(AE304:AG304),"")</f>
        <v/>
      </c>
      <c r="AI304" s="403">
        <f t="shared" ref="AI304:AI321" si="228">AE304+AF304+AG304</f>
        <v>0</v>
      </c>
    </row>
    <row r="305">
      <c r="A305" s="419"/>
      <c r="B305" s="421"/>
      <c r="C305" s="424"/>
      <c r="D305" s="422"/>
      <c r="E305" s="425"/>
      <c r="F305" s="387"/>
      <c r="G305" s="423"/>
      <c r="H305" s="292">
        <f t="shared" si="220"/>
        <v>0</v>
      </c>
      <c r="I305" s="347">
        <v>0.035</v>
      </c>
      <c r="J305" s="348">
        <f t="shared" si="221"/>
        <v>0</v>
      </c>
      <c r="K305" s="349">
        <f t="shared" si="222"/>
        <v>0</v>
      </c>
      <c r="L305" s="296">
        <v>0.001397</v>
      </c>
      <c r="M305" s="347">
        <v>0.0215</v>
      </c>
      <c r="N305" s="350">
        <f t="shared" si="223"/>
        <v>0.0014270355</v>
      </c>
      <c r="O305" s="348">
        <f t="shared" si="224"/>
        <v>15</v>
      </c>
      <c r="P305" s="348">
        <f t="shared" si="225"/>
        <v>0.0215</v>
      </c>
      <c r="Q305" s="292">
        <f t="shared" si="216"/>
        <v>0</v>
      </c>
      <c r="R305" s="347">
        <v>0.06</v>
      </c>
      <c r="S305" s="351"/>
      <c r="T305" s="299">
        <f t="shared" si="141"/>
        <v>0</v>
      </c>
      <c r="U305" s="315">
        <f t="shared" si="142"/>
        <v>0</v>
      </c>
      <c r="V305" s="315">
        <f t="shared" si="143"/>
        <v>0</v>
      </c>
      <c r="W305" s="320">
        <f t="shared" si="144"/>
        <v>0</v>
      </c>
      <c r="X305" s="321" t="str">
        <f t="shared" si="145"/>
        <v/>
      </c>
      <c r="Y305" s="352" t="str">
        <f t="shared" si="226"/>
        <v/>
      </c>
      <c r="Z305" s="321" t="str">
        <f t="shared" si="146"/>
        <v/>
      </c>
      <c r="AA305" s="401"/>
      <c r="AB305" s="401"/>
      <c r="AC305" s="401"/>
      <c r="AD305" s="402"/>
      <c r="AE305" s="401"/>
      <c r="AF305" s="401"/>
      <c r="AG305" s="401"/>
      <c r="AH305" s="402" t="str">
        <f t="shared" si="227"/>
        <v/>
      </c>
      <c r="AI305" s="403">
        <f t="shared" si="228"/>
        <v>0</v>
      </c>
    </row>
    <row r="306">
      <c r="A306" s="419"/>
      <c r="B306" s="421"/>
      <c r="C306" s="419"/>
      <c r="D306" s="422"/>
      <c r="E306" s="425"/>
      <c r="F306" s="387"/>
      <c r="G306" s="423"/>
      <c r="H306" s="292">
        <f t="shared" si="220"/>
        <v>0</v>
      </c>
      <c r="I306" s="347">
        <v>0.035</v>
      </c>
      <c r="J306" s="348">
        <f t="shared" si="221"/>
        <v>0</v>
      </c>
      <c r="K306" s="349">
        <f t="shared" si="222"/>
        <v>0</v>
      </c>
      <c r="L306" s="296">
        <v>0.001397</v>
      </c>
      <c r="M306" s="347">
        <v>0.0215</v>
      </c>
      <c r="N306" s="350">
        <f t="shared" si="223"/>
        <v>0.0014270355</v>
      </c>
      <c r="O306" s="348">
        <f t="shared" si="224"/>
        <v>15</v>
      </c>
      <c r="P306" s="348">
        <f t="shared" si="225"/>
        <v>0.0215</v>
      </c>
      <c r="Q306" s="292">
        <f t="shared" si="216"/>
        <v>0</v>
      </c>
      <c r="R306" s="347">
        <v>0.06</v>
      </c>
      <c r="S306" s="351"/>
      <c r="T306" s="299">
        <f t="shared" si="141"/>
        <v>0</v>
      </c>
      <c r="U306" s="315">
        <f t="shared" si="142"/>
        <v>0</v>
      </c>
      <c r="V306" s="315">
        <f t="shared" si="143"/>
        <v>0</v>
      </c>
      <c r="W306" s="320">
        <f t="shared" si="144"/>
        <v>0</v>
      </c>
      <c r="X306" s="321" t="str">
        <f t="shared" si="145"/>
        <v/>
      </c>
      <c r="Y306" s="352" t="str">
        <f t="shared" si="226"/>
        <v/>
      </c>
      <c r="Z306" s="321" t="str">
        <f t="shared" si="146"/>
        <v/>
      </c>
      <c r="AA306" s="401"/>
      <c r="AB306" s="401"/>
      <c r="AC306" s="401"/>
      <c r="AD306" s="402"/>
      <c r="AE306" s="401"/>
      <c r="AF306" s="401"/>
      <c r="AG306" s="401"/>
      <c r="AH306" s="402" t="str">
        <f t="shared" si="227"/>
        <v/>
      </c>
      <c r="AI306" s="403">
        <f t="shared" si="228"/>
        <v>0</v>
      </c>
    </row>
    <row r="307">
      <c r="A307" s="419"/>
      <c r="B307" s="420"/>
      <c r="C307" s="426"/>
      <c r="D307" s="422"/>
      <c r="E307" s="425"/>
      <c r="F307" s="387"/>
      <c r="G307" s="423"/>
      <c r="H307" s="292">
        <f t="shared" si="220"/>
        <v>0</v>
      </c>
      <c r="I307" s="347">
        <v>0.035</v>
      </c>
      <c r="J307" s="348">
        <f t="shared" si="221"/>
        <v>0</v>
      </c>
      <c r="K307" s="349">
        <f t="shared" si="222"/>
        <v>0</v>
      </c>
      <c r="L307" s="296">
        <v>0.001397</v>
      </c>
      <c r="M307" s="347">
        <v>0.0215</v>
      </c>
      <c r="N307" s="350">
        <f t="shared" si="223"/>
        <v>0.0014270355</v>
      </c>
      <c r="O307" s="348">
        <f t="shared" si="224"/>
        <v>15</v>
      </c>
      <c r="P307" s="348">
        <f t="shared" si="225"/>
        <v>0.0215</v>
      </c>
      <c r="Q307" s="292">
        <f t="shared" si="216"/>
        <v>0</v>
      </c>
      <c r="R307" s="347">
        <v>0.06</v>
      </c>
      <c r="S307" s="351"/>
      <c r="T307" s="299">
        <f t="shared" si="141"/>
        <v>0</v>
      </c>
      <c r="U307" s="315">
        <f t="shared" si="142"/>
        <v>0</v>
      </c>
      <c r="V307" s="315">
        <f t="shared" si="143"/>
        <v>0</v>
      </c>
      <c r="W307" s="320">
        <f t="shared" si="144"/>
        <v>0</v>
      </c>
      <c r="X307" s="321" t="str">
        <f t="shared" si="145"/>
        <v/>
      </c>
      <c r="Y307" s="352" t="str">
        <f t="shared" si="226"/>
        <v/>
      </c>
      <c r="Z307" s="321" t="str">
        <f t="shared" si="146"/>
        <v/>
      </c>
      <c r="AA307" s="401"/>
      <c r="AB307" s="401"/>
      <c r="AC307" s="401"/>
      <c r="AD307" s="402"/>
      <c r="AE307" s="401"/>
      <c r="AF307" s="401"/>
      <c r="AG307" s="401"/>
      <c r="AH307" s="402" t="str">
        <f t="shared" si="227"/>
        <v/>
      </c>
      <c r="AI307" s="403">
        <f t="shared" si="228"/>
        <v>0</v>
      </c>
    </row>
    <row r="308">
      <c r="A308" s="419"/>
      <c r="B308" s="419"/>
      <c r="C308" s="427"/>
      <c r="D308" s="422"/>
      <c r="E308" s="387"/>
      <c r="F308" s="387"/>
      <c r="G308" s="423"/>
      <c r="H308" s="292">
        <f t="shared" si="220"/>
        <v>0</v>
      </c>
      <c r="I308" s="347">
        <v>0.035</v>
      </c>
      <c r="J308" s="348">
        <f t="shared" si="221"/>
        <v>0</v>
      </c>
      <c r="K308" s="349">
        <f t="shared" si="222"/>
        <v>0</v>
      </c>
      <c r="L308" s="296">
        <v>0.001397</v>
      </c>
      <c r="M308" s="347">
        <v>0.0215</v>
      </c>
      <c r="N308" s="350">
        <f t="shared" si="223"/>
        <v>0.0014270355</v>
      </c>
      <c r="O308" s="348">
        <f t="shared" si="224"/>
        <v>15</v>
      </c>
      <c r="P308" s="348">
        <f t="shared" si="225"/>
        <v>0.0215</v>
      </c>
      <c r="Q308" s="292">
        <f t="shared" si="216"/>
        <v>0</v>
      </c>
      <c r="R308" s="347">
        <v>0.06</v>
      </c>
      <c r="S308" s="351"/>
      <c r="T308" s="299">
        <f t="shared" si="141"/>
        <v>0</v>
      </c>
      <c r="U308" s="315">
        <f t="shared" si="142"/>
        <v>0</v>
      </c>
      <c r="V308" s="315">
        <f t="shared" si="143"/>
        <v>0</v>
      </c>
      <c r="W308" s="320">
        <f t="shared" si="144"/>
        <v>0</v>
      </c>
      <c r="X308" s="321" t="str">
        <f t="shared" si="145"/>
        <v/>
      </c>
      <c r="Y308" s="352" t="str">
        <f t="shared" si="226"/>
        <v/>
      </c>
      <c r="Z308" s="321" t="str">
        <f t="shared" si="146"/>
        <v/>
      </c>
      <c r="AA308" s="401"/>
      <c r="AB308" s="401"/>
      <c r="AC308" s="401"/>
      <c r="AD308" s="402"/>
      <c r="AE308" s="401"/>
      <c r="AF308" s="401"/>
      <c r="AG308" s="401"/>
      <c r="AH308" s="402" t="str">
        <f t="shared" si="227"/>
        <v/>
      </c>
      <c r="AI308" s="403">
        <f t="shared" si="228"/>
        <v>0</v>
      </c>
    </row>
    <row r="309">
      <c r="A309" s="419"/>
      <c r="B309" s="420"/>
      <c r="C309" s="427"/>
      <c r="D309" s="422"/>
      <c r="E309" s="387"/>
      <c r="F309" s="387"/>
      <c r="G309" s="423"/>
      <c r="H309" s="292">
        <f t="shared" si="220"/>
        <v>0</v>
      </c>
      <c r="I309" s="347">
        <v>0.035</v>
      </c>
      <c r="J309" s="348">
        <f t="shared" si="221"/>
        <v>0</v>
      </c>
      <c r="K309" s="349">
        <f t="shared" si="222"/>
        <v>0</v>
      </c>
      <c r="L309" s="296">
        <v>0.001397</v>
      </c>
      <c r="M309" s="347">
        <v>0.0215</v>
      </c>
      <c r="N309" s="350">
        <f t="shared" si="223"/>
        <v>0.0014270355</v>
      </c>
      <c r="O309" s="348">
        <f t="shared" si="224"/>
        <v>15</v>
      </c>
      <c r="P309" s="348">
        <f t="shared" si="225"/>
        <v>0.0215</v>
      </c>
      <c r="Q309" s="292">
        <f t="shared" si="216"/>
        <v>0</v>
      </c>
      <c r="R309" s="347">
        <v>0.06</v>
      </c>
      <c r="S309" s="351"/>
      <c r="T309" s="299">
        <f t="shared" si="141"/>
        <v>0</v>
      </c>
      <c r="U309" s="315">
        <f t="shared" si="142"/>
        <v>0</v>
      </c>
      <c r="V309" s="315">
        <f t="shared" si="143"/>
        <v>0</v>
      </c>
      <c r="W309" s="320">
        <f t="shared" si="144"/>
        <v>0</v>
      </c>
      <c r="X309" s="321" t="str">
        <f t="shared" si="145"/>
        <v/>
      </c>
      <c r="Y309" s="352" t="str">
        <f t="shared" si="226"/>
        <v/>
      </c>
      <c r="Z309" s="321" t="str">
        <f t="shared" si="146"/>
        <v/>
      </c>
      <c r="AA309" s="401"/>
      <c r="AB309" s="401"/>
      <c r="AC309" s="401"/>
      <c r="AD309" s="402"/>
      <c r="AE309" s="401"/>
      <c r="AF309" s="401"/>
      <c r="AG309" s="401"/>
      <c r="AH309" s="402" t="str">
        <f t="shared" si="227"/>
        <v/>
      </c>
      <c r="AI309" s="403">
        <f t="shared" si="228"/>
        <v>0</v>
      </c>
    </row>
    <row r="310">
      <c r="A310" s="419"/>
      <c r="B310" s="419"/>
      <c r="C310" s="428"/>
      <c r="D310" s="429"/>
      <c r="E310" s="430"/>
      <c r="F310" s="387"/>
      <c r="G310" s="423"/>
      <c r="H310" s="292">
        <f t="shared" si="220"/>
        <v>0</v>
      </c>
      <c r="I310" s="347">
        <v>0.035</v>
      </c>
      <c r="J310" s="348">
        <f t="shared" si="221"/>
        <v>0</v>
      </c>
      <c r="K310" s="349">
        <f t="shared" si="222"/>
        <v>0</v>
      </c>
      <c r="L310" s="296">
        <v>0.001397</v>
      </c>
      <c r="M310" s="347">
        <v>0.0215</v>
      </c>
      <c r="N310" s="350">
        <f t="shared" si="223"/>
        <v>0.0014270355</v>
      </c>
      <c r="O310" s="348">
        <f t="shared" si="224"/>
        <v>15</v>
      </c>
      <c r="P310" s="348">
        <f t="shared" si="225"/>
        <v>0.0215</v>
      </c>
      <c r="Q310" s="292">
        <f t="shared" si="216"/>
        <v>0</v>
      </c>
      <c r="R310" s="347">
        <v>0.06</v>
      </c>
      <c r="S310" s="351"/>
      <c r="T310" s="299">
        <f t="shared" si="141"/>
        <v>0</v>
      </c>
      <c r="U310" s="315">
        <f t="shared" si="142"/>
        <v>0</v>
      </c>
      <c r="V310" s="315">
        <f t="shared" si="143"/>
        <v>0</v>
      </c>
      <c r="W310" s="320">
        <f t="shared" si="144"/>
        <v>0</v>
      </c>
      <c r="X310" s="321" t="str">
        <f t="shared" si="145"/>
        <v/>
      </c>
      <c r="Y310" s="352" t="str">
        <f t="shared" si="226"/>
        <v/>
      </c>
      <c r="Z310" s="321" t="str">
        <f t="shared" si="146"/>
        <v/>
      </c>
      <c r="AA310" s="401"/>
      <c r="AB310" s="401"/>
      <c r="AC310" s="401"/>
      <c r="AD310" s="402"/>
      <c r="AE310" s="401"/>
      <c r="AF310" s="401"/>
      <c r="AG310" s="401"/>
      <c r="AH310" s="402" t="str">
        <f t="shared" si="227"/>
        <v/>
      </c>
      <c r="AI310" s="403">
        <f t="shared" si="228"/>
        <v>0</v>
      </c>
    </row>
    <row r="311">
      <c r="A311" s="419"/>
      <c r="B311" s="419"/>
      <c r="C311" s="419"/>
      <c r="D311" s="419"/>
      <c r="E311" s="387"/>
      <c r="F311" s="387"/>
      <c r="G311" s="423"/>
      <c r="H311" s="292">
        <f t="shared" si="220"/>
        <v>0</v>
      </c>
      <c r="I311" s="347">
        <v>0.035</v>
      </c>
      <c r="J311" s="348">
        <f t="shared" si="221"/>
        <v>0</v>
      </c>
      <c r="K311" s="349">
        <f t="shared" si="222"/>
        <v>0</v>
      </c>
      <c r="L311" s="296">
        <v>0.001397</v>
      </c>
      <c r="M311" s="347">
        <v>0.0215</v>
      </c>
      <c r="N311" s="350">
        <f t="shared" si="223"/>
        <v>0.0014270355</v>
      </c>
      <c r="O311" s="348">
        <f t="shared" si="224"/>
        <v>15</v>
      </c>
      <c r="P311" s="348">
        <f t="shared" si="225"/>
        <v>0.0215</v>
      </c>
      <c r="Q311" s="292">
        <f t="shared" si="216"/>
        <v>0</v>
      </c>
      <c r="R311" s="347">
        <v>0.06</v>
      </c>
      <c r="S311" s="351"/>
      <c r="T311" s="299">
        <f t="shared" si="141"/>
        <v>0</v>
      </c>
      <c r="U311" s="315">
        <f t="shared" si="142"/>
        <v>0</v>
      </c>
      <c r="V311" s="315">
        <f t="shared" si="143"/>
        <v>0</v>
      </c>
      <c r="W311" s="320">
        <f t="shared" si="144"/>
        <v>0</v>
      </c>
      <c r="X311" s="321" t="str">
        <f t="shared" si="145"/>
        <v/>
      </c>
      <c r="Y311" s="352" t="str">
        <f t="shared" si="226"/>
        <v/>
      </c>
      <c r="Z311" s="321" t="str">
        <f t="shared" si="146"/>
        <v/>
      </c>
      <c r="AA311" s="401"/>
      <c r="AB311" s="401"/>
      <c r="AC311" s="401"/>
      <c r="AD311" s="402"/>
      <c r="AE311" s="401"/>
      <c r="AF311" s="401"/>
      <c r="AG311" s="401"/>
      <c r="AH311" s="402" t="str">
        <f t="shared" si="227"/>
        <v/>
      </c>
      <c r="AI311" s="403">
        <f t="shared" si="228"/>
        <v>0</v>
      </c>
    </row>
    <row r="312">
      <c r="A312" s="419"/>
      <c r="B312" s="419"/>
      <c r="C312" s="419"/>
      <c r="D312" s="419"/>
      <c r="E312" s="387"/>
      <c r="F312" s="387"/>
      <c r="G312" s="423"/>
      <c r="H312" s="292">
        <f t="shared" si="220"/>
        <v>0</v>
      </c>
      <c r="I312" s="347">
        <v>0.035</v>
      </c>
      <c r="J312" s="348">
        <f t="shared" si="221"/>
        <v>0</v>
      </c>
      <c r="K312" s="349">
        <f t="shared" si="222"/>
        <v>0</v>
      </c>
      <c r="L312" s="296">
        <v>0.001397</v>
      </c>
      <c r="M312" s="347">
        <v>0.0215</v>
      </c>
      <c r="N312" s="350">
        <f t="shared" si="223"/>
        <v>0.0014270355</v>
      </c>
      <c r="O312" s="348">
        <f t="shared" si="224"/>
        <v>15</v>
      </c>
      <c r="P312" s="348">
        <f t="shared" si="225"/>
        <v>0.0215</v>
      </c>
      <c r="Q312" s="292">
        <f t="shared" si="216"/>
        <v>0</v>
      </c>
      <c r="R312" s="347">
        <v>0.06</v>
      </c>
      <c r="S312" s="351"/>
      <c r="T312" s="299">
        <f t="shared" si="141"/>
        <v>0</v>
      </c>
      <c r="U312" s="315">
        <f t="shared" si="142"/>
        <v>0</v>
      </c>
      <c r="V312" s="315">
        <f t="shared" si="143"/>
        <v>0</v>
      </c>
      <c r="W312" s="320">
        <f t="shared" si="144"/>
        <v>0</v>
      </c>
      <c r="X312" s="321" t="str">
        <f t="shared" si="145"/>
        <v/>
      </c>
      <c r="Y312" s="352" t="str">
        <f t="shared" si="226"/>
        <v/>
      </c>
      <c r="Z312" s="321" t="str">
        <f t="shared" si="146"/>
        <v/>
      </c>
      <c r="AA312" s="401"/>
      <c r="AB312" s="401"/>
      <c r="AC312" s="401"/>
      <c r="AD312" s="402"/>
      <c r="AE312" s="401"/>
      <c r="AF312" s="401"/>
      <c r="AG312" s="401"/>
      <c r="AH312" s="402" t="str">
        <f t="shared" si="227"/>
        <v/>
      </c>
      <c r="AI312" s="403">
        <f t="shared" si="228"/>
        <v>0</v>
      </c>
    </row>
    <row r="313">
      <c r="A313" s="419"/>
      <c r="B313" s="419"/>
      <c r="C313" s="419"/>
      <c r="D313" s="419"/>
      <c r="E313" s="387"/>
      <c r="F313" s="387"/>
      <c r="G313" s="423"/>
      <c r="H313" s="292">
        <f t="shared" si="220"/>
        <v>0</v>
      </c>
      <c r="I313" s="347">
        <v>0.035</v>
      </c>
      <c r="J313" s="348">
        <f t="shared" si="221"/>
        <v>0</v>
      </c>
      <c r="K313" s="349">
        <f t="shared" si="222"/>
        <v>0</v>
      </c>
      <c r="L313" s="296">
        <v>0.001397</v>
      </c>
      <c r="M313" s="347">
        <v>0.0215</v>
      </c>
      <c r="N313" s="350">
        <f t="shared" si="223"/>
        <v>0.0014270355</v>
      </c>
      <c r="O313" s="348">
        <f t="shared" si="224"/>
        <v>15</v>
      </c>
      <c r="P313" s="348">
        <f t="shared" si="225"/>
        <v>0.0215</v>
      </c>
      <c r="Q313" s="292">
        <f t="shared" si="216"/>
        <v>0</v>
      </c>
      <c r="R313" s="347">
        <v>0.06</v>
      </c>
      <c r="S313" s="351"/>
      <c r="T313" s="299">
        <f t="shared" si="141"/>
        <v>0</v>
      </c>
      <c r="U313" s="315">
        <f t="shared" si="142"/>
        <v>0</v>
      </c>
      <c r="V313" s="315">
        <f t="shared" si="143"/>
        <v>0</v>
      </c>
      <c r="W313" s="320">
        <f t="shared" si="144"/>
        <v>0</v>
      </c>
      <c r="X313" s="321" t="str">
        <f t="shared" si="145"/>
        <v/>
      </c>
      <c r="Y313" s="352" t="str">
        <f t="shared" si="226"/>
        <v/>
      </c>
      <c r="Z313" s="321" t="str">
        <f t="shared" si="146"/>
        <v/>
      </c>
      <c r="AA313" s="401"/>
      <c r="AB313" s="401"/>
      <c r="AC313" s="401"/>
      <c r="AD313" s="402"/>
      <c r="AE313" s="401"/>
      <c r="AF313" s="401"/>
      <c r="AG313" s="401"/>
      <c r="AH313" s="402" t="str">
        <f t="shared" si="227"/>
        <v/>
      </c>
      <c r="AI313" s="403">
        <f t="shared" si="228"/>
        <v>0</v>
      </c>
    </row>
    <row r="314">
      <c r="A314" s="419"/>
      <c r="B314" s="419"/>
      <c r="C314" s="419"/>
      <c r="D314" s="419"/>
      <c r="E314" s="387"/>
      <c r="F314" s="387"/>
      <c r="G314" s="423"/>
      <c r="H314" s="292">
        <f t="shared" si="220"/>
        <v>0</v>
      </c>
      <c r="I314" s="347">
        <v>0.035</v>
      </c>
      <c r="J314" s="348">
        <f t="shared" si="221"/>
        <v>0</v>
      </c>
      <c r="K314" s="349">
        <f t="shared" si="222"/>
        <v>0</v>
      </c>
      <c r="L314" s="296">
        <v>0.001397</v>
      </c>
      <c r="M314" s="347">
        <v>0.0215</v>
      </c>
      <c r="N314" s="350">
        <f t="shared" si="223"/>
        <v>0.0014270355</v>
      </c>
      <c r="O314" s="348">
        <f t="shared" si="224"/>
        <v>15</v>
      </c>
      <c r="P314" s="348">
        <f t="shared" si="225"/>
        <v>0.0215</v>
      </c>
      <c r="Q314" s="292">
        <f t="shared" si="216"/>
        <v>0</v>
      </c>
      <c r="R314" s="347">
        <v>0.06</v>
      </c>
      <c r="S314" s="351"/>
      <c r="T314" s="299">
        <f t="shared" si="141"/>
        <v>0</v>
      </c>
      <c r="U314" s="315">
        <f t="shared" si="142"/>
        <v>0</v>
      </c>
      <c r="V314" s="315">
        <f t="shared" si="143"/>
        <v>0</v>
      </c>
      <c r="W314" s="320">
        <f t="shared" si="144"/>
        <v>0</v>
      </c>
      <c r="X314" s="321" t="str">
        <f t="shared" si="145"/>
        <v/>
      </c>
      <c r="Y314" s="352" t="str">
        <f t="shared" si="226"/>
        <v/>
      </c>
      <c r="Z314" s="321" t="str">
        <f t="shared" si="146"/>
        <v/>
      </c>
      <c r="AA314" s="401"/>
      <c r="AB314" s="401"/>
      <c r="AC314" s="401"/>
      <c r="AD314" s="402"/>
      <c r="AE314" s="401"/>
      <c r="AF314" s="401"/>
      <c r="AG314" s="401"/>
      <c r="AH314" s="402" t="str">
        <f t="shared" si="227"/>
        <v/>
      </c>
      <c r="AI314" s="403">
        <f t="shared" si="228"/>
        <v>0</v>
      </c>
    </row>
    <row r="315">
      <c r="A315" s="419"/>
      <c r="B315" s="419"/>
      <c r="C315" s="419"/>
      <c r="D315" s="419"/>
      <c r="E315" s="387"/>
      <c r="F315" s="387"/>
      <c r="G315" s="423"/>
      <c r="H315" s="292">
        <f t="shared" si="220"/>
        <v>0</v>
      </c>
      <c r="I315" s="347">
        <v>0.035</v>
      </c>
      <c r="J315" s="348">
        <f t="shared" si="221"/>
        <v>0</v>
      </c>
      <c r="K315" s="349">
        <f t="shared" si="222"/>
        <v>0</v>
      </c>
      <c r="L315" s="296">
        <v>0.001397</v>
      </c>
      <c r="M315" s="347">
        <v>0.0215</v>
      </c>
      <c r="N315" s="350">
        <f t="shared" si="223"/>
        <v>0.0014270355</v>
      </c>
      <c r="O315" s="348">
        <f t="shared" si="224"/>
        <v>15</v>
      </c>
      <c r="P315" s="348">
        <f t="shared" si="225"/>
        <v>0.0215</v>
      </c>
      <c r="Q315" s="292">
        <f t="shared" si="216"/>
        <v>0</v>
      </c>
      <c r="R315" s="347">
        <v>0.06</v>
      </c>
      <c r="S315" s="351"/>
      <c r="T315" s="299">
        <f t="shared" si="141"/>
        <v>0</v>
      </c>
      <c r="U315" s="315">
        <f t="shared" si="142"/>
        <v>0</v>
      </c>
      <c r="V315" s="315">
        <f t="shared" si="143"/>
        <v>0</v>
      </c>
      <c r="W315" s="320">
        <f t="shared" si="144"/>
        <v>0</v>
      </c>
      <c r="X315" s="321" t="str">
        <f t="shared" si="145"/>
        <v/>
      </c>
      <c r="Y315" s="352" t="str">
        <f t="shared" si="226"/>
        <v/>
      </c>
      <c r="Z315" s="321" t="str">
        <f t="shared" si="146"/>
        <v/>
      </c>
      <c r="AA315" s="401"/>
      <c r="AB315" s="401"/>
      <c r="AC315" s="401"/>
      <c r="AD315" s="402"/>
      <c r="AE315" s="401"/>
      <c r="AF315" s="401"/>
      <c r="AG315" s="401"/>
      <c r="AH315" s="402" t="str">
        <f t="shared" si="227"/>
        <v/>
      </c>
      <c r="AI315" s="403">
        <f t="shared" si="228"/>
        <v>0</v>
      </c>
    </row>
    <row r="316">
      <c r="A316" s="419"/>
      <c r="B316" s="419"/>
      <c r="C316" s="419"/>
      <c r="D316" s="419"/>
      <c r="E316" s="387"/>
      <c r="F316" s="387"/>
      <c r="G316" s="423"/>
      <c r="H316" s="292">
        <f t="shared" si="220"/>
        <v>0</v>
      </c>
      <c r="I316" s="347">
        <v>0.035</v>
      </c>
      <c r="J316" s="348">
        <f t="shared" si="221"/>
        <v>0</v>
      </c>
      <c r="K316" s="349">
        <f t="shared" si="222"/>
        <v>0</v>
      </c>
      <c r="L316" s="296">
        <v>0.001397</v>
      </c>
      <c r="M316" s="347">
        <v>0.0215</v>
      </c>
      <c r="N316" s="350">
        <f t="shared" si="223"/>
        <v>0.0014270355</v>
      </c>
      <c r="O316" s="348">
        <f t="shared" si="224"/>
        <v>15</v>
      </c>
      <c r="P316" s="348">
        <f t="shared" si="225"/>
        <v>0.0215</v>
      </c>
      <c r="Q316" s="292">
        <f t="shared" si="216"/>
        <v>0</v>
      </c>
      <c r="R316" s="347">
        <v>0.06</v>
      </c>
      <c r="S316" s="351"/>
      <c r="T316" s="299">
        <f t="shared" si="141"/>
        <v>0</v>
      </c>
      <c r="U316" s="315">
        <f t="shared" si="142"/>
        <v>0</v>
      </c>
      <c r="V316" s="315">
        <f t="shared" si="143"/>
        <v>0</v>
      </c>
      <c r="W316" s="320">
        <f t="shared" si="144"/>
        <v>0</v>
      </c>
      <c r="X316" s="321" t="str">
        <f t="shared" si="145"/>
        <v/>
      </c>
      <c r="Y316" s="352" t="str">
        <f t="shared" si="226"/>
        <v/>
      </c>
      <c r="Z316" s="321" t="str">
        <f t="shared" si="146"/>
        <v/>
      </c>
      <c r="AA316" s="401"/>
      <c r="AB316" s="401"/>
      <c r="AC316" s="401"/>
      <c r="AD316" s="402"/>
      <c r="AE316" s="401"/>
      <c r="AF316" s="401"/>
      <c r="AG316" s="401"/>
      <c r="AH316" s="402" t="str">
        <f t="shared" si="227"/>
        <v/>
      </c>
      <c r="AI316" s="403">
        <f t="shared" si="228"/>
        <v>0</v>
      </c>
    </row>
    <row r="317">
      <c r="A317" s="419"/>
      <c r="B317" s="419"/>
      <c r="C317" s="419"/>
      <c r="D317" s="419"/>
      <c r="E317" s="387"/>
      <c r="F317" s="387"/>
      <c r="G317" s="423"/>
      <c r="H317" s="292">
        <f t="shared" si="220"/>
        <v>0</v>
      </c>
      <c r="I317" s="347">
        <v>0.035</v>
      </c>
      <c r="J317" s="348">
        <f t="shared" si="221"/>
        <v>0</v>
      </c>
      <c r="K317" s="349">
        <f t="shared" si="222"/>
        <v>0</v>
      </c>
      <c r="L317" s="296">
        <v>0.001397</v>
      </c>
      <c r="M317" s="347">
        <v>0.0215</v>
      </c>
      <c r="N317" s="350">
        <f t="shared" si="223"/>
        <v>0.0014270355</v>
      </c>
      <c r="O317" s="348">
        <f t="shared" si="224"/>
        <v>15</v>
      </c>
      <c r="P317" s="348">
        <f t="shared" si="225"/>
        <v>0.0215</v>
      </c>
      <c r="Q317" s="292">
        <f t="shared" si="216"/>
        <v>0</v>
      </c>
      <c r="R317" s="347">
        <v>0.06</v>
      </c>
      <c r="S317" s="351"/>
      <c r="T317" s="299">
        <f t="shared" si="141"/>
        <v>0</v>
      </c>
      <c r="U317" s="315">
        <f t="shared" si="142"/>
        <v>0</v>
      </c>
      <c r="V317" s="315">
        <f t="shared" si="143"/>
        <v>0</v>
      </c>
      <c r="W317" s="320">
        <f t="shared" si="144"/>
        <v>0</v>
      </c>
      <c r="X317" s="321" t="str">
        <f t="shared" si="145"/>
        <v/>
      </c>
      <c r="Y317" s="352" t="str">
        <f t="shared" si="226"/>
        <v/>
      </c>
      <c r="Z317" s="321" t="str">
        <f t="shared" si="146"/>
        <v/>
      </c>
      <c r="AA317" s="401"/>
      <c r="AB317" s="401"/>
      <c r="AC317" s="401"/>
      <c r="AD317" s="402"/>
      <c r="AE317" s="401"/>
      <c r="AF317" s="401"/>
      <c r="AG317" s="401"/>
      <c r="AH317" s="402" t="str">
        <f t="shared" si="227"/>
        <v/>
      </c>
      <c r="AI317" s="403">
        <f t="shared" si="228"/>
        <v>0</v>
      </c>
    </row>
    <row r="318">
      <c r="A318" s="419"/>
      <c r="B318" s="419"/>
      <c r="C318" s="419"/>
      <c r="D318" s="419"/>
      <c r="E318" s="387"/>
      <c r="F318" s="387"/>
      <c r="G318" s="423"/>
      <c r="H318" s="292">
        <f t="shared" si="220"/>
        <v>0</v>
      </c>
      <c r="I318" s="347">
        <v>0.035</v>
      </c>
      <c r="J318" s="348">
        <f t="shared" si="221"/>
        <v>0</v>
      </c>
      <c r="K318" s="349">
        <f t="shared" si="222"/>
        <v>0</v>
      </c>
      <c r="L318" s="296">
        <v>0.001397</v>
      </c>
      <c r="M318" s="347">
        <v>0.0215</v>
      </c>
      <c r="N318" s="350">
        <f t="shared" si="223"/>
        <v>0.0014270355</v>
      </c>
      <c r="O318" s="348">
        <f t="shared" si="224"/>
        <v>15</v>
      </c>
      <c r="P318" s="348">
        <f t="shared" si="225"/>
        <v>0.0215</v>
      </c>
      <c r="Q318" s="292">
        <f t="shared" si="216"/>
        <v>0</v>
      </c>
      <c r="R318" s="347">
        <v>0.06</v>
      </c>
      <c r="S318" s="351"/>
      <c r="T318" s="299">
        <f t="shared" si="141"/>
        <v>0</v>
      </c>
      <c r="U318" s="315">
        <f t="shared" si="142"/>
        <v>0</v>
      </c>
      <c r="V318" s="315">
        <f t="shared" si="143"/>
        <v>0</v>
      </c>
      <c r="W318" s="320">
        <f t="shared" si="144"/>
        <v>0</v>
      </c>
      <c r="X318" s="321" t="str">
        <f t="shared" si="145"/>
        <v/>
      </c>
      <c r="Y318" s="352" t="str">
        <f t="shared" si="226"/>
        <v/>
      </c>
      <c r="Z318" s="321" t="str">
        <f t="shared" si="146"/>
        <v/>
      </c>
      <c r="AA318" s="401"/>
      <c r="AB318" s="401"/>
      <c r="AC318" s="401"/>
      <c r="AD318" s="402"/>
      <c r="AE318" s="401"/>
      <c r="AF318" s="401"/>
      <c r="AG318" s="401"/>
      <c r="AH318" s="402" t="str">
        <f t="shared" si="227"/>
        <v/>
      </c>
      <c r="AI318" s="403">
        <f t="shared" si="228"/>
        <v>0</v>
      </c>
    </row>
    <row r="319">
      <c r="A319" s="419"/>
      <c r="B319" s="419"/>
      <c r="C319" s="419"/>
      <c r="D319" s="419"/>
      <c r="E319" s="387"/>
      <c r="F319" s="387"/>
      <c r="G319" s="423"/>
      <c r="H319" s="292">
        <f t="shared" si="220"/>
        <v>0</v>
      </c>
      <c r="I319" s="347">
        <v>0.035</v>
      </c>
      <c r="J319" s="348">
        <f t="shared" si="221"/>
        <v>0</v>
      </c>
      <c r="K319" s="349">
        <f t="shared" si="222"/>
        <v>0</v>
      </c>
      <c r="L319" s="296">
        <v>0.001397</v>
      </c>
      <c r="M319" s="347">
        <v>0.0215</v>
      </c>
      <c r="N319" s="350">
        <f t="shared" si="223"/>
        <v>0.0014270355</v>
      </c>
      <c r="O319" s="348">
        <f t="shared" si="224"/>
        <v>15</v>
      </c>
      <c r="P319" s="348">
        <f t="shared" si="225"/>
        <v>0.0215</v>
      </c>
      <c r="Q319" s="292">
        <f t="shared" si="216"/>
        <v>0</v>
      </c>
      <c r="R319" s="347">
        <v>0.06</v>
      </c>
      <c r="S319" s="351"/>
      <c r="T319" s="299">
        <f t="shared" si="141"/>
        <v>0</v>
      </c>
      <c r="U319" s="315">
        <f t="shared" si="142"/>
        <v>0</v>
      </c>
      <c r="V319" s="315">
        <f t="shared" si="143"/>
        <v>0</v>
      </c>
      <c r="W319" s="320">
        <f t="shared" si="144"/>
        <v>0</v>
      </c>
      <c r="X319" s="321" t="str">
        <f t="shared" si="145"/>
        <v/>
      </c>
      <c r="Y319" s="352" t="str">
        <f t="shared" si="226"/>
        <v/>
      </c>
      <c r="Z319" s="321" t="str">
        <f t="shared" si="146"/>
        <v/>
      </c>
      <c r="AA319" s="401"/>
      <c r="AB319" s="401"/>
      <c r="AC319" s="401"/>
      <c r="AD319" s="402"/>
      <c r="AE319" s="401"/>
      <c r="AF319" s="401"/>
      <c r="AG319" s="401"/>
      <c r="AH319" s="402" t="str">
        <f t="shared" si="227"/>
        <v/>
      </c>
      <c r="AI319" s="403">
        <f t="shared" si="228"/>
        <v>0</v>
      </c>
    </row>
    <row r="320">
      <c r="A320" s="419"/>
      <c r="B320" s="419"/>
      <c r="C320" s="419"/>
      <c r="D320" s="419"/>
      <c r="E320" s="387"/>
      <c r="F320" s="387"/>
      <c r="G320" s="423"/>
      <c r="H320" s="292">
        <f t="shared" si="220"/>
        <v>0</v>
      </c>
      <c r="I320" s="347">
        <v>0.035</v>
      </c>
      <c r="J320" s="348">
        <f t="shared" si="221"/>
        <v>0</v>
      </c>
      <c r="K320" s="349">
        <f t="shared" si="222"/>
        <v>0</v>
      </c>
      <c r="L320" s="296">
        <v>0.001397</v>
      </c>
      <c r="M320" s="347">
        <v>0.0215</v>
      </c>
      <c r="N320" s="350">
        <f t="shared" si="223"/>
        <v>0.0014270355</v>
      </c>
      <c r="O320" s="348">
        <f t="shared" si="224"/>
        <v>15</v>
      </c>
      <c r="P320" s="348">
        <f t="shared" si="225"/>
        <v>0.0215</v>
      </c>
      <c r="Q320" s="292">
        <f t="shared" si="216"/>
        <v>0</v>
      </c>
      <c r="R320" s="347">
        <v>0.06</v>
      </c>
      <c r="S320" s="351"/>
      <c r="T320" s="299">
        <f t="shared" si="141"/>
        <v>0</v>
      </c>
      <c r="U320" s="315">
        <f t="shared" si="142"/>
        <v>0</v>
      </c>
      <c r="V320" s="315">
        <f t="shared" si="143"/>
        <v>0</v>
      </c>
      <c r="W320" s="320">
        <f t="shared" si="144"/>
        <v>0</v>
      </c>
      <c r="X320" s="321" t="str">
        <f t="shared" si="145"/>
        <v/>
      </c>
      <c r="Y320" s="352" t="str">
        <f t="shared" si="226"/>
        <v/>
      </c>
      <c r="Z320" s="321" t="str">
        <f t="shared" si="146"/>
        <v/>
      </c>
      <c r="AA320" s="401"/>
      <c r="AB320" s="401"/>
      <c r="AC320" s="401"/>
      <c r="AD320" s="402"/>
      <c r="AE320" s="401"/>
      <c r="AF320" s="401"/>
      <c r="AG320" s="401"/>
      <c r="AH320" s="402" t="str">
        <f t="shared" si="227"/>
        <v/>
      </c>
      <c r="AI320" s="403">
        <f t="shared" si="228"/>
        <v>0</v>
      </c>
    </row>
    <row r="321">
      <c r="A321" s="419"/>
      <c r="B321" s="419"/>
      <c r="C321" s="419"/>
      <c r="D321" s="419"/>
      <c r="E321" s="387"/>
      <c r="F321" s="387"/>
      <c r="G321" s="423"/>
      <c r="H321" s="292">
        <f t="shared" si="220"/>
        <v>0</v>
      </c>
      <c r="I321" s="347">
        <v>0.035</v>
      </c>
      <c r="J321" s="348">
        <f t="shared" si="221"/>
        <v>0</v>
      </c>
      <c r="K321" s="349">
        <f t="shared" si="222"/>
        <v>0</v>
      </c>
      <c r="L321" s="296">
        <v>0.001397</v>
      </c>
      <c r="M321" s="347">
        <v>0.0215</v>
      </c>
      <c r="N321" s="350">
        <f t="shared" si="223"/>
        <v>0.0014270355</v>
      </c>
      <c r="O321" s="348">
        <f t="shared" si="224"/>
        <v>15</v>
      </c>
      <c r="P321" s="348">
        <f t="shared" si="225"/>
        <v>0.0215</v>
      </c>
      <c r="Q321" s="292">
        <f t="shared" si="216"/>
        <v>0</v>
      </c>
      <c r="R321" s="347">
        <v>0.06</v>
      </c>
      <c r="S321" s="351"/>
      <c r="T321" s="299">
        <f t="shared" si="141"/>
        <v>0</v>
      </c>
      <c r="U321" s="315">
        <f t="shared" si="142"/>
        <v>0</v>
      </c>
      <c r="V321" s="315">
        <f t="shared" si="143"/>
        <v>0</v>
      </c>
      <c r="W321" s="320">
        <f t="shared" si="144"/>
        <v>0</v>
      </c>
      <c r="X321" s="321" t="str">
        <f t="shared" si="145"/>
        <v/>
      </c>
      <c r="Y321" s="352" t="str">
        <f t="shared" si="226"/>
        <v/>
      </c>
      <c r="Z321" s="321" t="str">
        <f t="shared" si="146"/>
        <v/>
      </c>
      <c r="AA321" s="401"/>
      <c r="AB321" s="401"/>
      <c r="AC321" s="401"/>
      <c r="AD321" s="402"/>
      <c r="AE321" s="401"/>
      <c r="AF321" s="401"/>
      <c r="AG321" s="401"/>
      <c r="AH321" s="402" t="str">
        <f t="shared" si="227"/>
        <v/>
      </c>
      <c r="AI321" s="403">
        <f t="shared" si="228"/>
        <v>0</v>
      </c>
    </row>
    <row r="322">
      <c r="A322" s="419"/>
      <c r="B322" s="419"/>
      <c r="C322" s="419"/>
      <c r="D322" s="419"/>
      <c r="E322" s="387"/>
      <c r="F322" s="387"/>
      <c r="G322" s="423"/>
      <c r="H322" s="292">
        <f t="shared" si="220"/>
        <v>0</v>
      </c>
      <c r="I322" s="347">
        <v>0.035</v>
      </c>
      <c r="J322" s="348">
        <f t="shared" si="221"/>
        <v>0</v>
      </c>
      <c r="K322" s="349">
        <f t="shared" si="222"/>
        <v>0</v>
      </c>
      <c r="L322" s="296">
        <v>0.001397</v>
      </c>
      <c r="M322" s="347">
        <v>0.0215</v>
      </c>
      <c r="N322" s="350">
        <f t="shared" si="223"/>
        <v>0.0014270355</v>
      </c>
      <c r="O322" s="348">
        <f t="shared" si="224"/>
        <v>15</v>
      </c>
      <c r="P322" s="348">
        <f t="shared" si="225"/>
        <v>0.0215</v>
      </c>
      <c r="Q322" s="292">
        <f t="shared" si="216"/>
        <v>0</v>
      </c>
      <c r="R322" s="347">
        <v>0.06</v>
      </c>
      <c r="S322" s="351"/>
      <c r="T322" s="299">
        <f t="shared" si="141"/>
        <v>0</v>
      </c>
      <c r="U322" s="315">
        <f t="shared" si="142"/>
        <v>0</v>
      </c>
      <c r="V322" s="315">
        <f t="shared" si="143"/>
        <v>0</v>
      </c>
      <c r="W322" s="320">
        <f t="shared" si="144"/>
        <v>0</v>
      </c>
      <c r="X322" s="321" t="str">
        <f t="shared" si="145"/>
        <v/>
      </c>
      <c r="Y322" s="352" t="str">
        <f t="shared" si="226"/>
        <v/>
      </c>
      <c r="Z322" s="321" t="str">
        <f t="shared" si="146"/>
        <v/>
      </c>
      <c r="AA322" s="423"/>
      <c r="AB322" s="423"/>
      <c r="AC322" s="423"/>
      <c r="AD322" s="423"/>
      <c r="AE322" s="423"/>
      <c r="AF322" s="423"/>
      <c r="AG322" s="423"/>
      <c r="AH322" s="423"/>
      <c r="AI322" s="423"/>
    </row>
    <row r="323">
      <c r="A323" s="419"/>
      <c r="B323" s="419"/>
      <c r="C323" s="419"/>
      <c r="D323" s="419"/>
      <c r="E323" s="387"/>
      <c r="F323" s="387"/>
      <c r="G323" s="423"/>
      <c r="H323" s="292">
        <f t="shared" si="220"/>
        <v>0</v>
      </c>
      <c r="I323" s="347">
        <v>0.035</v>
      </c>
      <c r="J323" s="348">
        <f t="shared" si="221"/>
        <v>0</v>
      </c>
      <c r="K323" s="349">
        <f t="shared" si="222"/>
        <v>0</v>
      </c>
      <c r="L323" s="296">
        <v>0.001397</v>
      </c>
      <c r="M323" s="347">
        <v>0.0215</v>
      </c>
      <c r="N323" s="350">
        <f t="shared" si="223"/>
        <v>0.0014270355</v>
      </c>
      <c r="O323" s="348">
        <f t="shared" si="224"/>
        <v>15</v>
      </c>
      <c r="P323" s="348">
        <f t="shared" si="225"/>
        <v>0.0215</v>
      </c>
      <c r="Q323" s="292">
        <f t="shared" si="216"/>
        <v>0</v>
      </c>
      <c r="R323" s="347">
        <v>0.06</v>
      </c>
      <c r="S323" s="351"/>
      <c r="T323" s="299">
        <f t="shared" si="141"/>
        <v>0</v>
      </c>
      <c r="U323" s="315">
        <f t="shared" si="142"/>
        <v>0</v>
      </c>
      <c r="V323" s="315">
        <f t="shared" si="143"/>
        <v>0</v>
      </c>
      <c r="W323" s="320">
        <f t="shared" si="144"/>
        <v>0</v>
      </c>
      <c r="X323" s="321" t="str">
        <f t="shared" si="145"/>
        <v/>
      </c>
      <c r="Y323" s="352" t="str">
        <f t="shared" si="226"/>
        <v/>
      </c>
      <c r="Z323" s="321" t="str">
        <f t="shared" si="146"/>
        <v/>
      </c>
      <c r="AA323" s="423"/>
      <c r="AB323" s="423"/>
      <c r="AC323" s="423"/>
      <c r="AD323" s="423"/>
      <c r="AE323" s="423"/>
      <c r="AF323" s="423"/>
      <c r="AG323" s="423"/>
      <c r="AH323" s="423"/>
      <c r="AI323" s="423"/>
    </row>
    <row r="324">
      <c r="A324" s="419"/>
      <c r="B324" s="419"/>
      <c r="C324" s="419"/>
      <c r="D324" s="419"/>
      <c r="E324" s="387"/>
      <c r="F324" s="387"/>
      <c r="G324" s="423"/>
      <c r="H324" s="292">
        <f t="shared" si="220"/>
        <v>0</v>
      </c>
      <c r="I324" s="347">
        <v>0.035</v>
      </c>
      <c r="J324" s="348">
        <f t="shared" si="221"/>
        <v>0</v>
      </c>
      <c r="K324" s="349">
        <f t="shared" si="222"/>
        <v>0</v>
      </c>
      <c r="L324" s="296">
        <v>0.001397</v>
      </c>
      <c r="M324" s="347">
        <v>0.0215</v>
      </c>
      <c r="N324" s="350">
        <f t="shared" si="223"/>
        <v>0.0014270355</v>
      </c>
      <c r="O324" s="348">
        <f t="shared" si="224"/>
        <v>15</v>
      </c>
      <c r="P324" s="348">
        <f t="shared" si="225"/>
        <v>0.0215</v>
      </c>
      <c r="Q324" s="292">
        <f t="shared" si="216"/>
        <v>0</v>
      </c>
      <c r="R324" s="347">
        <v>0.06</v>
      </c>
      <c r="S324" s="351"/>
      <c r="T324" s="299">
        <f t="shared" si="141"/>
        <v>0</v>
      </c>
      <c r="U324" s="315">
        <f t="shared" si="142"/>
        <v>0</v>
      </c>
      <c r="V324" s="315">
        <f t="shared" si="143"/>
        <v>0</v>
      </c>
      <c r="W324" s="320">
        <f t="shared" si="144"/>
        <v>0</v>
      </c>
      <c r="X324" s="321" t="str">
        <f t="shared" si="145"/>
        <v/>
      </c>
      <c r="Y324" s="352" t="str">
        <f t="shared" si="226"/>
        <v/>
      </c>
      <c r="Z324" s="321" t="str">
        <f t="shared" si="146"/>
        <v/>
      </c>
      <c r="AA324" s="423"/>
      <c r="AB324" s="423"/>
      <c r="AC324" s="423"/>
      <c r="AD324" s="423"/>
      <c r="AE324" s="423"/>
      <c r="AF324" s="423"/>
      <c r="AG324" s="423"/>
      <c r="AH324" s="423"/>
      <c r="AI324" s="423"/>
    </row>
    <row r="325">
      <c r="A325" s="419"/>
      <c r="B325" s="419"/>
      <c r="C325" s="419"/>
      <c r="D325" s="419"/>
      <c r="E325" s="387"/>
      <c r="F325" s="387"/>
      <c r="G325" s="423"/>
      <c r="H325" s="292">
        <f t="shared" si="220"/>
        <v>0</v>
      </c>
      <c r="I325" s="347">
        <v>0.035</v>
      </c>
      <c r="J325" s="348">
        <f t="shared" si="221"/>
        <v>0</v>
      </c>
      <c r="K325" s="349">
        <f t="shared" si="222"/>
        <v>0</v>
      </c>
      <c r="L325" s="296">
        <v>0.001397</v>
      </c>
      <c r="M325" s="347">
        <v>0.0215</v>
      </c>
      <c r="N325" s="350">
        <f t="shared" si="223"/>
        <v>0.0014270355</v>
      </c>
      <c r="O325" s="348">
        <f t="shared" si="224"/>
        <v>15</v>
      </c>
      <c r="P325" s="348">
        <f t="shared" si="225"/>
        <v>0.0215</v>
      </c>
      <c r="Q325" s="292">
        <f t="shared" si="216"/>
        <v>0</v>
      </c>
      <c r="R325" s="347">
        <v>0.06</v>
      </c>
      <c r="S325" s="351"/>
      <c r="T325" s="299">
        <f t="shared" si="141"/>
        <v>0</v>
      </c>
      <c r="U325" s="315">
        <f t="shared" si="142"/>
        <v>0</v>
      </c>
      <c r="V325" s="315">
        <f t="shared" si="143"/>
        <v>0</v>
      </c>
      <c r="W325" s="320">
        <f t="shared" si="144"/>
        <v>0</v>
      </c>
      <c r="X325" s="321" t="str">
        <f t="shared" si="145"/>
        <v/>
      </c>
      <c r="Y325" s="352" t="str">
        <f t="shared" si="226"/>
        <v/>
      </c>
      <c r="Z325" s="321" t="str">
        <f t="shared" si="146"/>
        <v/>
      </c>
      <c r="AA325" s="423"/>
      <c r="AB325" s="423"/>
      <c r="AC325" s="423"/>
      <c r="AD325" s="423"/>
      <c r="AE325" s="423"/>
      <c r="AF325" s="423"/>
      <c r="AG325" s="423"/>
      <c r="AH325" s="423"/>
      <c r="AI325" s="423"/>
    </row>
    <row r="326">
      <c r="A326" s="419"/>
      <c r="B326" s="419"/>
      <c r="C326" s="419"/>
      <c r="D326" s="419"/>
      <c r="E326" s="387"/>
      <c r="F326" s="387"/>
      <c r="G326" s="423"/>
      <c r="H326" s="292">
        <f t="shared" si="220"/>
        <v>0</v>
      </c>
      <c r="I326" s="347">
        <v>0.035</v>
      </c>
      <c r="J326" s="348">
        <f t="shared" si="221"/>
        <v>0</v>
      </c>
      <c r="K326" s="349">
        <f t="shared" si="222"/>
        <v>0</v>
      </c>
      <c r="L326" s="296">
        <v>0.001397</v>
      </c>
      <c r="M326" s="347">
        <v>0.0215</v>
      </c>
      <c r="N326" s="350">
        <f t="shared" si="223"/>
        <v>0.0014270355</v>
      </c>
      <c r="O326" s="348">
        <f t="shared" si="224"/>
        <v>15</v>
      </c>
      <c r="P326" s="348">
        <f t="shared" si="225"/>
        <v>0.0215</v>
      </c>
      <c r="Q326" s="292">
        <f t="shared" si="216"/>
        <v>0</v>
      </c>
      <c r="R326" s="347">
        <v>0.06</v>
      </c>
      <c r="S326" s="351"/>
      <c r="T326" s="299">
        <f t="shared" si="141"/>
        <v>0</v>
      </c>
      <c r="U326" s="315">
        <f t="shared" si="142"/>
        <v>0</v>
      </c>
      <c r="V326" s="315">
        <f t="shared" si="143"/>
        <v>0</v>
      </c>
      <c r="W326" s="320">
        <f t="shared" si="144"/>
        <v>0</v>
      </c>
      <c r="X326" s="321" t="str">
        <f t="shared" si="145"/>
        <v/>
      </c>
      <c r="Y326" s="352" t="str">
        <f t="shared" si="226"/>
        <v/>
      </c>
      <c r="Z326" s="321" t="str">
        <f t="shared" si="146"/>
        <v/>
      </c>
      <c r="AA326" s="423"/>
      <c r="AB326" s="423"/>
      <c r="AC326" s="423"/>
      <c r="AD326" s="423"/>
      <c r="AE326" s="423"/>
      <c r="AF326" s="423"/>
      <c r="AG326" s="423"/>
      <c r="AH326" s="423"/>
      <c r="AI326" s="423"/>
    </row>
    <row r="327">
      <c r="A327" s="419"/>
      <c r="B327" s="419"/>
      <c r="C327" s="419"/>
      <c r="D327" s="419"/>
      <c r="E327" s="387"/>
      <c r="F327" s="387"/>
      <c r="G327" s="423"/>
      <c r="H327" s="292">
        <f t="shared" si="220"/>
        <v>0</v>
      </c>
      <c r="I327" s="347">
        <v>0.035</v>
      </c>
      <c r="J327" s="348">
        <f t="shared" si="221"/>
        <v>0</v>
      </c>
      <c r="K327" s="349">
        <f t="shared" si="222"/>
        <v>0</v>
      </c>
      <c r="L327" s="296">
        <v>0.001397</v>
      </c>
      <c r="M327" s="347">
        <v>0.0215</v>
      </c>
      <c r="N327" s="350">
        <f t="shared" si="223"/>
        <v>0.0014270355</v>
      </c>
      <c r="O327" s="348">
        <f t="shared" si="224"/>
        <v>15</v>
      </c>
      <c r="P327" s="348">
        <f t="shared" si="225"/>
        <v>0.0215</v>
      </c>
      <c r="Q327" s="292">
        <f t="shared" si="216"/>
        <v>0</v>
      </c>
      <c r="R327" s="347">
        <v>0.06</v>
      </c>
      <c r="S327" s="351"/>
      <c r="T327" s="299">
        <f t="shared" si="141"/>
        <v>0</v>
      </c>
      <c r="U327" s="315">
        <f t="shared" si="142"/>
        <v>0</v>
      </c>
      <c r="V327" s="315">
        <f t="shared" si="143"/>
        <v>0</v>
      </c>
      <c r="W327" s="320">
        <f t="shared" si="144"/>
        <v>0</v>
      </c>
      <c r="X327" s="321" t="str">
        <f t="shared" si="145"/>
        <v/>
      </c>
      <c r="Y327" s="352" t="str">
        <f t="shared" si="226"/>
        <v/>
      </c>
      <c r="Z327" s="321" t="str">
        <f t="shared" si="146"/>
        <v/>
      </c>
      <c r="AA327" s="423"/>
      <c r="AB327" s="423"/>
      <c r="AC327" s="423"/>
      <c r="AD327" s="423"/>
      <c r="AE327" s="423"/>
      <c r="AF327" s="423"/>
      <c r="AG327" s="423"/>
      <c r="AH327" s="423"/>
      <c r="AI327" s="423"/>
    </row>
    <row r="328">
      <c r="A328" s="419"/>
      <c r="B328" s="419"/>
      <c r="C328" s="419"/>
      <c r="D328" s="419"/>
      <c r="E328" s="387"/>
      <c r="F328" s="387"/>
      <c r="G328" s="423"/>
      <c r="H328" s="292">
        <f t="shared" si="220"/>
        <v>0</v>
      </c>
      <c r="I328" s="347">
        <v>0.035</v>
      </c>
      <c r="J328" s="348">
        <f t="shared" si="221"/>
        <v>0</v>
      </c>
      <c r="K328" s="349">
        <f t="shared" si="222"/>
        <v>0</v>
      </c>
      <c r="L328" s="296">
        <v>0.001397</v>
      </c>
      <c r="M328" s="347">
        <v>0.0215</v>
      </c>
      <c r="N328" s="350">
        <f t="shared" si="223"/>
        <v>0.0014270355</v>
      </c>
      <c r="O328" s="348">
        <f t="shared" si="224"/>
        <v>15</v>
      </c>
      <c r="P328" s="348">
        <f t="shared" si="225"/>
        <v>0.0215</v>
      </c>
      <c r="Q328" s="292">
        <f t="shared" si="216"/>
        <v>0</v>
      </c>
      <c r="R328" s="347">
        <v>0.06</v>
      </c>
      <c r="S328" s="351"/>
      <c r="T328" s="299">
        <f t="shared" si="141"/>
        <v>0</v>
      </c>
      <c r="U328" s="315">
        <f t="shared" si="142"/>
        <v>0</v>
      </c>
      <c r="V328" s="315">
        <f t="shared" si="143"/>
        <v>0</v>
      </c>
      <c r="W328" s="320">
        <f t="shared" si="144"/>
        <v>0</v>
      </c>
      <c r="X328" s="321" t="str">
        <f t="shared" si="145"/>
        <v/>
      </c>
      <c r="Y328" s="352" t="str">
        <f t="shared" si="226"/>
        <v/>
      </c>
      <c r="Z328" s="321" t="str">
        <f t="shared" si="146"/>
        <v/>
      </c>
      <c r="AA328" s="423"/>
      <c r="AB328" s="423"/>
      <c r="AC328" s="423"/>
      <c r="AD328" s="423"/>
      <c r="AE328" s="423"/>
      <c r="AF328" s="423"/>
      <c r="AG328" s="423"/>
      <c r="AH328" s="423"/>
      <c r="AI328" s="423"/>
    </row>
    <row r="329">
      <c r="A329" s="419"/>
      <c r="B329" s="419"/>
      <c r="C329" s="419"/>
      <c r="D329" s="419"/>
      <c r="E329" s="387"/>
      <c r="F329" s="387"/>
      <c r="G329" s="423"/>
      <c r="H329" s="292">
        <f t="shared" si="220"/>
        <v>0</v>
      </c>
      <c r="I329" s="347">
        <v>0.035</v>
      </c>
      <c r="J329" s="348">
        <f t="shared" si="221"/>
        <v>0</v>
      </c>
      <c r="K329" s="349">
        <f t="shared" si="222"/>
        <v>0</v>
      </c>
      <c r="L329" s="296">
        <v>0.001397</v>
      </c>
      <c r="M329" s="347">
        <v>0.0215</v>
      </c>
      <c r="N329" s="350">
        <f t="shared" si="223"/>
        <v>0.0014270355</v>
      </c>
      <c r="O329" s="348">
        <f t="shared" si="224"/>
        <v>15</v>
      </c>
      <c r="P329" s="348">
        <f t="shared" si="225"/>
        <v>0.0215</v>
      </c>
      <c r="Q329" s="292">
        <f t="shared" si="216"/>
        <v>0</v>
      </c>
      <c r="R329" s="347">
        <v>0.06</v>
      </c>
      <c r="S329" s="351"/>
      <c r="T329" s="299">
        <f t="shared" si="141"/>
        <v>0</v>
      </c>
      <c r="U329" s="315">
        <f t="shared" si="142"/>
        <v>0</v>
      </c>
      <c r="V329" s="315">
        <f t="shared" si="143"/>
        <v>0</v>
      </c>
      <c r="W329" s="320">
        <f t="shared" si="144"/>
        <v>0</v>
      </c>
      <c r="X329" s="321" t="str">
        <f t="shared" si="145"/>
        <v/>
      </c>
      <c r="Y329" s="352" t="str">
        <f t="shared" si="226"/>
        <v/>
      </c>
      <c r="Z329" s="321" t="str">
        <f t="shared" si="146"/>
        <v/>
      </c>
      <c r="AA329" s="423"/>
      <c r="AB329" s="423"/>
      <c r="AC329" s="423"/>
      <c r="AD329" s="423"/>
      <c r="AE329" s="423"/>
      <c r="AF329" s="423"/>
      <c r="AG329" s="423"/>
      <c r="AH329" s="423"/>
      <c r="AI329" s="423"/>
    </row>
    <row r="330">
      <c r="A330" s="419"/>
      <c r="B330" s="419"/>
      <c r="C330" s="419"/>
      <c r="D330" s="419"/>
      <c r="E330" s="387"/>
      <c r="F330" s="387"/>
      <c r="G330" s="423"/>
      <c r="H330" s="292">
        <f t="shared" si="220"/>
        <v>0</v>
      </c>
      <c r="I330" s="347">
        <v>0.035</v>
      </c>
      <c r="J330" s="348">
        <f t="shared" si="221"/>
        <v>0</v>
      </c>
      <c r="K330" s="349">
        <f t="shared" si="222"/>
        <v>0</v>
      </c>
      <c r="L330" s="296">
        <v>0.001397</v>
      </c>
      <c r="M330" s="347">
        <v>0.0215</v>
      </c>
      <c r="N330" s="350">
        <f t="shared" si="223"/>
        <v>0.0014270355</v>
      </c>
      <c r="O330" s="348">
        <f t="shared" si="224"/>
        <v>15</v>
      </c>
      <c r="P330" s="348">
        <f t="shared" si="225"/>
        <v>0.0215</v>
      </c>
      <c r="Q330" s="292">
        <f t="shared" si="216"/>
        <v>0</v>
      </c>
      <c r="R330" s="347">
        <v>0.06</v>
      </c>
      <c r="S330" s="351"/>
      <c r="T330" s="299">
        <f t="shared" si="141"/>
        <v>0</v>
      </c>
      <c r="U330" s="315">
        <f t="shared" si="142"/>
        <v>0</v>
      </c>
      <c r="V330" s="315">
        <f t="shared" si="143"/>
        <v>0</v>
      </c>
      <c r="W330" s="320">
        <f t="shared" si="144"/>
        <v>0</v>
      </c>
      <c r="X330" s="321" t="str">
        <f t="shared" si="145"/>
        <v/>
      </c>
      <c r="Y330" s="352" t="str">
        <f t="shared" si="226"/>
        <v/>
      </c>
      <c r="Z330" s="321" t="str">
        <f t="shared" si="146"/>
        <v/>
      </c>
      <c r="AA330" s="423"/>
      <c r="AB330" s="423"/>
      <c r="AC330" s="423"/>
      <c r="AD330" s="423"/>
      <c r="AE330" s="423"/>
      <c r="AF330" s="423"/>
      <c r="AG330" s="423"/>
      <c r="AH330" s="423"/>
      <c r="AI330" s="423"/>
    </row>
    <row r="331">
      <c r="A331" s="419"/>
      <c r="B331" s="419"/>
      <c r="C331" s="419"/>
      <c r="D331" s="419"/>
      <c r="E331" s="387"/>
      <c r="F331" s="387"/>
      <c r="G331" s="423"/>
      <c r="H331" s="423"/>
      <c r="I331" s="423"/>
      <c r="J331" s="423"/>
      <c r="K331" s="423"/>
      <c r="L331" s="296">
        <v>0.001397</v>
      </c>
      <c r="M331" s="423"/>
      <c r="N331" s="423"/>
      <c r="O331" s="423"/>
      <c r="P331" s="423"/>
      <c r="Q331" s="423"/>
      <c r="R331" s="423"/>
      <c r="S331" s="423"/>
      <c r="T331" s="299">
        <f t="shared" si="141"/>
        <v>0</v>
      </c>
      <c r="U331" s="315">
        <f t="shared" si="142"/>
        <v>0</v>
      </c>
      <c r="V331" s="315">
        <f t="shared" si="143"/>
        <v>0</v>
      </c>
      <c r="W331" s="320">
        <f t="shared" si="144"/>
        <v>0</v>
      </c>
      <c r="X331" s="321" t="str">
        <f t="shared" si="145"/>
        <v/>
      </c>
      <c r="Y331" s="423"/>
      <c r="Z331" s="321" t="str">
        <f t="shared" si="146"/>
        <v/>
      </c>
      <c r="AA331" s="423"/>
      <c r="AB331" s="423"/>
      <c r="AC331" s="423"/>
      <c r="AD331" s="423"/>
      <c r="AE331" s="423"/>
      <c r="AF331" s="423"/>
      <c r="AG331" s="423"/>
      <c r="AH331" s="423"/>
      <c r="AI331" s="423"/>
    </row>
    <row r="332">
      <c r="A332" s="419"/>
      <c r="B332" s="419"/>
      <c r="C332" s="419"/>
      <c r="D332" s="419"/>
      <c r="E332" s="387"/>
      <c r="F332" s="387"/>
      <c r="G332" s="423"/>
      <c r="H332" s="423"/>
      <c r="I332" s="423"/>
      <c r="J332" s="423"/>
      <c r="K332" s="423"/>
      <c r="L332" s="296">
        <v>0.001397</v>
      </c>
      <c r="M332" s="423"/>
      <c r="N332" s="423"/>
      <c r="O332" s="423"/>
      <c r="P332" s="423"/>
      <c r="Q332" s="423"/>
      <c r="R332" s="423"/>
      <c r="S332" s="423"/>
      <c r="T332" s="299">
        <f t="shared" si="141"/>
        <v>0</v>
      </c>
      <c r="U332" s="315">
        <f t="shared" si="142"/>
        <v>0</v>
      </c>
      <c r="V332" s="315">
        <f t="shared" si="143"/>
        <v>0</v>
      </c>
      <c r="W332" s="320">
        <f t="shared" si="144"/>
        <v>0</v>
      </c>
      <c r="X332" s="321" t="str">
        <f t="shared" si="145"/>
        <v/>
      </c>
      <c r="Y332" s="423"/>
      <c r="Z332" s="321" t="str">
        <f t="shared" si="146"/>
        <v/>
      </c>
      <c r="AA332" s="423"/>
      <c r="AB332" s="423"/>
      <c r="AC332" s="423"/>
      <c r="AD332" s="423"/>
      <c r="AE332" s="423"/>
      <c r="AF332" s="423"/>
      <c r="AG332" s="423"/>
      <c r="AH332" s="423"/>
      <c r="AI332" s="423"/>
    </row>
    <row r="333">
      <c r="A333" s="419"/>
      <c r="B333" s="419"/>
      <c r="C333" s="419"/>
      <c r="D333" s="419"/>
      <c r="E333" s="387"/>
      <c r="F333" s="387"/>
      <c r="G333" s="423"/>
      <c r="H333" s="423"/>
      <c r="I333" s="423"/>
      <c r="J333" s="423"/>
      <c r="K333" s="423"/>
      <c r="L333" s="296">
        <v>0.001397</v>
      </c>
      <c r="M333" s="423"/>
      <c r="N333" s="423"/>
      <c r="O333" s="423"/>
      <c r="P333" s="423"/>
      <c r="Q333" s="423"/>
      <c r="R333" s="423"/>
      <c r="S333" s="423"/>
      <c r="T333" s="299">
        <f t="shared" si="141"/>
        <v>0</v>
      </c>
      <c r="U333" s="315">
        <f t="shared" si="142"/>
        <v>0</v>
      </c>
      <c r="V333" s="315">
        <f t="shared" si="143"/>
        <v>0</v>
      </c>
      <c r="W333" s="320">
        <f t="shared" si="144"/>
        <v>0</v>
      </c>
      <c r="X333" s="321" t="str">
        <f t="shared" si="145"/>
        <v/>
      </c>
      <c r="Y333" s="423"/>
      <c r="Z333" s="321" t="str">
        <f t="shared" si="146"/>
        <v/>
      </c>
      <c r="AA333" s="423"/>
      <c r="AB333" s="423"/>
      <c r="AC333" s="423"/>
      <c r="AD333" s="423"/>
      <c r="AE333" s="423"/>
      <c r="AF333" s="423"/>
      <c r="AG333" s="423"/>
      <c r="AH333" s="423"/>
      <c r="AI333" s="423"/>
    </row>
    <row r="334">
      <c r="A334" s="419"/>
      <c r="B334" s="419"/>
      <c r="C334" s="419"/>
      <c r="D334" s="419"/>
      <c r="E334" s="387"/>
      <c r="F334" s="387"/>
      <c r="G334" s="423"/>
      <c r="H334" s="423"/>
      <c r="I334" s="423"/>
      <c r="J334" s="423"/>
      <c r="K334" s="423"/>
      <c r="L334" s="296">
        <v>0.001397</v>
      </c>
      <c r="M334" s="423"/>
      <c r="N334" s="423"/>
      <c r="O334" s="423"/>
      <c r="P334" s="423"/>
      <c r="Q334" s="423"/>
      <c r="R334" s="423"/>
      <c r="S334" s="423"/>
      <c r="T334" s="299">
        <f t="shared" si="141"/>
        <v>0</v>
      </c>
      <c r="U334" s="315">
        <f t="shared" si="142"/>
        <v>0</v>
      </c>
      <c r="V334" s="315">
        <f t="shared" si="143"/>
        <v>0</v>
      </c>
      <c r="W334" s="320">
        <f t="shared" si="144"/>
        <v>0</v>
      </c>
      <c r="X334" s="321" t="str">
        <f t="shared" si="145"/>
        <v/>
      </c>
      <c r="Y334" s="423"/>
      <c r="Z334" s="321" t="str">
        <f t="shared" si="146"/>
        <v/>
      </c>
      <c r="AA334" s="423"/>
      <c r="AB334" s="423"/>
      <c r="AC334" s="423"/>
      <c r="AD334" s="423"/>
      <c r="AE334" s="423"/>
      <c r="AF334" s="423"/>
      <c r="AG334" s="423"/>
      <c r="AH334" s="423"/>
      <c r="AI334" s="423"/>
    </row>
    <row r="335">
      <c r="A335" s="419"/>
      <c r="B335" s="419"/>
      <c r="C335" s="419"/>
      <c r="D335" s="419"/>
      <c r="E335" s="387"/>
      <c r="F335" s="387"/>
      <c r="G335" s="423"/>
      <c r="H335" s="423"/>
      <c r="I335" s="423"/>
      <c r="J335" s="423"/>
      <c r="K335" s="423"/>
      <c r="L335" s="296">
        <v>0.001397</v>
      </c>
      <c r="M335" s="423"/>
      <c r="N335" s="423"/>
      <c r="O335" s="423"/>
      <c r="P335" s="423"/>
      <c r="Q335" s="423"/>
      <c r="R335" s="423"/>
      <c r="S335" s="423"/>
      <c r="T335" s="299">
        <f t="shared" si="141"/>
        <v>0</v>
      </c>
      <c r="U335" s="315">
        <f t="shared" si="142"/>
        <v>0</v>
      </c>
      <c r="V335" s="315">
        <f t="shared" si="143"/>
        <v>0</v>
      </c>
      <c r="W335" s="320">
        <f t="shared" si="144"/>
        <v>0</v>
      </c>
      <c r="X335" s="423"/>
      <c r="Y335" s="423"/>
      <c r="Z335" s="321" t="str">
        <f t="shared" si="146"/>
        <v/>
      </c>
      <c r="AA335" s="423"/>
      <c r="AB335" s="423"/>
      <c r="AC335" s="423"/>
      <c r="AD335" s="423"/>
      <c r="AE335" s="423"/>
      <c r="AF335" s="423"/>
      <c r="AG335" s="423"/>
      <c r="AH335" s="423"/>
      <c r="AI335" s="423"/>
    </row>
    <row r="336">
      <c r="A336" s="419"/>
      <c r="B336" s="419"/>
      <c r="C336" s="419"/>
      <c r="D336" s="419"/>
      <c r="E336" s="387"/>
      <c r="F336" s="387"/>
      <c r="G336" s="423"/>
      <c r="H336" s="423"/>
      <c r="I336" s="423"/>
      <c r="J336" s="423"/>
      <c r="K336" s="423"/>
      <c r="L336" s="296">
        <v>0.001397</v>
      </c>
      <c r="M336" s="423"/>
      <c r="N336" s="423"/>
      <c r="O336" s="423"/>
      <c r="P336" s="423"/>
      <c r="Q336" s="423"/>
      <c r="R336" s="423"/>
      <c r="S336" s="423"/>
      <c r="T336" s="299">
        <f t="shared" si="141"/>
        <v>0</v>
      </c>
      <c r="U336" s="315">
        <f t="shared" si="142"/>
        <v>0</v>
      </c>
      <c r="V336" s="315">
        <f t="shared" si="143"/>
        <v>0</v>
      </c>
      <c r="W336" s="320">
        <f t="shared" si="144"/>
        <v>0</v>
      </c>
      <c r="X336" s="423"/>
      <c r="Y336" s="423"/>
      <c r="Z336" s="321" t="str">
        <f t="shared" si="146"/>
        <v/>
      </c>
      <c r="AA336" s="423"/>
      <c r="AB336" s="423"/>
      <c r="AC336" s="423"/>
      <c r="AD336" s="423"/>
      <c r="AE336" s="423"/>
      <c r="AF336" s="423"/>
      <c r="AG336" s="423"/>
      <c r="AH336" s="423"/>
      <c r="AI336" s="423"/>
    </row>
    <row r="337">
      <c r="A337" s="419"/>
      <c r="B337" s="419"/>
      <c r="C337" s="419"/>
      <c r="D337" s="419"/>
      <c r="E337" s="387"/>
      <c r="F337" s="387"/>
      <c r="G337" s="423"/>
      <c r="H337" s="423"/>
      <c r="I337" s="423"/>
      <c r="J337" s="423"/>
      <c r="K337" s="423"/>
      <c r="L337" s="296">
        <v>0.001397</v>
      </c>
      <c r="M337" s="423"/>
      <c r="N337" s="423"/>
      <c r="O337" s="423"/>
      <c r="P337" s="423"/>
      <c r="Q337" s="423"/>
      <c r="R337" s="423"/>
      <c r="S337" s="423"/>
      <c r="T337" s="299">
        <f t="shared" si="141"/>
        <v>0</v>
      </c>
      <c r="U337" s="315">
        <f t="shared" si="142"/>
        <v>0</v>
      </c>
      <c r="V337" s="315">
        <f t="shared" si="143"/>
        <v>0</v>
      </c>
      <c r="W337" s="320">
        <f t="shared" si="144"/>
        <v>0</v>
      </c>
      <c r="X337" s="423"/>
      <c r="Y337" s="423"/>
      <c r="Z337" s="321" t="str">
        <f t="shared" si="146"/>
        <v/>
      </c>
      <c r="AA337" s="423"/>
      <c r="AB337" s="423"/>
      <c r="AC337" s="423"/>
      <c r="AD337" s="423"/>
      <c r="AE337" s="423"/>
      <c r="AF337" s="423"/>
      <c r="AG337" s="423"/>
      <c r="AH337" s="423"/>
      <c r="AI337" s="423"/>
    </row>
    <row r="338">
      <c r="A338" s="419"/>
      <c r="B338" s="419"/>
      <c r="C338" s="419"/>
      <c r="D338" s="419"/>
      <c r="E338" s="387"/>
      <c r="F338" s="387"/>
      <c r="G338" s="423"/>
      <c r="H338" s="423"/>
      <c r="I338" s="423"/>
      <c r="J338" s="423"/>
      <c r="K338" s="423"/>
      <c r="L338" s="296">
        <v>0.001397</v>
      </c>
      <c r="M338" s="423"/>
      <c r="N338" s="423"/>
      <c r="O338" s="423"/>
      <c r="P338" s="423"/>
      <c r="Q338" s="423"/>
      <c r="R338" s="423"/>
      <c r="S338" s="423"/>
      <c r="T338" s="299">
        <f t="shared" si="141"/>
        <v>0</v>
      </c>
      <c r="U338" s="315">
        <f t="shared" si="142"/>
        <v>0</v>
      </c>
      <c r="V338" s="315">
        <f t="shared" si="143"/>
        <v>0</v>
      </c>
      <c r="W338" s="320">
        <f t="shared" si="144"/>
        <v>0</v>
      </c>
      <c r="X338" s="423"/>
      <c r="Y338" s="423"/>
      <c r="Z338" s="321" t="str">
        <f t="shared" si="146"/>
        <v/>
      </c>
      <c r="AA338" s="423"/>
      <c r="AB338" s="423"/>
      <c r="AC338" s="423"/>
      <c r="AD338" s="423"/>
      <c r="AE338" s="423"/>
      <c r="AF338" s="423"/>
      <c r="AG338" s="423"/>
      <c r="AH338" s="423"/>
      <c r="AI338" s="423"/>
    </row>
    <row r="339">
      <c r="A339" s="419"/>
      <c r="B339" s="419"/>
      <c r="C339" s="419"/>
      <c r="D339" s="419"/>
      <c r="E339" s="387"/>
      <c r="F339" s="387"/>
      <c r="G339" s="423"/>
      <c r="H339" s="423"/>
      <c r="I339" s="423"/>
      <c r="J339" s="423"/>
      <c r="K339" s="423"/>
      <c r="L339" s="296">
        <v>0.001397</v>
      </c>
      <c r="M339" s="423"/>
      <c r="N339" s="423"/>
      <c r="O339" s="423"/>
      <c r="P339" s="423"/>
      <c r="Q339" s="423"/>
      <c r="R339" s="423"/>
      <c r="S339" s="423"/>
      <c r="T339" s="299">
        <f t="shared" si="141"/>
        <v>0</v>
      </c>
      <c r="U339" s="315">
        <f t="shared" si="142"/>
        <v>0</v>
      </c>
      <c r="V339" s="315">
        <f t="shared" si="143"/>
        <v>0</v>
      </c>
      <c r="W339" s="320">
        <f t="shared" si="144"/>
        <v>0</v>
      </c>
      <c r="X339" s="423"/>
      <c r="Y339" s="423"/>
      <c r="Z339" s="321" t="str">
        <f t="shared" si="146"/>
        <v/>
      </c>
      <c r="AA339" s="423"/>
      <c r="AB339" s="423"/>
      <c r="AC339" s="423"/>
      <c r="AD339" s="423"/>
      <c r="AE339" s="423"/>
      <c r="AF339" s="423"/>
      <c r="AG339" s="423"/>
      <c r="AH339" s="423"/>
      <c r="AI339" s="423"/>
    </row>
    <row r="340">
      <c r="A340" s="419"/>
      <c r="B340" s="419"/>
      <c r="C340" s="419"/>
      <c r="D340" s="419"/>
      <c r="E340" s="387"/>
      <c r="F340" s="387"/>
      <c r="G340" s="423"/>
      <c r="H340" s="423"/>
      <c r="I340" s="423"/>
      <c r="J340" s="423"/>
      <c r="K340" s="423"/>
      <c r="L340" s="296">
        <v>0.001397</v>
      </c>
      <c r="M340" s="423"/>
      <c r="N340" s="423"/>
      <c r="O340" s="423"/>
      <c r="P340" s="423"/>
      <c r="Q340" s="423"/>
      <c r="R340" s="423"/>
      <c r="S340" s="423"/>
      <c r="T340" s="299">
        <f t="shared" si="141"/>
        <v>0</v>
      </c>
      <c r="U340" s="315">
        <f t="shared" si="142"/>
        <v>0</v>
      </c>
      <c r="V340" s="315">
        <f t="shared" si="143"/>
        <v>0</v>
      </c>
      <c r="W340" s="320">
        <f t="shared" si="144"/>
        <v>0</v>
      </c>
      <c r="X340" s="423"/>
      <c r="Y340" s="423"/>
      <c r="Z340" s="321" t="str">
        <f t="shared" si="146"/>
        <v/>
      </c>
      <c r="AA340" s="423"/>
      <c r="AB340" s="423"/>
      <c r="AC340" s="423"/>
      <c r="AD340" s="423"/>
      <c r="AE340" s="423"/>
      <c r="AF340" s="423"/>
      <c r="AG340" s="423"/>
      <c r="AH340" s="423"/>
      <c r="AI340" s="423"/>
    </row>
    <row r="341">
      <c r="A341" s="419"/>
      <c r="B341" s="419"/>
      <c r="C341" s="419"/>
      <c r="D341" s="419"/>
      <c r="E341" s="387"/>
      <c r="F341" s="387"/>
      <c r="G341" s="423"/>
      <c r="H341" s="423"/>
      <c r="I341" s="423"/>
      <c r="J341" s="423"/>
      <c r="K341" s="423"/>
      <c r="L341" s="296">
        <v>0.001397</v>
      </c>
      <c r="M341" s="423"/>
      <c r="N341" s="423"/>
      <c r="O341" s="423"/>
      <c r="P341" s="423"/>
      <c r="Q341" s="423"/>
      <c r="R341" s="423"/>
      <c r="S341" s="423"/>
      <c r="T341" s="299">
        <f t="shared" si="141"/>
        <v>0</v>
      </c>
      <c r="U341" s="315">
        <f t="shared" si="142"/>
        <v>0</v>
      </c>
      <c r="V341" s="315">
        <f t="shared" si="143"/>
        <v>0</v>
      </c>
      <c r="W341" s="320">
        <f t="shared" si="144"/>
        <v>0</v>
      </c>
      <c r="X341" s="423"/>
      <c r="Y341" s="423"/>
      <c r="Z341" s="321" t="str">
        <f t="shared" si="146"/>
        <v/>
      </c>
      <c r="AA341" s="423"/>
      <c r="AB341" s="423"/>
      <c r="AC341" s="423"/>
      <c r="AD341" s="423"/>
      <c r="AE341" s="423"/>
      <c r="AF341" s="423"/>
      <c r="AG341" s="423"/>
      <c r="AH341" s="423"/>
      <c r="AI341" s="423"/>
    </row>
    <row r="342">
      <c r="A342" s="419"/>
      <c r="B342" s="419"/>
      <c r="C342" s="419"/>
      <c r="D342" s="419"/>
      <c r="E342" s="387"/>
      <c r="F342" s="387"/>
      <c r="G342" s="423"/>
      <c r="H342" s="423"/>
      <c r="I342" s="423"/>
      <c r="J342" s="423"/>
      <c r="K342" s="423"/>
      <c r="L342" s="296">
        <v>0.001397</v>
      </c>
      <c r="M342" s="423"/>
      <c r="N342" s="423"/>
      <c r="O342" s="423"/>
      <c r="P342" s="423"/>
      <c r="Q342" s="423"/>
      <c r="R342" s="423"/>
      <c r="S342" s="423"/>
      <c r="T342" s="299">
        <f t="shared" si="141"/>
        <v>0</v>
      </c>
      <c r="U342" s="315">
        <f t="shared" si="142"/>
        <v>0</v>
      </c>
      <c r="V342" s="315">
        <f t="shared" si="143"/>
        <v>0</v>
      </c>
      <c r="W342" s="320">
        <f t="shared" si="144"/>
        <v>0</v>
      </c>
      <c r="X342" s="423"/>
      <c r="Y342" s="423"/>
      <c r="Z342" s="321" t="str">
        <f t="shared" si="146"/>
        <v/>
      </c>
      <c r="AA342" s="423"/>
      <c r="AB342" s="423"/>
      <c r="AC342" s="423"/>
      <c r="AD342" s="423"/>
      <c r="AE342" s="423"/>
      <c r="AF342" s="423"/>
      <c r="AG342" s="423"/>
      <c r="AH342" s="423"/>
      <c r="AI342" s="423"/>
    </row>
    <row r="343">
      <c r="A343" s="419"/>
      <c r="B343" s="419"/>
      <c r="C343" s="419"/>
      <c r="D343" s="419"/>
      <c r="E343" s="387"/>
      <c r="F343" s="387"/>
      <c r="G343" s="423"/>
      <c r="H343" s="423"/>
      <c r="I343" s="423"/>
      <c r="J343" s="423"/>
      <c r="K343" s="423"/>
      <c r="L343" s="296">
        <v>0.001397</v>
      </c>
      <c r="M343" s="423"/>
      <c r="N343" s="423"/>
      <c r="O343" s="423"/>
      <c r="P343" s="423"/>
      <c r="Q343" s="423"/>
      <c r="R343" s="423"/>
      <c r="S343" s="423"/>
      <c r="T343" s="299">
        <f t="shared" si="141"/>
        <v>0</v>
      </c>
      <c r="U343" s="315">
        <f t="shared" si="142"/>
        <v>0</v>
      </c>
      <c r="V343" s="315">
        <f t="shared" si="143"/>
        <v>0</v>
      </c>
      <c r="W343" s="320">
        <f t="shared" si="144"/>
        <v>0</v>
      </c>
      <c r="X343" s="423"/>
      <c r="Y343" s="423"/>
      <c r="Z343" s="321" t="str">
        <f t="shared" si="146"/>
        <v/>
      </c>
      <c r="AA343" s="423"/>
      <c r="AB343" s="423"/>
      <c r="AC343" s="423"/>
      <c r="AD343" s="423"/>
      <c r="AE343" s="423"/>
      <c r="AF343" s="423"/>
      <c r="AG343" s="423"/>
      <c r="AH343" s="423"/>
      <c r="AI343" s="423"/>
    </row>
    <row r="344">
      <c r="A344" s="419"/>
      <c r="B344" s="419"/>
      <c r="C344" s="419"/>
      <c r="D344" s="419"/>
      <c r="E344" s="387"/>
      <c r="F344" s="387"/>
      <c r="G344" s="423"/>
      <c r="H344" s="423"/>
      <c r="I344" s="423"/>
      <c r="J344" s="423"/>
      <c r="K344" s="423"/>
      <c r="L344" s="296">
        <v>0.001397</v>
      </c>
      <c r="M344" s="423"/>
      <c r="N344" s="423"/>
      <c r="O344" s="423"/>
      <c r="P344" s="423"/>
      <c r="Q344" s="423"/>
      <c r="R344" s="423"/>
      <c r="S344" s="423"/>
      <c r="T344" s="299">
        <f t="shared" si="141"/>
        <v>0</v>
      </c>
      <c r="U344" s="315">
        <f t="shared" si="142"/>
        <v>0</v>
      </c>
      <c r="V344" s="315">
        <f t="shared" si="143"/>
        <v>0</v>
      </c>
      <c r="W344" s="320">
        <f t="shared" si="144"/>
        <v>0</v>
      </c>
      <c r="X344" s="423"/>
      <c r="Y344" s="423"/>
      <c r="Z344" s="321" t="str">
        <f t="shared" si="146"/>
        <v/>
      </c>
      <c r="AA344" s="423"/>
      <c r="AB344" s="423"/>
      <c r="AC344" s="423"/>
      <c r="AD344" s="423"/>
      <c r="AE344" s="423"/>
      <c r="AF344" s="423"/>
      <c r="AG344" s="423"/>
      <c r="AH344" s="423"/>
      <c r="AI344" s="423"/>
    </row>
    <row r="345">
      <c r="A345" s="419"/>
      <c r="B345" s="419"/>
      <c r="C345" s="419"/>
      <c r="D345" s="419"/>
      <c r="E345" s="387"/>
      <c r="F345" s="387"/>
      <c r="G345" s="423"/>
      <c r="H345" s="423"/>
      <c r="I345" s="423"/>
      <c r="J345" s="423"/>
      <c r="K345" s="423"/>
      <c r="L345" s="296">
        <v>0.001397</v>
      </c>
      <c r="M345" s="423"/>
      <c r="N345" s="423"/>
      <c r="O345" s="423"/>
      <c r="P345" s="423"/>
      <c r="Q345" s="423"/>
      <c r="R345" s="423"/>
      <c r="S345" s="423"/>
      <c r="T345" s="299">
        <f t="shared" si="141"/>
        <v>0</v>
      </c>
      <c r="U345" s="315">
        <f t="shared" si="142"/>
        <v>0</v>
      </c>
      <c r="V345" s="315">
        <f t="shared" si="143"/>
        <v>0</v>
      </c>
      <c r="W345" s="320">
        <f t="shared" si="144"/>
        <v>0</v>
      </c>
      <c r="X345" s="423"/>
      <c r="Y345" s="423"/>
      <c r="Z345" s="321" t="str">
        <f t="shared" si="146"/>
        <v/>
      </c>
      <c r="AA345" s="423"/>
      <c r="AB345" s="423"/>
      <c r="AC345" s="423"/>
      <c r="AD345" s="423"/>
      <c r="AE345" s="423"/>
      <c r="AF345" s="423"/>
      <c r="AG345" s="423"/>
      <c r="AH345" s="423"/>
      <c r="AI345" s="423"/>
    </row>
    <row r="346">
      <c r="A346" s="419"/>
      <c r="B346" s="419"/>
      <c r="C346" s="419"/>
      <c r="D346" s="419"/>
      <c r="E346" s="387"/>
      <c r="F346" s="387"/>
      <c r="G346" s="423"/>
      <c r="H346" s="423"/>
      <c r="I346" s="423"/>
      <c r="J346" s="423"/>
      <c r="K346" s="423"/>
      <c r="L346" s="296">
        <v>0.001397</v>
      </c>
      <c r="M346" s="423"/>
      <c r="N346" s="423"/>
      <c r="O346" s="423"/>
      <c r="P346" s="423"/>
      <c r="Q346" s="423"/>
      <c r="R346" s="423"/>
      <c r="S346" s="423"/>
      <c r="T346" s="299">
        <f t="shared" si="141"/>
        <v>0</v>
      </c>
      <c r="U346" s="315">
        <f t="shared" si="142"/>
        <v>0</v>
      </c>
      <c r="V346" s="315">
        <f t="shared" si="143"/>
        <v>0</v>
      </c>
      <c r="W346" s="320">
        <f t="shared" si="144"/>
        <v>0</v>
      </c>
      <c r="X346" s="423"/>
      <c r="Y346" s="423"/>
      <c r="Z346" s="321" t="str">
        <f t="shared" si="146"/>
        <v/>
      </c>
      <c r="AA346" s="423"/>
      <c r="AB346" s="423"/>
      <c r="AC346" s="423"/>
      <c r="AD346" s="423"/>
      <c r="AE346" s="423"/>
      <c r="AF346" s="423"/>
      <c r="AG346" s="423"/>
      <c r="AH346" s="423"/>
      <c r="AI346" s="423"/>
    </row>
    <row r="347">
      <c r="A347" s="419"/>
      <c r="B347" s="419"/>
      <c r="C347" s="419"/>
      <c r="D347" s="419"/>
      <c r="E347" s="387"/>
      <c r="F347" s="387"/>
      <c r="G347" s="423"/>
      <c r="H347" s="423"/>
      <c r="I347" s="423"/>
      <c r="J347" s="423"/>
      <c r="K347" s="423"/>
      <c r="L347" s="296">
        <v>0.001397</v>
      </c>
      <c r="M347" s="423"/>
      <c r="N347" s="423"/>
      <c r="O347" s="423"/>
      <c r="P347" s="423"/>
      <c r="Q347" s="423"/>
      <c r="R347" s="423"/>
      <c r="S347" s="423"/>
      <c r="T347" s="299">
        <f t="shared" si="141"/>
        <v>0</v>
      </c>
      <c r="U347" s="315">
        <f t="shared" si="142"/>
        <v>0</v>
      </c>
      <c r="V347" s="315">
        <f t="shared" si="143"/>
        <v>0</v>
      </c>
      <c r="W347" s="320">
        <f t="shared" si="144"/>
        <v>0</v>
      </c>
      <c r="X347" s="423"/>
      <c r="Y347" s="423"/>
      <c r="Z347" s="321" t="str">
        <f t="shared" si="146"/>
        <v/>
      </c>
      <c r="AA347" s="423"/>
      <c r="AB347" s="423"/>
      <c r="AC347" s="423"/>
      <c r="AD347" s="423"/>
      <c r="AE347" s="423"/>
      <c r="AF347" s="423"/>
      <c r="AG347" s="423"/>
      <c r="AH347" s="423"/>
      <c r="AI347" s="423"/>
    </row>
    <row r="348">
      <c r="A348" s="419"/>
      <c r="B348" s="419"/>
      <c r="C348" s="419"/>
      <c r="D348" s="419"/>
      <c r="E348" s="387"/>
      <c r="F348" s="387"/>
      <c r="G348" s="423"/>
      <c r="H348" s="423"/>
      <c r="I348" s="423"/>
      <c r="J348" s="423"/>
      <c r="K348" s="423"/>
      <c r="L348" s="296">
        <v>0.001397</v>
      </c>
      <c r="M348" s="423"/>
      <c r="N348" s="423"/>
      <c r="O348" s="423"/>
      <c r="P348" s="423"/>
      <c r="Q348" s="423"/>
      <c r="R348" s="423"/>
      <c r="S348" s="423"/>
      <c r="T348" s="299">
        <f t="shared" si="141"/>
        <v>0</v>
      </c>
      <c r="U348" s="315">
        <f t="shared" si="142"/>
        <v>0</v>
      </c>
      <c r="V348" s="315">
        <f t="shared" si="143"/>
        <v>0</v>
      </c>
      <c r="W348" s="320">
        <f t="shared" si="144"/>
        <v>0</v>
      </c>
      <c r="X348" s="423"/>
      <c r="Y348" s="423"/>
      <c r="Z348" s="321" t="str">
        <f t="shared" si="146"/>
        <v/>
      </c>
      <c r="AA348" s="423"/>
      <c r="AB348" s="423"/>
      <c r="AC348" s="423"/>
      <c r="AD348" s="423"/>
      <c r="AE348" s="423"/>
      <c r="AF348" s="423"/>
      <c r="AG348" s="423"/>
      <c r="AH348" s="423"/>
      <c r="AI348" s="423"/>
    </row>
    <row r="349">
      <c r="A349" s="419"/>
      <c r="B349" s="419"/>
      <c r="C349" s="419"/>
      <c r="D349" s="419"/>
      <c r="E349" s="387"/>
      <c r="F349" s="387"/>
      <c r="G349" s="423"/>
      <c r="H349" s="423"/>
      <c r="I349" s="423"/>
      <c r="J349" s="423"/>
      <c r="K349" s="423"/>
      <c r="L349" s="296">
        <v>0.001397</v>
      </c>
      <c r="M349" s="423"/>
      <c r="N349" s="423"/>
      <c r="O349" s="423"/>
      <c r="P349" s="423"/>
      <c r="Q349" s="423"/>
      <c r="R349" s="423"/>
      <c r="S349" s="423"/>
      <c r="T349" s="299">
        <f t="shared" si="141"/>
        <v>0</v>
      </c>
      <c r="U349" s="315">
        <f t="shared" si="142"/>
        <v>0</v>
      </c>
      <c r="V349" s="315">
        <f t="shared" si="143"/>
        <v>0</v>
      </c>
      <c r="W349" s="320">
        <f t="shared" si="144"/>
        <v>0</v>
      </c>
      <c r="X349" s="423"/>
      <c r="Y349" s="423"/>
      <c r="Z349" s="321" t="str">
        <f t="shared" si="146"/>
        <v/>
      </c>
      <c r="AA349" s="423"/>
      <c r="AB349" s="423"/>
      <c r="AC349" s="423"/>
      <c r="AD349" s="423"/>
      <c r="AE349" s="423"/>
      <c r="AF349" s="423"/>
      <c r="AG349" s="423"/>
      <c r="AH349" s="423"/>
      <c r="AI349" s="423"/>
    </row>
    <row r="350">
      <c r="A350" s="419"/>
      <c r="B350" s="419"/>
      <c r="C350" s="419"/>
      <c r="D350" s="419"/>
      <c r="E350" s="387"/>
      <c r="F350" s="387"/>
      <c r="G350" s="423"/>
      <c r="H350" s="423"/>
      <c r="I350" s="423"/>
      <c r="J350" s="423"/>
      <c r="K350" s="423"/>
      <c r="L350" s="296">
        <v>0.001397</v>
      </c>
      <c r="M350" s="423"/>
      <c r="N350" s="423"/>
      <c r="O350" s="423"/>
      <c r="P350" s="423"/>
      <c r="Q350" s="423"/>
      <c r="R350" s="423"/>
      <c r="S350" s="423"/>
      <c r="T350" s="299">
        <f t="shared" si="141"/>
        <v>0</v>
      </c>
      <c r="U350" s="315">
        <f t="shared" si="142"/>
        <v>0</v>
      </c>
      <c r="V350" s="315">
        <f t="shared" si="143"/>
        <v>0</v>
      </c>
      <c r="W350" s="423"/>
      <c r="X350" s="423"/>
      <c r="Y350" s="423"/>
      <c r="Z350" s="321" t="str">
        <f t="shared" si="146"/>
        <v/>
      </c>
      <c r="AA350" s="423"/>
      <c r="AB350" s="423"/>
      <c r="AC350" s="423"/>
      <c r="AD350" s="423"/>
      <c r="AE350" s="423"/>
      <c r="AF350" s="423"/>
      <c r="AG350" s="423"/>
      <c r="AH350" s="423"/>
      <c r="AI350" s="423"/>
    </row>
    <row r="351">
      <c r="A351" s="419"/>
      <c r="B351" s="419"/>
      <c r="C351" s="419"/>
      <c r="D351" s="419"/>
      <c r="E351" s="387"/>
      <c r="F351" s="387"/>
      <c r="G351" s="423"/>
      <c r="H351" s="423"/>
      <c r="I351" s="423"/>
      <c r="J351" s="423"/>
      <c r="K351" s="423"/>
      <c r="L351" s="423"/>
      <c r="M351" s="423"/>
      <c r="N351" s="423"/>
      <c r="O351" s="423"/>
      <c r="P351" s="423"/>
      <c r="Q351" s="423"/>
      <c r="R351" s="423"/>
      <c r="S351" s="423"/>
      <c r="T351" s="299">
        <f t="shared" si="141"/>
        <v>0</v>
      </c>
      <c r="U351" s="315">
        <f t="shared" si="142"/>
        <v>0</v>
      </c>
      <c r="V351" s="315">
        <f t="shared" si="143"/>
        <v>0</v>
      </c>
      <c r="W351" s="423"/>
      <c r="X351" s="423"/>
      <c r="Y351" s="423"/>
      <c r="Z351" s="321" t="str">
        <f t="shared" si="146"/>
        <v/>
      </c>
      <c r="AA351" s="423"/>
      <c r="AB351" s="423"/>
      <c r="AC351" s="423"/>
      <c r="AD351" s="423"/>
      <c r="AE351" s="423"/>
      <c r="AF351" s="423"/>
      <c r="AG351" s="423"/>
      <c r="AH351" s="423"/>
      <c r="AI351" s="423"/>
    </row>
    <row r="352">
      <c r="A352" s="419"/>
      <c r="B352" s="419"/>
      <c r="C352" s="419"/>
      <c r="D352" s="419"/>
      <c r="E352" s="387"/>
      <c r="F352" s="387"/>
      <c r="G352" s="423"/>
      <c r="H352" s="423"/>
      <c r="I352" s="423"/>
      <c r="J352" s="423"/>
      <c r="K352" s="423"/>
      <c r="L352" s="423"/>
      <c r="M352" s="423"/>
      <c r="N352" s="423"/>
      <c r="O352" s="423"/>
      <c r="P352" s="423"/>
      <c r="Q352" s="423"/>
      <c r="R352" s="423"/>
      <c r="S352" s="423"/>
      <c r="T352" s="299">
        <f t="shared" si="141"/>
        <v>0</v>
      </c>
      <c r="U352" s="315">
        <f t="shared" si="142"/>
        <v>0</v>
      </c>
      <c r="V352" s="315">
        <f t="shared" si="143"/>
        <v>0</v>
      </c>
      <c r="W352" s="423"/>
      <c r="X352" s="423"/>
      <c r="Y352" s="423"/>
      <c r="Z352" s="321" t="str">
        <f t="shared" si="146"/>
        <v/>
      </c>
      <c r="AA352" s="423"/>
      <c r="AB352" s="423"/>
      <c r="AC352" s="423"/>
      <c r="AD352" s="423"/>
      <c r="AE352" s="423"/>
      <c r="AF352" s="423"/>
      <c r="AG352" s="423"/>
      <c r="AH352" s="423"/>
      <c r="AI352" s="423"/>
    </row>
    <row r="353">
      <c r="A353" s="419"/>
      <c r="B353" s="419"/>
      <c r="C353" s="419"/>
      <c r="D353" s="419"/>
      <c r="E353" s="387"/>
      <c r="F353" s="387"/>
      <c r="G353" s="423"/>
      <c r="H353" s="423"/>
      <c r="I353" s="423"/>
      <c r="J353" s="423"/>
      <c r="K353" s="423"/>
      <c r="L353" s="423"/>
      <c r="M353" s="423"/>
      <c r="N353" s="423"/>
      <c r="O353" s="423"/>
      <c r="P353" s="423"/>
      <c r="Q353" s="423"/>
      <c r="R353" s="423"/>
      <c r="S353" s="423"/>
      <c r="T353" s="299">
        <f t="shared" si="141"/>
        <v>0</v>
      </c>
      <c r="U353" s="315">
        <f t="shared" si="142"/>
        <v>0</v>
      </c>
      <c r="V353" s="315">
        <f t="shared" si="143"/>
        <v>0</v>
      </c>
      <c r="W353" s="423"/>
      <c r="X353" s="423"/>
      <c r="Y353" s="423"/>
      <c r="Z353" s="321" t="str">
        <f t="shared" si="146"/>
        <v/>
      </c>
      <c r="AA353" s="423"/>
      <c r="AB353" s="423"/>
      <c r="AC353" s="423"/>
      <c r="AD353" s="423"/>
      <c r="AE353" s="423"/>
      <c r="AF353" s="423"/>
      <c r="AG353" s="423"/>
      <c r="AH353" s="423"/>
      <c r="AI353" s="423"/>
    </row>
    <row r="354">
      <c r="A354" s="419"/>
      <c r="B354" s="419"/>
      <c r="C354" s="419"/>
      <c r="D354" s="419"/>
      <c r="E354" s="387"/>
      <c r="F354" s="387"/>
      <c r="G354" s="423"/>
      <c r="H354" s="423"/>
      <c r="I354" s="423"/>
      <c r="J354" s="423"/>
      <c r="K354" s="423"/>
      <c r="L354" s="423"/>
      <c r="M354" s="423"/>
      <c r="N354" s="423"/>
      <c r="O354" s="423"/>
      <c r="P354" s="423"/>
      <c r="Q354" s="423"/>
      <c r="R354" s="423"/>
      <c r="S354" s="423"/>
      <c r="T354" s="299">
        <f t="shared" si="141"/>
        <v>0</v>
      </c>
      <c r="U354" s="315">
        <f t="shared" si="142"/>
        <v>0</v>
      </c>
      <c r="V354" s="315">
        <f t="shared" si="143"/>
        <v>0</v>
      </c>
      <c r="W354" s="423"/>
      <c r="X354" s="423"/>
      <c r="Y354" s="423"/>
      <c r="Z354" s="321" t="str">
        <f t="shared" si="146"/>
        <v/>
      </c>
      <c r="AA354" s="423"/>
      <c r="AB354" s="423"/>
      <c r="AC354" s="423"/>
      <c r="AD354" s="423"/>
      <c r="AE354" s="423"/>
      <c r="AF354" s="423"/>
      <c r="AG354" s="423"/>
      <c r="AH354" s="423"/>
      <c r="AI354" s="423"/>
    </row>
    <row r="355">
      <c r="A355" s="419"/>
      <c r="B355" s="419"/>
      <c r="C355" s="419"/>
      <c r="D355" s="419"/>
      <c r="E355" s="387"/>
      <c r="F355" s="387"/>
      <c r="G355" s="423"/>
      <c r="H355" s="423"/>
      <c r="I355" s="423"/>
      <c r="J355" s="423"/>
      <c r="K355" s="423"/>
      <c r="L355" s="423"/>
      <c r="M355" s="423"/>
      <c r="N355" s="423"/>
      <c r="O355" s="423"/>
      <c r="P355" s="423"/>
      <c r="Q355" s="423"/>
      <c r="R355" s="423"/>
      <c r="S355" s="423"/>
      <c r="T355" s="299">
        <f t="shared" si="141"/>
        <v>0</v>
      </c>
      <c r="U355" s="315">
        <f t="shared" si="142"/>
        <v>0</v>
      </c>
      <c r="V355" s="315">
        <f t="shared" si="143"/>
        <v>0</v>
      </c>
      <c r="W355" s="423"/>
      <c r="X355" s="423"/>
      <c r="Y355" s="423"/>
      <c r="Z355" s="321" t="str">
        <f t="shared" si="146"/>
        <v/>
      </c>
      <c r="AA355" s="423"/>
      <c r="AB355" s="423"/>
      <c r="AC355" s="423"/>
      <c r="AD355" s="423"/>
      <c r="AE355" s="423"/>
      <c r="AF355" s="423"/>
      <c r="AG355" s="423"/>
      <c r="AH355" s="423"/>
      <c r="AI355" s="423"/>
    </row>
    <row r="356">
      <c r="A356" s="419"/>
      <c r="B356" s="419"/>
      <c r="C356" s="419"/>
      <c r="D356" s="419"/>
      <c r="E356" s="387"/>
      <c r="F356" s="387"/>
      <c r="G356" s="423"/>
      <c r="H356" s="423"/>
      <c r="I356" s="423"/>
      <c r="J356" s="423"/>
      <c r="K356" s="423"/>
      <c r="L356" s="423"/>
      <c r="M356" s="423"/>
      <c r="N356" s="423"/>
      <c r="O356" s="423"/>
      <c r="P356" s="423"/>
      <c r="Q356" s="423"/>
      <c r="R356" s="423"/>
      <c r="S356" s="423"/>
      <c r="T356" s="299">
        <f t="shared" si="141"/>
        <v>0</v>
      </c>
      <c r="U356" s="315">
        <f t="shared" si="142"/>
        <v>0</v>
      </c>
      <c r="V356" s="315">
        <f t="shared" si="143"/>
        <v>0</v>
      </c>
      <c r="W356" s="423"/>
      <c r="X356" s="423"/>
      <c r="Y356" s="423"/>
      <c r="Z356" s="321" t="str">
        <f t="shared" si="146"/>
        <v/>
      </c>
      <c r="AA356" s="423"/>
      <c r="AB356" s="423"/>
      <c r="AC356" s="423"/>
      <c r="AD356" s="423"/>
      <c r="AE356" s="423"/>
      <c r="AF356" s="423"/>
      <c r="AG356" s="423"/>
      <c r="AH356" s="423"/>
      <c r="AI356" s="423"/>
    </row>
    <row r="357">
      <c r="A357" s="419"/>
      <c r="B357" s="419"/>
      <c r="C357" s="419"/>
      <c r="D357" s="419"/>
      <c r="E357" s="387"/>
      <c r="F357" s="387"/>
      <c r="G357" s="423"/>
      <c r="H357" s="423"/>
      <c r="I357" s="423"/>
      <c r="J357" s="423"/>
      <c r="K357" s="423"/>
      <c r="L357" s="423"/>
      <c r="M357" s="423"/>
      <c r="N357" s="423"/>
      <c r="O357" s="423"/>
      <c r="P357" s="423"/>
      <c r="Q357" s="423"/>
      <c r="R357" s="423"/>
      <c r="S357" s="423"/>
      <c r="T357" s="299">
        <f t="shared" si="141"/>
        <v>0</v>
      </c>
      <c r="U357" s="315">
        <f t="shared" si="142"/>
        <v>0</v>
      </c>
      <c r="V357" s="315">
        <f t="shared" si="143"/>
        <v>0</v>
      </c>
      <c r="W357" s="423"/>
      <c r="X357" s="423"/>
      <c r="Y357" s="423"/>
      <c r="Z357" s="321" t="str">
        <f t="shared" si="146"/>
        <v/>
      </c>
      <c r="AA357" s="423"/>
      <c r="AB357" s="423"/>
      <c r="AC357" s="423"/>
      <c r="AD357" s="423"/>
      <c r="AE357" s="423"/>
      <c r="AF357" s="423"/>
      <c r="AG357" s="423"/>
      <c r="AH357" s="423"/>
      <c r="AI357" s="423"/>
    </row>
    <row r="358">
      <c r="A358" s="419"/>
      <c r="B358" s="419"/>
      <c r="C358" s="419"/>
      <c r="D358" s="419"/>
      <c r="E358" s="387"/>
      <c r="F358" s="387"/>
      <c r="G358" s="423"/>
      <c r="H358" s="423"/>
      <c r="I358" s="423"/>
      <c r="J358" s="423"/>
      <c r="K358" s="423"/>
      <c r="L358" s="423"/>
      <c r="M358" s="423"/>
      <c r="N358" s="423"/>
      <c r="O358" s="423"/>
      <c r="P358" s="423"/>
      <c r="Q358" s="423"/>
      <c r="R358" s="423"/>
      <c r="S358" s="423"/>
      <c r="T358" s="299">
        <f t="shared" si="141"/>
        <v>0</v>
      </c>
      <c r="U358" s="315">
        <f t="shared" si="142"/>
        <v>0</v>
      </c>
      <c r="V358" s="315">
        <f t="shared" si="143"/>
        <v>0</v>
      </c>
      <c r="W358" s="423"/>
      <c r="X358" s="423"/>
      <c r="Y358" s="423"/>
      <c r="Z358" s="321" t="str">
        <f t="shared" si="146"/>
        <v/>
      </c>
      <c r="AA358" s="423"/>
      <c r="AB358" s="423"/>
      <c r="AC358" s="423"/>
      <c r="AD358" s="423"/>
      <c r="AE358" s="423"/>
      <c r="AF358" s="423"/>
      <c r="AG358" s="423"/>
      <c r="AH358" s="423"/>
      <c r="AI358" s="423"/>
    </row>
    <row r="359">
      <c r="A359" s="419"/>
      <c r="B359" s="419"/>
      <c r="C359" s="419"/>
      <c r="D359" s="419"/>
      <c r="E359" s="387"/>
      <c r="F359" s="387"/>
      <c r="G359" s="423"/>
      <c r="H359" s="423"/>
      <c r="I359" s="423"/>
      <c r="J359" s="423"/>
      <c r="K359" s="423"/>
      <c r="L359" s="423"/>
      <c r="M359" s="423"/>
      <c r="N359" s="423"/>
      <c r="O359" s="423"/>
      <c r="P359" s="423"/>
      <c r="Q359" s="423"/>
      <c r="R359" s="423"/>
      <c r="S359" s="423"/>
      <c r="T359" s="299">
        <f t="shared" si="141"/>
        <v>0</v>
      </c>
      <c r="U359" s="315">
        <f t="shared" si="142"/>
        <v>0</v>
      </c>
      <c r="V359" s="315">
        <f t="shared" si="143"/>
        <v>0</v>
      </c>
      <c r="W359" s="423"/>
      <c r="X359" s="423"/>
      <c r="Y359" s="423"/>
      <c r="Z359" s="321" t="str">
        <f t="shared" si="146"/>
        <v/>
      </c>
      <c r="AA359" s="423"/>
      <c r="AB359" s="423"/>
      <c r="AC359" s="423"/>
      <c r="AD359" s="423"/>
      <c r="AE359" s="423"/>
      <c r="AF359" s="423"/>
      <c r="AG359" s="423"/>
      <c r="AH359" s="423"/>
      <c r="AI359" s="423"/>
    </row>
    <row r="360">
      <c r="A360" s="419"/>
      <c r="B360" s="419"/>
      <c r="C360" s="419"/>
      <c r="D360" s="419"/>
      <c r="E360" s="387"/>
      <c r="F360" s="387"/>
      <c r="G360" s="423"/>
      <c r="H360" s="423"/>
      <c r="I360" s="423"/>
      <c r="J360" s="423"/>
      <c r="K360" s="423"/>
      <c r="L360" s="423"/>
      <c r="M360" s="423"/>
      <c r="N360" s="423"/>
      <c r="O360" s="423"/>
      <c r="P360" s="423"/>
      <c r="Q360" s="423"/>
      <c r="R360" s="423"/>
      <c r="S360" s="423"/>
      <c r="T360" s="299">
        <f t="shared" si="141"/>
        <v>0</v>
      </c>
      <c r="U360" s="423"/>
      <c r="V360" s="423"/>
      <c r="W360" s="423"/>
      <c r="X360" s="423"/>
      <c r="Y360" s="423"/>
      <c r="Z360" s="321" t="str">
        <f t="shared" si="146"/>
        <v/>
      </c>
      <c r="AA360" s="423"/>
      <c r="AB360" s="423"/>
      <c r="AC360" s="423"/>
      <c r="AD360" s="423"/>
      <c r="AE360" s="423"/>
      <c r="AF360" s="423"/>
      <c r="AG360" s="423"/>
      <c r="AH360" s="423"/>
      <c r="AI360" s="423"/>
    </row>
    <row r="361">
      <c r="A361" s="419"/>
      <c r="B361" s="419"/>
      <c r="C361" s="419"/>
      <c r="D361" s="419"/>
      <c r="E361" s="387"/>
      <c r="F361" s="387"/>
      <c r="G361" s="423"/>
      <c r="H361" s="423"/>
      <c r="I361" s="423"/>
      <c r="J361" s="423"/>
      <c r="K361" s="423"/>
      <c r="L361" s="423"/>
      <c r="M361" s="423"/>
      <c r="N361" s="423"/>
      <c r="O361" s="423"/>
      <c r="P361" s="423"/>
      <c r="Q361" s="423"/>
      <c r="R361" s="423"/>
      <c r="S361" s="423"/>
      <c r="T361" s="299">
        <f t="shared" si="141"/>
        <v>0</v>
      </c>
      <c r="U361" s="423"/>
      <c r="V361" s="423"/>
      <c r="W361" s="423"/>
      <c r="X361" s="423"/>
      <c r="Y361" s="423"/>
      <c r="Z361" s="321" t="str">
        <f t="shared" si="146"/>
        <v/>
      </c>
      <c r="AA361" s="423"/>
      <c r="AB361" s="423"/>
      <c r="AC361" s="423"/>
      <c r="AD361" s="423"/>
      <c r="AE361" s="423"/>
      <c r="AF361" s="423"/>
      <c r="AG361" s="423"/>
      <c r="AH361" s="423"/>
      <c r="AI361" s="423"/>
    </row>
    <row r="362">
      <c r="A362" s="419"/>
      <c r="B362" s="419"/>
      <c r="C362" s="419"/>
      <c r="D362" s="419"/>
      <c r="E362" s="387"/>
      <c r="F362" s="387"/>
      <c r="G362" s="423"/>
      <c r="H362" s="423"/>
      <c r="I362" s="423"/>
      <c r="J362" s="423"/>
      <c r="K362" s="423"/>
      <c r="L362" s="423"/>
      <c r="M362" s="423"/>
      <c r="N362" s="423"/>
      <c r="O362" s="423"/>
      <c r="P362" s="423"/>
      <c r="Q362" s="423"/>
      <c r="R362" s="423"/>
      <c r="S362" s="423"/>
      <c r="T362" s="299">
        <f t="shared" si="141"/>
        <v>0</v>
      </c>
      <c r="U362" s="423"/>
      <c r="V362" s="423"/>
      <c r="W362" s="423"/>
      <c r="X362" s="423"/>
      <c r="Y362" s="423"/>
      <c r="Z362" s="321" t="str">
        <f t="shared" si="146"/>
        <v/>
      </c>
      <c r="AA362" s="423"/>
      <c r="AB362" s="423"/>
      <c r="AC362" s="423"/>
      <c r="AD362" s="423"/>
      <c r="AE362" s="423"/>
      <c r="AF362" s="423"/>
      <c r="AG362" s="423"/>
      <c r="AH362" s="423"/>
      <c r="AI362" s="423"/>
    </row>
    <row r="363">
      <c r="A363" s="419"/>
      <c r="B363" s="419"/>
      <c r="C363" s="419"/>
      <c r="D363" s="419"/>
      <c r="E363" s="387"/>
      <c r="F363" s="387"/>
      <c r="G363" s="423"/>
      <c r="H363" s="423"/>
      <c r="I363" s="423"/>
      <c r="J363" s="423"/>
      <c r="K363" s="423"/>
      <c r="L363" s="423"/>
      <c r="M363" s="423"/>
      <c r="N363" s="423"/>
      <c r="O363" s="423"/>
      <c r="P363" s="423"/>
      <c r="Q363" s="423"/>
      <c r="R363" s="423"/>
      <c r="S363" s="423"/>
      <c r="T363" s="299">
        <f t="shared" si="141"/>
        <v>0</v>
      </c>
      <c r="U363" s="423"/>
      <c r="V363" s="423"/>
      <c r="W363" s="423"/>
      <c r="X363" s="423"/>
      <c r="Y363" s="423"/>
      <c r="Z363" s="321" t="str">
        <f t="shared" si="146"/>
        <v/>
      </c>
      <c r="AA363" s="423"/>
      <c r="AB363" s="423"/>
      <c r="AC363" s="423"/>
      <c r="AD363" s="423"/>
      <c r="AE363" s="423"/>
      <c r="AF363" s="423"/>
      <c r="AG363" s="423"/>
      <c r="AH363" s="423"/>
      <c r="AI363" s="423"/>
    </row>
    <row r="364">
      <c r="A364" s="419"/>
      <c r="B364" s="419"/>
      <c r="C364" s="419"/>
      <c r="D364" s="419"/>
      <c r="E364" s="387"/>
      <c r="F364" s="387"/>
      <c r="G364" s="423"/>
      <c r="H364" s="423"/>
      <c r="I364" s="423"/>
      <c r="J364" s="423"/>
      <c r="K364" s="423"/>
      <c r="L364" s="423"/>
      <c r="M364" s="423"/>
      <c r="N364" s="423"/>
      <c r="O364" s="423"/>
      <c r="P364" s="423"/>
      <c r="Q364" s="423"/>
      <c r="R364" s="423"/>
      <c r="S364" s="423"/>
      <c r="T364" s="299">
        <f t="shared" si="141"/>
        <v>0</v>
      </c>
      <c r="U364" s="423"/>
      <c r="V364" s="423"/>
      <c r="W364" s="423"/>
      <c r="X364" s="423"/>
      <c r="Y364" s="423"/>
      <c r="Z364" s="321" t="str">
        <f t="shared" si="146"/>
        <v/>
      </c>
      <c r="AA364" s="423"/>
      <c r="AB364" s="423"/>
      <c r="AC364" s="423"/>
      <c r="AD364" s="423"/>
      <c r="AE364" s="423"/>
      <c r="AF364" s="423"/>
      <c r="AG364" s="423"/>
      <c r="AH364" s="423"/>
      <c r="AI364" s="423"/>
    </row>
    <row r="365">
      <c r="A365" s="419"/>
      <c r="B365" s="419"/>
      <c r="C365" s="419"/>
      <c r="D365" s="419"/>
      <c r="E365" s="387"/>
      <c r="F365" s="387"/>
      <c r="G365" s="423"/>
      <c r="H365" s="423"/>
      <c r="I365" s="423"/>
      <c r="J365" s="423"/>
      <c r="K365" s="423"/>
      <c r="L365" s="423"/>
      <c r="M365" s="423"/>
      <c r="N365" s="423"/>
      <c r="O365" s="423"/>
      <c r="P365" s="423"/>
      <c r="Q365" s="423"/>
      <c r="R365" s="423"/>
      <c r="S365" s="423"/>
      <c r="T365" s="299">
        <f t="shared" si="141"/>
        <v>0</v>
      </c>
      <c r="U365" s="423"/>
      <c r="V365" s="423"/>
      <c r="W365" s="423"/>
      <c r="X365" s="423"/>
      <c r="Y365" s="423"/>
      <c r="Z365" s="321" t="str">
        <f t="shared" si="146"/>
        <v/>
      </c>
      <c r="AA365" s="423"/>
      <c r="AB365" s="423"/>
      <c r="AC365" s="423"/>
      <c r="AD365" s="423"/>
      <c r="AE365" s="423"/>
      <c r="AF365" s="423"/>
      <c r="AG365" s="423"/>
      <c r="AH365" s="423"/>
      <c r="AI365" s="423"/>
    </row>
    <row r="366">
      <c r="A366" s="419"/>
      <c r="B366" s="419"/>
      <c r="C366" s="419"/>
      <c r="D366" s="419"/>
      <c r="E366" s="387"/>
      <c r="F366" s="387"/>
      <c r="G366" s="423"/>
      <c r="H366" s="423"/>
      <c r="I366" s="423"/>
      <c r="J366" s="423"/>
      <c r="K366" s="423"/>
      <c r="L366" s="423"/>
      <c r="M366" s="423"/>
      <c r="N366" s="423"/>
      <c r="O366" s="423"/>
      <c r="P366" s="423"/>
      <c r="Q366" s="423"/>
      <c r="R366" s="423"/>
      <c r="S366" s="423"/>
      <c r="T366" s="299">
        <f t="shared" si="141"/>
        <v>0</v>
      </c>
      <c r="U366" s="423"/>
      <c r="V366" s="423"/>
      <c r="W366" s="423"/>
      <c r="X366" s="423"/>
      <c r="Y366" s="423"/>
      <c r="Z366" s="321" t="str">
        <f t="shared" si="146"/>
        <v/>
      </c>
      <c r="AA366" s="423"/>
      <c r="AB366" s="423"/>
      <c r="AC366" s="423"/>
      <c r="AD366" s="423"/>
      <c r="AE366" s="423"/>
      <c r="AF366" s="423"/>
      <c r="AG366" s="423"/>
      <c r="AH366" s="423"/>
      <c r="AI366" s="423"/>
    </row>
    <row r="367">
      <c r="A367" s="419"/>
      <c r="B367" s="419"/>
      <c r="C367" s="419"/>
      <c r="D367" s="419"/>
      <c r="E367" s="387"/>
      <c r="F367" s="387"/>
      <c r="G367" s="423"/>
      <c r="H367" s="423"/>
      <c r="I367" s="423"/>
      <c r="J367" s="423"/>
      <c r="K367" s="423"/>
      <c r="L367" s="423"/>
      <c r="M367" s="423"/>
      <c r="N367" s="423"/>
      <c r="O367" s="423"/>
      <c r="P367" s="423"/>
      <c r="Q367" s="423"/>
      <c r="R367" s="423"/>
      <c r="S367" s="423"/>
      <c r="T367" s="299">
        <f t="shared" si="141"/>
        <v>0</v>
      </c>
      <c r="U367" s="423"/>
      <c r="V367" s="423"/>
      <c r="W367" s="423"/>
      <c r="X367" s="423"/>
      <c r="Y367" s="423"/>
      <c r="Z367" s="423"/>
      <c r="AA367" s="423"/>
      <c r="AB367" s="423"/>
      <c r="AC367" s="423"/>
      <c r="AD367" s="423"/>
      <c r="AE367" s="423"/>
      <c r="AF367" s="423"/>
      <c r="AG367" s="423"/>
      <c r="AH367" s="423"/>
      <c r="AI367" s="423"/>
    </row>
    <row r="368">
      <c r="A368" s="419"/>
      <c r="B368" s="419"/>
      <c r="C368" s="419"/>
      <c r="D368" s="419"/>
      <c r="E368" s="387"/>
      <c r="F368" s="387"/>
      <c r="G368" s="423"/>
      <c r="H368" s="423"/>
      <c r="I368" s="423"/>
      <c r="J368" s="423"/>
      <c r="K368" s="423"/>
      <c r="L368" s="423"/>
      <c r="M368" s="423"/>
      <c r="N368" s="423"/>
      <c r="O368" s="423"/>
      <c r="P368" s="423"/>
      <c r="Q368" s="423"/>
      <c r="R368" s="423"/>
      <c r="S368" s="423"/>
      <c r="T368" s="299">
        <f t="shared" si="141"/>
        <v>0</v>
      </c>
      <c r="U368" s="423"/>
      <c r="V368" s="423"/>
      <c r="W368" s="423"/>
      <c r="X368" s="423"/>
      <c r="Y368" s="423"/>
      <c r="Z368" s="423"/>
      <c r="AA368" s="423"/>
      <c r="AB368" s="423"/>
      <c r="AC368" s="423"/>
      <c r="AD368" s="423"/>
      <c r="AE368" s="423"/>
      <c r="AF368" s="423"/>
      <c r="AG368" s="423"/>
      <c r="AH368" s="423"/>
      <c r="AI368" s="423"/>
    </row>
    <row r="369">
      <c r="A369" s="419"/>
      <c r="B369" s="419"/>
      <c r="C369" s="419"/>
      <c r="D369" s="419"/>
      <c r="E369" s="387"/>
      <c r="F369" s="387"/>
      <c r="G369" s="423"/>
      <c r="H369" s="423"/>
      <c r="I369" s="423"/>
      <c r="J369" s="423"/>
      <c r="K369" s="423"/>
      <c r="L369" s="423"/>
      <c r="M369" s="423"/>
      <c r="N369" s="423"/>
      <c r="O369" s="423"/>
      <c r="P369" s="423"/>
      <c r="Q369" s="423"/>
      <c r="R369" s="423"/>
      <c r="S369" s="423"/>
      <c r="T369" s="299">
        <f t="shared" si="141"/>
        <v>0</v>
      </c>
      <c r="U369" s="423"/>
      <c r="V369" s="423"/>
      <c r="W369" s="423"/>
      <c r="X369" s="423"/>
      <c r="Y369" s="423"/>
      <c r="Z369" s="423"/>
      <c r="AA369" s="423"/>
      <c r="AB369" s="423"/>
      <c r="AC369" s="423"/>
      <c r="AD369" s="423"/>
      <c r="AE369" s="423"/>
      <c r="AF369" s="423"/>
      <c r="AG369" s="423"/>
      <c r="AH369" s="423"/>
      <c r="AI369" s="423"/>
    </row>
    <row r="370">
      <c r="A370" s="419"/>
      <c r="B370" s="419"/>
      <c r="C370" s="419"/>
      <c r="D370" s="419"/>
      <c r="E370" s="387"/>
      <c r="F370" s="387"/>
      <c r="G370" s="423"/>
      <c r="H370" s="423"/>
      <c r="I370" s="423"/>
      <c r="J370" s="423"/>
      <c r="K370" s="423"/>
      <c r="L370" s="423"/>
      <c r="M370" s="423"/>
      <c r="N370" s="423"/>
      <c r="O370" s="423"/>
      <c r="P370" s="423"/>
      <c r="Q370" s="423"/>
      <c r="R370" s="423"/>
      <c r="S370" s="423"/>
      <c r="T370" s="299">
        <f t="shared" si="141"/>
        <v>0</v>
      </c>
      <c r="U370" s="423"/>
      <c r="V370" s="423"/>
      <c r="W370" s="423"/>
      <c r="X370" s="423"/>
      <c r="Y370" s="423"/>
      <c r="Z370" s="423"/>
      <c r="AA370" s="423"/>
      <c r="AB370" s="423"/>
      <c r="AC370" s="423"/>
      <c r="AD370" s="423"/>
      <c r="AE370" s="423"/>
      <c r="AF370" s="423"/>
      <c r="AG370" s="423"/>
      <c r="AH370" s="423"/>
      <c r="AI370" s="423"/>
    </row>
    <row r="371">
      <c r="A371" s="419"/>
      <c r="B371" s="419"/>
      <c r="C371" s="419"/>
      <c r="D371" s="419"/>
      <c r="E371" s="387"/>
      <c r="F371" s="387"/>
      <c r="G371" s="423"/>
      <c r="H371" s="423"/>
      <c r="I371" s="423"/>
      <c r="J371" s="423"/>
      <c r="K371" s="423"/>
      <c r="L371" s="423"/>
      <c r="M371" s="423"/>
      <c r="N371" s="423"/>
      <c r="O371" s="423"/>
      <c r="P371" s="423"/>
      <c r="Q371" s="423"/>
      <c r="R371" s="423"/>
      <c r="S371" s="423"/>
      <c r="T371" s="299">
        <f t="shared" si="141"/>
        <v>0</v>
      </c>
      <c r="U371" s="423"/>
      <c r="V371" s="423"/>
      <c r="W371" s="423"/>
      <c r="X371" s="423"/>
      <c r="Y371" s="423"/>
      <c r="Z371" s="423"/>
      <c r="AA371" s="423"/>
      <c r="AB371" s="423"/>
      <c r="AC371" s="423"/>
      <c r="AD371" s="423"/>
      <c r="AE371" s="423"/>
      <c r="AF371" s="423"/>
      <c r="AG371" s="423"/>
      <c r="AH371" s="423"/>
      <c r="AI371" s="423"/>
    </row>
    <row r="372">
      <c r="A372" s="419"/>
      <c r="B372" s="419"/>
      <c r="C372" s="419"/>
      <c r="D372" s="419"/>
      <c r="E372" s="387"/>
      <c r="F372" s="387"/>
      <c r="G372" s="423"/>
      <c r="H372" s="423"/>
      <c r="I372" s="423"/>
      <c r="J372" s="423"/>
      <c r="K372" s="423"/>
      <c r="L372" s="423"/>
      <c r="M372" s="423"/>
      <c r="N372" s="423"/>
      <c r="O372" s="423"/>
      <c r="P372" s="423"/>
      <c r="Q372" s="423"/>
      <c r="R372" s="423"/>
      <c r="S372" s="423"/>
      <c r="T372" s="299">
        <f t="shared" si="141"/>
        <v>0</v>
      </c>
      <c r="U372" s="423"/>
      <c r="V372" s="423"/>
      <c r="W372" s="423"/>
      <c r="X372" s="423"/>
      <c r="Y372" s="423"/>
      <c r="Z372" s="423"/>
      <c r="AA372" s="423"/>
      <c r="AB372" s="423"/>
      <c r="AC372" s="423"/>
      <c r="AD372" s="423"/>
      <c r="AE372" s="423"/>
      <c r="AF372" s="423"/>
      <c r="AG372" s="423"/>
      <c r="AH372" s="423"/>
      <c r="AI372" s="423"/>
    </row>
    <row r="373">
      <c r="A373" s="419"/>
      <c r="B373" s="419"/>
      <c r="C373" s="419"/>
      <c r="D373" s="419"/>
      <c r="E373" s="387"/>
      <c r="F373" s="387"/>
      <c r="G373" s="423"/>
      <c r="H373" s="423"/>
      <c r="I373" s="423"/>
      <c r="J373" s="423"/>
      <c r="K373" s="423"/>
      <c r="L373" s="423"/>
      <c r="M373" s="423"/>
      <c r="N373" s="423"/>
      <c r="O373" s="423"/>
      <c r="P373" s="423"/>
      <c r="Q373" s="423"/>
      <c r="R373" s="423"/>
      <c r="S373" s="423"/>
      <c r="T373" s="299">
        <f t="shared" si="141"/>
        <v>0</v>
      </c>
      <c r="U373" s="423"/>
      <c r="V373" s="423"/>
      <c r="W373" s="423"/>
      <c r="X373" s="423"/>
      <c r="Y373" s="423"/>
      <c r="Z373" s="423"/>
      <c r="AA373" s="423"/>
      <c r="AB373" s="423"/>
      <c r="AC373" s="423"/>
      <c r="AD373" s="423"/>
      <c r="AE373" s="423"/>
      <c r="AF373" s="423"/>
      <c r="AG373" s="423"/>
      <c r="AH373" s="423"/>
      <c r="AI373" s="423"/>
    </row>
    <row r="374">
      <c r="A374" s="419"/>
      <c r="B374" s="419"/>
      <c r="C374" s="419"/>
      <c r="D374" s="419"/>
      <c r="E374" s="387"/>
      <c r="F374" s="387"/>
      <c r="G374" s="423"/>
      <c r="H374" s="423"/>
      <c r="I374" s="423"/>
      <c r="J374" s="423"/>
      <c r="K374" s="423"/>
      <c r="L374" s="423"/>
      <c r="M374" s="423"/>
      <c r="N374" s="423"/>
      <c r="O374" s="423"/>
      <c r="P374" s="423"/>
      <c r="Q374" s="423"/>
      <c r="R374" s="423"/>
      <c r="S374" s="423"/>
      <c r="T374" s="299">
        <f t="shared" si="141"/>
        <v>0</v>
      </c>
      <c r="U374" s="423"/>
      <c r="V374" s="423"/>
      <c r="W374" s="423"/>
      <c r="X374" s="423"/>
      <c r="Y374" s="423"/>
      <c r="Z374" s="423"/>
      <c r="AA374" s="423"/>
      <c r="AB374" s="423"/>
      <c r="AC374" s="423"/>
      <c r="AD374" s="423"/>
      <c r="AE374" s="423"/>
      <c r="AF374" s="423"/>
      <c r="AG374" s="423"/>
      <c r="AH374" s="423"/>
      <c r="AI374" s="423"/>
    </row>
    <row r="375">
      <c r="A375" s="419"/>
      <c r="B375" s="419"/>
      <c r="C375" s="419"/>
      <c r="D375" s="419"/>
      <c r="E375" s="387"/>
      <c r="F375" s="387"/>
      <c r="G375" s="423"/>
      <c r="H375" s="423"/>
      <c r="I375" s="423"/>
      <c r="J375" s="423"/>
      <c r="K375" s="423"/>
      <c r="L375" s="423"/>
      <c r="M375" s="423"/>
      <c r="N375" s="423"/>
      <c r="O375" s="423"/>
      <c r="P375" s="423"/>
      <c r="Q375" s="423"/>
      <c r="R375" s="423"/>
      <c r="S375" s="423"/>
      <c r="T375" s="299">
        <f t="shared" si="141"/>
        <v>0</v>
      </c>
      <c r="U375" s="423"/>
      <c r="V375" s="423"/>
      <c r="W375" s="423"/>
      <c r="X375" s="423"/>
      <c r="Y375" s="423"/>
      <c r="Z375" s="423"/>
      <c r="AA375" s="423"/>
      <c r="AB375" s="423"/>
      <c r="AC375" s="423"/>
      <c r="AD375" s="423"/>
      <c r="AE375" s="423"/>
      <c r="AF375" s="423"/>
      <c r="AG375" s="423"/>
      <c r="AH375" s="423"/>
      <c r="AI375" s="423"/>
    </row>
    <row r="376">
      <c r="A376" s="419"/>
      <c r="B376" s="419"/>
      <c r="C376" s="419"/>
      <c r="D376" s="419"/>
      <c r="E376" s="387"/>
      <c r="F376" s="387"/>
      <c r="G376" s="423"/>
      <c r="H376" s="423"/>
      <c r="I376" s="423"/>
      <c r="J376" s="423"/>
      <c r="K376" s="423"/>
      <c r="L376" s="423"/>
      <c r="M376" s="423"/>
      <c r="N376" s="423"/>
      <c r="O376" s="423"/>
      <c r="P376" s="423"/>
      <c r="Q376" s="423"/>
      <c r="R376" s="423"/>
      <c r="S376" s="423"/>
      <c r="T376" s="299">
        <f t="shared" si="141"/>
        <v>0</v>
      </c>
      <c r="U376" s="423"/>
      <c r="V376" s="423"/>
      <c r="W376" s="423"/>
      <c r="X376" s="423"/>
      <c r="Y376" s="423"/>
      <c r="Z376" s="423"/>
      <c r="AA376" s="423"/>
      <c r="AB376" s="423"/>
      <c r="AC376" s="423"/>
      <c r="AD376" s="423"/>
      <c r="AE376" s="423"/>
      <c r="AF376" s="423"/>
      <c r="AG376" s="423"/>
      <c r="AH376" s="423"/>
      <c r="AI376" s="423"/>
    </row>
    <row r="377">
      <c r="A377" s="419"/>
      <c r="B377" s="419"/>
      <c r="C377" s="419"/>
      <c r="D377" s="419"/>
      <c r="E377" s="387"/>
      <c r="F377" s="387"/>
      <c r="G377" s="423"/>
      <c r="H377" s="423"/>
      <c r="I377" s="423"/>
      <c r="J377" s="423"/>
      <c r="K377" s="423"/>
      <c r="L377" s="423"/>
      <c r="M377" s="423"/>
      <c r="N377" s="423"/>
      <c r="O377" s="423"/>
      <c r="P377" s="423"/>
      <c r="Q377" s="423"/>
      <c r="R377" s="423"/>
      <c r="S377" s="423"/>
      <c r="T377" s="299">
        <f t="shared" si="141"/>
        <v>0</v>
      </c>
      <c r="U377" s="423"/>
      <c r="V377" s="423"/>
      <c r="W377" s="423"/>
      <c r="X377" s="423"/>
      <c r="Y377" s="423"/>
      <c r="Z377" s="423"/>
      <c r="AA377" s="423"/>
      <c r="AB377" s="423"/>
      <c r="AC377" s="423"/>
      <c r="AD377" s="423"/>
      <c r="AE377" s="423"/>
      <c r="AF377" s="423"/>
      <c r="AG377" s="423"/>
      <c r="AH377" s="423"/>
      <c r="AI377" s="423"/>
    </row>
    <row r="378">
      <c r="A378" s="419"/>
      <c r="B378" s="419"/>
      <c r="C378" s="419"/>
      <c r="D378" s="419"/>
      <c r="E378" s="387"/>
      <c r="F378" s="387"/>
      <c r="G378" s="423"/>
      <c r="H378" s="423"/>
      <c r="I378" s="423"/>
      <c r="J378" s="423"/>
      <c r="K378" s="423"/>
      <c r="L378" s="423"/>
      <c r="M378" s="423"/>
      <c r="N378" s="423"/>
      <c r="O378" s="423"/>
      <c r="P378" s="423"/>
      <c r="Q378" s="423"/>
      <c r="R378" s="423"/>
      <c r="S378" s="423"/>
      <c r="T378" s="299">
        <f t="shared" si="141"/>
        <v>0</v>
      </c>
      <c r="U378" s="423"/>
      <c r="V378" s="423"/>
      <c r="W378" s="423"/>
      <c r="X378" s="423"/>
      <c r="Y378" s="423"/>
      <c r="Z378" s="423"/>
      <c r="AA378" s="423"/>
      <c r="AB378" s="423"/>
      <c r="AC378" s="423"/>
      <c r="AD378" s="423"/>
      <c r="AE378" s="423"/>
      <c r="AF378" s="423"/>
      <c r="AG378" s="423"/>
      <c r="AH378" s="423"/>
      <c r="AI378" s="423"/>
    </row>
    <row r="379">
      <c r="A379" s="419"/>
      <c r="B379" s="419"/>
      <c r="C379" s="419"/>
      <c r="D379" s="419"/>
      <c r="E379" s="387"/>
      <c r="F379" s="387"/>
      <c r="G379" s="423"/>
      <c r="H379" s="423"/>
      <c r="I379" s="423"/>
      <c r="J379" s="423"/>
      <c r="K379" s="423"/>
      <c r="L379" s="423"/>
      <c r="M379" s="423"/>
      <c r="N379" s="423"/>
      <c r="O379" s="423"/>
      <c r="P379" s="423"/>
      <c r="Q379" s="423"/>
      <c r="R379" s="423"/>
      <c r="S379" s="423"/>
      <c r="T379" s="299">
        <f t="shared" si="141"/>
        <v>0</v>
      </c>
      <c r="U379" s="423"/>
      <c r="V379" s="423"/>
      <c r="W379" s="423"/>
      <c r="X379" s="423"/>
      <c r="Y379" s="423"/>
      <c r="Z379" s="423"/>
      <c r="AA379" s="423"/>
      <c r="AB379" s="423"/>
      <c r="AC379" s="423"/>
      <c r="AD379" s="423"/>
      <c r="AE379" s="423"/>
      <c r="AF379" s="423"/>
      <c r="AG379" s="423"/>
      <c r="AH379" s="423"/>
      <c r="AI379" s="423"/>
    </row>
    <row r="380">
      <c r="A380" s="419"/>
      <c r="B380" s="419"/>
      <c r="C380" s="419"/>
      <c r="D380" s="419"/>
      <c r="E380" s="387"/>
      <c r="F380" s="387"/>
      <c r="G380" s="423"/>
      <c r="H380" s="423"/>
      <c r="I380" s="423"/>
      <c r="J380" s="423"/>
      <c r="K380" s="423"/>
      <c r="L380" s="423"/>
      <c r="M380" s="423"/>
      <c r="N380" s="423"/>
      <c r="O380" s="423"/>
      <c r="P380" s="423"/>
      <c r="Q380" s="423"/>
      <c r="R380" s="423"/>
      <c r="S380" s="423"/>
      <c r="T380" s="299">
        <f t="shared" si="141"/>
        <v>0</v>
      </c>
      <c r="U380" s="423"/>
      <c r="V380" s="423"/>
      <c r="W380" s="423"/>
      <c r="X380" s="423"/>
      <c r="Y380" s="423"/>
      <c r="Z380" s="423"/>
      <c r="AA380" s="423"/>
      <c r="AB380" s="423"/>
      <c r="AC380" s="423"/>
      <c r="AD380" s="423"/>
      <c r="AE380" s="423"/>
      <c r="AF380" s="423"/>
      <c r="AG380" s="423"/>
      <c r="AH380" s="423"/>
      <c r="AI380" s="423"/>
    </row>
    <row r="381">
      <c r="A381" s="419"/>
      <c r="B381" s="419"/>
      <c r="C381" s="419"/>
      <c r="D381" s="419"/>
      <c r="E381" s="387"/>
      <c r="F381" s="387"/>
      <c r="G381" s="423"/>
      <c r="H381" s="423"/>
      <c r="I381" s="423"/>
      <c r="J381" s="423"/>
      <c r="K381" s="423"/>
      <c r="L381" s="423"/>
      <c r="M381" s="423"/>
      <c r="N381" s="423"/>
      <c r="O381" s="423"/>
      <c r="P381" s="423"/>
      <c r="Q381" s="423"/>
      <c r="R381" s="423"/>
      <c r="S381" s="423"/>
      <c r="T381" s="299">
        <f t="shared" si="141"/>
        <v>0</v>
      </c>
      <c r="U381" s="423"/>
      <c r="V381" s="423"/>
      <c r="W381" s="423"/>
      <c r="X381" s="423"/>
      <c r="Y381" s="423"/>
      <c r="Z381" s="423"/>
      <c r="AA381" s="423"/>
      <c r="AB381" s="423"/>
      <c r="AC381" s="423"/>
      <c r="AD381" s="423"/>
      <c r="AE381" s="423"/>
      <c r="AF381" s="423"/>
      <c r="AG381" s="423"/>
      <c r="AH381" s="423"/>
      <c r="AI381" s="423"/>
    </row>
    <row r="382">
      <c r="A382" s="419"/>
      <c r="B382" s="419"/>
      <c r="C382" s="419"/>
      <c r="D382" s="419"/>
      <c r="E382" s="387"/>
      <c r="F382" s="387"/>
      <c r="G382" s="423"/>
      <c r="H382" s="423"/>
      <c r="I382" s="423"/>
      <c r="J382" s="423"/>
      <c r="K382" s="423"/>
      <c r="L382" s="423"/>
      <c r="M382" s="423"/>
      <c r="N382" s="423"/>
      <c r="O382" s="423"/>
      <c r="P382" s="423"/>
      <c r="Q382" s="423"/>
      <c r="R382" s="423"/>
      <c r="S382" s="423"/>
      <c r="T382" s="299">
        <f t="shared" si="141"/>
        <v>0</v>
      </c>
      <c r="U382" s="423"/>
      <c r="V382" s="423"/>
      <c r="W382" s="423"/>
      <c r="X382" s="423"/>
      <c r="Y382" s="423"/>
      <c r="Z382" s="423"/>
      <c r="AA382" s="423"/>
      <c r="AB382" s="423"/>
      <c r="AC382" s="423"/>
      <c r="AD382" s="423"/>
      <c r="AE382" s="423"/>
      <c r="AF382" s="423"/>
      <c r="AG382" s="423"/>
      <c r="AH382" s="423"/>
      <c r="AI382" s="423"/>
    </row>
    <row r="383">
      <c r="A383" s="419"/>
      <c r="B383" s="419"/>
      <c r="C383" s="419"/>
      <c r="D383" s="419"/>
      <c r="E383" s="387"/>
      <c r="F383" s="387"/>
      <c r="G383" s="423"/>
      <c r="H383" s="423"/>
      <c r="I383" s="423"/>
      <c r="J383" s="423"/>
      <c r="K383" s="423"/>
      <c r="L383" s="423"/>
      <c r="M383" s="423"/>
      <c r="N383" s="423"/>
      <c r="O383" s="423"/>
      <c r="P383" s="423"/>
      <c r="Q383" s="423"/>
      <c r="R383" s="423"/>
      <c r="S383" s="423"/>
      <c r="T383" s="299">
        <f t="shared" si="141"/>
        <v>0</v>
      </c>
      <c r="U383" s="423"/>
      <c r="V383" s="423"/>
      <c r="W383" s="423"/>
      <c r="X383" s="423"/>
      <c r="Y383" s="423"/>
      <c r="Z383" s="423"/>
      <c r="AA383" s="423"/>
      <c r="AB383" s="423"/>
      <c r="AC383" s="423"/>
      <c r="AD383" s="423"/>
      <c r="AE383" s="423"/>
      <c r="AF383" s="423"/>
      <c r="AG383" s="423"/>
      <c r="AH383" s="423"/>
      <c r="AI383" s="423"/>
    </row>
    <row r="384">
      <c r="A384" s="419"/>
      <c r="B384" s="419"/>
      <c r="C384" s="419"/>
      <c r="D384" s="419"/>
      <c r="E384" s="387"/>
      <c r="F384" s="387"/>
      <c r="G384" s="423"/>
      <c r="H384" s="423"/>
      <c r="I384" s="423"/>
      <c r="J384" s="423"/>
      <c r="K384" s="423"/>
      <c r="L384" s="423"/>
      <c r="M384" s="423"/>
      <c r="N384" s="423"/>
      <c r="O384" s="423"/>
      <c r="P384" s="423"/>
      <c r="Q384" s="423"/>
      <c r="R384" s="423"/>
      <c r="S384" s="423"/>
      <c r="T384" s="299">
        <f t="shared" si="141"/>
        <v>0</v>
      </c>
      <c r="U384" s="423"/>
      <c r="V384" s="423"/>
      <c r="W384" s="423"/>
      <c r="X384" s="423"/>
      <c r="Y384" s="423"/>
      <c r="Z384" s="423"/>
      <c r="AA384" s="423"/>
      <c r="AB384" s="423"/>
      <c r="AC384" s="423"/>
      <c r="AD384" s="423"/>
      <c r="AE384" s="423"/>
      <c r="AF384" s="423"/>
      <c r="AG384" s="423"/>
      <c r="AH384" s="423"/>
      <c r="AI384" s="423"/>
    </row>
    <row r="385">
      <c r="A385" s="419"/>
      <c r="B385" s="419"/>
      <c r="C385" s="419"/>
      <c r="D385" s="419"/>
      <c r="E385" s="387"/>
      <c r="F385" s="387"/>
      <c r="G385" s="423"/>
      <c r="H385" s="423"/>
      <c r="I385" s="423"/>
      <c r="J385" s="423"/>
      <c r="K385" s="423"/>
      <c r="L385" s="423"/>
      <c r="M385" s="423"/>
      <c r="N385" s="423"/>
      <c r="O385" s="423"/>
      <c r="P385" s="423"/>
      <c r="Q385" s="423"/>
      <c r="R385" s="423"/>
      <c r="S385" s="423"/>
      <c r="T385" s="299">
        <f t="shared" si="141"/>
        <v>0</v>
      </c>
      <c r="U385" s="423"/>
      <c r="V385" s="423"/>
      <c r="W385" s="423"/>
      <c r="X385" s="423"/>
      <c r="Y385" s="423"/>
      <c r="Z385" s="423"/>
      <c r="AA385" s="423"/>
      <c r="AB385" s="423"/>
      <c r="AC385" s="423"/>
      <c r="AD385" s="423"/>
      <c r="AE385" s="423"/>
      <c r="AF385" s="423"/>
      <c r="AG385" s="423"/>
      <c r="AH385" s="423"/>
      <c r="AI385" s="423"/>
    </row>
    <row r="386">
      <c r="A386" s="419"/>
      <c r="B386" s="419"/>
      <c r="C386" s="419"/>
      <c r="D386" s="419"/>
      <c r="E386" s="387"/>
      <c r="F386" s="387"/>
      <c r="G386" s="423"/>
      <c r="H386" s="423"/>
      <c r="I386" s="423"/>
      <c r="J386" s="423"/>
      <c r="K386" s="423"/>
      <c r="L386" s="423"/>
      <c r="M386" s="423"/>
      <c r="N386" s="423"/>
      <c r="O386" s="423"/>
      <c r="P386" s="423"/>
      <c r="Q386" s="423"/>
      <c r="R386" s="423"/>
      <c r="S386" s="423"/>
      <c r="T386" s="299">
        <f t="shared" si="141"/>
        <v>0</v>
      </c>
      <c r="U386" s="423"/>
      <c r="V386" s="423"/>
      <c r="W386" s="423"/>
      <c r="X386" s="423"/>
      <c r="Y386" s="423"/>
      <c r="Z386" s="423"/>
      <c r="AA386" s="423"/>
      <c r="AB386" s="423"/>
      <c r="AC386" s="423"/>
      <c r="AD386" s="423"/>
      <c r="AE386" s="423"/>
      <c r="AF386" s="423"/>
      <c r="AG386" s="423"/>
      <c r="AH386" s="423"/>
      <c r="AI386" s="423"/>
    </row>
    <row r="387">
      <c r="A387" s="419"/>
      <c r="B387" s="419"/>
      <c r="C387" s="419"/>
      <c r="D387" s="419"/>
      <c r="E387" s="387"/>
      <c r="F387" s="387"/>
      <c r="G387" s="423"/>
      <c r="H387" s="423"/>
      <c r="I387" s="423"/>
      <c r="J387" s="423"/>
      <c r="K387" s="423"/>
      <c r="L387" s="423"/>
      <c r="M387" s="423"/>
      <c r="N387" s="423"/>
      <c r="O387" s="423"/>
      <c r="P387" s="423"/>
      <c r="Q387" s="423"/>
      <c r="R387" s="423"/>
      <c r="S387" s="423"/>
      <c r="T387" s="299">
        <f t="shared" si="141"/>
        <v>0</v>
      </c>
      <c r="U387" s="423"/>
      <c r="V387" s="423"/>
      <c r="W387" s="423"/>
      <c r="X387" s="423"/>
      <c r="Y387" s="423"/>
      <c r="Z387" s="423"/>
      <c r="AA387" s="423"/>
      <c r="AB387" s="423"/>
      <c r="AC387" s="423"/>
      <c r="AD387" s="423"/>
      <c r="AE387" s="423"/>
      <c r="AF387" s="423"/>
      <c r="AG387" s="423"/>
      <c r="AH387" s="423"/>
      <c r="AI387" s="423"/>
    </row>
    <row r="388">
      <c r="A388" s="419"/>
      <c r="B388" s="419"/>
      <c r="C388" s="419"/>
      <c r="D388" s="419"/>
      <c r="E388" s="387"/>
      <c r="F388" s="387"/>
      <c r="G388" s="423"/>
      <c r="H388" s="423"/>
      <c r="I388" s="423"/>
      <c r="J388" s="423"/>
      <c r="K388" s="423"/>
      <c r="L388" s="423"/>
      <c r="M388" s="423"/>
      <c r="N388" s="423"/>
      <c r="O388" s="423"/>
      <c r="P388" s="423"/>
      <c r="Q388" s="423"/>
      <c r="R388" s="423"/>
      <c r="S388" s="423"/>
      <c r="T388" s="423"/>
      <c r="U388" s="423"/>
      <c r="V388" s="423"/>
      <c r="W388" s="423"/>
      <c r="X388" s="423"/>
      <c r="Y388" s="423"/>
      <c r="Z388" s="423"/>
      <c r="AA388" s="423"/>
      <c r="AB388" s="423"/>
      <c r="AC388" s="423"/>
      <c r="AD388" s="423"/>
      <c r="AE388" s="423"/>
      <c r="AF388" s="423"/>
      <c r="AG388" s="423"/>
      <c r="AH388" s="423"/>
      <c r="AI388" s="423"/>
    </row>
    <row r="389">
      <c r="A389" s="419"/>
      <c r="B389" s="419"/>
      <c r="C389" s="419"/>
      <c r="D389" s="419"/>
      <c r="E389" s="387"/>
      <c r="F389" s="387"/>
      <c r="G389" s="423"/>
      <c r="H389" s="423"/>
      <c r="I389" s="423"/>
      <c r="J389" s="423"/>
      <c r="K389" s="423"/>
      <c r="L389" s="423"/>
      <c r="M389" s="423"/>
      <c r="N389" s="423"/>
      <c r="O389" s="423"/>
      <c r="P389" s="423"/>
      <c r="Q389" s="423"/>
      <c r="R389" s="423"/>
      <c r="S389" s="423"/>
      <c r="T389" s="423"/>
      <c r="U389" s="423"/>
      <c r="V389" s="423"/>
      <c r="W389" s="423"/>
      <c r="X389" s="423"/>
      <c r="Y389" s="423"/>
      <c r="Z389" s="423"/>
      <c r="AA389" s="423"/>
      <c r="AB389" s="423"/>
      <c r="AC389" s="423"/>
      <c r="AD389" s="423"/>
      <c r="AE389" s="423"/>
      <c r="AF389" s="423"/>
      <c r="AG389" s="423"/>
      <c r="AH389" s="423"/>
      <c r="AI389" s="423"/>
    </row>
    <row r="390">
      <c r="A390" s="419"/>
      <c r="B390" s="419"/>
      <c r="C390" s="419"/>
      <c r="D390" s="419"/>
      <c r="E390" s="387"/>
      <c r="F390" s="387"/>
      <c r="G390" s="423"/>
      <c r="H390" s="423"/>
      <c r="I390" s="423"/>
      <c r="J390" s="423"/>
      <c r="K390" s="423"/>
      <c r="L390" s="423"/>
      <c r="M390" s="423"/>
      <c r="N390" s="423"/>
      <c r="O390" s="423"/>
      <c r="P390" s="423"/>
      <c r="Q390" s="423"/>
      <c r="R390" s="423"/>
      <c r="S390" s="423"/>
      <c r="T390" s="423"/>
      <c r="U390" s="423"/>
      <c r="V390" s="423"/>
      <c r="W390" s="423"/>
      <c r="X390" s="423"/>
      <c r="Y390" s="423"/>
      <c r="Z390" s="423"/>
      <c r="AA390" s="423"/>
      <c r="AB390" s="423"/>
      <c r="AC390" s="423"/>
      <c r="AD390" s="423"/>
      <c r="AE390" s="423"/>
      <c r="AF390" s="423"/>
      <c r="AG390" s="423"/>
      <c r="AH390" s="423"/>
      <c r="AI390" s="423"/>
    </row>
    <row r="391">
      <c r="A391" s="419"/>
      <c r="B391" s="419"/>
      <c r="C391" s="419"/>
      <c r="D391" s="419"/>
      <c r="E391" s="387"/>
      <c r="F391" s="387"/>
      <c r="G391" s="423"/>
      <c r="H391" s="423"/>
      <c r="I391" s="423"/>
      <c r="J391" s="423"/>
      <c r="K391" s="423"/>
      <c r="L391" s="423"/>
      <c r="M391" s="423"/>
      <c r="N391" s="423"/>
      <c r="O391" s="423"/>
      <c r="P391" s="423"/>
      <c r="Q391" s="423"/>
      <c r="R391" s="423"/>
      <c r="S391" s="423"/>
      <c r="T391" s="423"/>
      <c r="U391" s="423"/>
      <c r="V391" s="423"/>
      <c r="W391" s="423"/>
      <c r="X391" s="423"/>
      <c r="Y391" s="423"/>
      <c r="Z391" s="423"/>
      <c r="AA391" s="423"/>
      <c r="AB391" s="423"/>
      <c r="AC391" s="423"/>
      <c r="AD391" s="423"/>
      <c r="AE391" s="423"/>
      <c r="AF391" s="423"/>
      <c r="AG391" s="423"/>
      <c r="AH391" s="423"/>
      <c r="AI391" s="423"/>
    </row>
    <row r="392">
      <c r="A392" s="419"/>
      <c r="B392" s="419"/>
      <c r="C392" s="419"/>
      <c r="D392" s="419"/>
      <c r="E392" s="387"/>
      <c r="F392" s="387"/>
      <c r="G392" s="423"/>
      <c r="H392" s="423"/>
      <c r="I392" s="423"/>
      <c r="J392" s="423"/>
      <c r="K392" s="423"/>
      <c r="L392" s="423"/>
      <c r="M392" s="423"/>
      <c r="N392" s="423"/>
      <c r="O392" s="423"/>
      <c r="P392" s="423"/>
      <c r="Q392" s="423"/>
      <c r="R392" s="423"/>
      <c r="S392" s="423"/>
      <c r="T392" s="423"/>
      <c r="U392" s="423"/>
      <c r="V392" s="423"/>
      <c r="W392" s="423"/>
      <c r="X392" s="423"/>
      <c r="Y392" s="423"/>
      <c r="Z392" s="423"/>
      <c r="AA392" s="423"/>
      <c r="AB392" s="423"/>
      <c r="AC392" s="423"/>
      <c r="AD392" s="423"/>
      <c r="AE392" s="423"/>
      <c r="AF392" s="423"/>
      <c r="AG392" s="423"/>
      <c r="AH392" s="423"/>
      <c r="AI392" s="423"/>
    </row>
    <row r="393">
      <c r="A393" s="419"/>
      <c r="B393" s="419"/>
      <c r="C393" s="419"/>
      <c r="D393" s="419"/>
      <c r="E393" s="387"/>
      <c r="F393" s="387"/>
      <c r="G393" s="423"/>
      <c r="H393" s="423"/>
      <c r="I393" s="423"/>
      <c r="J393" s="423"/>
      <c r="K393" s="423"/>
      <c r="L393" s="423"/>
      <c r="M393" s="423"/>
      <c r="N393" s="423"/>
      <c r="O393" s="423"/>
      <c r="P393" s="423"/>
      <c r="Q393" s="423"/>
      <c r="R393" s="423"/>
      <c r="S393" s="423"/>
      <c r="T393" s="423"/>
      <c r="U393" s="423"/>
      <c r="V393" s="423"/>
      <c r="W393" s="423"/>
      <c r="X393" s="423"/>
      <c r="Y393" s="423"/>
      <c r="Z393" s="423"/>
      <c r="AA393" s="423"/>
      <c r="AB393" s="423"/>
      <c r="AC393" s="423"/>
      <c r="AD393" s="423"/>
      <c r="AE393" s="423"/>
      <c r="AF393" s="423"/>
      <c r="AG393" s="423"/>
      <c r="AH393" s="423"/>
      <c r="AI393" s="423"/>
    </row>
    <row r="394">
      <c r="A394" s="419"/>
      <c r="B394" s="419"/>
      <c r="C394" s="419"/>
      <c r="D394" s="419"/>
      <c r="E394" s="387"/>
      <c r="F394" s="387"/>
      <c r="G394" s="423"/>
      <c r="H394" s="423"/>
      <c r="I394" s="423"/>
      <c r="J394" s="423"/>
      <c r="K394" s="423"/>
      <c r="L394" s="423"/>
      <c r="M394" s="423"/>
      <c r="N394" s="423"/>
      <c r="O394" s="423"/>
      <c r="P394" s="423"/>
      <c r="Q394" s="423"/>
      <c r="R394" s="423"/>
      <c r="S394" s="423"/>
      <c r="T394" s="423"/>
      <c r="U394" s="423"/>
      <c r="V394" s="423"/>
      <c r="W394" s="423"/>
      <c r="X394" s="423"/>
      <c r="Y394" s="423"/>
      <c r="Z394" s="423"/>
      <c r="AA394" s="423"/>
      <c r="AB394" s="423"/>
      <c r="AC394" s="423"/>
      <c r="AD394" s="423"/>
      <c r="AE394" s="423"/>
      <c r="AF394" s="423"/>
      <c r="AG394" s="423"/>
      <c r="AH394" s="423"/>
      <c r="AI394" s="423"/>
    </row>
    <row r="395">
      <c r="A395" s="419"/>
      <c r="B395" s="419"/>
      <c r="C395" s="419"/>
      <c r="D395" s="419"/>
      <c r="E395" s="387"/>
      <c r="F395" s="387"/>
      <c r="G395" s="423"/>
      <c r="H395" s="423"/>
      <c r="I395" s="423"/>
      <c r="J395" s="423"/>
      <c r="K395" s="423"/>
      <c r="L395" s="423"/>
      <c r="M395" s="423"/>
      <c r="N395" s="423"/>
      <c r="O395" s="423"/>
      <c r="P395" s="423"/>
      <c r="Q395" s="423"/>
      <c r="R395" s="423"/>
      <c r="S395" s="423"/>
      <c r="T395" s="423"/>
      <c r="U395" s="423"/>
      <c r="V395" s="423"/>
      <c r="W395" s="423"/>
      <c r="X395" s="423"/>
      <c r="Y395" s="423"/>
      <c r="Z395" s="423"/>
      <c r="AA395" s="423"/>
      <c r="AB395" s="423"/>
      <c r="AC395" s="423"/>
      <c r="AD395" s="423"/>
      <c r="AE395" s="423"/>
      <c r="AF395" s="423"/>
      <c r="AG395" s="423"/>
      <c r="AH395" s="423"/>
      <c r="AI395" s="423"/>
    </row>
    <row r="396">
      <c r="A396" s="419"/>
      <c r="B396" s="419"/>
      <c r="C396" s="419"/>
      <c r="D396" s="419"/>
      <c r="E396" s="387"/>
      <c r="F396" s="387"/>
      <c r="G396" s="423"/>
      <c r="H396" s="423"/>
      <c r="I396" s="423"/>
      <c r="J396" s="423"/>
      <c r="K396" s="423"/>
      <c r="L396" s="423"/>
      <c r="M396" s="423"/>
      <c r="N396" s="423"/>
      <c r="O396" s="423"/>
      <c r="P396" s="423"/>
      <c r="Q396" s="423"/>
      <c r="R396" s="423"/>
      <c r="S396" s="423"/>
      <c r="T396" s="423"/>
      <c r="U396" s="423"/>
      <c r="V396" s="423"/>
      <c r="W396" s="423"/>
      <c r="X396" s="423"/>
      <c r="Y396" s="423"/>
      <c r="Z396" s="423"/>
      <c r="AA396" s="423"/>
      <c r="AB396" s="423"/>
      <c r="AC396" s="423"/>
      <c r="AD396" s="423"/>
      <c r="AE396" s="423"/>
      <c r="AF396" s="423"/>
      <c r="AG396" s="423"/>
      <c r="AH396" s="423"/>
      <c r="AI396" s="423"/>
    </row>
    <row r="397">
      <c r="A397" s="419"/>
      <c r="B397" s="419"/>
      <c r="C397" s="419"/>
      <c r="D397" s="419"/>
      <c r="E397" s="387"/>
      <c r="F397" s="387"/>
      <c r="G397" s="423"/>
      <c r="H397" s="423"/>
      <c r="I397" s="423"/>
      <c r="J397" s="423"/>
      <c r="K397" s="423"/>
      <c r="L397" s="423"/>
      <c r="M397" s="423"/>
      <c r="N397" s="423"/>
      <c r="O397" s="423"/>
      <c r="P397" s="423"/>
      <c r="Q397" s="423"/>
      <c r="R397" s="423"/>
      <c r="S397" s="423"/>
      <c r="T397" s="423"/>
      <c r="U397" s="423"/>
      <c r="V397" s="423"/>
      <c r="W397" s="423"/>
      <c r="X397" s="423"/>
      <c r="Y397" s="423"/>
      <c r="Z397" s="423"/>
      <c r="AA397" s="423"/>
      <c r="AB397" s="423"/>
      <c r="AC397" s="423"/>
      <c r="AD397" s="423"/>
      <c r="AE397" s="423"/>
      <c r="AF397" s="423"/>
      <c r="AG397" s="423"/>
      <c r="AH397" s="423"/>
      <c r="AI397" s="423"/>
    </row>
    <row r="398">
      <c r="A398" s="419"/>
      <c r="B398" s="419"/>
      <c r="C398" s="419"/>
      <c r="D398" s="419"/>
      <c r="E398" s="387"/>
      <c r="F398" s="387"/>
      <c r="G398" s="423"/>
      <c r="H398" s="423"/>
      <c r="I398" s="423"/>
      <c r="J398" s="423"/>
      <c r="K398" s="423"/>
      <c r="L398" s="423"/>
      <c r="M398" s="423"/>
      <c r="N398" s="423"/>
      <c r="O398" s="423"/>
      <c r="P398" s="423"/>
      <c r="Q398" s="423"/>
      <c r="R398" s="423"/>
      <c r="S398" s="423"/>
      <c r="T398" s="423"/>
      <c r="U398" s="423"/>
      <c r="V398" s="423"/>
      <c r="W398" s="423"/>
      <c r="X398" s="423"/>
      <c r="Y398" s="423"/>
      <c r="Z398" s="423"/>
      <c r="AA398" s="423"/>
      <c r="AB398" s="423"/>
      <c r="AC398" s="423"/>
      <c r="AD398" s="423"/>
      <c r="AE398" s="423"/>
      <c r="AF398" s="423"/>
      <c r="AG398" s="423"/>
      <c r="AH398" s="423"/>
      <c r="AI398" s="423"/>
    </row>
    <row r="399">
      <c r="A399" s="419"/>
      <c r="B399" s="419"/>
      <c r="C399" s="419"/>
      <c r="D399" s="419"/>
      <c r="E399" s="387"/>
      <c r="F399" s="387"/>
      <c r="G399" s="423"/>
      <c r="H399" s="423"/>
      <c r="I399" s="423"/>
      <c r="J399" s="423"/>
      <c r="K399" s="423"/>
      <c r="L399" s="423"/>
      <c r="M399" s="423"/>
      <c r="N399" s="423"/>
      <c r="O399" s="423"/>
      <c r="P399" s="423"/>
      <c r="Q399" s="423"/>
      <c r="R399" s="423"/>
      <c r="S399" s="423"/>
      <c r="T399" s="423"/>
      <c r="U399" s="423"/>
      <c r="V399" s="423"/>
      <c r="W399" s="423"/>
      <c r="X399" s="423"/>
      <c r="Y399" s="423"/>
      <c r="Z399" s="423"/>
      <c r="AA399" s="423"/>
      <c r="AB399" s="423"/>
      <c r="AC399" s="423"/>
      <c r="AD399" s="423"/>
      <c r="AE399" s="423"/>
      <c r="AF399" s="423"/>
      <c r="AG399" s="423"/>
      <c r="AH399" s="423"/>
      <c r="AI399" s="423"/>
    </row>
    <row r="400">
      <c r="A400" s="419"/>
      <c r="B400" s="419"/>
      <c r="C400" s="419"/>
      <c r="D400" s="419"/>
      <c r="E400" s="387"/>
      <c r="F400" s="387"/>
      <c r="G400" s="423"/>
      <c r="H400" s="423"/>
      <c r="I400" s="423"/>
      <c r="J400" s="423"/>
      <c r="K400" s="423"/>
      <c r="L400" s="423"/>
      <c r="M400" s="423"/>
      <c r="N400" s="423"/>
      <c r="O400" s="423"/>
      <c r="P400" s="423"/>
      <c r="Q400" s="423"/>
      <c r="R400" s="423"/>
      <c r="S400" s="423"/>
      <c r="T400" s="423"/>
      <c r="U400" s="423"/>
      <c r="V400" s="423"/>
      <c r="W400" s="423"/>
      <c r="X400" s="423"/>
      <c r="Y400" s="423"/>
      <c r="Z400" s="423"/>
      <c r="AA400" s="423"/>
      <c r="AB400" s="423"/>
      <c r="AC400" s="423"/>
      <c r="AD400" s="423"/>
      <c r="AE400" s="423"/>
      <c r="AF400" s="423"/>
      <c r="AG400" s="423"/>
      <c r="AH400" s="423"/>
      <c r="AI400" s="423"/>
    </row>
    <row r="401">
      <c r="A401" s="419"/>
      <c r="B401" s="419"/>
      <c r="C401" s="419"/>
      <c r="D401" s="419"/>
      <c r="E401" s="387"/>
      <c r="F401" s="387"/>
      <c r="G401" s="423"/>
      <c r="H401" s="423"/>
      <c r="I401" s="423"/>
      <c r="J401" s="423"/>
      <c r="K401" s="423"/>
      <c r="L401" s="423"/>
      <c r="M401" s="423"/>
      <c r="N401" s="423"/>
      <c r="O401" s="423"/>
      <c r="P401" s="423"/>
      <c r="Q401" s="423"/>
      <c r="R401" s="423"/>
      <c r="S401" s="423"/>
      <c r="T401" s="423"/>
      <c r="U401" s="423"/>
      <c r="V401" s="423"/>
      <c r="W401" s="423"/>
      <c r="X401" s="423"/>
      <c r="Y401" s="423"/>
      <c r="Z401" s="423"/>
      <c r="AA401" s="423"/>
      <c r="AB401" s="423"/>
      <c r="AC401" s="423"/>
      <c r="AD401" s="423"/>
      <c r="AE401" s="423"/>
      <c r="AF401" s="423"/>
      <c r="AG401" s="423"/>
      <c r="AH401" s="423"/>
      <c r="AI401" s="423"/>
    </row>
    <row r="402">
      <c r="A402" s="419"/>
      <c r="B402" s="419"/>
      <c r="C402" s="419"/>
      <c r="D402" s="419"/>
      <c r="E402" s="387"/>
      <c r="F402" s="387"/>
      <c r="G402" s="423"/>
      <c r="H402" s="423"/>
      <c r="I402" s="423"/>
      <c r="J402" s="423"/>
      <c r="K402" s="423"/>
      <c r="L402" s="423"/>
      <c r="M402" s="423"/>
      <c r="N402" s="423"/>
      <c r="O402" s="423"/>
      <c r="P402" s="423"/>
      <c r="Q402" s="423"/>
      <c r="R402" s="423"/>
      <c r="S402" s="423"/>
      <c r="T402" s="423"/>
      <c r="U402" s="423"/>
      <c r="V402" s="423"/>
      <c r="W402" s="423"/>
      <c r="X402" s="423"/>
      <c r="Y402" s="423"/>
      <c r="Z402" s="423"/>
      <c r="AA402" s="423"/>
      <c r="AB402" s="423"/>
      <c r="AC402" s="423"/>
      <c r="AD402" s="423"/>
      <c r="AE402" s="423"/>
      <c r="AF402" s="423"/>
      <c r="AG402" s="423"/>
      <c r="AH402" s="423"/>
      <c r="AI402" s="423"/>
    </row>
    <row r="403">
      <c r="A403" s="419"/>
      <c r="B403" s="419"/>
      <c r="C403" s="419"/>
      <c r="D403" s="419"/>
      <c r="E403" s="387"/>
      <c r="F403" s="387"/>
      <c r="G403" s="423"/>
      <c r="H403" s="423"/>
      <c r="I403" s="423"/>
      <c r="J403" s="423"/>
      <c r="K403" s="423"/>
      <c r="L403" s="423"/>
      <c r="M403" s="423"/>
      <c r="N403" s="423"/>
      <c r="O403" s="423"/>
      <c r="P403" s="423"/>
      <c r="Q403" s="423"/>
      <c r="R403" s="423"/>
      <c r="S403" s="423"/>
      <c r="T403" s="423"/>
      <c r="U403" s="423"/>
      <c r="V403" s="423"/>
      <c r="W403" s="423"/>
      <c r="X403" s="423"/>
      <c r="Y403" s="423"/>
      <c r="Z403" s="423"/>
      <c r="AA403" s="423"/>
      <c r="AB403" s="423"/>
      <c r="AC403" s="423"/>
      <c r="AD403" s="423"/>
      <c r="AE403" s="423"/>
      <c r="AF403" s="423"/>
      <c r="AG403" s="423"/>
      <c r="AH403" s="423"/>
      <c r="AI403" s="423"/>
    </row>
    <row r="404">
      <c r="A404" s="419"/>
      <c r="B404" s="419"/>
      <c r="C404" s="419"/>
      <c r="D404" s="419"/>
      <c r="E404" s="387"/>
      <c r="F404" s="387"/>
      <c r="G404" s="423"/>
      <c r="H404" s="423"/>
      <c r="I404" s="423"/>
      <c r="J404" s="423"/>
      <c r="K404" s="423"/>
      <c r="L404" s="423"/>
      <c r="M404" s="423"/>
      <c r="N404" s="423"/>
      <c r="O404" s="423"/>
      <c r="P404" s="423"/>
      <c r="Q404" s="423"/>
      <c r="R404" s="423"/>
      <c r="S404" s="423"/>
      <c r="T404" s="423"/>
      <c r="U404" s="423"/>
      <c r="V404" s="423"/>
      <c r="W404" s="423"/>
      <c r="X404" s="423"/>
      <c r="Y404" s="423"/>
      <c r="Z404" s="423"/>
      <c r="AA404" s="423"/>
      <c r="AB404" s="423"/>
      <c r="AC404" s="423"/>
      <c r="AD404" s="423"/>
      <c r="AE404" s="423"/>
      <c r="AF404" s="423"/>
      <c r="AG404" s="423"/>
      <c r="AH404" s="423"/>
      <c r="AI404" s="423"/>
    </row>
    <row r="405">
      <c r="A405" s="419"/>
      <c r="B405" s="419"/>
      <c r="C405" s="419"/>
      <c r="D405" s="419"/>
      <c r="E405" s="387"/>
      <c r="F405" s="387"/>
      <c r="G405" s="423"/>
      <c r="H405" s="423"/>
      <c r="I405" s="423"/>
      <c r="J405" s="423"/>
      <c r="K405" s="423"/>
      <c r="L405" s="423"/>
      <c r="M405" s="423"/>
      <c r="N405" s="423"/>
      <c r="O405" s="423"/>
      <c r="P405" s="423"/>
      <c r="Q405" s="423"/>
      <c r="R405" s="423"/>
      <c r="S405" s="423"/>
      <c r="T405" s="423"/>
      <c r="U405" s="423"/>
      <c r="V405" s="423"/>
      <c r="W405" s="423"/>
      <c r="X405" s="423"/>
      <c r="Y405" s="423"/>
      <c r="Z405" s="423"/>
      <c r="AA405" s="423"/>
      <c r="AB405" s="423"/>
      <c r="AC405" s="423"/>
      <c r="AD405" s="423"/>
      <c r="AE405" s="423"/>
      <c r="AF405" s="423"/>
      <c r="AG405" s="423"/>
      <c r="AH405" s="423"/>
      <c r="AI405" s="423"/>
    </row>
    <row r="406">
      <c r="A406" s="419"/>
      <c r="B406" s="419"/>
      <c r="C406" s="419"/>
      <c r="D406" s="419"/>
      <c r="E406" s="387"/>
      <c r="F406" s="387"/>
      <c r="G406" s="423"/>
      <c r="H406" s="423"/>
      <c r="I406" s="423"/>
      <c r="J406" s="423"/>
      <c r="K406" s="423"/>
      <c r="L406" s="423"/>
      <c r="M406" s="423"/>
      <c r="N406" s="423"/>
      <c r="O406" s="423"/>
      <c r="P406" s="423"/>
      <c r="Q406" s="423"/>
      <c r="R406" s="423"/>
      <c r="S406" s="423"/>
      <c r="T406" s="423"/>
      <c r="U406" s="423"/>
      <c r="V406" s="423"/>
      <c r="W406" s="423"/>
      <c r="X406" s="423"/>
      <c r="Y406" s="423"/>
      <c r="Z406" s="423"/>
      <c r="AA406" s="423"/>
      <c r="AB406" s="423"/>
      <c r="AC406" s="423"/>
      <c r="AD406" s="423"/>
      <c r="AE406" s="423"/>
      <c r="AF406" s="423"/>
      <c r="AG406" s="423"/>
      <c r="AH406" s="423"/>
      <c r="AI406" s="423"/>
    </row>
    <row r="407">
      <c r="A407" s="419"/>
      <c r="B407" s="419"/>
      <c r="C407" s="419"/>
      <c r="D407" s="419"/>
      <c r="E407" s="387"/>
      <c r="F407" s="387"/>
      <c r="G407" s="423"/>
      <c r="H407" s="423"/>
      <c r="I407" s="423"/>
      <c r="J407" s="423"/>
      <c r="K407" s="423"/>
      <c r="L407" s="423"/>
      <c r="M407" s="423"/>
      <c r="N407" s="423"/>
      <c r="O407" s="423"/>
      <c r="P407" s="423"/>
      <c r="Q407" s="423"/>
      <c r="R407" s="423"/>
      <c r="S407" s="423"/>
      <c r="T407" s="423"/>
      <c r="U407" s="423"/>
      <c r="V407" s="423"/>
      <c r="W407" s="423"/>
      <c r="X407" s="423"/>
      <c r="Y407" s="423"/>
      <c r="Z407" s="423"/>
      <c r="AA407" s="423"/>
      <c r="AB407" s="423"/>
      <c r="AC407" s="423"/>
      <c r="AD407" s="423"/>
      <c r="AE407" s="423"/>
      <c r="AF407" s="423"/>
      <c r="AG407" s="423"/>
      <c r="AH407" s="423"/>
      <c r="AI407" s="423"/>
    </row>
    <row r="408">
      <c r="A408" s="419"/>
      <c r="B408" s="419"/>
      <c r="C408" s="419"/>
      <c r="D408" s="419"/>
      <c r="E408" s="387"/>
      <c r="F408" s="387"/>
      <c r="G408" s="423"/>
      <c r="H408" s="423"/>
      <c r="I408" s="423"/>
      <c r="J408" s="423"/>
      <c r="K408" s="423"/>
      <c r="L408" s="423"/>
      <c r="M408" s="423"/>
      <c r="N408" s="423"/>
      <c r="O408" s="423"/>
      <c r="P408" s="423"/>
      <c r="Q408" s="423"/>
      <c r="R408" s="423"/>
      <c r="S408" s="423"/>
      <c r="T408" s="423"/>
      <c r="U408" s="423"/>
      <c r="V408" s="423"/>
      <c r="W408" s="423"/>
      <c r="X408" s="423"/>
      <c r="Y408" s="423"/>
      <c r="Z408" s="423"/>
      <c r="AA408" s="423"/>
      <c r="AB408" s="423"/>
      <c r="AC408" s="423"/>
      <c r="AD408" s="423"/>
      <c r="AE408" s="423"/>
      <c r="AF408" s="423"/>
      <c r="AG408" s="423"/>
      <c r="AH408" s="423"/>
      <c r="AI408" s="423"/>
    </row>
    <row r="409">
      <c r="A409" s="419"/>
      <c r="B409" s="419"/>
      <c r="C409" s="419"/>
      <c r="D409" s="419"/>
      <c r="E409" s="387"/>
      <c r="F409" s="387"/>
      <c r="G409" s="423"/>
      <c r="H409" s="423"/>
      <c r="I409" s="423"/>
      <c r="J409" s="423"/>
      <c r="K409" s="423"/>
      <c r="L409" s="423"/>
      <c r="M409" s="423"/>
      <c r="N409" s="423"/>
      <c r="O409" s="423"/>
      <c r="P409" s="423"/>
      <c r="Q409" s="423"/>
      <c r="R409" s="423"/>
      <c r="S409" s="423"/>
      <c r="T409" s="423"/>
      <c r="U409" s="423"/>
      <c r="V409" s="423"/>
      <c r="W409" s="423"/>
      <c r="X409" s="423"/>
      <c r="Y409" s="423"/>
      <c r="Z409" s="423"/>
      <c r="AA409" s="423"/>
      <c r="AB409" s="423"/>
      <c r="AC409" s="423"/>
      <c r="AD409" s="423"/>
      <c r="AE409" s="423"/>
      <c r="AF409" s="423"/>
      <c r="AG409" s="423"/>
      <c r="AH409" s="423"/>
      <c r="AI409" s="423"/>
    </row>
    <row r="410">
      <c r="A410" s="419"/>
      <c r="B410" s="419"/>
      <c r="C410" s="419"/>
      <c r="D410" s="419"/>
      <c r="E410" s="387"/>
      <c r="F410" s="387"/>
      <c r="G410" s="423"/>
      <c r="H410" s="423"/>
      <c r="I410" s="423"/>
      <c r="J410" s="423"/>
      <c r="K410" s="423"/>
      <c r="L410" s="423"/>
      <c r="M410" s="423"/>
      <c r="N410" s="423"/>
      <c r="O410" s="423"/>
      <c r="P410" s="423"/>
      <c r="Q410" s="423"/>
      <c r="R410" s="423"/>
      <c r="S410" s="423"/>
      <c r="T410" s="423"/>
      <c r="U410" s="423"/>
      <c r="V410" s="423"/>
      <c r="W410" s="423"/>
      <c r="X410" s="423"/>
      <c r="Y410" s="423"/>
      <c r="Z410" s="423"/>
      <c r="AA410" s="423"/>
      <c r="AB410" s="423"/>
      <c r="AC410" s="423"/>
      <c r="AD410" s="423"/>
      <c r="AE410" s="423"/>
      <c r="AF410" s="423"/>
      <c r="AG410" s="423"/>
      <c r="AH410" s="423"/>
      <c r="AI410" s="423"/>
    </row>
    <row r="411">
      <c r="A411" s="419"/>
      <c r="B411" s="419"/>
      <c r="C411" s="419"/>
      <c r="D411" s="419"/>
      <c r="E411" s="387"/>
      <c r="F411" s="387"/>
      <c r="G411" s="423"/>
      <c r="H411" s="423"/>
      <c r="I411" s="423"/>
      <c r="J411" s="423"/>
      <c r="K411" s="423"/>
      <c r="L411" s="423"/>
      <c r="M411" s="423"/>
      <c r="N411" s="423"/>
      <c r="O411" s="423"/>
      <c r="P411" s="423"/>
      <c r="Q411" s="423"/>
      <c r="R411" s="423"/>
      <c r="S411" s="423"/>
      <c r="T411" s="423"/>
      <c r="U411" s="423"/>
      <c r="V411" s="423"/>
      <c r="W411" s="423"/>
      <c r="X411" s="423"/>
      <c r="Y411" s="423"/>
      <c r="Z411" s="423"/>
      <c r="AA411" s="423"/>
      <c r="AB411" s="423"/>
      <c r="AC411" s="423"/>
      <c r="AD411" s="423"/>
      <c r="AE411" s="423"/>
      <c r="AF411" s="423"/>
      <c r="AG411" s="423"/>
      <c r="AH411" s="423"/>
      <c r="AI411" s="423"/>
    </row>
    <row r="412">
      <c r="A412" s="419"/>
      <c r="B412" s="419"/>
      <c r="C412" s="419"/>
      <c r="D412" s="419"/>
      <c r="E412" s="387"/>
      <c r="F412" s="387"/>
      <c r="G412" s="423"/>
      <c r="H412" s="423"/>
      <c r="I412" s="423"/>
      <c r="J412" s="423"/>
      <c r="K412" s="423"/>
      <c r="L412" s="423"/>
      <c r="M412" s="423"/>
      <c r="N412" s="423"/>
      <c r="O412" s="423"/>
      <c r="P412" s="423"/>
      <c r="Q412" s="423"/>
      <c r="R412" s="423"/>
      <c r="S412" s="423"/>
      <c r="T412" s="423"/>
      <c r="U412" s="423"/>
      <c r="V412" s="423"/>
      <c r="W412" s="423"/>
      <c r="X412" s="423"/>
      <c r="Y412" s="423"/>
      <c r="Z412" s="423"/>
      <c r="AA412" s="423"/>
      <c r="AB412" s="423"/>
      <c r="AC412" s="423"/>
      <c r="AD412" s="423"/>
      <c r="AE412" s="423"/>
      <c r="AF412" s="423"/>
      <c r="AG412" s="423"/>
      <c r="AH412" s="423"/>
      <c r="AI412" s="423"/>
    </row>
    <row r="413">
      <c r="A413" s="419"/>
      <c r="B413" s="419"/>
      <c r="C413" s="419"/>
      <c r="D413" s="419"/>
      <c r="E413" s="387"/>
      <c r="F413" s="387"/>
      <c r="G413" s="423"/>
      <c r="H413" s="423"/>
      <c r="I413" s="423"/>
      <c r="J413" s="423"/>
      <c r="K413" s="423"/>
      <c r="L413" s="423"/>
      <c r="M413" s="423"/>
      <c r="N413" s="423"/>
      <c r="O413" s="423"/>
      <c r="P413" s="423"/>
      <c r="Q413" s="423"/>
      <c r="R413" s="423"/>
      <c r="S413" s="423"/>
      <c r="T413" s="423"/>
      <c r="U413" s="423"/>
      <c r="V413" s="423"/>
      <c r="W413" s="423"/>
      <c r="X413" s="423"/>
      <c r="Y413" s="423"/>
      <c r="Z413" s="423"/>
      <c r="AA413" s="423"/>
      <c r="AB413" s="423"/>
      <c r="AC413" s="423"/>
      <c r="AD413" s="423"/>
      <c r="AE413" s="423"/>
      <c r="AF413" s="423"/>
      <c r="AG413" s="423"/>
      <c r="AH413" s="423"/>
      <c r="AI413" s="423"/>
    </row>
    <row r="414">
      <c r="A414" s="419"/>
      <c r="B414" s="419"/>
      <c r="C414" s="419"/>
      <c r="D414" s="419"/>
      <c r="E414" s="387"/>
      <c r="F414" s="387"/>
      <c r="G414" s="423"/>
      <c r="H414" s="423"/>
      <c r="I414" s="423"/>
      <c r="J414" s="423"/>
      <c r="K414" s="423"/>
      <c r="L414" s="423"/>
      <c r="M414" s="423"/>
      <c r="N414" s="423"/>
      <c r="O414" s="423"/>
      <c r="P414" s="423"/>
      <c r="Q414" s="423"/>
      <c r="R414" s="423"/>
      <c r="S414" s="423"/>
      <c r="T414" s="423"/>
      <c r="U414" s="423"/>
      <c r="V414" s="423"/>
      <c r="W414" s="423"/>
      <c r="X414" s="423"/>
      <c r="Y414" s="423"/>
      <c r="Z414" s="423"/>
      <c r="AA414" s="423"/>
      <c r="AB414" s="423"/>
      <c r="AC414" s="423"/>
      <c r="AD414" s="423"/>
      <c r="AE414" s="423"/>
      <c r="AF414" s="423"/>
      <c r="AG414" s="423"/>
      <c r="AH414" s="423"/>
      <c r="AI414" s="423"/>
    </row>
    <row r="415">
      <c r="A415" s="419"/>
      <c r="B415" s="419"/>
      <c r="C415" s="419"/>
      <c r="D415" s="419"/>
      <c r="E415" s="387"/>
      <c r="F415" s="387"/>
      <c r="G415" s="423"/>
      <c r="H415" s="423"/>
      <c r="I415" s="423"/>
      <c r="J415" s="423"/>
      <c r="K415" s="423"/>
      <c r="L415" s="423"/>
      <c r="M415" s="423"/>
      <c r="N415" s="423"/>
      <c r="O415" s="423"/>
      <c r="P415" s="423"/>
      <c r="Q415" s="423"/>
      <c r="R415" s="423"/>
      <c r="S415" s="423"/>
      <c r="T415" s="423"/>
      <c r="U415" s="423"/>
      <c r="V415" s="423"/>
      <c r="W415" s="423"/>
      <c r="X415" s="423"/>
      <c r="Y415" s="423"/>
      <c r="Z415" s="423"/>
      <c r="AA415" s="423"/>
      <c r="AB415" s="423"/>
      <c r="AC415" s="423"/>
      <c r="AD415" s="423"/>
      <c r="AE415" s="423"/>
      <c r="AF415" s="423"/>
      <c r="AG415" s="423"/>
      <c r="AH415" s="423"/>
      <c r="AI415" s="423"/>
    </row>
    <row r="416">
      <c r="A416" s="419"/>
      <c r="B416" s="419"/>
      <c r="C416" s="419"/>
      <c r="D416" s="419"/>
      <c r="E416" s="387"/>
      <c r="F416" s="387"/>
      <c r="G416" s="423"/>
      <c r="H416" s="423"/>
      <c r="I416" s="423"/>
      <c r="J416" s="423"/>
      <c r="K416" s="423"/>
      <c r="L416" s="423"/>
      <c r="M416" s="423"/>
      <c r="N416" s="423"/>
      <c r="O416" s="423"/>
      <c r="P416" s="423"/>
      <c r="Q416" s="423"/>
      <c r="R416" s="423"/>
      <c r="S416" s="423"/>
      <c r="T416" s="423"/>
      <c r="U416" s="423"/>
      <c r="V416" s="423"/>
      <c r="W416" s="423"/>
      <c r="X416" s="423"/>
      <c r="Y416" s="423"/>
      <c r="Z416" s="423"/>
      <c r="AA416" s="423"/>
      <c r="AB416" s="423"/>
      <c r="AC416" s="423"/>
      <c r="AD416" s="423"/>
      <c r="AE416" s="423"/>
      <c r="AF416" s="423"/>
      <c r="AG416" s="423"/>
      <c r="AH416" s="423"/>
      <c r="AI416" s="423"/>
    </row>
    <row r="417">
      <c r="A417" s="419"/>
      <c r="B417" s="419"/>
      <c r="C417" s="419"/>
      <c r="D417" s="419"/>
      <c r="E417" s="387"/>
      <c r="F417" s="387"/>
      <c r="G417" s="423"/>
      <c r="H417" s="423"/>
      <c r="I417" s="423"/>
      <c r="J417" s="423"/>
      <c r="K417" s="423"/>
      <c r="L417" s="423"/>
      <c r="M417" s="423"/>
      <c r="N417" s="423"/>
      <c r="O417" s="423"/>
      <c r="P417" s="423"/>
      <c r="Q417" s="423"/>
      <c r="R417" s="423"/>
      <c r="S417" s="423"/>
      <c r="T417" s="423"/>
      <c r="U417" s="423"/>
      <c r="V417" s="423"/>
      <c r="W417" s="423"/>
      <c r="X417" s="423"/>
      <c r="Y417" s="423"/>
      <c r="Z417" s="423"/>
      <c r="AA417" s="423"/>
      <c r="AB417" s="423"/>
      <c r="AC417" s="423"/>
      <c r="AD417" s="423"/>
      <c r="AE417" s="423"/>
      <c r="AF417" s="423"/>
      <c r="AG417" s="423"/>
      <c r="AH417" s="423"/>
      <c r="AI417" s="423"/>
    </row>
    <row r="418">
      <c r="A418" s="419"/>
      <c r="B418" s="419"/>
      <c r="C418" s="419"/>
      <c r="D418" s="419"/>
      <c r="E418" s="387"/>
      <c r="F418" s="387"/>
      <c r="G418" s="423"/>
      <c r="H418" s="423"/>
      <c r="I418" s="423"/>
      <c r="J418" s="423"/>
      <c r="K418" s="423"/>
      <c r="L418" s="423"/>
      <c r="M418" s="423"/>
      <c r="N418" s="423"/>
      <c r="O418" s="423"/>
      <c r="P418" s="423"/>
      <c r="Q418" s="423"/>
      <c r="R418" s="423"/>
      <c r="S418" s="423"/>
      <c r="T418" s="423"/>
      <c r="U418" s="423"/>
      <c r="V418" s="423"/>
      <c r="W418" s="423"/>
      <c r="X418" s="423"/>
      <c r="Y418" s="423"/>
      <c r="Z418" s="423"/>
      <c r="AA418" s="423"/>
      <c r="AB418" s="423"/>
      <c r="AC418" s="423"/>
      <c r="AD418" s="423"/>
      <c r="AE418" s="423"/>
      <c r="AF418" s="423"/>
      <c r="AG418" s="423"/>
      <c r="AH418" s="423"/>
      <c r="AI418" s="423"/>
    </row>
    <row r="419">
      <c r="A419" s="419"/>
      <c r="B419" s="419"/>
      <c r="C419" s="419"/>
      <c r="D419" s="419"/>
      <c r="E419" s="387"/>
      <c r="F419" s="387"/>
      <c r="G419" s="423"/>
      <c r="H419" s="423"/>
      <c r="I419" s="423"/>
      <c r="J419" s="423"/>
      <c r="K419" s="423"/>
      <c r="L419" s="423"/>
      <c r="M419" s="423"/>
      <c r="N419" s="423"/>
      <c r="O419" s="423"/>
      <c r="P419" s="423"/>
      <c r="Q419" s="423"/>
      <c r="R419" s="423"/>
      <c r="S419" s="423"/>
      <c r="T419" s="423"/>
      <c r="U419" s="423"/>
      <c r="V419" s="423"/>
      <c r="W419" s="423"/>
      <c r="X419" s="423"/>
      <c r="Y419" s="423"/>
      <c r="Z419" s="423"/>
      <c r="AA419" s="423"/>
      <c r="AB419" s="423"/>
      <c r="AC419" s="423"/>
      <c r="AD419" s="423"/>
      <c r="AE419" s="423"/>
      <c r="AF419" s="423"/>
      <c r="AG419" s="423"/>
      <c r="AH419" s="423"/>
      <c r="AI419" s="423"/>
    </row>
    <row r="420">
      <c r="A420" s="419"/>
      <c r="B420" s="419"/>
      <c r="C420" s="419"/>
      <c r="D420" s="419"/>
      <c r="E420" s="387"/>
      <c r="F420" s="387"/>
      <c r="G420" s="423"/>
      <c r="H420" s="423"/>
      <c r="I420" s="423"/>
      <c r="J420" s="423"/>
      <c r="K420" s="423"/>
      <c r="L420" s="423"/>
      <c r="M420" s="423"/>
      <c r="N420" s="423"/>
      <c r="O420" s="423"/>
      <c r="P420" s="423"/>
      <c r="Q420" s="423"/>
      <c r="R420" s="423"/>
      <c r="S420" s="423"/>
      <c r="T420" s="423"/>
      <c r="U420" s="423"/>
      <c r="V420" s="423"/>
      <c r="W420" s="423"/>
      <c r="X420" s="423"/>
      <c r="Y420" s="423"/>
      <c r="Z420" s="423"/>
      <c r="AA420" s="423"/>
      <c r="AB420" s="423"/>
      <c r="AC420" s="423"/>
      <c r="AD420" s="423"/>
      <c r="AE420" s="423"/>
      <c r="AF420" s="423"/>
      <c r="AG420" s="423"/>
      <c r="AH420" s="423"/>
      <c r="AI420" s="423"/>
    </row>
    <row r="421">
      <c r="A421" s="419"/>
      <c r="B421" s="419"/>
      <c r="C421" s="419"/>
      <c r="D421" s="419"/>
      <c r="E421" s="387"/>
      <c r="F421" s="387"/>
      <c r="G421" s="423"/>
      <c r="H421" s="423"/>
      <c r="I421" s="423"/>
      <c r="J421" s="423"/>
      <c r="K421" s="423"/>
      <c r="L421" s="423"/>
      <c r="M421" s="423"/>
      <c r="N421" s="423"/>
      <c r="O421" s="423"/>
      <c r="P421" s="423"/>
      <c r="Q421" s="423"/>
      <c r="R421" s="423"/>
      <c r="S421" s="423"/>
      <c r="T421" s="423"/>
      <c r="U421" s="423"/>
      <c r="V421" s="423"/>
      <c r="W421" s="423"/>
      <c r="X421" s="423"/>
      <c r="Y421" s="423"/>
      <c r="Z421" s="423"/>
      <c r="AA421" s="423"/>
      <c r="AB421" s="423"/>
      <c r="AC421" s="423"/>
      <c r="AD421" s="423"/>
      <c r="AE421" s="423"/>
      <c r="AF421" s="423"/>
      <c r="AG421" s="423"/>
      <c r="AH421" s="423"/>
      <c r="AI421" s="423"/>
    </row>
    <row r="422">
      <c r="A422" s="419"/>
      <c r="B422" s="419"/>
      <c r="C422" s="419"/>
      <c r="D422" s="419"/>
      <c r="E422" s="387"/>
      <c r="F422" s="387"/>
      <c r="G422" s="423"/>
      <c r="H422" s="423"/>
      <c r="I422" s="423"/>
      <c r="J422" s="423"/>
      <c r="K422" s="423"/>
      <c r="L422" s="423"/>
      <c r="M422" s="423"/>
      <c r="N422" s="423"/>
      <c r="O422" s="423"/>
      <c r="P422" s="423"/>
      <c r="Q422" s="423"/>
      <c r="R422" s="423"/>
      <c r="S422" s="423"/>
      <c r="T422" s="423"/>
      <c r="U422" s="423"/>
      <c r="V422" s="423"/>
      <c r="W422" s="423"/>
      <c r="X422" s="423"/>
      <c r="Y422" s="423"/>
      <c r="Z422" s="423"/>
      <c r="AA422" s="423"/>
      <c r="AB422" s="423"/>
      <c r="AC422" s="423"/>
      <c r="AD422" s="423"/>
      <c r="AE422" s="423"/>
      <c r="AF422" s="423"/>
      <c r="AG422" s="423"/>
      <c r="AH422" s="423"/>
      <c r="AI422" s="423"/>
    </row>
    <row r="423">
      <c r="A423" s="419"/>
      <c r="B423" s="419"/>
      <c r="C423" s="419"/>
      <c r="D423" s="419"/>
      <c r="E423" s="387"/>
      <c r="F423" s="387"/>
      <c r="G423" s="423"/>
      <c r="H423" s="423"/>
      <c r="I423" s="423"/>
      <c r="J423" s="423"/>
      <c r="K423" s="423"/>
      <c r="L423" s="423"/>
      <c r="M423" s="423"/>
      <c r="N423" s="423"/>
      <c r="O423" s="423"/>
      <c r="P423" s="423"/>
      <c r="Q423" s="423"/>
      <c r="R423" s="423"/>
      <c r="S423" s="423"/>
      <c r="T423" s="423"/>
      <c r="U423" s="423"/>
      <c r="V423" s="423"/>
      <c r="W423" s="423"/>
      <c r="X423" s="423"/>
      <c r="Y423" s="423"/>
      <c r="Z423" s="423"/>
      <c r="AA423" s="423"/>
      <c r="AB423" s="423"/>
      <c r="AC423" s="423"/>
      <c r="AD423" s="423"/>
      <c r="AE423" s="423"/>
      <c r="AF423" s="423"/>
      <c r="AG423" s="423"/>
      <c r="AH423" s="423"/>
      <c r="AI423" s="423"/>
    </row>
    <row r="424">
      <c r="A424" s="419"/>
      <c r="B424" s="419"/>
      <c r="C424" s="419"/>
      <c r="D424" s="419"/>
      <c r="E424" s="387"/>
      <c r="F424" s="387"/>
      <c r="G424" s="423"/>
      <c r="H424" s="423"/>
      <c r="I424" s="423"/>
      <c r="J424" s="423"/>
      <c r="K424" s="423"/>
      <c r="L424" s="423"/>
      <c r="M424" s="423"/>
      <c r="N424" s="423"/>
      <c r="O424" s="423"/>
      <c r="P424" s="423"/>
      <c r="Q424" s="423"/>
      <c r="R424" s="423"/>
      <c r="S424" s="423"/>
      <c r="T424" s="423"/>
      <c r="U424" s="423"/>
      <c r="V424" s="423"/>
      <c r="W424" s="423"/>
      <c r="X424" s="423"/>
      <c r="Y424" s="423"/>
      <c r="Z424" s="423"/>
      <c r="AA424" s="423"/>
      <c r="AB424" s="423"/>
      <c r="AC424" s="423"/>
      <c r="AD424" s="423"/>
      <c r="AE424" s="423"/>
      <c r="AF424" s="423"/>
      <c r="AG424" s="423"/>
      <c r="AH424" s="423"/>
      <c r="AI424" s="423"/>
    </row>
    <row r="425">
      <c r="A425" s="419"/>
      <c r="B425" s="419"/>
      <c r="C425" s="419"/>
      <c r="D425" s="419"/>
      <c r="E425" s="387"/>
      <c r="F425" s="387"/>
      <c r="G425" s="423"/>
      <c r="H425" s="423"/>
      <c r="I425" s="423"/>
      <c r="J425" s="423"/>
      <c r="K425" s="423"/>
      <c r="L425" s="423"/>
      <c r="M425" s="423"/>
      <c r="N425" s="423"/>
      <c r="O425" s="423"/>
      <c r="P425" s="423"/>
      <c r="Q425" s="423"/>
      <c r="R425" s="423"/>
      <c r="S425" s="423"/>
      <c r="T425" s="423"/>
      <c r="U425" s="423"/>
      <c r="V425" s="423"/>
      <c r="W425" s="423"/>
      <c r="X425" s="423"/>
      <c r="Y425" s="423"/>
      <c r="Z425" s="423"/>
      <c r="AA425" s="423"/>
      <c r="AB425" s="423"/>
      <c r="AC425" s="423"/>
      <c r="AD425" s="423"/>
      <c r="AE425" s="423"/>
      <c r="AF425" s="423"/>
      <c r="AG425" s="423"/>
      <c r="AH425" s="423"/>
      <c r="AI425" s="423"/>
    </row>
    <row r="426">
      <c r="A426" s="419"/>
      <c r="B426" s="419"/>
      <c r="C426" s="419"/>
      <c r="D426" s="419"/>
      <c r="E426" s="387"/>
      <c r="F426" s="387"/>
      <c r="G426" s="423"/>
      <c r="H426" s="423"/>
      <c r="I426" s="423"/>
      <c r="J426" s="423"/>
      <c r="K426" s="423"/>
      <c r="L426" s="423"/>
      <c r="M426" s="423"/>
      <c r="N426" s="423"/>
      <c r="O426" s="423"/>
      <c r="P426" s="423"/>
      <c r="Q426" s="423"/>
      <c r="R426" s="423"/>
      <c r="S426" s="423"/>
      <c r="T426" s="423"/>
      <c r="U426" s="423"/>
      <c r="V426" s="423"/>
      <c r="W426" s="423"/>
      <c r="X426" s="423"/>
      <c r="Y426" s="423"/>
      <c r="Z426" s="423"/>
      <c r="AA426" s="423"/>
      <c r="AB426" s="423"/>
      <c r="AC426" s="423"/>
      <c r="AD426" s="423"/>
      <c r="AE426" s="423"/>
      <c r="AF426" s="423"/>
      <c r="AG426" s="423"/>
      <c r="AH426" s="423"/>
      <c r="AI426" s="423"/>
    </row>
    <row r="427">
      <c r="A427" s="419"/>
      <c r="B427" s="419"/>
      <c r="C427" s="419"/>
      <c r="D427" s="419"/>
      <c r="E427" s="387"/>
      <c r="F427" s="387"/>
      <c r="G427" s="423"/>
      <c r="H427" s="423"/>
      <c r="I427" s="423"/>
      <c r="J427" s="423"/>
      <c r="K427" s="423"/>
      <c r="L427" s="423"/>
      <c r="M427" s="423"/>
      <c r="N427" s="423"/>
      <c r="O427" s="423"/>
      <c r="P427" s="423"/>
      <c r="Q427" s="423"/>
      <c r="R427" s="423"/>
      <c r="S427" s="423"/>
      <c r="T427" s="423"/>
      <c r="U427" s="423"/>
      <c r="V427" s="423"/>
      <c r="W427" s="423"/>
      <c r="X427" s="423"/>
      <c r="Y427" s="423"/>
      <c r="Z427" s="423"/>
      <c r="AA427" s="423"/>
      <c r="AB427" s="423"/>
      <c r="AC427" s="423"/>
      <c r="AD427" s="423"/>
      <c r="AE427" s="423"/>
      <c r="AF427" s="423"/>
      <c r="AG427" s="423"/>
      <c r="AH427" s="423"/>
      <c r="AI427" s="423"/>
    </row>
    <row r="428">
      <c r="A428" s="419"/>
      <c r="B428" s="419"/>
      <c r="C428" s="419"/>
      <c r="D428" s="419"/>
      <c r="E428" s="387"/>
      <c r="F428" s="387"/>
      <c r="G428" s="423"/>
      <c r="H428" s="423"/>
      <c r="I428" s="423"/>
      <c r="J428" s="423"/>
      <c r="K428" s="423"/>
      <c r="L428" s="423"/>
      <c r="M428" s="423"/>
      <c r="N428" s="423"/>
      <c r="O428" s="423"/>
      <c r="P428" s="423"/>
      <c r="Q428" s="423"/>
      <c r="R428" s="423"/>
      <c r="S428" s="423"/>
      <c r="T428" s="423"/>
      <c r="U428" s="423"/>
      <c r="V428" s="423"/>
      <c r="W428" s="423"/>
      <c r="X428" s="423"/>
      <c r="Y428" s="423"/>
      <c r="Z428" s="423"/>
      <c r="AA428" s="423"/>
      <c r="AB428" s="423"/>
      <c r="AC428" s="423"/>
      <c r="AD428" s="423"/>
      <c r="AE428" s="423"/>
      <c r="AF428" s="423"/>
      <c r="AG428" s="423"/>
      <c r="AH428" s="423"/>
      <c r="AI428" s="423"/>
    </row>
    <row r="429">
      <c r="A429" s="419"/>
      <c r="B429" s="419"/>
      <c r="C429" s="419"/>
      <c r="D429" s="419"/>
      <c r="E429" s="387"/>
      <c r="F429" s="387"/>
      <c r="G429" s="423"/>
      <c r="H429" s="423"/>
      <c r="I429" s="423"/>
      <c r="J429" s="423"/>
      <c r="K429" s="423"/>
      <c r="L429" s="423"/>
      <c r="M429" s="423"/>
      <c r="N429" s="423"/>
      <c r="O429" s="423"/>
      <c r="P429" s="423"/>
      <c r="Q429" s="423"/>
      <c r="R429" s="423"/>
      <c r="S429" s="423"/>
      <c r="T429" s="423"/>
      <c r="U429" s="423"/>
      <c r="V429" s="423"/>
      <c r="W429" s="423"/>
      <c r="X429" s="423"/>
      <c r="Y429" s="423"/>
      <c r="Z429" s="423"/>
      <c r="AA429" s="423"/>
      <c r="AB429" s="423"/>
      <c r="AC429" s="423"/>
      <c r="AD429" s="423"/>
      <c r="AE429" s="423"/>
      <c r="AF429" s="423"/>
      <c r="AG429" s="423"/>
      <c r="AH429" s="423"/>
      <c r="AI429" s="423"/>
    </row>
    <row r="430">
      <c r="A430" s="419"/>
      <c r="B430" s="419"/>
      <c r="C430" s="419"/>
      <c r="D430" s="419"/>
      <c r="E430" s="387"/>
      <c r="F430" s="387"/>
      <c r="G430" s="423"/>
      <c r="H430" s="423"/>
      <c r="I430" s="423"/>
      <c r="J430" s="423"/>
      <c r="K430" s="423"/>
      <c r="L430" s="423"/>
      <c r="M430" s="423"/>
      <c r="N430" s="423"/>
      <c r="O430" s="423"/>
      <c r="P430" s="423"/>
      <c r="Q430" s="423"/>
      <c r="R430" s="423"/>
      <c r="S430" s="423"/>
      <c r="T430" s="423"/>
      <c r="U430" s="423"/>
      <c r="V430" s="423"/>
      <c r="W430" s="423"/>
      <c r="X430" s="423"/>
      <c r="Y430" s="423"/>
      <c r="Z430" s="423"/>
      <c r="AA430" s="423"/>
      <c r="AB430" s="423"/>
      <c r="AC430" s="423"/>
      <c r="AD430" s="423"/>
      <c r="AE430" s="423"/>
      <c r="AF430" s="423"/>
      <c r="AG430" s="423"/>
      <c r="AH430" s="423"/>
      <c r="AI430" s="423"/>
    </row>
    <row r="431">
      <c r="A431" s="419"/>
      <c r="B431" s="419"/>
      <c r="C431" s="419"/>
      <c r="D431" s="419"/>
      <c r="E431" s="387"/>
      <c r="F431" s="387"/>
      <c r="G431" s="423"/>
      <c r="H431" s="423"/>
      <c r="I431" s="423"/>
      <c r="J431" s="423"/>
      <c r="K431" s="423"/>
      <c r="L431" s="423"/>
      <c r="M431" s="423"/>
      <c r="N431" s="423"/>
      <c r="O431" s="423"/>
      <c r="P431" s="423"/>
      <c r="Q431" s="423"/>
      <c r="R431" s="423"/>
      <c r="S431" s="423"/>
      <c r="T431" s="423"/>
      <c r="U431" s="423"/>
      <c r="V431" s="423"/>
      <c r="W431" s="423"/>
      <c r="X431" s="423"/>
      <c r="Y431" s="423"/>
      <c r="Z431" s="423"/>
      <c r="AA431" s="423"/>
      <c r="AB431" s="423"/>
      <c r="AC431" s="423"/>
      <c r="AD431" s="423"/>
      <c r="AE431" s="423"/>
      <c r="AF431" s="423"/>
      <c r="AG431" s="423"/>
      <c r="AH431" s="423"/>
      <c r="AI431" s="423"/>
    </row>
    <row r="432">
      <c r="A432" s="419"/>
      <c r="B432" s="419"/>
      <c r="C432" s="419"/>
      <c r="D432" s="419"/>
      <c r="E432" s="290">
        <v>109650.0</v>
      </c>
      <c r="F432" s="387"/>
      <c r="G432" s="423"/>
      <c r="H432" s="423"/>
      <c r="I432" s="423"/>
      <c r="J432" s="423"/>
      <c r="K432" s="423"/>
      <c r="L432" s="423"/>
      <c r="M432" s="423"/>
      <c r="N432" s="423"/>
      <c r="O432" s="423"/>
      <c r="P432" s="423"/>
      <c r="Q432" s="423"/>
      <c r="R432" s="423"/>
      <c r="S432" s="423"/>
      <c r="T432" s="423"/>
      <c r="U432" s="423"/>
      <c r="V432" s="423"/>
      <c r="W432" s="423"/>
      <c r="X432" s="423"/>
      <c r="Y432" s="423"/>
      <c r="Z432" s="423"/>
      <c r="AA432" s="423"/>
      <c r="AB432" s="423"/>
      <c r="AC432" s="423"/>
      <c r="AD432" s="423"/>
      <c r="AE432" s="423"/>
      <c r="AF432" s="423"/>
      <c r="AG432" s="423"/>
      <c r="AH432" s="423"/>
      <c r="AI432" s="423"/>
    </row>
    <row r="433">
      <c r="A433" s="419"/>
      <c r="B433" s="419"/>
      <c r="C433" s="419"/>
      <c r="D433" s="419"/>
      <c r="E433" s="290">
        <v>90000.0</v>
      </c>
      <c r="F433" s="387"/>
      <c r="G433" s="423"/>
      <c r="H433" s="423"/>
      <c r="I433" s="423"/>
      <c r="J433" s="423"/>
      <c r="K433" s="423"/>
      <c r="L433" s="423"/>
      <c r="M433" s="423"/>
      <c r="N433" s="423"/>
      <c r="O433" s="423"/>
      <c r="P433" s="423"/>
      <c r="Q433" s="423"/>
      <c r="R433" s="423"/>
      <c r="S433" s="423"/>
      <c r="T433" s="423"/>
      <c r="U433" s="423"/>
      <c r="V433" s="423"/>
      <c r="W433" s="423"/>
      <c r="X433" s="423"/>
      <c r="Y433" s="423"/>
      <c r="Z433" s="423"/>
      <c r="AA433" s="423"/>
      <c r="AB433" s="423"/>
      <c r="AC433" s="423"/>
      <c r="AD433" s="423"/>
      <c r="AE433" s="423"/>
      <c r="AF433" s="423"/>
      <c r="AG433" s="423"/>
      <c r="AH433" s="423"/>
      <c r="AI433" s="423"/>
    </row>
    <row r="434">
      <c r="A434" s="419"/>
      <c r="B434" s="419"/>
      <c r="C434" s="419"/>
      <c r="D434" s="419"/>
      <c r="E434" s="290">
        <v>339150.0</v>
      </c>
      <c r="F434" s="387"/>
      <c r="G434" s="423"/>
      <c r="H434" s="423"/>
      <c r="I434" s="423"/>
      <c r="J434" s="423"/>
      <c r="K434" s="423"/>
      <c r="L434" s="423"/>
      <c r="M434" s="423"/>
      <c r="N434" s="423"/>
      <c r="O434" s="423"/>
      <c r="P434" s="423"/>
      <c r="Q434" s="423"/>
      <c r="R434" s="423"/>
      <c r="S434" s="423"/>
      <c r="T434" s="423"/>
      <c r="U434" s="423"/>
      <c r="V434" s="423"/>
      <c r="W434" s="423"/>
      <c r="X434" s="423"/>
      <c r="Y434" s="423"/>
      <c r="Z434" s="423"/>
      <c r="AA434" s="423"/>
      <c r="AB434" s="423"/>
      <c r="AC434" s="423"/>
      <c r="AD434" s="423"/>
      <c r="AE434" s="423"/>
      <c r="AF434" s="423"/>
      <c r="AG434" s="423"/>
      <c r="AH434" s="423"/>
      <c r="AI434" s="423"/>
    </row>
    <row r="435">
      <c r="A435" s="419"/>
      <c r="B435" s="419"/>
      <c r="C435" s="419"/>
      <c r="D435" s="419"/>
      <c r="E435" s="345">
        <v>135000.0</v>
      </c>
      <c r="F435" s="387"/>
      <c r="G435" s="423"/>
      <c r="H435" s="423"/>
      <c r="I435" s="423"/>
      <c r="J435" s="423"/>
      <c r="K435" s="423"/>
      <c r="L435" s="423"/>
      <c r="M435" s="423"/>
      <c r="N435" s="423"/>
      <c r="O435" s="423"/>
      <c r="P435" s="423"/>
      <c r="Q435" s="423"/>
      <c r="R435" s="423"/>
      <c r="S435" s="423"/>
      <c r="T435" s="423"/>
      <c r="U435" s="423"/>
      <c r="V435" s="423"/>
      <c r="W435" s="423"/>
      <c r="X435" s="423"/>
      <c r="Y435" s="423"/>
      <c r="Z435" s="423"/>
      <c r="AA435" s="423"/>
      <c r="AB435" s="423"/>
      <c r="AC435" s="423"/>
      <c r="AD435" s="423"/>
      <c r="AE435" s="423"/>
      <c r="AF435" s="423"/>
      <c r="AG435" s="423"/>
      <c r="AH435" s="423"/>
      <c r="AI435" s="423"/>
    </row>
    <row r="436">
      <c r="A436" s="419"/>
      <c r="B436" s="419"/>
      <c r="C436" s="419"/>
      <c r="D436" s="419"/>
      <c r="E436" s="345">
        <v>148665.0</v>
      </c>
      <c r="F436" s="387"/>
      <c r="G436" s="423"/>
      <c r="H436" s="423"/>
      <c r="I436" s="423"/>
      <c r="J436" s="423"/>
      <c r="K436" s="423"/>
      <c r="L436" s="423"/>
      <c r="M436" s="423"/>
      <c r="N436" s="423"/>
      <c r="O436" s="423"/>
      <c r="P436" s="423"/>
      <c r="Q436" s="423"/>
      <c r="R436" s="423"/>
      <c r="S436" s="423"/>
      <c r="T436" s="423"/>
      <c r="U436" s="423"/>
      <c r="V436" s="423"/>
      <c r="W436" s="423"/>
      <c r="X436" s="423"/>
      <c r="Y436" s="423"/>
      <c r="Z436" s="423"/>
      <c r="AA436" s="423"/>
      <c r="AB436" s="423"/>
      <c r="AC436" s="423"/>
      <c r="AD436" s="423"/>
      <c r="AE436" s="423"/>
      <c r="AF436" s="423"/>
      <c r="AG436" s="423"/>
      <c r="AH436" s="423"/>
      <c r="AI436" s="423"/>
    </row>
    <row r="437">
      <c r="A437" s="419"/>
      <c r="B437" s="419"/>
      <c r="C437" s="419"/>
      <c r="D437" s="419"/>
      <c r="E437" s="345">
        <v>135000.0</v>
      </c>
      <c r="F437" s="387"/>
      <c r="G437" s="423"/>
      <c r="H437" s="423"/>
      <c r="I437" s="423"/>
      <c r="J437" s="423"/>
      <c r="K437" s="423"/>
      <c r="L437" s="423"/>
      <c r="M437" s="423"/>
      <c r="N437" s="423"/>
      <c r="O437" s="423"/>
      <c r="P437" s="423"/>
      <c r="Q437" s="423"/>
      <c r="R437" s="423"/>
      <c r="S437" s="423"/>
      <c r="T437" s="423"/>
      <c r="U437" s="423"/>
      <c r="V437" s="423"/>
      <c r="W437" s="423"/>
      <c r="X437" s="423"/>
      <c r="Y437" s="423"/>
      <c r="Z437" s="423"/>
      <c r="AA437" s="423"/>
      <c r="AB437" s="423"/>
      <c r="AC437" s="423"/>
      <c r="AD437" s="423"/>
      <c r="AE437" s="423"/>
      <c r="AF437" s="423"/>
      <c r="AG437" s="423"/>
      <c r="AH437" s="423"/>
      <c r="AI437" s="423"/>
    </row>
    <row r="438">
      <c r="A438" s="419"/>
      <c r="B438" s="419"/>
      <c r="C438" s="419"/>
      <c r="D438" s="419"/>
      <c r="E438" s="345">
        <v>148665.0</v>
      </c>
      <c r="F438" s="387"/>
      <c r="G438" s="423"/>
      <c r="H438" s="423"/>
      <c r="I438" s="423"/>
      <c r="J438" s="423"/>
      <c r="K438" s="423"/>
      <c r="L438" s="423"/>
      <c r="M438" s="423"/>
      <c r="N438" s="423"/>
      <c r="O438" s="423"/>
      <c r="P438" s="423"/>
      <c r="Q438" s="423"/>
      <c r="R438" s="423"/>
      <c r="S438" s="423"/>
      <c r="T438" s="423"/>
      <c r="U438" s="423"/>
      <c r="V438" s="423"/>
      <c r="W438" s="423"/>
      <c r="X438" s="423"/>
      <c r="Y438" s="423"/>
      <c r="Z438" s="423"/>
      <c r="AA438" s="423"/>
      <c r="AB438" s="423"/>
      <c r="AC438" s="423"/>
      <c r="AD438" s="423"/>
      <c r="AE438" s="423"/>
      <c r="AF438" s="423"/>
      <c r="AG438" s="423"/>
      <c r="AH438" s="423"/>
      <c r="AI438" s="423"/>
    </row>
    <row r="439">
      <c r="A439" s="419"/>
      <c r="B439" s="419"/>
      <c r="C439" s="419"/>
      <c r="D439" s="419"/>
      <c r="E439" s="345">
        <v>220150.0</v>
      </c>
      <c r="F439" s="387"/>
      <c r="G439" s="423"/>
      <c r="H439" s="423"/>
      <c r="I439" s="423"/>
      <c r="J439" s="423"/>
      <c r="K439" s="423"/>
      <c r="L439" s="423"/>
      <c r="M439" s="423"/>
      <c r="N439" s="423"/>
      <c r="O439" s="423"/>
      <c r="P439" s="423"/>
      <c r="Q439" s="423"/>
      <c r="R439" s="423"/>
      <c r="S439" s="423"/>
      <c r="T439" s="423"/>
      <c r="U439" s="423"/>
      <c r="V439" s="423"/>
      <c r="W439" s="423"/>
      <c r="X439" s="423"/>
      <c r="Y439" s="423"/>
      <c r="Z439" s="423"/>
      <c r="AA439" s="423"/>
      <c r="AB439" s="423"/>
      <c r="AC439" s="423"/>
      <c r="AD439" s="423"/>
      <c r="AE439" s="423"/>
      <c r="AF439" s="423"/>
      <c r="AG439" s="423"/>
      <c r="AH439" s="423"/>
      <c r="AI439" s="423"/>
    </row>
    <row r="440">
      <c r="A440" s="419"/>
      <c r="B440" s="419"/>
      <c r="C440" s="419"/>
      <c r="D440" s="419"/>
      <c r="E440" s="345">
        <v>242165.0</v>
      </c>
      <c r="F440" s="387"/>
      <c r="G440" s="423"/>
      <c r="H440" s="423"/>
      <c r="I440" s="423"/>
      <c r="J440" s="423"/>
      <c r="K440" s="423"/>
      <c r="L440" s="423"/>
      <c r="M440" s="423"/>
      <c r="N440" s="423"/>
      <c r="O440" s="423"/>
      <c r="P440" s="423"/>
      <c r="Q440" s="423"/>
      <c r="R440" s="423"/>
      <c r="S440" s="423"/>
      <c r="T440" s="423"/>
      <c r="U440" s="423"/>
      <c r="V440" s="423"/>
      <c r="W440" s="423"/>
      <c r="X440" s="423"/>
      <c r="Y440" s="423"/>
      <c r="Z440" s="423"/>
      <c r="AA440" s="423"/>
      <c r="AB440" s="423"/>
      <c r="AC440" s="423"/>
      <c r="AD440" s="423"/>
      <c r="AE440" s="423"/>
      <c r="AF440" s="423"/>
      <c r="AG440" s="423"/>
      <c r="AH440" s="423"/>
      <c r="AI440" s="423"/>
    </row>
    <row r="441">
      <c r="A441" s="419"/>
      <c r="B441" s="419"/>
      <c r="C441" s="419"/>
      <c r="D441" s="419"/>
      <c r="E441" s="345">
        <v>145000.0</v>
      </c>
      <c r="F441" s="387"/>
      <c r="G441" s="423"/>
      <c r="H441" s="423"/>
      <c r="I441" s="423"/>
      <c r="J441" s="423"/>
      <c r="K441" s="423"/>
      <c r="L441" s="423"/>
      <c r="M441" s="423"/>
      <c r="N441" s="423"/>
      <c r="O441" s="423"/>
      <c r="P441" s="423"/>
      <c r="Q441" s="423"/>
      <c r="R441" s="423"/>
      <c r="S441" s="423"/>
      <c r="T441" s="423"/>
      <c r="U441" s="423"/>
      <c r="V441" s="423"/>
      <c r="W441" s="423"/>
      <c r="X441" s="423"/>
      <c r="Y441" s="423"/>
      <c r="Z441" s="423"/>
      <c r="AA441" s="423"/>
      <c r="AB441" s="423"/>
      <c r="AC441" s="423"/>
      <c r="AD441" s="423"/>
      <c r="AE441" s="423"/>
      <c r="AF441" s="423"/>
      <c r="AG441" s="423"/>
      <c r="AH441" s="423"/>
      <c r="AI441" s="423"/>
    </row>
    <row r="442">
      <c r="A442" s="419"/>
      <c r="B442" s="419"/>
      <c r="C442" s="419"/>
      <c r="D442" s="419"/>
      <c r="E442" s="345">
        <v>165000.0</v>
      </c>
      <c r="F442" s="387"/>
      <c r="G442" s="423"/>
      <c r="H442" s="423"/>
      <c r="I442" s="423"/>
      <c r="J442" s="423"/>
      <c r="K442" s="423"/>
      <c r="L442" s="423"/>
      <c r="M442" s="423"/>
      <c r="N442" s="423"/>
      <c r="O442" s="423"/>
      <c r="P442" s="423"/>
      <c r="Q442" s="423"/>
      <c r="R442" s="423"/>
      <c r="S442" s="423"/>
      <c r="T442" s="423"/>
      <c r="U442" s="423"/>
      <c r="V442" s="423"/>
      <c r="W442" s="423"/>
      <c r="X442" s="423"/>
      <c r="Y442" s="423"/>
      <c r="Z442" s="423"/>
      <c r="AA442" s="423"/>
      <c r="AB442" s="423"/>
      <c r="AC442" s="423"/>
      <c r="AD442" s="423"/>
      <c r="AE442" s="423"/>
      <c r="AF442" s="423"/>
      <c r="AG442" s="423"/>
      <c r="AH442" s="423"/>
      <c r="AI442" s="423"/>
    </row>
    <row r="443">
      <c r="A443" s="419"/>
      <c r="B443" s="419"/>
      <c r="C443" s="419"/>
      <c r="D443" s="419"/>
      <c r="E443" s="345">
        <v>185000.0</v>
      </c>
      <c r="F443" s="387"/>
      <c r="G443" s="423"/>
      <c r="H443" s="423"/>
      <c r="I443" s="423"/>
      <c r="J443" s="423"/>
      <c r="K443" s="423"/>
      <c r="L443" s="423"/>
      <c r="M443" s="423"/>
      <c r="N443" s="423"/>
      <c r="O443" s="423"/>
      <c r="P443" s="423"/>
      <c r="Q443" s="423"/>
      <c r="R443" s="423"/>
      <c r="S443" s="423"/>
      <c r="T443" s="423"/>
      <c r="U443" s="423"/>
      <c r="V443" s="423"/>
      <c r="W443" s="423"/>
      <c r="X443" s="423"/>
      <c r="Y443" s="423"/>
      <c r="Z443" s="423"/>
      <c r="AA443" s="423"/>
      <c r="AB443" s="423"/>
      <c r="AC443" s="423"/>
      <c r="AD443" s="423"/>
      <c r="AE443" s="423"/>
      <c r="AF443" s="423"/>
      <c r="AG443" s="423"/>
      <c r="AH443" s="423"/>
      <c r="AI443" s="423"/>
    </row>
    <row r="444">
      <c r="A444" s="419"/>
      <c r="B444" s="419"/>
      <c r="C444" s="419"/>
      <c r="D444" s="419"/>
      <c r="E444" s="345">
        <v>200000.0</v>
      </c>
      <c r="F444" s="387"/>
      <c r="G444" s="423"/>
      <c r="H444" s="423"/>
      <c r="I444" s="423"/>
      <c r="J444" s="423"/>
      <c r="K444" s="423"/>
      <c r="L444" s="423"/>
      <c r="M444" s="423"/>
      <c r="N444" s="423"/>
      <c r="O444" s="423"/>
      <c r="P444" s="423"/>
      <c r="Q444" s="423"/>
      <c r="R444" s="423"/>
      <c r="S444" s="423"/>
      <c r="T444" s="423"/>
      <c r="U444" s="423"/>
      <c r="V444" s="423"/>
      <c r="W444" s="423"/>
      <c r="X444" s="423"/>
      <c r="Y444" s="423"/>
      <c r="Z444" s="423"/>
      <c r="AA444" s="423"/>
      <c r="AB444" s="423"/>
      <c r="AC444" s="423"/>
      <c r="AD444" s="423"/>
      <c r="AE444" s="423"/>
      <c r="AF444" s="423"/>
      <c r="AG444" s="423"/>
      <c r="AH444" s="423"/>
      <c r="AI444" s="423"/>
    </row>
    <row r="445">
      <c r="A445" s="419"/>
      <c r="B445" s="419"/>
      <c r="C445" s="419"/>
      <c r="D445" s="419"/>
      <c r="E445" s="345">
        <v>275000.0</v>
      </c>
      <c r="F445" s="387"/>
      <c r="G445" s="423"/>
      <c r="H445" s="423"/>
      <c r="I445" s="423"/>
      <c r="J445" s="423"/>
      <c r="K445" s="423"/>
      <c r="L445" s="423"/>
      <c r="M445" s="423"/>
      <c r="N445" s="423"/>
      <c r="O445" s="423"/>
      <c r="P445" s="423"/>
      <c r="Q445" s="423"/>
      <c r="R445" s="423"/>
      <c r="S445" s="423"/>
      <c r="T445" s="423"/>
      <c r="U445" s="423"/>
      <c r="V445" s="423"/>
      <c r="W445" s="423"/>
      <c r="X445" s="423"/>
      <c r="Y445" s="423"/>
      <c r="Z445" s="423"/>
      <c r="AA445" s="423"/>
      <c r="AB445" s="423"/>
      <c r="AC445" s="423"/>
      <c r="AD445" s="423"/>
      <c r="AE445" s="423"/>
      <c r="AF445" s="423"/>
      <c r="AG445" s="423"/>
      <c r="AH445" s="423"/>
      <c r="AI445" s="423"/>
    </row>
    <row r="446">
      <c r="A446" s="419"/>
      <c r="B446" s="419"/>
      <c r="C446" s="419"/>
      <c r="D446" s="419"/>
      <c r="E446" s="345">
        <v>310000.0</v>
      </c>
      <c r="F446" s="387"/>
      <c r="G446" s="423"/>
      <c r="H446" s="423"/>
      <c r="I446" s="423"/>
      <c r="J446" s="423"/>
      <c r="K446" s="423"/>
      <c r="L446" s="423"/>
      <c r="M446" s="423"/>
      <c r="N446" s="423"/>
      <c r="O446" s="423"/>
      <c r="P446" s="423"/>
      <c r="Q446" s="423"/>
      <c r="R446" s="423"/>
      <c r="S446" s="423"/>
      <c r="T446" s="423"/>
      <c r="U446" s="423"/>
      <c r="V446" s="423"/>
      <c r="W446" s="423"/>
      <c r="X446" s="423"/>
      <c r="Y446" s="423"/>
      <c r="Z446" s="423"/>
      <c r="AA446" s="423"/>
      <c r="AB446" s="423"/>
      <c r="AC446" s="423"/>
      <c r="AD446" s="423"/>
      <c r="AE446" s="423"/>
      <c r="AF446" s="423"/>
      <c r="AG446" s="423"/>
      <c r="AH446" s="423"/>
      <c r="AI446" s="423"/>
    </row>
    <row r="447">
      <c r="A447" s="419"/>
      <c r="B447" s="419"/>
      <c r="C447" s="419"/>
      <c r="D447" s="419"/>
      <c r="E447" s="345">
        <v>412500.0</v>
      </c>
      <c r="F447" s="387"/>
      <c r="G447" s="423"/>
      <c r="H447" s="423"/>
      <c r="I447" s="423"/>
      <c r="J447" s="423"/>
      <c r="K447" s="423"/>
      <c r="L447" s="423"/>
      <c r="M447" s="423"/>
      <c r="N447" s="423"/>
      <c r="O447" s="423"/>
      <c r="P447" s="423"/>
      <c r="Q447" s="423"/>
      <c r="R447" s="423"/>
      <c r="S447" s="423"/>
      <c r="T447" s="423"/>
      <c r="U447" s="423"/>
      <c r="V447" s="423"/>
      <c r="W447" s="423"/>
      <c r="X447" s="423"/>
      <c r="Y447" s="423"/>
      <c r="Z447" s="423"/>
      <c r="AA447" s="423"/>
      <c r="AB447" s="423"/>
      <c r="AC447" s="423"/>
      <c r="AD447" s="423"/>
      <c r="AE447" s="423"/>
      <c r="AF447" s="423"/>
      <c r="AG447" s="423"/>
      <c r="AH447" s="423"/>
      <c r="AI447" s="423"/>
    </row>
    <row r="448">
      <c r="A448" s="419"/>
      <c r="B448" s="419"/>
      <c r="C448" s="419"/>
      <c r="D448" s="419"/>
      <c r="E448" s="345">
        <v>465000.0</v>
      </c>
      <c r="F448" s="387"/>
      <c r="G448" s="423"/>
      <c r="H448" s="423"/>
      <c r="I448" s="423"/>
      <c r="J448" s="423"/>
      <c r="K448" s="423"/>
      <c r="L448" s="423"/>
      <c r="M448" s="423"/>
      <c r="N448" s="423"/>
      <c r="O448" s="423"/>
      <c r="P448" s="423"/>
      <c r="Q448" s="423"/>
      <c r="R448" s="423"/>
      <c r="S448" s="423"/>
      <c r="T448" s="423"/>
      <c r="U448" s="423"/>
      <c r="V448" s="423"/>
      <c r="W448" s="423"/>
      <c r="X448" s="423"/>
      <c r="Y448" s="423"/>
      <c r="Z448" s="423"/>
      <c r="AA448" s="423"/>
      <c r="AB448" s="423"/>
      <c r="AC448" s="423"/>
      <c r="AD448" s="423"/>
      <c r="AE448" s="423"/>
      <c r="AF448" s="423"/>
      <c r="AG448" s="423"/>
      <c r="AH448" s="423"/>
      <c r="AI448" s="423"/>
    </row>
    <row r="449">
      <c r="A449" s="419"/>
      <c r="B449" s="419"/>
      <c r="C449" s="419"/>
      <c r="D449" s="419"/>
      <c r="E449" s="345">
        <v>561000.0</v>
      </c>
      <c r="F449" s="387"/>
      <c r="G449" s="423"/>
      <c r="H449" s="423"/>
      <c r="I449" s="423"/>
      <c r="J449" s="423"/>
      <c r="K449" s="423"/>
      <c r="L449" s="423"/>
      <c r="M449" s="423"/>
      <c r="N449" s="423"/>
      <c r="O449" s="423"/>
      <c r="P449" s="423"/>
      <c r="Q449" s="423"/>
      <c r="R449" s="423"/>
      <c r="S449" s="423"/>
      <c r="T449" s="423"/>
      <c r="U449" s="423"/>
      <c r="V449" s="423"/>
      <c r="W449" s="423"/>
      <c r="X449" s="423"/>
      <c r="Y449" s="423"/>
      <c r="Z449" s="423"/>
      <c r="AA449" s="423"/>
      <c r="AB449" s="423"/>
      <c r="AC449" s="423"/>
      <c r="AD449" s="423"/>
      <c r="AE449" s="423"/>
      <c r="AF449" s="423"/>
      <c r="AG449" s="423"/>
      <c r="AH449" s="423"/>
      <c r="AI449" s="423"/>
    </row>
    <row r="450">
      <c r="A450" s="419"/>
      <c r="B450" s="419"/>
      <c r="C450" s="419"/>
      <c r="D450" s="419"/>
      <c r="E450" s="345">
        <v>561000.0</v>
      </c>
      <c r="F450" s="387"/>
      <c r="G450" s="423"/>
      <c r="H450" s="423"/>
      <c r="I450" s="423"/>
      <c r="J450" s="423"/>
      <c r="K450" s="423"/>
      <c r="L450" s="423"/>
      <c r="M450" s="423"/>
      <c r="N450" s="423"/>
      <c r="O450" s="423"/>
      <c r="P450" s="423"/>
      <c r="Q450" s="423"/>
      <c r="R450" s="423"/>
      <c r="S450" s="423"/>
      <c r="T450" s="423"/>
      <c r="U450" s="423"/>
      <c r="V450" s="423"/>
      <c r="W450" s="423"/>
      <c r="X450" s="423"/>
      <c r="Y450" s="423"/>
      <c r="Z450" s="423"/>
      <c r="AA450" s="423"/>
      <c r="AB450" s="423"/>
      <c r="AC450" s="423"/>
      <c r="AD450" s="423"/>
      <c r="AE450" s="423"/>
      <c r="AF450" s="423"/>
      <c r="AG450" s="423"/>
      <c r="AH450" s="423"/>
      <c r="AI450" s="423"/>
    </row>
    <row r="451">
      <c r="A451" s="419"/>
      <c r="B451" s="419"/>
      <c r="C451" s="419"/>
      <c r="D451" s="419"/>
      <c r="E451" s="345">
        <v>93500.0</v>
      </c>
      <c r="F451" s="387"/>
      <c r="G451" s="423"/>
      <c r="H451" s="423"/>
      <c r="I451" s="423"/>
      <c r="J451" s="423"/>
      <c r="K451" s="423"/>
      <c r="L451" s="423"/>
      <c r="M451" s="423"/>
      <c r="N451" s="423"/>
      <c r="O451" s="423"/>
      <c r="P451" s="423"/>
      <c r="Q451" s="423"/>
      <c r="R451" s="423"/>
      <c r="S451" s="423"/>
      <c r="T451" s="423"/>
      <c r="U451" s="423"/>
      <c r="V451" s="423"/>
      <c r="W451" s="423"/>
      <c r="X451" s="423"/>
      <c r="Y451" s="423"/>
      <c r="Z451" s="423"/>
      <c r="AA451" s="423"/>
      <c r="AB451" s="423"/>
      <c r="AC451" s="423"/>
      <c r="AD451" s="423"/>
      <c r="AE451" s="423"/>
      <c r="AF451" s="423"/>
      <c r="AG451" s="423"/>
      <c r="AH451" s="423"/>
      <c r="AI451" s="423"/>
    </row>
    <row r="452">
      <c r="A452" s="419"/>
      <c r="B452" s="419"/>
      <c r="C452" s="419"/>
      <c r="D452" s="419"/>
      <c r="E452" s="345">
        <v>105000.0</v>
      </c>
      <c r="F452" s="387"/>
      <c r="G452" s="423"/>
      <c r="H452" s="423"/>
      <c r="I452" s="423"/>
      <c r="J452" s="423"/>
      <c r="K452" s="423"/>
      <c r="L452" s="423"/>
      <c r="M452" s="423"/>
      <c r="N452" s="423"/>
      <c r="O452" s="423"/>
      <c r="P452" s="423"/>
      <c r="Q452" s="423"/>
      <c r="R452" s="423"/>
      <c r="S452" s="423"/>
      <c r="T452" s="423"/>
      <c r="U452" s="423"/>
      <c r="V452" s="423"/>
      <c r="W452" s="423"/>
      <c r="X452" s="423"/>
      <c r="Y452" s="423"/>
      <c r="Z452" s="423"/>
      <c r="AA452" s="423"/>
      <c r="AB452" s="423"/>
      <c r="AC452" s="423"/>
      <c r="AD452" s="423"/>
      <c r="AE452" s="423"/>
      <c r="AF452" s="423"/>
      <c r="AG452" s="423"/>
      <c r="AH452" s="423"/>
      <c r="AI452" s="423"/>
    </row>
    <row r="453">
      <c r="A453" s="419"/>
      <c r="B453" s="419"/>
      <c r="C453" s="419"/>
      <c r="D453" s="419"/>
      <c r="E453" s="345">
        <v>240000.0</v>
      </c>
      <c r="F453" s="387"/>
      <c r="G453" s="423"/>
      <c r="H453" s="423"/>
      <c r="I453" s="423"/>
      <c r="J453" s="423"/>
      <c r="K453" s="423"/>
      <c r="L453" s="423"/>
      <c r="M453" s="423"/>
      <c r="N453" s="423"/>
      <c r="O453" s="423"/>
      <c r="P453" s="423"/>
      <c r="Q453" s="423"/>
      <c r="R453" s="423"/>
      <c r="S453" s="423"/>
      <c r="T453" s="423"/>
      <c r="U453" s="423"/>
      <c r="V453" s="423"/>
      <c r="W453" s="423"/>
      <c r="X453" s="423"/>
      <c r="Y453" s="423"/>
      <c r="Z453" s="423"/>
      <c r="AA453" s="423"/>
      <c r="AB453" s="423"/>
      <c r="AC453" s="423"/>
      <c r="AD453" s="423"/>
      <c r="AE453" s="423"/>
      <c r="AF453" s="423"/>
      <c r="AG453" s="423"/>
      <c r="AH453" s="423"/>
      <c r="AI453" s="423"/>
    </row>
    <row r="454">
      <c r="A454" s="419"/>
      <c r="B454" s="419"/>
      <c r="C454" s="419"/>
      <c r="D454" s="419"/>
      <c r="E454" s="345">
        <v>264000.0</v>
      </c>
      <c r="F454" s="387"/>
      <c r="G454" s="423"/>
      <c r="H454" s="423"/>
      <c r="I454" s="423"/>
      <c r="J454" s="423"/>
      <c r="K454" s="423"/>
      <c r="L454" s="423"/>
      <c r="M454" s="423"/>
      <c r="N454" s="423"/>
      <c r="O454" s="423"/>
      <c r="P454" s="423"/>
      <c r="Q454" s="423"/>
      <c r="R454" s="423"/>
      <c r="S454" s="423"/>
      <c r="T454" s="423"/>
      <c r="U454" s="423"/>
      <c r="V454" s="423"/>
      <c r="W454" s="423"/>
      <c r="X454" s="423"/>
      <c r="Y454" s="423"/>
      <c r="Z454" s="423"/>
      <c r="AA454" s="423"/>
      <c r="AB454" s="423"/>
      <c r="AC454" s="423"/>
      <c r="AD454" s="423"/>
      <c r="AE454" s="423"/>
      <c r="AF454" s="423"/>
      <c r="AG454" s="423"/>
      <c r="AH454" s="423"/>
      <c r="AI454" s="423"/>
    </row>
    <row r="455">
      <c r="A455" s="419"/>
      <c r="B455" s="419"/>
      <c r="C455" s="419"/>
      <c r="D455" s="419"/>
      <c r="E455" s="345">
        <v>160000.0</v>
      </c>
      <c r="F455" s="387"/>
      <c r="G455" s="423"/>
      <c r="H455" s="423"/>
      <c r="I455" s="423"/>
      <c r="J455" s="423"/>
      <c r="K455" s="423"/>
      <c r="L455" s="423"/>
      <c r="M455" s="423"/>
      <c r="N455" s="423"/>
      <c r="O455" s="423"/>
      <c r="P455" s="423"/>
      <c r="Q455" s="423"/>
      <c r="R455" s="423"/>
      <c r="S455" s="423"/>
      <c r="T455" s="423"/>
      <c r="U455" s="423"/>
      <c r="V455" s="423"/>
      <c r="W455" s="423"/>
      <c r="X455" s="423"/>
      <c r="Y455" s="423"/>
      <c r="Z455" s="423"/>
      <c r="AA455" s="423"/>
      <c r="AB455" s="423"/>
      <c r="AC455" s="423"/>
      <c r="AD455" s="423"/>
      <c r="AE455" s="423"/>
      <c r="AF455" s="423"/>
      <c r="AG455" s="423"/>
      <c r="AH455" s="423"/>
      <c r="AI455" s="423"/>
    </row>
    <row r="456">
      <c r="A456" s="419"/>
      <c r="B456" s="419"/>
      <c r="C456" s="419"/>
      <c r="D456" s="419"/>
      <c r="E456" s="345">
        <v>176000.0</v>
      </c>
      <c r="F456" s="387"/>
      <c r="G456" s="423"/>
      <c r="H456" s="423"/>
      <c r="I456" s="423"/>
      <c r="J456" s="423"/>
      <c r="K456" s="423"/>
      <c r="L456" s="423"/>
      <c r="M456" s="423"/>
      <c r="N456" s="423"/>
      <c r="O456" s="423"/>
      <c r="P456" s="423"/>
      <c r="Q456" s="423"/>
      <c r="R456" s="423"/>
      <c r="S456" s="423"/>
      <c r="T456" s="423"/>
      <c r="U456" s="423"/>
      <c r="V456" s="423"/>
      <c r="W456" s="423"/>
      <c r="X456" s="423"/>
      <c r="Y456" s="423"/>
      <c r="Z456" s="423"/>
      <c r="AA456" s="423"/>
      <c r="AB456" s="423"/>
      <c r="AC456" s="423"/>
      <c r="AD456" s="423"/>
      <c r="AE456" s="423"/>
      <c r="AF456" s="423"/>
      <c r="AG456" s="423"/>
      <c r="AH456" s="423"/>
      <c r="AI456" s="423"/>
    </row>
    <row r="457">
      <c r="A457" s="419"/>
      <c r="B457" s="419"/>
      <c r="C457" s="419"/>
      <c r="D457" s="419"/>
      <c r="E457" s="345">
        <v>260000.0</v>
      </c>
      <c r="F457" s="387"/>
      <c r="G457" s="423"/>
      <c r="H457" s="423"/>
      <c r="I457" s="423"/>
      <c r="J457" s="423"/>
      <c r="K457" s="423"/>
      <c r="L457" s="423"/>
      <c r="M457" s="423"/>
      <c r="N457" s="423"/>
      <c r="O457" s="423"/>
      <c r="P457" s="423"/>
      <c r="Q457" s="423"/>
      <c r="R457" s="423"/>
      <c r="S457" s="423"/>
      <c r="T457" s="423"/>
      <c r="U457" s="423"/>
      <c r="V457" s="423"/>
      <c r="W457" s="423"/>
      <c r="X457" s="423"/>
      <c r="Y457" s="423"/>
      <c r="Z457" s="423"/>
      <c r="AA457" s="423"/>
      <c r="AB457" s="423"/>
      <c r="AC457" s="423"/>
      <c r="AD457" s="423"/>
      <c r="AE457" s="423"/>
      <c r="AF457" s="423"/>
      <c r="AG457" s="423"/>
      <c r="AH457" s="423"/>
      <c r="AI457" s="423"/>
    </row>
    <row r="458">
      <c r="A458" s="419"/>
      <c r="B458" s="419"/>
      <c r="C458" s="419"/>
      <c r="D458" s="419"/>
      <c r="E458" s="345">
        <v>260000.0</v>
      </c>
      <c r="F458" s="387"/>
      <c r="G458" s="423"/>
      <c r="H458" s="423"/>
      <c r="I458" s="423"/>
      <c r="J458" s="423"/>
      <c r="K458" s="423"/>
      <c r="L458" s="423"/>
      <c r="M458" s="423"/>
      <c r="N458" s="423"/>
      <c r="O458" s="423"/>
      <c r="P458" s="423"/>
      <c r="Q458" s="423"/>
      <c r="R458" s="423"/>
      <c r="S458" s="423"/>
      <c r="T458" s="423"/>
      <c r="U458" s="423"/>
      <c r="V458" s="423"/>
      <c r="W458" s="423"/>
      <c r="X458" s="423"/>
      <c r="Y458" s="423"/>
      <c r="Z458" s="423"/>
      <c r="AA458" s="423"/>
      <c r="AB458" s="423"/>
      <c r="AC458" s="423"/>
      <c r="AD458" s="423"/>
      <c r="AE458" s="423"/>
      <c r="AF458" s="423"/>
      <c r="AG458" s="423"/>
      <c r="AH458" s="423"/>
      <c r="AI458" s="423"/>
    </row>
    <row r="459">
      <c r="A459" s="419"/>
      <c r="B459" s="419"/>
      <c r="C459" s="419"/>
      <c r="D459" s="419"/>
      <c r="E459" s="345">
        <v>1556000.0</v>
      </c>
      <c r="F459" s="387"/>
      <c r="G459" s="423"/>
      <c r="H459" s="423"/>
      <c r="I459" s="423"/>
      <c r="J459" s="423"/>
      <c r="K459" s="423"/>
      <c r="L459" s="423"/>
      <c r="M459" s="423"/>
      <c r="N459" s="423"/>
      <c r="O459" s="423"/>
      <c r="P459" s="423"/>
      <c r="Q459" s="423"/>
      <c r="R459" s="423"/>
      <c r="S459" s="423"/>
      <c r="T459" s="423"/>
      <c r="U459" s="423"/>
      <c r="V459" s="423"/>
      <c r="W459" s="423"/>
      <c r="X459" s="423"/>
      <c r="Y459" s="423"/>
      <c r="Z459" s="423"/>
      <c r="AA459" s="423"/>
      <c r="AB459" s="423"/>
      <c r="AC459" s="423"/>
      <c r="AD459" s="423"/>
      <c r="AE459" s="423"/>
      <c r="AF459" s="423"/>
      <c r="AG459" s="423"/>
      <c r="AH459" s="423"/>
      <c r="AI459" s="423"/>
    </row>
    <row r="460">
      <c r="A460" s="419"/>
      <c r="B460" s="419"/>
      <c r="C460" s="419"/>
      <c r="D460" s="419"/>
      <c r="E460" s="345">
        <v>500000.0</v>
      </c>
      <c r="F460" s="387"/>
      <c r="G460" s="423"/>
      <c r="H460" s="423"/>
      <c r="I460" s="423"/>
      <c r="J460" s="423"/>
      <c r="K460" s="423"/>
      <c r="L460" s="423"/>
      <c r="M460" s="423"/>
      <c r="N460" s="423"/>
      <c r="O460" s="423"/>
      <c r="P460" s="423"/>
      <c r="Q460" s="423"/>
      <c r="R460" s="423"/>
      <c r="S460" s="423"/>
      <c r="T460" s="423"/>
      <c r="U460" s="423"/>
      <c r="V460" s="423"/>
      <c r="W460" s="423"/>
      <c r="X460" s="423"/>
      <c r="Y460" s="423"/>
      <c r="Z460" s="423"/>
      <c r="AA460" s="423"/>
      <c r="AB460" s="423"/>
      <c r="AC460" s="423"/>
      <c r="AD460" s="423"/>
      <c r="AE460" s="423"/>
      <c r="AF460" s="423"/>
      <c r="AG460" s="423"/>
      <c r="AH460" s="423"/>
      <c r="AI460" s="423"/>
    </row>
    <row r="461">
      <c r="A461" s="419"/>
      <c r="B461" s="419"/>
      <c r="C461" s="419"/>
      <c r="D461" s="419"/>
      <c r="E461" s="345">
        <v>980000.0</v>
      </c>
      <c r="F461" s="387"/>
      <c r="G461" s="423"/>
      <c r="H461" s="423"/>
      <c r="I461" s="423"/>
      <c r="J461" s="423"/>
      <c r="K461" s="423"/>
      <c r="L461" s="423"/>
      <c r="M461" s="423"/>
      <c r="N461" s="423"/>
      <c r="O461" s="423"/>
      <c r="P461" s="423"/>
      <c r="Q461" s="423"/>
      <c r="R461" s="423"/>
      <c r="S461" s="423"/>
      <c r="T461" s="423"/>
      <c r="U461" s="423"/>
      <c r="V461" s="423"/>
      <c r="W461" s="423"/>
      <c r="X461" s="423"/>
      <c r="Y461" s="423"/>
      <c r="Z461" s="423"/>
      <c r="AA461" s="423"/>
      <c r="AB461" s="423"/>
      <c r="AC461" s="423"/>
      <c r="AD461" s="423"/>
      <c r="AE461" s="423"/>
      <c r="AF461" s="423"/>
      <c r="AG461" s="423"/>
      <c r="AH461" s="423"/>
      <c r="AI461" s="423"/>
    </row>
    <row r="462">
      <c r="A462" s="419"/>
      <c r="B462" s="419"/>
      <c r="C462" s="419"/>
      <c r="D462" s="419"/>
      <c r="E462" s="345">
        <f>130000*16</f>
        <v>2080000</v>
      </c>
      <c r="F462" s="387"/>
      <c r="G462" s="423"/>
      <c r="H462" s="423"/>
      <c r="I462" s="423"/>
      <c r="J462" s="423"/>
      <c r="K462" s="423"/>
      <c r="L462" s="423"/>
      <c r="M462" s="423"/>
      <c r="N462" s="423"/>
      <c r="O462" s="423"/>
      <c r="P462" s="423"/>
      <c r="Q462" s="423"/>
      <c r="R462" s="423"/>
      <c r="S462" s="423"/>
      <c r="T462" s="423"/>
      <c r="U462" s="423"/>
      <c r="V462" s="423"/>
      <c r="W462" s="423"/>
      <c r="X462" s="423"/>
      <c r="Y462" s="423"/>
      <c r="Z462" s="423"/>
      <c r="AA462" s="423"/>
      <c r="AB462" s="423"/>
      <c r="AC462" s="423"/>
      <c r="AD462" s="423"/>
      <c r="AE462" s="423"/>
      <c r="AF462" s="423"/>
      <c r="AG462" s="423"/>
      <c r="AH462" s="423"/>
      <c r="AI462" s="423"/>
    </row>
    <row r="463">
      <c r="A463" s="419"/>
      <c r="B463" s="419"/>
      <c r="C463" s="419"/>
      <c r="D463" s="419"/>
      <c r="E463" s="345">
        <f>200000*2</f>
        <v>400000</v>
      </c>
      <c r="F463" s="387"/>
      <c r="G463" s="423"/>
      <c r="H463" s="423"/>
      <c r="I463" s="423"/>
      <c r="J463" s="423"/>
      <c r="K463" s="423"/>
      <c r="L463" s="423"/>
      <c r="M463" s="423"/>
      <c r="N463" s="423"/>
      <c r="O463" s="423"/>
      <c r="P463" s="423"/>
      <c r="Q463" s="423"/>
      <c r="R463" s="423"/>
      <c r="S463" s="423"/>
      <c r="T463" s="423"/>
      <c r="U463" s="423"/>
      <c r="V463" s="423"/>
      <c r="W463" s="423"/>
      <c r="X463" s="423"/>
      <c r="Y463" s="423"/>
      <c r="Z463" s="423"/>
      <c r="AA463" s="423"/>
      <c r="AB463" s="423"/>
      <c r="AC463" s="423"/>
      <c r="AD463" s="423"/>
      <c r="AE463" s="423"/>
      <c r="AF463" s="423"/>
      <c r="AG463" s="423"/>
      <c r="AH463" s="423"/>
      <c r="AI463" s="423"/>
    </row>
    <row r="464">
      <c r="A464" s="419"/>
      <c r="B464" s="419"/>
      <c r="C464" s="419"/>
      <c r="D464" s="419"/>
      <c r="E464" s="345">
        <f>4000000+(70000*16)</f>
        <v>5120000</v>
      </c>
      <c r="F464" s="387"/>
      <c r="G464" s="423"/>
      <c r="H464" s="423"/>
      <c r="I464" s="423"/>
      <c r="J464" s="423"/>
      <c r="K464" s="423"/>
      <c r="L464" s="423"/>
      <c r="M464" s="423"/>
      <c r="N464" s="423"/>
      <c r="O464" s="423"/>
      <c r="P464" s="423"/>
      <c r="Q464" s="423"/>
      <c r="R464" s="423"/>
      <c r="S464" s="423"/>
      <c r="T464" s="423"/>
      <c r="U464" s="423"/>
      <c r="V464" s="423"/>
      <c r="W464" s="423"/>
      <c r="X464" s="423"/>
      <c r="Y464" s="423"/>
      <c r="Z464" s="423"/>
      <c r="AA464" s="423"/>
      <c r="AB464" s="423"/>
      <c r="AC464" s="423"/>
      <c r="AD464" s="423"/>
      <c r="AE464" s="423"/>
      <c r="AF464" s="423"/>
      <c r="AG464" s="423"/>
      <c r="AH464" s="423"/>
      <c r="AI464" s="423"/>
    </row>
    <row r="465">
      <c r="A465" s="419"/>
      <c r="B465" s="419"/>
      <c r="C465" s="419"/>
      <c r="D465" s="419"/>
      <c r="E465" s="345">
        <f t="shared" ref="E465:E466" si="229">200000*2</f>
        <v>400000</v>
      </c>
      <c r="F465" s="387"/>
      <c r="G465" s="423"/>
      <c r="H465" s="423"/>
      <c r="I465" s="423"/>
      <c r="J465" s="423"/>
      <c r="K465" s="423"/>
      <c r="L465" s="423"/>
      <c r="M465" s="423"/>
      <c r="N465" s="423"/>
      <c r="O465" s="423"/>
      <c r="P465" s="423"/>
      <c r="Q465" s="423"/>
      <c r="R465" s="423"/>
      <c r="S465" s="423"/>
      <c r="T465" s="423"/>
      <c r="U465" s="423"/>
      <c r="V465" s="423"/>
      <c r="W465" s="423"/>
      <c r="X465" s="423"/>
      <c r="Y465" s="423"/>
      <c r="Z465" s="423"/>
      <c r="AA465" s="423"/>
      <c r="AB465" s="423"/>
      <c r="AC465" s="423"/>
      <c r="AD465" s="423"/>
      <c r="AE465" s="423"/>
      <c r="AF465" s="423"/>
      <c r="AG465" s="423"/>
      <c r="AH465" s="423"/>
      <c r="AI465" s="423"/>
    </row>
    <row r="466">
      <c r="A466" s="419"/>
      <c r="B466" s="419"/>
      <c r="C466" s="419"/>
      <c r="D466" s="419"/>
      <c r="E466" s="345">
        <f t="shared" si="229"/>
        <v>400000</v>
      </c>
      <c r="F466" s="387"/>
      <c r="G466" s="423"/>
      <c r="H466" s="423"/>
      <c r="I466" s="423"/>
      <c r="J466" s="423"/>
      <c r="K466" s="423"/>
      <c r="L466" s="423"/>
      <c r="M466" s="423"/>
      <c r="N466" s="423"/>
      <c r="O466" s="423"/>
      <c r="P466" s="423"/>
      <c r="Q466" s="423"/>
      <c r="R466" s="423"/>
      <c r="S466" s="423"/>
      <c r="T466" s="423"/>
      <c r="U466" s="423"/>
      <c r="V466" s="423"/>
      <c r="W466" s="423"/>
      <c r="X466" s="423"/>
      <c r="Y466" s="423"/>
      <c r="Z466" s="423"/>
      <c r="AA466" s="423"/>
      <c r="AB466" s="423"/>
      <c r="AC466" s="423"/>
      <c r="AD466" s="423"/>
      <c r="AE466" s="423"/>
      <c r="AF466" s="423"/>
      <c r="AG466" s="423"/>
      <c r="AH466" s="423"/>
      <c r="AI466" s="423"/>
    </row>
    <row r="467">
      <c r="A467" s="419"/>
      <c r="B467" s="419"/>
      <c r="C467" s="419"/>
      <c r="D467" s="419"/>
      <c r="E467" s="345">
        <f>200000*16</f>
        <v>3200000</v>
      </c>
      <c r="F467" s="387"/>
      <c r="G467" s="423"/>
      <c r="H467" s="423"/>
      <c r="I467" s="423"/>
      <c r="J467" s="423"/>
      <c r="K467" s="423"/>
      <c r="L467" s="423"/>
      <c r="M467" s="423"/>
      <c r="N467" s="423"/>
      <c r="O467" s="423"/>
      <c r="P467" s="423"/>
      <c r="Q467" s="423"/>
      <c r="R467" s="423"/>
      <c r="S467" s="423"/>
      <c r="T467" s="423"/>
      <c r="U467" s="423"/>
      <c r="V467" s="423"/>
      <c r="W467" s="423"/>
      <c r="X467" s="423"/>
      <c r="Y467" s="423"/>
      <c r="Z467" s="423"/>
      <c r="AA467" s="423"/>
      <c r="AB467" s="423"/>
      <c r="AC467" s="423"/>
      <c r="AD467" s="423"/>
      <c r="AE467" s="423"/>
      <c r="AF467" s="423"/>
      <c r="AG467" s="423"/>
      <c r="AH467" s="423"/>
      <c r="AI467" s="423"/>
    </row>
    <row r="468">
      <c r="A468" s="419"/>
      <c r="B468" s="419"/>
      <c r="C468" s="419"/>
      <c r="D468" s="419"/>
      <c r="E468" s="387"/>
      <c r="F468" s="387"/>
      <c r="G468" s="423"/>
      <c r="H468" s="423"/>
      <c r="I468" s="423"/>
      <c r="J468" s="423"/>
      <c r="K468" s="423"/>
      <c r="L468" s="423"/>
      <c r="M468" s="423"/>
      <c r="N468" s="423"/>
      <c r="O468" s="423"/>
      <c r="P468" s="423"/>
      <c r="Q468" s="423"/>
      <c r="R468" s="423"/>
      <c r="S468" s="423"/>
      <c r="T468" s="423"/>
      <c r="U468" s="423"/>
      <c r="V468" s="423"/>
      <c r="W468" s="423"/>
      <c r="X468" s="423"/>
      <c r="Y468" s="423"/>
      <c r="Z468" s="423"/>
      <c r="AA468" s="423"/>
      <c r="AB468" s="423"/>
      <c r="AC468" s="423"/>
      <c r="AD468" s="423"/>
      <c r="AE468" s="423"/>
      <c r="AF468" s="423"/>
      <c r="AG468" s="423"/>
      <c r="AH468" s="423"/>
      <c r="AI468" s="423"/>
    </row>
    <row r="469">
      <c r="A469" s="419"/>
      <c r="B469" s="419"/>
      <c r="C469" s="419"/>
      <c r="D469" s="419"/>
      <c r="E469" s="387"/>
      <c r="F469" s="387"/>
      <c r="G469" s="423"/>
      <c r="H469" s="423"/>
      <c r="I469" s="423"/>
      <c r="J469" s="423"/>
      <c r="K469" s="423"/>
      <c r="L469" s="423"/>
      <c r="M469" s="423"/>
      <c r="N469" s="423"/>
      <c r="O469" s="423"/>
      <c r="P469" s="423"/>
      <c r="Q469" s="423"/>
      <c r="R469" s="423"/>
      <c r="S469" s="423"/>
      <c r="T469" s="423"/>
      <c r="U469" s="423"/>
      <c r="V469" s="423"/>
      <c r="W469" s="423"/>
      <c r="X469" s="423"/>
      <c r="Y469" s="423"/>
      <c r="Z469" s="423"/>
      <c r="AA469" s="423"/>
      <c r="AB469" s="423"/>
      <c r="AC469" s="423"/>
      <c r="AD469" s="423"/>
      <c r="AE469" s="423"/>
      <c r="AF469" s="423"/>
      <c r="AG469" s="423"/>
      <c r="AH469" s="423"/>
      <c r="AI469" s="423"/>
    </row>
    <row r="470">
      <c r="A470" s="419"/>
      <c r="B470" s="419"/>
      <c r="C470" s="419"/>
      <c r="D470" s="419"/>
      <c r="E470" s="387"/>
      <c r="F470" s="387"/>
      <c r="G470" s="423"/>
      <c r="H470" s="423"/>
      <c r="I470" s="423"/>
      <c r="J470" s="423"/>
      <c r="K470" s="423"/>
      <c r="L470" s="423"/>
      <c r="M470" s="423"/>
      <c r="N470" s="423"/>
      <c r="O470" s="423"/>
      <c r="P470" s="423"/>
      <c r="Q470" s="423"/>
      <c r="R470" s="423"/>
      <c r="S470" s="423"/>
      <c r="T470" s="423"/>
      <c r="U470" s="423"/>
      <c r="V470" s="423"/>
      <c r="W470" s="423"/>
      <c r="X470" s="423"/>
      <c r="Y470" s="423"/>
      <c r="Z470" s="423"/>
      <c r="AA470" s="423"/>
      <c r="AB470" s="423"/>
      <c r="AC470" s="423"/>
      <c r="AD470" s="423"/>
      <c r="AE470" s="423"/>
      <c r="AF470" s="423"/>
      <c r="AG470" s="423"/>
      <c r="AH470" s="423"/>
      <c r="AI470" s="423"/>
    </row>
    <row r="471">
      <c r="A471" s="419"/>
      <c r="B471" s="419"/>
      <c r="C471" s="419"/>
      <c r="D471" s="419"/>
      <c r="E471" s="387"/>
      <c r="F471" s="387"/>
      <c r="G471" s="423"/>
      <c r="H471" s="423"/>
      <c r="I471" s="423"/>
      <c r="J471" s="423"/>
      <c r="K471" s="423"/>
      <c r="L471" s="423"/>
      <c r="M471" s="423"/>
      <c r="N471" s="423"/>
      <c r="O471" s="423"/>
      <c r="P471" s="423"/>
      <c r="Q471" s="423"/>
      <c r="R471" s="423"/>
      <c r="S471" s="423"/>
      <c r="T471" s="423"/>
      <c r="U471" s="423"/>
      <c r="V471" s="423"/>
      <c r="W471" s="423"/>
      <c r="X471" s="423"/>
      <c r="Y471" s="423"/>
      <c r="Z471" s="423"/>
      <c r="AA471" s="423"/>
      <c r="AB471" s="423"/>
      <c r="AC471" s="423"/>
      <c r="AD471" s="423"/>
      <c r="AE471" s="423"/>
      <c r="AF471" s="423"/>
      <c r="AG471" s="423"/>
      <c r="AH471" s="423"/>
      <c r="AI471" s="423"/>
    </row>
    <row r="472">
      <c r="A472" s="419"/>
      <c r="B472" s="419"/>
      <c r="C472" s="419"/>
      <c r="D472" s="419"/>
      <c r="E472" s="387"/>
      <c r="F472" s="387"/>
      <c r="G472" s="423"/>
      <c r="H472" s="423"/>
      <c r="I472" s="423"/>
      <c r="J472" s="423"/>
      <c r="K472" s="423"/>
      <c r="L472" s="423"/>
      <c r="M472" s="423"/>
      <c r="N472" s="423"/>
      <c r="O472" s="423"/>
      <c r="P472" s="423"/>
      <c r="Q472" s="423"/>
      <c r="R472" s="423"/>
      <c r="S472" s="423"/>
      <c r="T472" s="423"/>
      <c r="U472" s="423"/>
      <c r="V472" s="423"/>
      <c r="W472" s="423"/>
      <c r="X472" s="423"/>
      <c r="Y472" s="423"/>
      <c r="Z472" s="423"/>
      <c r="AA472" s="423"/>
      <c r="AB472" s="423"/>
      <c r="AC472" s="423"/>
      <c r="AD472" s="423"/>
      <c r="AE472" s="423"/>
      <c r="AF472" s="423"/>
      <c r="AG472" s="423"/>
      <c r="AH472" s="423"/>
      <c r="AI472" s="423"/>
    </row>
    <row r="473">
      <c r="A473" s="419"/>
      <c r="B473" s="419"/>
      <c r="C473" s="419"/>
      <c r="D473" s="419"/>
      <c r="E473" s="387"/>
      <c r="F473" s="387"/>
      <c r="G473" s="423"/>
      <c r="H473" s="423"/>
      <c r="I473" s="423"/>
      <c r="J473" s="423"/>
      <c r="K473" s="423"/>
      <c r="L473" s="423"/>
      <c r="M473" s="423"/>
      <c r="N473" s="423"/>
      <c r="O473" s="423"/>
      <c r="P473" s="423"/>
      <c r="Q473" s="423"/>
      <c r="R473" s="423"/>
      <c r="S473" s="423"/>
      <c r="T473" s="423"/>
      <c r="U473" s="423"/>
      <c r="V473" s="423"/>
      <c r="W473" s="423"/>
      <c r="X473" s="423"/>
      <c r="Y473" s="423"/>
      <c r="Z473" s="423"/>
      <c r="AA473" s="423"/>
      <c r="AB473" s="423"/>
      <c r="AC473" s="423"/>
      <c r="AD473" s="423"/>
      <c r="AE473" s="423"/>
      <c r="AF473" s="423"/>
      <c r="AG473" s="423"/>
      <c r="AH473" s="423"/>
      <c r="AI473" s="423"/>
    </row>
    <row r="474">
      <c r="A474" s="419"/>
      <c r="B474" s="419"/>
      <c r="C474" s="419"/>
      <c r="D474" s="419"/>
      <c r="E474" s="387"/>
      <c r="F474" s="387"/>
      <c r="G474" s="423"/>
      <c r="H474" s="423"/>
      <c r="I474" s="423"/>
      <c r="J474" s="423"/>
      <c r="K474" s="423"/>
      <c r="L474" s="423"/>
      <c r="M474" s="423"/>
      <c r="N474" s="423"/>
      <c r="O474" s="423"/>
      <c r="P474" s="423"/>
      <c r="Q474" s="423"/>
      <c r="R474" s="423"/>
      <c r="S474" s="423"/>
      <c r="T474" s="423"/>
      <c r="U474" s="423"/>
      <c r="V474" s="423"/>
      <c r="W474" s="423"/>
      <c r="X474" s="423"/>
      <c r="Y474" s="423"/>
      <c r="Z474" s="423"/>
      <c r="AA474" s="423"/>
      <c r="AB474" s="423"/>
      <c r="AC474" s="423"/>
      <c r="AD474" s="423"/>
      <c r="AE474" s="423"/>
      <c r="AF474" s="423"/>
      <c r="AG474" s="423"/>
      <c r="AH474" s="423"/>
      <c r="AI474" s="423"/>
    </row>
    <row r="475">
      <c r="A475" s="419"/>
      <c r="B475" s="419"/>
      <c r="C475" s="419"/>
      <c r="D475" s="419"/>
      <c r="E475" s="387"/>
      <c r="F475" s="387"/>
      <c r="G475" s="423"/>
      <c r="H475" s="423"/>
      <c r="I475" s="423"/>
      <c r="J475" s="423"/>
      <c r="K475" s="423"/>
      <c r="L475" s="423"/>
      <c r="M475" s="423"/>
      <c r="N475" s="423"/>
      <c r="O475" s="423"/>
      <c r="P475" s="423"/>
      <c r="Q475" s="423"/>
      <c r="R475" s="423"/>
      <c r="S475" s="423"/>
      <c r="T475" s="423"/>
      <c r="U475" s="423"/>
      <c r="V475" s="423"/>
      <c r="W475" s="423"/>
      <c r="X475" s="423"/>
      <c r="Y475" s="423"/>
      <c r="Z475" s="423"/>
      <c r="AA475" s="423"/>
      <c r="AB475" s="423"/>
      <c r="AC475" s="423"/>
      <c r="AD475" s="423"/>
      <c r="AE475" s="423"/>
      <c r="AF475" s="423"/>
      <c r="AG475" s="423"/>
      <c r="AH475" s="423"/>
      <c r="AI475" s="423"/>
    </row>
    <row r="476">
      <c r="A476" s="419"/>
      <c r="B476" s="419"/>
      <c r="C476" s="419"/>
      <c r="D476" s="419"/>
      <c r="E476" s="387"/>
      <c r="F476" s="387"/>
      <c r="G476" s="423"/>
      <c r="H476" s="423"/>
      <c r="I476" s="423"/>
      <c r="J476" s="423"/>
      <c r="K476" s="423"/>
      <c r="L476" s="423"/>
      <c r="M476" s="423"/>
      <c r="N476" s="423"/>
      <c r="O476" s="423"/>
      <c r="P476" s="423"/>
      <c r="Q476" s="423"/>
      <c r="R476" s="423"/>
      <c r="S476" s="423"/>
      <c r="T476" s="423"/>
      <c r="U476" s="423"/>
      <c r="V476" s="423"/>
      <c r="W476" s="423"/>
      <c r="X476" s="423"/>
      <c r="Y476" s="423"/>
      <c r="Z476" s="423"/>
      <c r="AA476" s="423"/>
      <c r="AB476" s="423"/>
      <c r="AC476" s="423"/>
      <c r="AD476" s="423"/>
      <c r="AE476" s="423"/>
      <c r="AF476" s="423"/>
      <c r="AG476" s="423"/>
      <c r="AH476" s="423"/>
      <c r="AI476" s="423"/>
    </row>
    <row r="477">
      <c r="A477" s="419"/>
      <c r="B477" s="419"/>
      <c r="C477" s="419"/>
      <c r="D477" s="419"/>
      <c r="E477" s="387"/>
      <c r="F477" s="387"/>
      <c r="G477" s="423"/>
      <c r="H477" s="423"/>
      <c r="I477" s="423"/>
      <c r="J477" s="423"/>
      <c r="K477" s="423"/>
      <c r="L477" s="423"/>
      <c r="M477" s="423"/>
      <c r="N477" s="423"/>
      <c r="O477" s="423"/>
      <c r="P477" s="423"/>
      <c r="Q477" s="423"/>
      <c r="R477" s="423"/>
      <c r="S477" s="423"/>
      <c r="T477" s="423"/>
      <c r="U477" s="423"/>
      <c r="V477" s="423"/>
      <c r="W477" s="423"/>
      <c r="X477" s="423"/>
      <c r="Y477" s="423"/>
      <c r="Z477" s="423"/>
      <c r="AA477" s="423"/>
      <c r="AB477" s="423"/>
      <c r="AC477" s="423"/>
      <c r="AD477" s="423"/>
      <c r="AE477" s="423"/>
      <c r="AF477" s="423"/>
      <c r="AG477" s="423"/>
      <c r="AH477" s="423"/>
      <c r="AI477" s="423"/>
    </row>
    <row r="478">
      <c r="A478" s="419"/>
      <c r="B478" s="419"/>
      <c r="C478" s="419"/>
      <c r="D478" s="419"/>
      <c r="E478" s="387"/>
      <c r="F478" s="387"/>
      <c r="G478" s="423"/>
      <c r="H478" s="423"/>
      <c r="I478" s="423"/>
      <c r="J478" s="423"/>
      <c r="K478" s="423"/>
      <c r="L478" s="423"/>
      <c r="M478" s="423"/>
      <c r="N478" s="423"/>
      <c r="O478" s="423"/>
      <c r="P478" s="423"/>
      <c r="Q478" s="423"/>
      <c r="R478" s="423"/>
      <c r="S478" s="423"/>
      <c r="T478" s="423"/>
      <c r="U478" s="423"/>
      <c r="V478" s="423"/>
      <c r="W478" s="423"/>
      <c r="X478" s="423"/>
      <c r="Y478" s="423"/>
      <c r="Z478" s="423"/>
      <c r="AA478" s="423"/>
      <c r="AB478" s="423"/>
      <c r="AC478" s="423"/>
      <c r="AD478" s="423"/>
      <c r="AE478" s="423"/>
      <c r="AF478" s="423"/>
      <c r="AG478" s="423"/>
      <c r="AH478" s="423"/>
      <c r="AI478" s="423"/>
    </row>
    <row r="479">
      <c r="A479" s="419"/>
      <c r="B479" s="419"/>
      <c r="C479" s="419"/>
      <c r="D479" s="419"/>
      <c r="E479" s="387"/>
      <c r="F479" s="387"/>
      <c r="G479" s="423"/>
      <c r="H479" s="423"/>
      <c r="I479" s="423"/>
      <c r="J479" s="423"/>
      <c r="K479" s="423"/>
      <c r="L479" s="423"/>
      <c r="M479" s="423"/>
      <c r="N479" s="423"/>
      <c r="O479" s="423"/>
      <c r="P479" s="423"/>
      <c r="Q479" s="423"/>
      <c r="R479" s="423"/>
      <c r="S479" s="423"/>
      <c r="T479" s="423"/>
      <c r="U479" s="423"/>
      <c r="V479" s="423"/>
      <c r="W479" s="423"/>
      <c r="X479" s="423"/>
      <c r="Y479" s="423"/>
      <c r="Z479" s="423"/>
      <c r="AA479" s="423"/>
      <c r="AB479" s="423"/>
      <c r="AC479" s="423"/>
      <c r="AD479" s="423"/>
      <c r="AE479" s="423"/>
      <c r="AF479" s="423"/>
      <c r="AG479" s="423"/>
      <c r="AH479" s="423"/>
      <c r="AI479" s="423"/>
    </row>
    <row r="480">
      <c r="A480" s="419"/>
      <c r="B480" s="419"/>
      <c r="C480" s="419"/>
      <c r="D480" s="419"/>
      <c r="E480" s="387"/>
      <c r="F480" s="387"/>
      <c r="G480" s="423"/>
      <c r="H480" s="423"/>
      <c r="I480" s="423"/>
      <c r="J480" s="423"/>
      <c r="K480" s="423"/>
      <c r="L480" s="423"/>
      <c r="M480" s="423"/>
      <c r="N480" s="423"/>
      <c r="O480" s="423"/>
      <c r="P480" s="423"/>
      <c r="Q480" s="423"/>
      <c r="R480" s="423"/>
      <c r="S480" s="423"/>
      <c r="T480" s="423"/>
      <c r="U480" s="423"/>
      <c r="V480" s="423"/>
      <c r="W480" s="423"/>
      <c r="X480" s="423"/>
      <c r="Y480" s="423"/>
      <c r="Z480" s="423"/>
      <c r="AA480" s="423"/>
      <c r="AB480" s="423"/>
      <c r="AC480" s="423"/>
      <c r="AD480" s="423"/>
      <c r="AE480" s="423"/>
      <c r="AF480" s="423"/>
      <c r="AG480" s="423"/>
      <c r="AH480" s="423"/>
      <c r="AI480" s="423"/>
    </row>
    <row r="481">
      <c r="A481" s="419"/>
      <c r="B481" s="419"/>
      <c r="C481" s="419"/>
      <c r="D481" s="419"/>
      <c r="E481" s="387"/>
      <c r="F481" s="387"/>
      <c r="G481" s="423"/>
      <c r="H481" s="423"/>
      <c r="I481" s="423"/>
      <c r="J481" s="423"/>
      <c r="K481" s="423"/>
      <c r="L481" s="423"/>
      <c r="M481" s="423"/>
      <c r="N481" s="423"/>
      <c r="O481" s="423"/>
      <c r="P481" s="423"/>
      <c r="Q481" s="423"/>
      <c r="R481" s="423"/>
      <c r="S481" s="423"/>
      <c r="T481" s="423"/>
      <c r="U481" s="423"/>
      <c r="V481" s="423"/>
      <c r="W481" s="423"/>
      <c r="X481" s="423"/>
      <c r="Y481" s="423"/>
      <c r="Z481" s="423"/>
      <c r="AA481" s="423"/>
      <c r="AB481" s="423"/>
      <c r="AC481" s="423"/>
      <c r="AD481" s="423"/>
      <c r="AE481" s="423"/>
      <c r="AF481" s="423"/>
      <c r="AG481" s="423"/>
      <c r="AH481" s="423"/>
      <c r="AI481" s="423"/>
    </row>
    <row r="482">
      <c r="A482" s="419"/>
      <c r="B482" s="419"/>
      <c r="C482" s="419"/>
      <c r="D482" s="419"/>
      <c r="E482" s="387"/>
      <c r="F482" s="387"/>
      <c r="G482" s="423"/>
      <c r="H482" s="423"/>
      <c r="I482" s="423"/>
      <c r="J482" s="423"/>
      <c r="K482" s="423"/>
      <c r="L482" s="423"/>
      <c r="M482" s="423"/>
      <c r="N482" s="423"/>
      <c r="O482" s="423"/>
      <c r="P482" s="423"/>
      <c r="Q482" s="423"/>
      <c r="R482" s="423"/>
      <c r="S482" s="423"/>
      <c r="T482" s="423"/>
      <c r="U482" s="423"/>
      <c r="V482" s="423"/>
      <c r="W482" s="423"/>
      <c r="X482" s="423"/>
      <c r="Y482" s="423"/>
      <c r="Z482" s="423"/>
      <c r="AA482" s="423"/>
      <c r="AB482" s="423"/>
      <c r="AC482" s="423"/>
      <c r="AD482" s="423"/>
      <c r="AE482" s="423"/>
      <c r="AF482" s="423"/>
      <c r="AG482" s="423"/>
      <c r="AH482" s="423"/>
      <c r="AI482" s="423"/>
    </row>
    <row r="483">
      <c r="A483" s="419"/>
      <c r="B483" s="419"/>
      <c r="C483" s="419"/>
      <c r="D483" s="419"/>
      <c r="E483" s="387"/>
      <c r="F483" s="387"/>
      <c r="G483" s="423"/>
      <c r="H483" s="423"/>
      <c r="I483" s="423"/>
      <c r="J483" s="423"/>
      <c r="K483" s="423"/>
      <c r="L483" s="423"/>
      <c r="M483" s="423"/>
      <c r="N483" s="423"/>
      <c r="O483" s="423"/>
      <c r="P483" s="423"/>
      <c r="Q483" s="423"/>
      <c r="R483" s="423"/>
      <c r="S483" s="423"/>
      <c r="T483" s="423"/>
      <c r="U483" s="423"/>
      <c r="V483" s="423"/>
      <c r="W483" s="423"/>
      <c r="X483" s="423"/>
      <c r="Y483" s="423"/>
      <c r="Z483" s="423"/>
      <c r="AA483" s="423"/>
      <c r="AB483" s="423"/>
      <c r="AC483" s="423"/>
      <c r="AD483" s="423"/>
      <c r="AE483" s="423"/>
      <c r="AF483" s="423"/>
      <c r="AG483" s="423"/>
      <c r="AH483" s="423"/>
      <c r="AI483" s="423"/>
    </row>
    <row r="484">
      <c r="A484" s="419"/>
      <c r="B484" s="419"/>
      <c r="C484" s="419"/>
      <c r="D484" s="419"/>
      <c r="E484" s="387"/>
      <c r="F484" s="387"/>
      <c r="G484" s="423"/>
      <c r="H484" s="423"/>
      <c r="I484" s="423"/>
      <c r="J484" s="423"/>
      <c r="K484" s="423"/>
      <c r="L484" s="423"/>
      <c r="M484" s="423"/>
      <c r="N484" s="423"/>
      <c r="O484" s="423"/>
      <c r="P484" s="423"/>
      <c r="Q484" s="423"/>
      <c r="R484" s="423"/>
      <c r="S484" s="423"/>
      <c r="T484" s="423"/>
      <c r="U484" s="423"/>
      <c r="V484" s="423"/>
      <c r="W484" s="423"/>
      <c r="X484" s="423"/>
      <c r="Y484" s="423"/>
      <c r="Z484" s="423"/>
      <c r="AA484" s="423"/>
      <c r="AB484" s="423"/>
      <c r="AC484" s="423"/>
      <c r="AD484" s="423"/>
      <c r="AE484" s="423"/>
      <c r="AF484" s="423"/>
      <c r="AG484" s="423"/>
      <c r="AH484" s="423"/>
      <c r="AI484" s="423"/>
    </row>
    <row r="485">
      <c r="A485" s="419"/>
      <c r="B485" s="419"/>
      <c r="C485" s="419"/>
      <c r="D485" s="419"/>
      <c r="E485" s="387"/>
      <c r="F485" s="387"/>
      <c r="G485" s="423"/>
      <c r="H485" s="423"/>
      <c r="I485" s="423"/>
      <c r="J485" s="423"/>
      <c r="K485" s="423"/>
      <c r="L485" s="423"/>
      <c r="M485" s="423"/>
      <c r="N485" s="423"/>
      <c r="O485" s="423"/>
      <c r="P485" s="423"/>
      <c r="Q485" s="423"/>
      <c r="R485" s="423"/>
      <c r="S485" s="423"/>
      <c r="T485" s="423"/>
      <c r="U485" s="423"/>
      <c r="V485" s="423"/>
      <c r="W485" s="423"/>
      <c r="X485" s="423"/>
      <c r="Y485" s="423"/>
      <c r="Z485" s="423"/>
      <c r="AA485" s="423"/>
      <c r="AB485" s="423"/>
      <c r="AC485" s="423"/>
      <c r="AD485" s="423"/>
      <c r="AE485" s="423"/>
      <c r="AF485" s="423"/>
      <c r="AG485" s="423"/>
      <c r="AH485" s="423"/>
      <c r="AI485" s="423"/>
    </row>
    <row r="486">
      <c r="A486" s="419"/>
      <c r="B486" s="419"/>
      <c r="C486" s="419"/>
      <c r="D486" s="419"/>
      <c r="E486" s="387"/>
      <c r="F486" s="387"/>
      <c r="G486" s="423"/>
      <c r="H486" s="423"/>
      <c r="I486" s="423"/>
      <c r="J486" s="423"/>
      <c r="K486" s="423"/>
      <c r="L486" s="423"/>
      <c r="M486" s="423"/>
      <c r="N486" s="423"/>
      <c r="O486" s="423"/>
      <c r="P486" s="423"/>
      <c r="Q486" s="423"/>
      <c r="R486" s="423"/>
      <c r="S486" s="423"/>
      <c r="T486" s="423"/>
      <c r="U486" s="423"/>
      <c r="V486" s="423"/>
      <c r="W486" s="423"/>
      <c r="X486" s="423"/>
      <c r="Y486" s="423"/>
      <c r="Z486" s="423"/>
      <c r="AA486" s="423"/>
      <c r="AB486" s="423"/>
      <c r="AC486" s="423"/>
      <c r="AD486" s="423"/>
      <c r="AE486" s="423"/>
      <c r="AF486" s="423"/>
      <c r="AG486" s="423"/>
      <c r="AH486" s="423"/>
      <c r="AI486" s="423"/>
    </row>
    <row r="487">
      <c r="A487" s="419"/>
      <c r="B487" s="419"/>
      <c r="C487" s="419"/>
      <c r="D487" s="419"/>
      <c r="E487" s="387"/>
      <c r="F487" s="387"/>
      <c r="G487" s="423"/>
      <c r="H487" s="423"/>
      <c r="I487" s="423"/>
      <c r="J487" s="423"/>
      <c r="K487" s="423"/>
      <c r="L487" s="423"/>
      <c r="M487" s="423"/>
      <c r="N487" s="423"/>
      <c r="O487" s="423"/>
      <c r="P487" s="423"/>
      <c r="Q487" s="423"/>
      <c r="R487" s="423"/>
      <c r="S487" s="423"/>
      <c r="T487" s="423"/>
      <c r="U487" s="423"/>
      <c r="V487" s="423"/>
      <c r="W487" s="423"/>
      <c r="X487" s="423"/>
      <c r="Y487" s="423"/>
      <c r="Z487" s="423"/>
      <c r="AA487" s="423"/>
      <c r="AB487" s="423"/>
      <c r="AC487" s="423"/>
      <c r="AD487" s="423"/>
      <c r="AE487" s="423"/>
      <c r="AF487" s="423"/>
      <c r="AG487" s="423"/>
      <c r="AH487" s="423"/>
      <c r="AI487" s="423"/>
    </row>
    <row r="488">
      <c r="A488" s="419"/>
      <c r="B488" s="419"/>
      <c r="C488" s="419"/>
      <c r="D488" s="419"/>
      <c r="E488" s="387"/>
      <c r="F488" s="387"/>
      <c r="G488" s="423"/>
      <c r="H488" s="423"/>
      <c r="I488" s="423"/>
      <c r="J488" s="423"/>
      <c r="K488" s="423"/>
      <c r="L488" s="423"/>
      <c r="M488" s="423"/>
      <c r="N488" s="423"/>
      <c r="O488" s="423"/>
      <c r="P488" s="423"/>
      <c r="Q488" s="423"/>
      <c r="R488" s="423"/>
      <c r="S488" s="423"/>
      <c r="T488" s="423"/>
      <c r="U488" s="423"/>
      <c r="V488" s="423"/>
      <c r="W488" s="423"/>
      <c r="X488" s="423"/>
      <c r="Y488" s="423"/>
      <c r="Z488" s="423"/>
      <c r="AA488" s="423"/>
      <c r="AB488" s="423"/>
      <c r="AC488" s="423"/>
      <c r="AD488" s="423"/>
      <c r="AE488" s="423"/>
      <c r="AF488" s="423"/>
      <c r="AG488" s="423"/>
      <c r="AH488" s="423"/>
      <c r="AI488" s="423"/>
    </row>
    <row r="489">
      <c r="A489" s="419"/>
      <c r="B489" s="419"/>
      <c r="C489" s="419"/>
      <c r="D489" s="419"/>
      <c r="E489" s="387"/>
      <c r="F489" s="387"/>
      <c r="G489" s="423"/>
      <c r="H489" s="423"/>
      <c r="I489" s="423"/>
      <c r="J489" s="423"/>
      <c r="K489" s="423"/>
      <c r="L489" s="423"/>
      <c r="M489" s="423"/>
      <c r="N489" s="423"/>
      <c r="O489" s="423"/>
      <c r="P489" s="423"/>
      <c r="Q489" s="423"/>
      <c r="R489" s="423"/>
      <c r="S489" s="423"/>
      <c r="T489" s="423"/>
      <c r="U489" s="423"/>
      <c r="V489" s="423"/>
      <c r="W489" s="423"/>
      <c r="X489" s="423"/>
      <c r="Y489" s="423"/>
      <c r="Z489" s="423"/>
      <c r="AA489" s="423"/>
      <c r="AB489" s="423"/>
      <c r="AC489" s="423"/>
      <c r="AD489" s="423"/>
      <c r="AE489" s="423"/>
      <c r="AF489" s="423"/>
      <c r="AG489" s="423"/>
      <c r="AH489" s="423"/>
      <c r="AI489" s="423"/>
    </row>
    <row r="490">
      <c r="A490" s="419"/>
      <c r="B490" s="419"/>
      <c r="C490" s="419"/>
      <c r="D490" s="419"/>
      <c r="E490" s="387"/>
      <c r="F490" s="387"/>
      <c r="G490" s="423"/>
      <c r="H490" s="423"/>
      <c r="I490" s="423"/>
      <c r="J490" s="423"/>
      <c r="K490" s="423"/>
      <c r="L490" s="423"/>
      <c r="M490" s="423"/>
      <c r="N490" s="423"/>
      <c r="O490" s="423"/>
      <c r="P490" s="423"/>
      <c r="Q490" s="423"/>
      <c r="R490" s="423"/>
      <c r="S490" s="423"/>
      <c r="T490" s="423"/>
      <c r="U490" s="423"/>
      <c r="V490" s="423"/>
      <c r="W490" s="423"/>
      <c r="X490" s="423"/>
      <c r="Y490" s="423"/>
      <c r="Z490" s="423"/>
      <c r="AA490" s="423"/>
      <c r="AB490" s="423"/>
      <c r="AC490" s="423"/>
      <c r="AD490" s="423"/>
      <c r="AE490" s="423"/>
      <c r="AF490" s="423"/>
      <c r="AG490" s="423"/>
      <c r="AH490" s="423"/>
      <c r="AI490" s="423"/>
    </row>
    <row r="491">
      <c r="A491" s="419"/>
      <c r="B491" s="419"/>
      <c r="C491" s="419"/>
      <c r="D491" s="419"/>
      <c r="E491" s="387"/>
      <c r="F491" s="387"/>
      <c r="G491" s="423"/>
      <c r="H491" s="423"/>
      <c r="I491" s="423"/>
      <c r="J491" s="423"/>
      <c r="K491" s="423"/>
      <c r="L491" s="423"/>
      <c r="M491" s="423"/>
      <c r="N491" s="423"/>
      <c r="O491" s="423"/>
      <c r="P491" s="423"/>
      <c r="Q491" s="423"/>
      <c r="R491" s="423"/>
      <c r="S491" s="423"/>
      <c r="T491" s="423"/>
      <c r="U491" s="423"/>
      <c r="V491" s="423"/>
      <c r="W491" s="423"/>
      <c r="X491" s="423"/>
      <c r="Y491" s="423"/>
      <c r="Z491" s="423"/>
      <c r="AA491" s="423"/>
      <c r="AB491" s="423"/>
      <c r="AC491" s="423"/>
      <c r="AD491" s="423"/>
      <c r="AE491" s="423"/>
      <c r="AF491" s="423"/>
      <c r="AG491" s="423"/>
      <c r="AH491" s="423"/>
      <c r="AI491" s="423"/>
    </row>
    <row r="492">
      <c r="A492" s="419"/>
      <c r="B492" s="419"/>
      <c r="C492" s="419"/>
      <c r="D492" s="419"/>
      <c r="E492" s="387"/>
      <c r="F492" s="387"/>
      <c r="G492" s="423"/>
      <c r="H492" s="423"/>
      <c r="I492" s="423"/>
      <c r="J492" s="423"/>
      <c r="K492" s="423"/>
      <c r="L492" s="423"/>
      <c r="M492" s="423"/>
      <c r="N492" s="423"/>
      <c r="O492" s="423"/>
      <c r="P492" s="423"/>
      <c r="Q492" s="423"/>
      <c r="R492" s="423"/>
      <c r="S492" s="423"/>
      <c r="T492" s="423"/>
      <c r="U492" s="423"/>
      <c r="V492" s="423"/>
      <c r="W492" s="423"/>
      <c r="X492" s="423"/>
      <c r="Y492" s="423"/>
      <c r="Z492" s="423"/>
      <c r="AA492" s="423"/>
      <c r="AB492" s="423"/>
      <c r="AC492" s="423"/>
      <c r="AD492" s="423"/>
      <c r="AE492" s="423"/>
      <c r="AF492" s="423"/>
      <c r="AG492" s="423"/>
      <c r="AH492" s="423"/>
      <c r="AI492" s="423"/>
    </row>
    <row r="493">
      <c r="A493" s="419"/>
      <c r="B493" s="419"/>
      <c r="C493" s="419"/>
      <c r="D493" s="419"/>
      <c r="E493" s="387"/>
      <c r="F493" s="387"/>
      <c r="G493" s="423"/>
      <c r="H493" s="423"/>
      <c r="I493" s="423"/>
      <c r="J493" s="423"/>
      <c r="K493" s="423"/>
      <c r="L493" s="423"/>
      <c r="M493" s="423"/>
      <c r="N493" s="423"/>
      <c r="O493" s="423"/>
      <c r="P493" s="423"/>
      <c r="Q493" s="423"/>
      <c r="R493" s="423"/>
      <c r="S493" s="423"/>
      <c r="T493" s="423"/>
      <c r="U493" s="423"/>
      <c r="V493" s="423"/>
      <c r="W493" s="423"/>
      <c r="X493" s="423"/>
      <c r="Y493" s="423"/>
      <c r="Z493" s="423"/>
      <c r="AA493" s="423"/>
      <c r="AB493" s="423"/>
      <c r="AC493" s="423"/>
      <c r="AD493" s="423"/>
      <c r="AE493" s="423"/>
      <c r="AF493" s="423"/>
      <c r="AG493" s="423"/>
      <c r="AH493" s="423"/>
      <c r="AI493" s="423"/>
    </row>
    <row r="494">
      <c r="A494" s="419"/>
      <c r="B494" s="419"/>
      <c r="C494" s="419"/>
      <c r="D494" s="419"/>
      <c r="E494" s="387"/>
      <c r="F494" s="387"/>
      <c r="G494" s="423"/>
      <c r="H494" s="423"/>
      <c r="I494" s="423"/>
      <c r="J494" s="423"/>
      <c r="K494" s="423"/>
      <c r="L494" s="423"/>
      <c r="M494" s="423"/>
      <c r="N494" s="423"/>
      <c r="O494" s="423"/>
      <c r="P494" s="423"/>
      <c r="Q494" s="423"/>
      <c r="R494" s="423"/>
      <c r="S494" s="423"/>
      <c r="T494" s="423"/>
      <c r="U494" s="423"/>
      <c r="V494" s="423"/>
      <c r="W494" s="423"/>
      <c r="X494" s="423"/>
      <c r="Y494" s="423"/>
      <c r="Z494" s="423"/>
      <c r="AA494" s="423"/>
      <c r="AB494" s="423"/>
      <c r="AC494" s="423"/>
      <c r="AD494" s="423"/>
      <c r="AE494" s="423"/>
      <c r="AF494" s="423"/>
      <c r="AG494" s="423"/>
      <c r="AH494" s="423"/>
      <c r="AI494" s="423"/>
    </row>
    <row r="495">
      <c r="A495" s="419"/>
      <c r="B495" s="419"/>
      <c r="C495" s="419"/>
      <c r="D495" s="419"/>
      <c r="E495" s="387"/>
      <c r="F495" s="387"/>
      <c r="G495" s="423"/>
      <c r="H495" s="423"/>
      <c r="I495" s="423"/>
      <c r="J495" s="423"/>
      <c r="K495" s="423"/>
      <c r="L495" s="423"/>
      <c r="M495" s="423"/>
      <c r="N495" s="423"/>
      <c r="O495" s="423"/>
      <c r="P495" s="423"/>
      <c r="Q495" s="423"/>
      <c r="R495" s="423"/>
      <c r="S495" s="423"/>
      <c r="T495" s="423"/>
      <c r="U495" s="423"/>
      <c r="V495" s="423"/>
      <c r="W495" s="423"/>
      <c r="X495" s="423"/>
      <c r="Y495" s="423"/>
      <c r="Z495" s="423"/>
      <c r="AA495" s="423"/>
      <c r="AB495" s="423"/>
      <c r="AC495" s="423"/>
      <c r="AD495" s="423"/>
      <c r="AE495" s="423"/>
      <c r="AF495" s="423"/>
      <c r="AG495" s="423"/>
      <c r="AH495" s="423"/>
      <c r="AI495" s="423"/>
    </row>
    <row r="496">
      <c r="A496" s="419"/>
      <c r="B496" s="419"/>
      <c r="C496" s="419"/>
      <c r="D496" s="419"/>
      <c r="E496" s="387"/>
      <c r="F496" s="387"/>
      <c r="G496" s="423"/>
      <c r="H496" s="423"/>
      <c r="I496" s="423"/>
      <c r="J496" s="423"/>
      <c r="K496" s="423"/>
      <c r="L496" s="423"/>
      <c r="M496" s="423"/>
      <c r="N496" s="423"/>
      <c r="O496" s="423"/>
      <c r="P496" s="423"/>
      <c r="Q496" s="423"/>
      <c r="R496" s="423"/>
      <c r="S496" s="423"/>
      <c r="T496" s="423"/>
      <c r="U496" s="423"/>
      <c r="V496" s="423"/>
      <c r="W496" s="423"/>
      <c r="X496" s="423"/>
      <c r="Y496" s="423"/>
      <c r="Z496" s="423"/>
      <c r="AA496" s="423"/>
      <c r="AB496" s="423"/>
      <c r="AC496" s="423"/>
      <c r="AD496" s="423"/>
      <c r="AE496" s="423"/>
      <c r="AF496" s="423"/>
      <c r="AG496" s="423"/>
      <c r="AH496" s="423"/>
      <c r="AI496" s="423"/>
    </row>
    <row r="497">
      <c r="A497" s="419"/>
      <c r="B497" s="419"/>
      <c r="C497" s="419"/>
      <c r="D497" s="419"/>
      <c r="E497" s="387"/>
      <c r="F497" s="387"/>
      <c r="G497" s="423"/>
      <c r="H497" s="423"/>
      <c r="I497" s="423"/>
      <c r="J497" s="423"/>
      <c r="K497" s="423"/>
      <c r="L497" s="423"/>
      <c r="M497" s="423"/>
      <c r="N497" s="423"/>
      <c r="O497" s="423"/>
      <c r="P497" s="423"/>
      <c r="Q497" s="423"/>
      <c r="R497" s="423"/>
      <c r="S497" s="423"/>
      <c r="T497" s="423"/>
      <c r="U497" s="423"/>
      <c r="V497" s="423"/>
      <c r="W497" s="423"/>
      <c r="X497" s="423"/>
      <c r="Y497" s="423"/>
      <c r="Z497" s="423"/>
      <c r="AA497" s="423"/>
      <c r="AB497" s="423"/>
      <c r="AC497" s="423"/>
      <c r="AD497" s="423"/>
      <c r="AE497" s="423"/>
      <c r="AF497" s="423"/>
      <c r="AG497" s="423"/>
      <c r="AH497" s="423"/>
      <c r="AI497" s="423"/>
    </row>
    <row r="498">
      <c r="A498" s="419"/>
      <c r="B498" s="419"/>
      <c r="C498" s="419"/>
      <c r="D498" s="419"/>
      <c r="E498" s="387"/>
      <c r="F498" s="387"/>
      <c r="G498" s="423"/>
      <c r="H498" s="423"/>
      <c r="I498" s="423"/>
      <c r="J498" s="423"/>
      <c r="K498" s="423"/>
      <c r="L498" s="423"/>
      <c r="M498" s="423"/>
      <c r="N498" s="423"/>
      <c r="O498" s="423"/>
      <c r="P498" s="423"/>
      <c r="Q498" s="423"/>
      <c r="R498" s="423"/>
      <c r="S498" s="423"/>
      <c r="T498" s="423"/>
      <c r="U498" s="423"/>
      <c r="V498" s="423"/>
      <c r="W498" s="423"/>
      <c r="X498" s="423"/>
      <c r="Y498" s="423"/>
      <c r="Z498" s="423"/>
      <c r="AA498" s="423"/>
      <c r="AB498" s="423"/>
      <c r="AC498" s="423"/>
      <c r="AD498" s="423"/>
      <c r="AE498" s="423"/>
      <c r="AF498" s="423"/>
      <c r="AG498" s="423"/>
      <c r="AH498" s="423"/>
      <c r="AI498" s="423"/>
    </row>
    <row r="499">
      <c r="A499" s="419"/>
      <c r="B499" s="419"/>
      <c r="C499" s="419"/>
      <c r="D499" s="419"/>
      <c r="E499" s="387"/>
      <c r="F499" s="387"/>
      <c r="G499" s="423"/>
      <c r="H499" s="423"/>
      <c r="I499" s="423"/>
      <c r="J499" s="423"/>
      <c r="K499" s="423"/>
      <c r="L499" s="423"/>
      <c r="M499" s="423"/>
      <c r="N499" s="423"/>
      <c r="O499" s="423"/>
      <c r="P499" s="423"/>
      <c r="Q499" s="423"/>
      <c r="R499" s="423"/>
      <c r="S499" s="423"/>
      <c r="T499" s="423"/>
      <c r="U499" s="423"/>
      <c r="V499" s="423"/>
      <c r="W499" s="423"/>
      <c r="X499" s="423"/>
      <c r="Y499" s="423"/>
      <c r="Z499" s="423"/>
      <c r="AA499" s="423"/>
      <c r="AB499" s="423"/>
      <c r="AC499" s="423"/>
      <c r="AD499" s="423"/>
      <c r="AE499" s="423"/>
      <c r="AF499" s="423"/>
      <c r="AG499" s="423"/>
      <c r="AH499" s="423"/>
      <c r="AI499" s="423"/>
    </row>
    <row r="500">
      <c r="A500" s="419"/>
      <c r="B500" s="419"/>
      <c r="C500" s="419"/>
      <c r="D500" s="419"/>
      <c r="E500" s="387"/>
      <c r="F500" s="387"/>
      <c r="G500" s="423"/>
      <c r="H500" s="423"/>
      <c r="I500" s="423"/>
      <c r="J500" s="423"/>
      <c r="K500" s="423"/>
      <c r="L500" s="423"/>
      <c r="M500" s="423"/>
      <c r="N500" s="423"/>
      <c r="O500" s="423"/>
      <c r="P500" s="423"/>
      <c r="Q500" s="423"/>
      <c r="R500" s="423"/>
      <c r="S500" s="423"/>
      <c r="T500" s="423"/>
      <c r="U500" s="423"/>
      <c r="V500" s="423"/>
      <c r="W500" s="423"/>
      <c r="X500" s="423"/>
      <c r="Y500" s="423"/>
      <c r="Z500" s="423"/>
      <c r="AA500" s="423"/>
      <c r="AB500" s="423"/>
      <c r="AC500" s="423"/>
      <c r="AD500" s="423"/>
      <c r="AE500" s="423"/>
      <c r="AF500" s="423"/>
      <c r="AG500" s="423"/>
      <c r="AH500" s="423"/>
      <c r="AI500" s="423"/>
    </row>
    <row r="501">
      <c r="A501" s="419"/>
      <c r="B501" s="419"/>
      <c r="C501" s="419"/>
      <c r="D501" s="419"/>
      <c r="E501" s="387"/>
      <c r="F501" s="387"/>
      <c r="G501" s="423"/>
      <c r="H501" s="423"/>
      <c r="I501" s="423"/>
      <c r="J501" s="423"/>
      <c r="K501" s="423"/>
      <c r="L501" s="423"/>
      <c r="M501" s="423"/>
      <c r="N501" s="423"/>
      <c r="O501" s="423"/>
      <c r="P501" s="423"/>
      <c r="Q501" s="423"/>
      <c r="R501" s="423"/>
      <c r="S501" s="423"/>
      <c r="T501" s="423"/>
      <c r="U501" s="423"/>
      <c r="V501" s="423"/>
      <c r="W501" s="423"/>
      <c r="X501" s="423"/>
      <c r="Y501" s="423"/>
      <c r="Z501" s="423"/>
      <c r="AA501" s="423"/>
      <c r="AB501" s="423"/>
      <c r="AC501" s="423"/>
      <c r="AD501" s="423"/>
      <c r="AE501" s="423"/>
      <c r="AF501" s="423"/>
      <c r="AG501" s="423"/>
      <c r="AH501" s="423"/>
      <c r="AI501" s="423"/>
    </row>
    <row r="502">
      <c r="A502" s="419"/>
      <c r="B502" s="419"/>
      <c r="C502" s="419"/>
      <c r="D502" s="419"/>
      <c r="E502" s="387"/>
      <c r="F502" s="387"/>
      <c r="G502" s="423"/>
      <c r="H502" s="423"/>
      <c r="I502" s="423"/>
      <c r="J502" s="423"/>
      <c r="K502" s="423"/>
      <c r="L502" s="423"/>
      <c r="M502" s="423"/>
      <c r="N502" s="423"/>
      <c r="O502" s="423"/>
      <c r="P502" s="423"/>
      <c r="Q502" s="423"/>
      <c r="R502" s="423"/>
      <c r="S502" s="423"/>
      <c r="T502" s="423"/>
      <c r="U502" s="423"/>
      <c r="V502" s="423"/>
      <c r="W502" s="423"/>
      <c r="X502" s="423"/>
      <c r="Y502" s="423"/>
      <c r="Z502" s="423"/>
      <c r="AA502" s="423"/>
      <c r="AB502" s="423"/>
      <c r="AC502" s="423"/>
      <c r="AD502" s="423"/>
      <c r="AE502" s="423"/>
      <c r="AF502" s="423"/>
      <c r="AG502" s="423"/>
      <c r="AH502" s="423"/>
      <c r="AI502" s="423"/>
    </row>
    <row r="503">
      <c r="A503" s="419"/>
      <c r="B503" s="419"/>
      <c r="C503" s="419"/>
      <c r="D503" s="419"/>
      <c r="E503" s="387"/>
      <c r="F503" s="387"/>
      <c r="G503" s="423"/>
      <c r="H503" s="423"/>
      <c r="I503" s="423"/>
      <c r="J503" s="423"/>
      <c r="K503" s="423"/>
      <c r="L503" s="423"/>
      <c r="M503" s="423"/>
      <c r="N503" s="423"/>
      <c r="O503" s="423"/>
      <c r="P503" s="423"/>
      <c r="Q503" s="423"/>
      <c r="R503" s="423"/>
      <c r="S503" s="423"/>
      <c r="T503" s="423"/>
      <c r="U503" s="423"/>
      <c r="V503" s="423"/>
      <c r="W503" s="423"/>
      <c r="X503" s="423"/>
      <c r="Y503" s="423"/>
      <c r="Z503" s="423"/>
      <c r="AA503" s="423"/>
      <c r="AB503" s="423"/>
      <c r="AC503" s="423"/>
      <c r="AD503" s="423"/>
      <c r="AE503" s="423"/>
      <c r="AF503" s="423"/>
      <c r="AG503" s="423"/>
      <c r="AH503" s="423"/>
      <c r="AI503" s="423"/>
    </row>
    <row r="504">
      <c r="A504" s="419"/>
      <c r="B504" s="419"/>
      <c r="C504" s="419"/>
      <c r="D504" s="419"/>
      <c r="E504" s="387"/>
      <c r="F504" s="387"/>
      <c r="G504" s="423"/>
      <c r="H504" s="423"/>
      <c r="I504" s="423"/>
      <c r="J504" s="423"/>
      <c r="K504" s="423"/>
      <c r="L504" s="423"/>
      <c r="M504" s="423"/>
      <c r="N504" s="423"/>
      <c r="O504" s="423"/>
      <c r="P504" s="423"/>
      <c r="Q504" s="423"/>
      <c r="R504" s="423"/>
      <c r="S504" s="423"/>
      <c r="T504" s="423"/>
      <c r="U504" s="423"/>
      <c r="V504" s="423"/>
      <c r="W504" s="423"/>
      <c r="X504" s="423"/>
      <c r="Y504" s="423"/>
      <c r="Z504" s="423"/>
      <c r="AA504" s="423"/>
      <c r="AB504" s="423"/>
      <c r="AC504" s="423"/>
      <c r="AD504" s="423"/>
      <c r="AE504" s="423"/>
      <c r="AF504" s="423"/>
      <c r="AG504" s="423"/>
      <c r="AH504" s="423"/>
      <c r="AI504" s="423"/>
    </row>
    <row r="505">
      <c r="A505" s="419"/>
      <c r="B505" s="419"/>
      <c r="C505" s="419"/>
      <c r="D505" s="419"/>
      <c r="E505" s="387"/>
      <c r="F505" s="387"/>
      <c r="G505" s="423"/>
      <c r="H505" s="423"/>
      <c r="I505" s="423"/>
      <c r="J505" s="423"/>
      <c r="K505" s="423"/>
      <c r="L505" s="423"/>
      <c r="M505" s="423"/>
      <c r="N505" s="423"/>
      <c r="O505" s="423"/>
      <c r="P505" s="423"/>
      <c r="Q505" s="423"/>
      <c r="R505" s="423"/>
      <c r="S505" s="423"/>
      <c r="T505" s="423"/>
      <c r="U505" s="423"/>
      <c r="V505" s="423"/>
      <c r="W505" s="423"/>
      <c r="X505" s="423"/>
      <c r="Y505" s="423"/>
      <c r="Z505" s="423"/>
      <c r="AA505" s="423"/>
      <c r="AB505" s="423"/>
      <c r="AC505" s="423"/>
      <c r="AD505" s="423"/>
      <c r="AE505" s="423"/>
      <c r="AF505" s="423"/>
      <c r="AG505" s="423"/>
      <c r="AH505" s="423"/>
      <c r="AI505" s="423"/>
    </row>
    <row r="506">
      <c r="A506" s="419"/>
      <c r="B506" s="419"/>
      <c r="C506" s="419"/>
      <c r="D506" s="419"/>
      <c r="E506" s="387"/>
      <c r="F506" s="387"/>
      <c r="G506" s="423"/>
      <c r="H506" s="423"/>
      <c r="I506" s="423"/>
      <c r="J506" s="423"/>
      <c r="K506" s="423"/>
      <c r="L506" s="423"/>
      <c r="M506" s="423"/>
      <c r="N506" s="423"/>
      <c r="O506" s="423"/>
      <c r="P506" s="423"/>
      <c r="Q506" s="423"/>
      <c r="R506" s="423"/>
      <c r="S506" s="423"/>
      <c r="T506" s="423"/>
      <c r="U506" s="423"/>
      <c r="V506" s="423"/>
      <c r="W506" s="423"/>
      <c r="X506" s="423"/>
      <c r="Y506" s="423"/>
      <c r="Z506" s="423"/>
      <c r="AA506" s="423"/>
      <c r="AB506" s="423"/>
      <c r="AC506" s="423"/>
      <c r="AD506" s="423"/>
      <c r="AE506" s="423"/>
      <c r="AF506" s="423"/>
      <c r="AG506" s="423"/>
      <c r="AH506" s="423"/>
      <c r="AI506" s="423"/>
    </row>
    <row r="507">
      <c r="A507" s="419"/>
      <c r="B507" s="419"/>
      <c r="C507" s="419"/>
      <c r="D507" s="419"/>
      <c r="E507" s="387"/>
      <c r="F507" s="387"/>
      <c r="G507" s="423"/>
      <c r="H507" s="423"/>
      <c r="I507" s="423"/>
      <c r="J507" s="423"/>
      <c r="K507" s="423"/>
      <c r="L507" s="423"/>
      <c r="M507" s="423"/>
      <c r="N507" s="423"/>
      <c r="O507" s="423"/>
      <c r="P507" s="423"/>
      <c r="Q507" s="423"/>
      <c r="R507" s="423"/>
      <c r="S507" s="423"/>
      <c r="T507" s="423"/>
      <c r="U507" s="423"/>
      <c r="V507" s="423"/>
      <c r="W507" s="423"/>
      <c r="X507" s="423"/>
      <c r="Y507" s="423"/>
      <c r="Z507" s="423"/>
      <c r="AA507" s="423"/>
      <c r="AB507" s="423"/>
      <c r="AC507" s="423"/>
      <c r="AD507" s="423"/>
      <c r="AE507" s="423"/>
      <c r="AF507" s="423"/>
      <c r="AG507" s="423"/>
      <c r="AH507" s="423"/>
      <c r="AI507" s="423"/>
    </row>
    <row r="508">
      <c r="A508" s="419"/>
      <c r="B508" s="419"/>
      <c r="C508" s="419"/>
      <c r="D508" s="419"/>
      <c r="E508" s="387"/>
      <c r="F508" s="387"/>
      <c r="G508" s="423"/>
      <c r="H508" s="423"/>
      <c r="I508" s="423"/>
      <c r="J508" s="423"/>
      <c r="K508" s="423"/>
      <c r="L508" s="423"/>
      <c r="M508" s="423"/>
      <c r="N508" s="423"/>
      <c r="O508" s="423"/>
      <c r="P508" s="423"/>
      <c r="Q508" s="423"/>
      <c r="R508" s="423"/>
      <c r="S508" s="423"/>
      <c r="T508" s="423"/>
      <c r="U508" s="423"/>
      <c r="V508" s="423"/>
      <c r="W508" s="423"/>
      <c r="X508" s="423"/>
      <c r="Y508" s="423"/>
      <c r="Z508" s="423"/>
      <c r="AA508" s="423"/>
      <c r="AB508" s="423"/>
      <c r="AC508" s="423"/>
      <c r="AD508" s="423"/>
      <c r="AE508" s="423"/>
      <c r="AF508" s="423"/>
      <c r="AG508" s="423"/>
      <c r="AH508" s="423"/>
      <c r="AI508" s="423"/>
    </row>
    <row r="509">
      <c r="A509" s="419"/>
      <c r="B509" s="419"/>
      <c r="C509" s="419"/>
      <c r="D509" s="419"/>
      <c r="E509" s="387"/>
      <c r="F509" s="387"/>
      <c r="G509" s="423"/>
      <c r="H509" s="423"/>
      <c r="I509" s="423"/>
      <c r="J509" s="423"/>
      <c r="K509" s="423"/>
      <c r="L509" s="423"/>
      <c r="M509" s="423"/>
      <c r="N509" s="423"/>
      <c r="O509" s="423"/>
      <c r="P509" s="423"/>
      <c r="Q509" s="423"/>
      <c r="R509" s="423"/>
      <c r="S509" s="423"/>
      <c r="T509" s="423"/>
      <c r="U509" s="423"/>
      <c r="V509" s="423"/>
      <c r="W509" s="423"/>
      <c r="X509" s="423"/>
      <c r="Y509" s="423"/>
      <c r="Z509" s="423"/>
      <c r="AA509" s="423"/>
      <c r="AB509" s="423"/>
      <c r="AC509" s="423"/>
      <c r="AD509" s="423"/>
      <c r="AE509" s="423"/>
      <c r="AF509" s="423"/>
      <c r="AG509" s="423"/>
      <c r="AH509" s="423"/>
      <c r="AI509" s="423"/>
    </row>
    <row r="510">
      <c r="A510" s="419"/>
      <c r="B510" s="419"/>
      <c r="C510" s="419"/>
      <c r="D510" s="419"/>
      <c r="E510" s="387"/>
      <c r="F510" s="387"/>
      <c r="G510" s="423"/>
      <c r="H510" s="423"/>
      <c r="I510" s="423"/>
      <c r="J510" s="423"/>
      <c r="K510" s="423"/>
      <c r="L510" s="423"/>
      <c r="M510" s="423"/>
      <c r="N510" s="423"/>
      <c r="O510" s="423"/>
      <c r="P510" s="423"/>
      <c r="Q510" s="423"/>
      <c r="R510" s="423"/>
      <c r="S510" s="423"/>
      <c r="T510" s="423"/>
      <c r="U510" s="423"/>
      <c r="V510" s="423"/>
      <c r="W510" s="423"/>
      <c r="X510" s="423"/>
      <c r="Y510" s="423"/>
      <c r="Z510" s="423"/>
      <c r="AA510" s="423"/>
      <c r="AB510" s="423"/>
      <c r="AC510" s="423"/>
      <c r="AD510" s="423"/>
      <c r="AE510" s="423"/>
      <c r="AF510" s="423"/>
      <c r="AG510" s="423"/>
      <c r="AH510" s="423"/>
      <c r="AI510" s="423"/>
    </row>
    <row r="511">
      <c r="A511" s="419"/>
      <c r="B511" s="419"/>
      <c r="C511" s="419"/>
      <c r="D511" s="419"/>
      <c r="E511" s="387"/>
      <c r="F511" s="387"/>
      <c r="G511" s="423"/>
      <c r="H511" s="423"/>
      <c r="I511" s="423"/>
      <c r="J511" s="423"/>
      <c r="K511" s="423"/>
      <c r="L511" s="423"/>
      <c r="M511" s="423"/>
      <c r="N511" s="423"/>
      <c r="O511" s="423"/>
      <c r="P511" s="423"/>
      <c r="Q511" s="423"/>
      <c r="R511" s="423"/>
      <c r="S511" s="423"/>
      <c r="T511" s="423"/>
      <c r="U511" s="423"/>
      <c r="V511" s="423"/>
      <c r="W511" s="423"/>
      <c r="X511" s="423"/>
      <c r="Y511" s="423"/>
      <c r="Z511" s="423"/>
      <c r="AA511" s="423"/>
      <c r="AB511" s="423"/>
      <c r="AC511" s="423"/>
      <c r="AD511" s="423"/>
      <c r="AE511" s="423"/>
      <c r="AF511" s="423"/>
      <c r="AG511" s="423"/>
      <c r="AH511" s="423"/>
      <c r="AI511" s="423"/>
    </row>
    <row r="512">
      <c r="A512" s="419"/>
      <c r="B512" s="419"/>
      <c r="C512" s="419"/>
      <c r="D512" s="419"/>
      <c r="E512" s="387"/>
      <c r="F512" s="387"/>
      <c r="G512" s="423"/>
      <c r="H512" s="423"/>
      <c r="I512" s="423"/>
      <c r="J512" s="423"/>
      <c r="K512" s="423"/>
      <c r="L512" s="423"/>
      <c r="M512" s="423"/>
      <c r="N512" s="423"/>
      <c r="O512" s="423"/>
      <c r="P512" s="423"/>
      <c r="Q512" s="423"/>
      <c r="R512" s="423"/>
      <c r="S512" s="423"/>
      <c r="T512" s="423"/>
      <c r="U512" s="423"/>
      <c r="V512" s="423"/>
      <c r="W512" s="423"/>
      <c r="X512" s="423"/>
      <c r="Y512" s="423"/>
      <c r="Z512" s="423"/>
      <c r="AA512" s="423"/>
      <c r="AB512" s="423"/>
      <c r="AC512" s="423"/>
      <c r="AD512" s="423"/>
      <c r="AE512" s="423"/>
      <c r="AF512" s="423"/>
      <c r="AG512" s="423"/>
      <c r="AH512" s="423"/>
      <c r="AI512" s="423"/>
    </row>
    <row r="513">
      <c r="A513" s="419"/>
      <c r="B513" s="419"/>
      <c r="C513" s="419"/>
      <c r="D513" s="419"/>
      <c r="E513" s="387"/>
      <c r="F513" s="387"/>
      <c r="G513" s="423"/>
      <c r="H513" s="423"/>
      <c r="I513" s="423"/>
      <c r="J513" s="423"/>
      <c r="K513" s="423"/>
      <c r="L513" s="423"/>
      <c r="M513" s="423"/>
      <c r="N513" s="423"/>
      <c r="O513" s="423"/>
      <c r="P513" s="423"/>
      <c r="Q513" s="423"/>
      <c r="R513" s="423"/>
      <c r="S513" s="423"/>
      <c r="T513" s="423"/>
      <c r="U513" s="423"/>
      <c r="V513" s="423"/>
      <c r="W513" s="423"/>
      <c r="X513" s="423"/>
      <c r="Y513" s="423"/>
      <c r="Z513" s="423"/>
      <c r="AA513" s="423"/>
      <c r="AB513" s="423"/>
      <c r="AC513" s="423"/>
      <c r="AD513" s="423"/>
      <c r="AE513" s="423"/>
      <c r="AF513" s="423"/>
      <c r="AG513" s="423"/>
      <c r="AH513" s="423"/>
      <c r="AI513" s="423"/>
    </row>
    <row r="514">
      <c r="A514" s="419"/>
      <c r="B514" s="419"/>
      <c r="C514" s="419"/>
      <c r="D514" s="419"/>
      <c r="E514" s="387"/>
      <c r="F514" s="387"/>
      <c r="G514" s="423"/>
      <c r="H514" s="423"/>
      <c r="I514" s="423"/>
      <c r="J514" s="423"/>
      <c r="K514" s="423"/>
      <c r="L514" s="423"/>
      <c r="M514" s="423"/>
      <c r="N514" s="423"/>
      <c r="O514" s="423"/>
      <c r="P514" s="423"/>
      <c r="Q514" s="423"/>
      <c r="R514" s="423"/>
      <c r="S514" s="423"/>
      <c r="T514" s="423"/>
      <c r="U514" s="423"/>
      <c r="V514" s="423"/>
      <c r="W514" s="423"/>
      <c r="X514" s="423"/>
      <c r="Y514" s="423"/>
      <c r="Z514" s="423"/>
      <c r="AA514" s="423"/>
      <c r="AB514" s="423"/>
      <c r="AC514" s="423"/>
      <c r="AD514" s="423"/>
      <c r="AE514" s="423"/>
      <c r="AF514" s="423"/>
      <c r="AG514" s="423"/>
      <c r="AH514" s="423"/>
      <c r="AI514" s="423"/>
    </row>
    <row r="515">
      <c r="A515" s="419"/>
      <c r="B515" s="419"/>
      <c r="C515" s="419"/>
      <c r="D515" s="419"/>
      <c r="E515" s="387"/>
      <c r="F515" s="387"/>
      <c r="G515" s="423"/>
      <c r="H515" s="423"/>
      <c r="I515" s="423"/>
      <c r="J515" s="423"/>
      <c r="K515" s="423"/>
      <c r="L515" s="423"/>
      <c r="M515" s="423"/>
      <c r="N515" s="423"/>
      <c r="O515" s="423"/>
      <c r="P515" s="423"/>
      <c r="Q515" s="423"/>
      <c r="R515" s="423"/>
      <c r="S515" s="423"/>
      <c r="T515" s="423"/>
      <c r="U515" s="423"/>
      <c r="V515" s="423"/>
      <c r="W515" s="423"/>
      <c r="X515" s="423"/>
      <c r="Y515" s="423"/>
      <c r="Z515" s="423"/>
      <c r="AA515" s="423"/>
      <c r="AB515" s="423"/>
      <c r="AC515" s="423"/>
      <c r="AD515" s="423"/>
      <c r="AE515" s="423"/>
      <c r="AF515" s="423"/>
      <c r="AG515" s="423"/>
      <c r="AH515" s="423"/>
      <c r="AI515" s="423"/>
    </row>
    <row r="516">
      <c r="A516" s="419"/>
      <c r="B516" s="419"/>
      <c r="C516" s="419"/>
      <c r="D516" s="419"/>
      <c r="E516" s="387"/>
      <c r="F516" s="387"/>
      <c r="G516" s="423"/>
      <c r="H516" s="423"/>
      <c r="I516" s="423"/>
      <c r="J516" s="423"/>
      <c r="K516" s="423"/>
      <c r="L516" s="423"/>
      <c r="M516" s="423"/>
      <c r="N516" s="423"/>
      <c r="O516" s="423"/>
      <c r="P516" s="423"/>
      <c r="Q516" s="423"/>
      <c r="R516" s="423"/>
      <c r="S516" s="423"/>
      <c r="T516" s="423"/>
      <c r="U516" s="423"/>
      <c r="V516" s="423"/>
      <c r="W516" s="423"/>
      <c r="X516" s="423"/>
      <c r="Y516" s="423"/>
      <c r="Z516" s="423"/>
      <c r="AA516" s="423"/>
      <c r="AB516" s="423"/>
      <c r="AC516" s="423"/>
      <c r="AD516" s="423"/>
      <c r="AE516" s="423"/>
      <c r="AF516" s="423"/>
      <c r="AG516" s="423"/>
      <c r="AH516" s="423"/>
      <c r="AI516" s="423"/>
    </row>
    <row r="517">
      <c r="A517" s="419"/>
      <c r="B517" s="419"/>
      <c r="C517" s="419"/>
      <c r="D517" s="419"/>
      <c r="E517" s="387"/>
      <c r="F517" s="387"/>
      <c r="G517" s="423"/>
      <c r="H517" s="423"/>
      <c r="I517" s="423"/>
      <c r="J517" s="423"/>
      <c r="K517" s="423"/>
      <c r="L517" s="423"/>
      <c r="M517" s="423"/>
      <c r="N517" s="423"/>
      <c r="O517" s="423"/>
      <c r="P517" s="423"/>
      <c r="Q517" s="423"/>
      <c r="R517" s="423"/>
      <c r="S517" s="423"/>
      <c r="T517" s="423"/>
      <c r="U517" s="423"/>
      <c r="V517" s="423"/>
      <c r="W517" s="423"/>
      <c r="X517" s="423"/>
      <c r="Y517" s="423"/>
      <c r="Z517" s="423"/>
      <c r="AA517" s="423"/>
      <c r="AB517" s="423"/>
      <c r="AC517" s="423"/>
      <c r="AD517" s="423"/>
      <c r="AE517" s="423"/>
      <c r="AF517" s="423"/>
      <c r="AG517" s="423"/>
      <c r="AH517" s="423"/>
      <c r="AI517" s="423"/>
    </row>
    <row r="518">
      <c r="A518" s="419"/>
      <c r="B518" s="419"/>
      <c r="C518" s="419"/>
      <c r="D518" s="419"/>
      <c r="E518" s="387"/>
      <c r="F518" s="387"/>
      <c r="G518" s="423"/>
      <c r="H518" s="423"/>
      <c r="I518" s="423"/>
      <c r="J518" s="423"/>
      <c r="K518" s="423"/>
      <c r="L518" s="423"/>
      <c r="M518" s="423"/>
      <c r="N518" s="423"/>
      <c r="O518" s="423"/>
      <c r="P518" s="423"/>
      <c r="Q518" s="423"/>
      <c r="R518" s="423"/>
      <c r="S518" s="423"/>
      <c r="T518" s="423"/>
      <c r="U518" s="423"/>
      <c r="V518" s="423"/>
      <c r="W518" s="423"/>
      <c r="X518" s="423"/>
      <c r="Y518" s="423"/>
      <c r="Z518" s="423"/>
      <c r="AA518" s="423"/>
      <c r="AB518" s="423"/>
      <c r="AC518" s="423"/>
      <c r="AD518" s="423"/>
      <c r="AE518" s="423"/>
      <c r="AF518" s="423"/>
      <c r="AG518" s="423"/>
      <c r="AH518" s="423"/>
      <c r="AI518" s="423"/>
    </row>
    <row r="519">
      <c r="A519" s="419"/>
      <c r="B519" s="419"/>
      <c r="C519" s="419"/>
      <c r="D519" s="419"/>
      <c r="E519" s="387"/>
      <c r="F519" s="387"/>
      <c r="G519" s="423"/>
      <c r="H519" s="423"/>
      <c r="I519" s="423"/>
      <c r="J519" s="423"/>
      <c r="K519" s="423"/>
      <c r="L519" s="423"/>
      <c r="M519" s="423"/>
      <c r="N519" s="423"/>
      <c r="O519" s="423"/>
      <c r="P519" s="423"/>
      <c r="Q519" s="423"/>
      <c r="R519" s="423"/>
      <c r="S519" s="423"/>
      <c r="T519" s="423"/>
      <c r="U519" s="423"/>
      <c r="V519" s="423"/>
      <c r="W519" s="423"/>
      <c r="X519" s="423"/>
      <c r="Y519" s="423"/>
      <c r="Z519" s="423"/>
      <c r="AA519" s="423"/>
      <c r="AB519" s="423"/>
      <c r="AC519" s="423"/>
      <c r="AD519" s="423"/>
      <c r="AE519" s="423"/>
      <c r="AF519" s="423"/>
      <c r="AG519" s="423"/>
      <c r="AH519" s="423"/>
      <c r="AI519" s="423"/>
    </row>
    <row r="520">
      <c r="A520" s="419"/>
      <c r="B520" s="419"/>
      <c r="C520" s="419"/>
      <c r="D520" s="419"/>
      <c r="E520" s="387"/>
      <c r="F520" s="387"/>
      <c r="G520" s="423"/>
      <c r="H520" s="423"/>
      <c r="I520" s="423"/>
      <c r="J520" s="423"/>
      <c r="K520" s="423"/>
      <c r="L520" s="423"/>
      <c r="M520" s="423"/>
      <c r="N520" s="423"/>
      <c r="O520" s="423"/>
      <c r="P520" s="423"/>
      <c r="Q520" s="423"/>
      <c r="R520" s="423"/>
      <c r="S520" s="423"/>
      <c r="T520" s="423"/>
      <c r="U520" s="423"/>
      <c r="V520" s="423"/>
      <c r="W520" s="423"/>
      <c r="X520" s="423"/>
      <c r="Y520" s="423"/>
      <c r="Z520" s="423"/>
      <c r="AA520" s="423"/>
      <c r="AB520" s="423"/>
      <c r="AC520" s="423"/>
      <c r="AD520" s="423"/>
      <c r="AE520" s="423"/>
      <c r="AF520" s="423"/>
      <c r="AG520" s="423"/>
      <c r="AH520" s="423"/>
      <c r="AI520" s="423"/>
    </row>
    <row r="521">
      <c r="A521" s="419"/>
      <c r="B521" s="419"/>
      <c r="C521" s="419"/>
      <c r="D521" s="419"/>
      <c r="E521" s="387"/>
      <c r="F521" s="387"/>
      <c r="G521" s="423"/>
      <c r="H521" s="423"/>
      <c r="I521" s="423"/>
      <c r="J521" s="423"/>
      <c r="K521" s="423"/>
      <c r="L521" s="423"/>
      <c r="M521" s="423"/>
      <c r="N521" s="423"/>
      <c r="O521" s="423"/>
      <c r="P521" s="423"/>
      <c r="Q521" s="423"/>
      <c r="R521" s="423"/>
      <c r="S521" s="423"/>
      <c r="T521" s="423"/>
      <c r="U521" s="423"/>
      <c r="V521" s="423"/>
      <c r="W521" s="423"/>
      <c r="X521" s="423"/>
      <c r="Y521" s="423"/>
      <c r="Z521" s="423"/>
      <c r="AA521" s="423"/>
      <c r="AB521" s="423"/>
      <c r="AC521" s="423"/>
      <c r="AD521" s="423"/>
      <c r="AE521" s="423"/>
      <c r="AF521" s="423"/>
      <c r="AG521" s="423"/>
      <c r="AH521" s="423"/>
      <c r="AI521" s="423"/>
    </row>
    <row r="522">
      <c r="A522" s="419"/>
      <c r="B522" s="419"/>
      <c r="C522" s="419"/>
      <c r="D522" s="419"/>
      <c r="E522" s="387"/>
      <c r="F522" s="387"/>
      <c r="G522" s="423"/>
      <c r="H522" s="423"/>
      <c r="I522" s="423"/>
      <c r="J522" s="423"/>
      <c r="K522" s="423"/>
      <c r="L522" s="423"/>
      <c r="M522" s="423"/>
      <c r="N522" s="423"/>
      <c r="O522" s="423"/>
      <c r="P522" s="423"/>
      <c r="Q522" s="423"/>
      <c r="R522" s="423"/>
      <c r="S522" s="423"/>
      <c r="T522" s="423"/>
      <c r="U522" s="423"/>
      <c r="V522" s="423"/>
      <c r="W522" s="423"/>
      <c r="X522" s="423"/>
      <c r="Y522" s="423"/>
      <c r="Z522" s="423"/>
      <c r="AA522" s="423"/>
      <c r="AB522" s="423"/>
      <c r="AC522" s="423"/>
      <c r="AD522" s="423"/>
      <c r="AE522" s="423"/>
      <c r="AF522" s="423"/>
      <c r="AG522" s="423"/>
      <c r="AH522" s="423"/>
      <c r="AI522" s="423"/>
    </row>
    <row r="523">
      <c r="A523" s="419"/>
      <c r="B523" s="419"/>
      <c r="C523" s="419"/>
      <c r="D523" s="419"/>
      <c r="E523" s="387"/>
      <c r="F523" s="387"/>
      <c r="G523" s="423"/>
      <c r="H523" s="423"/>
      <c r="I523" s="423"/>
      <c r="J523" s="423"/>
      <c r="K523" s="423"/>
      <c r="L523" s="423"/>
      <c r="M523" s="423"/>
      <c r="N523" s="423"/>
      <c r="O523" s="423"/>
      <c r="P523" s="423"/>
      <c r="Q523" s="423"/>
      <c r="R523" s="423"/>
      <c r="S523" s="423"/>
      <c r="T523" s="423"/>
      <c r="U523" s="423"/>
      <c r="V523" s="423"/>
      <c r="W523" s="423"/>
      <c r="X523" s="423"/>
      <c r="Y523" s="423"/>
      <c r="Z523" s="423"/>
      <c r="AA523" s="423"/>
      <c r="AB523" s="423"/>
      <c r="AC523" s="423"/>
      <c r="AD523" s="423"/>
      <c r="AE523" s="423"/>
      <c r="AF523" s="423"/>
      <c r="AG523" s="423"/>
      <c r="AH523" s="423"/>
      <c r="AI523" s="423"/>
    </row>
    <row r="524">
      <c r="A524" s="419"/>
      <c r="B524" s="419"/>
      <c r="C524" s="419"/>
      <c r="D524" s="419"/>
      <c r="E524" s="387"/>
      <c r="F524" s="387"/>
      <c r="G524" s="423"/>
      <c r="H524" s="423"/>
      <c r="I524" s="423"/>
      <c r="J524" s="423"/>
      <c r="K524" s="423"/>
      <c r="L524" s="423"/>
      <c r="M524" s="423"/>
      <c r="N524" s="423"/>
      <c r="O524" s="423"/>
      <c r="P524" s="423"/>
      <c r="Q524" s="423"/>
      <c r="R524" s="423"/>
      <c r="S524" s="423"/>
      <c r="T524" s="423"/>
      <c r="U524" s="423"/>
      <c r="V524" s="423"/>
      <c r="W524" s="423"/>
      <c r="X524" s="423"/>
      <c r="Y524" s="423"/>
      <c r="Z524" s="423"/>
      <c r="AA524" s="423"/>
      <c r="AB524" s="423"/>
      <c r="AC524" s="423"/>
      <c r="AD524" s="423"/>
      <c r="AE524" s="423"/>
      <c r="AF524" s="423"/>
      <c r="AG524" s="423"/>
      <c r="AH524" s="423"/>
      <c r="AI524" s="423"/>
    </row>
    <row r="525">
      <c r="A525" s="419"/>
      <c r="B525" s="419"/>
      <c r="C525" s="419"/>
      <c r="D525" s="419"/>
      <c r="E525" s="387"/>
      <c r="F525" s="387"/>
      <c r="G525" s="423"/>
      <c r="H525" s="423"/>
      <c r="I525" s="423"/>
      <c r="J525" s="423"/>
      <c r="K525" s="423"/>
      <c r="L525" s="423"/>
      <c r="M525" s="423"/>
      <c r="N525" s="423"/>
      <c r="O525" s="423"/>
      <c r="P525" s="423"/>
      <c r="Q525" s="423"/>
      <c r="R525" s="423"/>
      <c r="S525" s="423"/>
      <c r="T525" s="423"/>
      <c r="U525" s="423"/>
      <c r="V525" s="423"/>
      <c r="W525" s="423"/>
      <c r="X525" s="423"/>
      <c r="Y525" s="423"/>
      <c r="Z525" s="423"/>
      <c r="AA525" s="423"/>
      <c r="AB525" s="423"/>
      <c r="AC525" s="423"/>
      <c r="AD525" s="423"/>
      <c r="AE525" s="423"/>
      <c r="AF525" s="423"/>
      <c r="AG525" s="423"/>
      <c r="AH525" s="423"/>
      <c r="AI525" s="423"/>
    </row>
    <row r="526">
      <c r="A526" s="419"/>
      <c r="B526" s="419"/>
      <c r="C526" s="419"/>
      <c r="D526" s="419"/>
      <c r="E526" s="387"/>
      <c r="F526" s="387"/>
      <c r="G526" s="423"/>
      <c r="H526" s="423"/>
      <c r="I526" s="423"/>
      <c r="J526" s="423"/>
      <c r="K526" s="423"/>
      <c r="L526" s="423"/>
      <c r="M526" s="423"/>
      <c r="N526" s="423"/>
      <c r="O526" s="423"/>
      <c r="P526" s="423"/>
      <c r="Q526" s="423"/>
      <c r="R526" s="423"/>
      <c r="S526" s="423"/>
      <c r="T526" s="423"/>
      <c r="U526" s="423"/>
      <c r="V526" s="423"/>
      <c r="W526" s="423"/>
      <c r="X526" s="423"/>
      <c r="Y526" s="423"/>
      <c r="Z526" s="423"/>
      <c r="AA526" s="423"/>
      <c r="AB526" s="423"/>
      <c r="AC526" s="423"/>
      <c r="AD526" s="423"/>
      <c r="AE526" s="423"/>
      <c r="AF526" s="423"/>
      <c r="AG526" s="423"/>
      <c r="AH526" s="423"/>
      <c r="AI526" s="423"/>
    </row>
    <row r="527">
      <c r="A527" s="419"/>
      <c r="B527" s="419"/>
      <c r="C527" s="419"/>
      <c r="D527" s="419"/>
      <c r="E527" s="387"/>
      <c r="F527" s="387"/>
      <c r="G527" s="423"/>
      <c r="H527" s="423"/>
      <c r="I527" s="423"/>
      <c r="J527" s="423"/>
      <c r="K527" s="423"/>
      <c r="L527" s="423"/>
      <c r="M527" s="423"/>
      <c r="N527" s="423"/>
      <c r="O527" s="423"/>
      <c r="P527" s="423"/>
      <c r="Q527" s="423"/>
      <c r="R527" s="423"/>
      <c r="S527" s="423"/>
      <c r="T527" s="423"/>
      <c r="U527" s="423"/>
      <c r="V527" s="423"/>
      <c r="W527" s="423"/>
      <c r="X527" s="423"/>
      <c r="Y527" s="423"/>
      <c r="Z527" s="423"/>
      <c r="AA527" s="423"/>
      <c r="AB527" s="423"/>
      <c r="AC527" s="423"/>
      <c r="AD527" s="423"/>
      <c r="AE527" s="423"/>
      <c r="AF527" s="423"/>
      <c r="AG527" s="423"/>
      <c r="AH527" s="423"/>
      <c r="AI527" s="423"/>
    </row>
    <row r="528">
      <c r="A528" s="419"/>
      <c r="B528" s="419"/>
      <c r="C528" s="419"/>
      <c r="D528" s="419"/>
      <c r="E528" s="387"/>
      <c r="F528" s="387"/>
      <c r="G528" s="423"/>
      <c r="H528" s="423"/>
      <c r="I528" s="423"/>
      <c r="J528" s="423"/>
      <c r="K528" s="423"/>
      <c r="L528" s="423"/>
      <c r="M528" s="423"/>
      <c r="N528" s="423"/>
      <c r="O528" s="423"/>
      <c r="P528" s="423"/>
      <c r="Q528" s="423"/>
      <c r="R528" s="423"/>
      <c r="S528" s="423"/>
      <c r="T528" s="423"/>
      <c r="U528" s="423"/>
      <c r="V528" s="423"/>
      <c r="W528" s="423"/>
      <c r="X528" s="423"/>
      <c r="Y528" s="423"/>
      <c r="Z528" s="423"/>
      <c r="AA528" s="423"/>
      <c r="AB528" s="423"/>
      <c r="AC528" s="423"/>
      <c r="AD528" s="423"/>
      <c r="AE528" s="423"/>
      <c r="AF528" s="423"/>
      <c r="AG528" s="423"/>
      <c r="AH528" s="423"/>
      <c r="AI528" s="423"/>
    </row>
    <row r="529">
      <c r="A529" s="419"/>
      <c r="B529" s="419"/>
      <c r="C529" s="419"/>
      <c r="D529" s="419"/>
      <c r="E529" s="387"/>
      <c r="F529" s="387"/>
      <c r="G529" s="423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423"/>
      <c r="U529" s="423"/>
      <c r="V529" s="423"/>
      <c r="W529" s="423"/>
      <c r="X529" s="423"/>
      <c r="Y529" s="423"/>
      <c r="Z529" s="423"/>
      <c r="AA529" s="423"/>
      <c r="AB529" s="423"/>
      <c r="AC529" s="423"/>
      <c r="AD529" s="423"/>
      <c r="AE529" s="423"/>
      <c r="AF529" s="423"/>
      <c r="AG529" s="423"/>
      <c r="AH529" s="423"/>
      <c r="AI529" s="423"/>
    </row>
    <row r="530">
      <c r="A530" s="419"/>
      <c r="B530" s="419"/>
      <c r="C530" s="419"/>
      <c r="D530" s="419"/>
      <c r="E530" s="387"/>
      <c r="F530" s="387"/>
      <c r="G530" s="423"/>
      <c r="H530" s="423"/>
      <c r="I530" s="423"/>
      <c r="J530" s="423"/>
      <c r="K530" s="423"/>
      <c r="L530" s="423"/>
      <c r="M530" s="423"/>
      <c r="N530" s="423"/>
      <c r="O530" s="423"/>
      <c r="P530" s="423"/>
      <c r="Q530" s="423"/>
      <c r="R530" s="423"/>
      <c r="S530" s="423"/>
      <c r="T530" s="423"/>
      <c r="U530" s="423"/>
      <c r="V530" s="423"/>
      <c r="W530" s="423"/>
      <c r="X530" s="423"/>
      <c r="Y530" s="423"/>
      <c r="Z530" s="423"/>
      <c r="AA530" s="423"/>
      <c r="AB530" s="423"/>
      <c r="AC530" s="423"/>
      <c r="AD530" s="423"/>
      <c r="AE530" s="423"/>
      <c r="AF530" s="423"/>
      <c r="AG530" s="423"/>
      <c r="AH530" s="423"/>
      <c r="AI530" s="423"/>
    </row>
    <row r="531">
      <c r="A531" s="419"/>
      <c r="B531" s="419"/>
      <c r="C531" s="419"/>
      <c r="D531" s="419"/>
      <c r="E531" s="387"/>
      <c r="F531" s="387"/>
      <c r="G531" s="423"/>
      <c r="H531" s="423"/>
      <c r="I531" s="423"/>
      <c r="J531" s="423"/>
      <c r="K531" s="423"/>
      <c r="L531" s="423"/>
      <c r="M531" s="423"/>
      <c r="N531" s="423"/>
      <c r="O531" s="423"/>
      <c r="P531" s="423"/>
      <c r="Q531" s="423"/>
      <c r="R531" s="423"/>
      <c r="S531" s="423"/>
      <c r="T531" s="423"/>
      <c r="U531" s="423"/>
      <c r="V531" s="423"/>
      <c r="W531" s="423"/>
      <c r="X531" s="423"/>
      <c r="Y531" s="423"/>
      <c r="Z531" s="423"/>
      <c r="AA531" s="423"/>
      <c r="AB531" s="423"/>
      <c r="AC531" s="423"/>
      <c r="AD531" s="423"/>
      <c r="AE531" s="423"/>
      <c r="AF531" s="423"/>
      <c r="AG531" s="423"/>
      <c r="AH531" s="423"/>
      <c r="AI531" s="423"/>
    </row>
    <row r="532">
      <c r="A532" s="419"/>
      <c r="B532" s="419"/>
      <c r="C532" s="419"/>
      <c r="D532" s="419"/>
      <c r="E532" s="387"/>
      <c r="F532" s="387"/>
      <c r="G532" s="423"/>
      <c r="H532" s="423"/>
      <c r="I532" s="423"/>
      <c r="J532" s="423"/>
      <c r="K532" s="423"/>
      <c r="L532" s="423"/>
      <c r="M532" s="423"/>
      <c r="N532" s="423"/>
      <c r="O532" s="423"/>
      <c r="P532" s="423"/>
      <c r="Q532" s="423"/>
      <c r="R532" s="423"/>
      <c r="S532" s="423"/>
      <c r="T532" s="423"/>
      <c r="U532" s="423"/>
      <c r="V532" s="423"/>
      <c r="W532" s="423"/>
      <c r="X532" s="423"/>
      <c r="Y532" s="423"/>
      <c r="Z532" s="423"/>
      <c r="AA532" s="423"/>
      <c r="AB532" s="423"/>
      <c r="AC532" s="423"/>
      <c r="AD532" s="423"/>
      <c r="AE532" s="423"/>
      <c r="AF532" s="423"/>
      <c r="AG532" s="423"/>
      <c r="AH532" s="423"/>
      <c r="AI532" s="423"/>
    </row>
    <row r="533">
      <c r="A533" s="419"/>
      <c r="B533" s="419"/>
      <c r="C533" s="419"/>
      <c r="D533" s="419"/>
      <c r="E533" s="387"/>
      <c r="F533" s="387"/>
      <c r="G533" s="423"/>
      <c r="H533" s="423"/>
      <c r="I533" s="423"/>
      <c r="J533" s="423"/>
      <c r="K533" s="423"/>
      <c r="L533" s="423"/>
      <c r="M533" s="423"/>
      <c r="N533" s="423"/>
      <c r="O533" s="423"/>
      <c r="P533" s="423"/>
      <c r="Q533" s="423"/>
      <c r="R533" s="423"/>
      <c r="S533" s="423"/>
      <c r="T533" s="423"/>
      <c r="U533" s="423"/>
      <c r="V533" s="423"/>
      <c r="W533" s="423"/>
      <c r="X533" s="423"/>
      <c r="Y533" s="423"/>
      <c r="Z533" s="423"/>
      <c r="AA533" s="423"/>
      <c r="AB533" s="423"/>
      <c r="AC533" s="423"/>
      <c r="AD533" s="423"/>
      <c r="AE533" s="423"/>
      <c r="AF533" s="423"/>
      <c r="AG533" s="423"/>
      <c r="AH533" s="423"/>
      <c r="AI533" s="423"/>
    </row>
    <row r="534">
      <c r="A534" s="419"/>
      <c r="B534" s="419"/>
      <c r="C534" s="419"/>
      <c r="D534" s="419"/>
      <c r="E534" s="387"/>
      <c r="F534" s="387"/>
      <c r="G534" s="423"/>
      <c r="H534" s="423"/>
      <c r="I534" s="423"/>
      <c r="J534" s="423"/>
      <c r="K534" s="423"/>
      <c r="L534" s="423"/>
      <c r="M534" s="423"/>
      <c r="N534" s="423"/>
      <c r="O534" s="423"/>
      <c r="P534" s="423"/>
      <c r="Q534" s="423"/>
      <c r="R534" s="423"/>
      <c r="S534" s="423"/>
      <c r="T534" s="423"/>
      <c r="U534" s="423"/>
      <c r="V534" s="423"/>
      <c r="W534" s="423"/>
      <c r="X534" s="423"/>
      <c r="Y534" s="423"/>
      <c r="Z534" s="423"/>
      <c r="AA534" s="423"/>
      <c r="AB534" s="423"/>
      <c r="AC534" s="423"/>
      <c r="AD534" s="423"/>
      <c r="AE534" s="423"/>
      <c r="AF534" s="423"/>
      <c r="AG534" s="423"/>
      <c r="AH534" s="423"/>
      <c r="AI534" s="423"/>
    </row>
    <row r="535">
      <c r="A535" s="419"/>
      <c r="B535" s="419"/>
      <c r="C535" s="419"/>
      <c r="D535" s="419"/>
      <c r="E535" s="387"/>
      <c r="F535" s="387"/>
      <c r="G535" s="423"/>
      <c r="H535" s="423"/>
      <c r="I535" s="423"/>
      <c r="J535" s="423"/>
      <c r="K535" s="423"/>
      <c r="L535" s="423"/>
      <c r="M535" s="423"/>
      <c r="N535" s="423"/>
      <c r="O535" s="423"/>
      <c r="P535" s="423"/>
      <c r="Q535" s="423"/>
      <c r="R535" s="423"/>
      <c r="S535" s="423"/>
      <c r="T535" s="423"/>
      <c r="U535" s="423"/>
      <c r="V535" s="423"/>
      <c r="W535" s="423"/>
      <c r="X535" s="423"/>
      <c r="Y535" s="423"/>
      <c r="Z535" s="423"/>
      <c r="AA535" s="423"/>
      <c r="AB535" s="423"/>
      <c r="AC535" s="423"/>
      <c r="AD535" s="423"/>
      <c r="AE535" s="423"/>
      <c r="AF535" s="423"/>
      <c r="AG535" s="423"/>
      <c r="AH535" s="423"/>
      <c r="AI535" s="423"/>
    </row>
    <row r="536">
      <c r="A536" s="419"/>
      <c r="B536" s="419"/>
      <c r="C536" s="419"/>
      <c r="D536" s="419"/>
      <c r="E536" s="387"/>
      <c r="F536" s="387"/>
      <c r="G536" s="423"/>
      <c r="H536" s="423"/>
      <c r="I536" s="423"/>
      <c r="J536" s="423"/>
      <c r="K536" s="423"/>
      <c r="L536" s="423"/>
      <c r="M536" s="423"/>
      <c r="N536" s="423"/>
      <c r="O536" s="423"/>
      <c r="P536" s="423"/>
      <c r="Q536" s="423"/>
      <c r="R536" s="423"/>
      <c r="S536" s="423"/>
      <c r="T536" s="423"/>
      <c r="U536" s="423"/>
      <c r="V536" s="423"/>
      <c r="W536" s="423"/>
      <c r="X536" s="423"/>
      <c r="Y536" s="423"/>
      <c r="Z536" s="423"/>
      <c r="AA536" s="423"/>
      <c r="AB536" s="423"/>
      <c r="AC536" s="423"/>
      <c r="AD536" s="423"/>
      <c r="AE536" s="423"/>
      <c r="AF536" s="423"/>
      <c r="AG536" s="423"/>
      <c r="AH536" s="423"/>
      <c r="AI536" s="423"/>
    </row>
    <row r="537">
      <c r="A537" s="419"/>
      <c r="B537" s="419"/>
      <c r="C537" s="419"/>
      <c r="D537" s="419"/>
      <c r="E537" s="387"/>
      <c r="F537" s="387"/>
      <c r="G537" s="423"/>
      <c r="H537" s="423"/>
      <c r="I537" s="423"/>
      <c r="J537" s="423"/>
      <c r="K537" s="423"/>
      <c r="L537" s="423"/>
      <c r="M537" s="423"/>
      <c r="N537" s="423"/>
      <c r="O537" s="423"/>
      <c r="P537" s="423"/>
      <c r="Q537" s="423"/>
      <c r="R537" s="423"/>
      <c r="S537" s="423"/>
      <c r="T537" s="423"/>
      <c r="U537" s="423"/>
      <c r="V537" s="423"/>
      <c r="W537" s="423"/>
      <c r="X537" s="423"/>
      <c r="Y537" s="423"/>
      <c r="Z537" s="423"/>
      <c r="AA537" s="423"/>
      <c r="AB537" s="423"/>
      <c r="AC537" s="423"/>
      <c r="AD537" s="423"/>
      <c r="AE537" s="423"/>
      <c r="AF537" s="423"/>
      <c r="AG537" s="423"/>
      <c r="AH537" s="423"/>
      <c r="AI537" s="423"/>
    </row>
    <row r="538">
      <c r="A538" s="419"/>
      <c r="B538" s="419"/>
      <c r="C538" s="419"/>
      <c r="D538" s="419"/>
      <c r="E538" s="387"/>
      <c r="F538" s="387"/>
      <c r="G538" s="423"/>
      <c r="H538" s="423"/>
      <c r="I538" s="423"/>
      <c r="J538" s="423"/>
      <c r="K538" s="423"/>
      <c r="L538" s="423"/>
      <c r="M538" s="423"/>
      <c r="N538" s="423"/>
      <c r="O538" s="423"/>
      <c r="P538" s="423"/>
      <c r="Q538" s="423"/>
      <c r="R538" s="423"/>
      <c r="S538" s="423"/>
      <c r="T538" s="423"/>
      <c r="U538" s="423"/>
      <c r="V538" s="423"/>
      <c r="W538" s="423"/>
      <c r="X538" s="423"/>
      <c r="Y538" s="423"/>
      <c r="Z538" s="423"/>
      <c r="AA538" s="423"/>
      <c r="AB538" s="423"/>
      <c r="AC538" s="423"/>
      <c r="AD538" s="423"/>
      <c r="AE538" s="423"/>
      <c r="AF538" s="423"/>
      <c r="AG538" s="423"/>
      <c r="AH538" s="423"/>
      <c r="AI538" s="423"/>
    </row>
    <row r="539">
      <c r="A539" s="419"/>
      <c r="B539" s="419"/>
      <c r="C539" s="419"/>
      <c r="D539" s="419"/>
      <c r="E539" s="387"/>
      <c r="F539" s="387"/>
      <c r="G539" s="423"/>
      <c r="H539" s="423"/>
      <c r="I539" s="423"/>
      <c r="J539" s="423"/>
      <c r="K539" s="423"/>
      <c r="L539" s="423"/>
      <c r="M539" s="423"/>
      <c r="N539" s="423"/>
      <c r="O539" s="423"/>
      <c r="P539" s="423"/>
      <c r="Q539" s="423"/>
      <c r="R539" s="423"/>
      <c r="S539" s="423"/>
      <c r="T539" s="423"/>
      <c r="U539" s="423"/>
      <c r="V539" s="423"/>
      <c r="W539" s="423"/>
      <c r="X539" s="423"/>
      <c r="Y539" s="423"/>
      <c r="Z539" s="423"/>
      <c r="AA539" s="423"/>
      <c r="AB539" s="423"/>
      <c r="AC539" s="423"/>
      <c r="AD539" s="423"/>
      <c r="AE539" s="423"/>
      <c r="AF539" s="423"/>
      <c r="AG539" s="423"/>
      <c r="AH539" s="423"/>
      <c r="AI539" s="423"/>
    </row>
    <row r="540">
      <c r="A540" s="419"/>
      <c r="B540" s="419"/>
      <c r="C540" s="419"/>
      <c r="D540" s="419"/>
      <c r="E540" s="387"/>
      <c r="F540" s="387"/>
      <c r="G540" s="423"/>
      <c r="H540" s="423"/>
      <c r="I540" s="423"/>
      <c r="J540" s="423"/>
      <c r="K540" s="423"/>
      <c r="L540" s="423"/>
      <c r="M540" s="423"/>
      <c r="N540" s="423"/>
      <c r="O540" s="423"/>
      <c r="P540" s="423"/>
      <c r="Q540" s="423"/>
      <c r="R540" s="423"/>
      <c r="S540" s="423"/>
      <c r="T540" s="423"/>
      <c r="U540" s="423"/>
      <c r="V540" s="423"/>
      <c r="W540" s="423"/>
      <c r="X540" s="423"/>
      <c r="Y540" s="423"/>
      <c r="Z540" s="423"/>
      <c r="AA540" s="423"/>
      <c r="AB540" s="423"/>
      <c r="AC540" s="423"/>
      <c r="AD540" s="423"/>
      <c r="AE540" s="423"/>
      <c r="AF540" s="423"/>
      <c r="AG540" s="423"/>
      <c r="AH540" s="423"/>
      <c r="AI540" s="423"/>
    </row>
    <row r="541">
      <c r="A541" s="419"/>
      <c r="B541" s="419"/>
      <c r="C541" s="419"/>
      <c r="D541" s="419"/>
      <c r="E541" s="387"/>
      <c r="F541" s="387"/>
      <c r="G541" s="423"/>
      <c r="H541" s="423"/>
      <c r="I541" s="423"/>
      <c r="J541" s="423"/>
      <c r="K541" s="423"/>
      <c r="L541" s="423"/>
      <c r="M541" s="423"/>
      <c r="N541" s="423"/>
      <c r="O541" s="423"/>
      <c r="P541" s="423"/>
      <c r="Q541" s="423"/>
      <c r="R541" s="423"/>
      <c r="S541" s="423"/>
      <c r="T541" s="423"/>
      <c r="U541" s="423"/>
      <c r="V541" s="423"/>
      <c r="W541" s="423"/>
      <c r="X541" s="423"/>
      <c r="Y541" s="423"/>
      <c r="Z541" s="423"/>
      <c r="AA541" s="423"/>
      <c r="AB541" s="423"/>
      <c r="AC541" s="423"/>
      <c r="AD541" s="423"/>
      <c r="AE541" s="423"/>
      <c r="AF541" s="423"/>
      <c r="AG541" s="423"/>
      <c r="AH541" s="423"/>
      <c r="AI541" s="423"/>
    </row>
    <row r="542">
      <c r="A542" s="419"/>
      <c r="B542" s="419"/>
      <c r="C542" s="419"/>
      <c r="D542" s="419"/>
      <c r="E542" s="387"/>
      <c r="F542" s="387"/>
      <c r="G542" s="423"/>
      <c r="H542" s="423"/>
      <c r="I542" s="423"/>
      <c r="J542" s="423"/>
      <c r="K542" s="423"/>
      <c r="L542" s="423"/>
      <c r="M542" s="423"/>
      <c r="N542" s="423"/>
      <c r="O542" s="423"/>
      <c r="P542" s="423"/>
      <c r="Q542" s="423"/>
      <c r="R542" s="423"/>
      <c r="S542" s="423"/>
      <c r="T542" s="423"/>
      <c r="U542" s="423"/>
      <c r="V542" s="423"/>
      <c r="W542" s="423"/>
      <c r="X542" s="423"/>
      <c r="Y542" s="423"/>
      <c r="Z542" s="423"/>
      <c r="AA542" s="423"/>
      <c r="AB542" s="423"/>
      <c r="AC542" s="423"/>
      <c r="AD542" s="423"/>
      <c r="AE542" s="423"/>
      <c r="AF542" s="423"/>
      <c r="AG542" s="423"/>
      <c r="AH542" s="423"/>
      <c r="AI542" s="423"/>
    </row>
    <row r="543">
      <c r="A543" s="419"/>
      <c r="B543" s="419"/>
      <c r="C543" s="419"/>
      <c r="D543" s="419"/>
      <c r="E543" s="387"/>
      <c r="F543" s="387"/>
      <c r="G543" s="423"/>
      <c r="H543" s="423"/>
      <c r="I543" s="423"/>
      <c r="J543" s="423"/>
      <c r="K543" s="423"/>
      <c r="L543" s="423"/>
      <c r="M543" s="423"/>
      <c r="N543" s="423"/>
      <c r="O543" s="423"/>
      <c r="P543" s="423"/>
      <c r="Q543" s="423"/>
      <c r="R543" s="423"/>
      <c r="S543" s="423"/>
      <c r="T543" s="423"/>
      <c r="U543" s="423"/>
      <c r="V543" s="423"/>
      <c r="W543" s="423"/>
      <c r="X543" s="423"/>
      <c r="Y543" s="423"/>
      <c r="Z543" s="423"/>
      <c r="AA543" s="423"/>
      <c r="AB543" s="423"/>
      <c r="AC543" s="423"/>
      <c r="AD543" s="423"/>
      <c r="AE543" s="423"/>
      <c r="AF543" s="423"/>
      <c r="AG543" s="423"/>
      <c r="AH543" s="423"/>
      <c r="AI543" s="423"/>
    </row>
    <row r="544">
      <c r="A544" s="419"/>
      <c r="B544" s="419"/>
      <c r="C544" s="419"/>
      <c r="D544" s="419"/>
      <c r="E544" s="387"/>
      <c r="F544" s="387"/>
      <c r="G544" s="423"/>
      <c r="H544" s="423"/>
      <c r="I544" s="423"/>
      <c r="J544" s="423"/>
      <c r="K544" s="423"/>
      <c r="L544" s="423"/>
      <c r="M544" s="423"/>
      <c r="N544" s="423"/>
      <c r="O544" s="423"/>
      <c r="P544" s="423"/>
      <c r="Q544" s="423"/>
      <c r="R544" s="423"/>
      <c r="S544" s="423"/>
      <c r="T544" s="423"/>
      <c r="U544" s="423"/>
      <c r="V544" s="423"/>
      <c r="W544" s="423"/>
      <c r="X544" s="423"/>
      <c r="Y544" s="423"/>
      <c r="Z544" s="423"/>
      <c r="AA544" s="423"/>
      <c r="AB544" s="423"/>
      <c r="AC544" s="423"/>
      <c r="AD544" s="423"/>
      <c r="AE544" s="423"/>
      <c r="AF544" s="423"/>
      <c r="AG544" s="423"/>
      <c r="AH544" s="423"/>
      <c r="AI544" s="423"/>
    </row>
    <row r="545">
      <c r="A545" s="419"/>
      <c r="B545" s="419"/>
      <c r="C545" s="419"/>
      <c r="D545" s="419"/>
      <c r="E545" s="387"/>
      <c r="F545" s="387"/>
      <c r="G545" s="423"/>
      <c r="H545" s="423"/>
      <c r="I545" s="423"/>
      <c r="J545" s="423"/>
      <c r="K545" s="423"/>
      <c r="L545" s="423"/>
      <c r="M545" s="423"/>
      <c r="N545" s="423"/>
      <c r="O545" s="423"/>
      <c r="P545" s="423"/>
      <c r="Q545" s="423"/>
      <c r="R545" s="423"/>
      <c r="S545" s="423"/>
      <c r="T545" s="423"/>
      <c r="U545" s="423"/>
      <c r="V545" s="423"/>
      <c r="W545" s="423"/>
      <c r="X545" s="423"/>
      <c r="Y545" s="423"/>
      <c r="Z545" s="423"/>
      <c r="AA545" s="423"/>
      <c r="AB545" s="423"/>
      <c r="AC545" s="423"/>
      <c r="AD545" s="423"/>
      <c r="AE545" s="423"/>
      <c r="AF545" s="423"/>
      <c r="AG545" s="423"/>
      <c r="AH545" s="423"/>
      <c r="AI545" s="423"/>
    </row>
    <row r="546">
      <c r="A546" s="419"/>
      <c r="B546" s="419"/>
      <c r="C546" s="419"/>
      <c r="D546" s="419"/>
      <c r="E546" s="387"/>
      <c r="F546" s="387"/>
      <c r="G546" s="423"/>
      <c r="H546" s="423"/>
      <c r="I546" s="423"/>
      <c r="J546" s="423"/>
      <c r="K546" s="423"/>
      <c r="L546" s="423"/>
      <c r="M546" s="423"/>
      <c r="N546" s="423"/>
      <c r="O546" s="423"/>
      <c r="P546" s="423"/>
      <c r="Q546" s="423"/>
      <c r="R546" s="423"/>
      <c r="S546" s="423"/>
      <c r="T546" s="423"/>
      <c r="U546" s="423"/>
      <c r="V546" s="423"/>
      <c r="W546" s="423"/>
      <c r="X546" s="423"/>
      <c r="Y546" s="423"/>
      <c r="Z546" s="423"/>
      <c r="AA546" s="423"/>
      <c r="AB546" s="423"/>
      <c r="AC546" s="423"/>
      <c r="AD546" s="423"/>
      <c r="AE546" s="423"/>
      <c r="AF546" s="423"/>
      <c r="AG546" s="423"/>
      <c r="AH546" s="423"/>
      <c r="AI546" s="423"/>
    </row>
    <row r="547">
      <c r="A547" s="419"/>
      <c r="B547" s="419"/>
      <c r="C547" s="419"/>
      <c r="D547" s="419"/>
      <c r="E547" s="387"/>
      <c r="F547" s="387"/>
      <c r="G547" s="423"/>
      <c r="H547" s="423"/>
      <c r="I547" s="423"/>
      <c r="J547" s="423"/>
      <c r="K547" s="423"/>
      <c r="L547" s="423"/>
      <c r="M547" s="423"/>
      <c r="N547" s="423"/>
      <c r="O547" s="423"/>
      <c r="P547" s="423"/>
      <c r="Q547" s="423"/>
      <c r="R547" s="423"/>
      <c r="S547" s="423"/>
      <c r="T547" s="423"/>
      <c r="U547" s="423"/>
      <c r="V547" s="423"/>
      <c r="W547" s="423"/>
      <c r="X547" s="423"/>
      <c r="Y547" s="423"/>
      <c r="Z547" s="423"/>
      <c r="AA547" s="423"/>
      <c r="AB547" s="423"/>
      <c r="AC547" s="423"/>
      <c r="AD547" s="423"/>
      <c r="AE547" s="423"/>
      <c r="AF547" s="423"/>
      <c r="AG547" s="423"/>
      <c r="AH547" s="423"/>
      <c r="AI547" s="423"/>
    </row>
    <row r="548">
      <c r="A548" s="419"/>
      <c r="B548" s="419"/>
      <c r="C548" s="419"/>
      <c r="D548" s="419"/>
      <c r="E548" s="387"/>
      <c r="F548" s="387"/>
      <c r="G548" s="423"/>
      <c r="H548" s="423"/>
      <c r="I548" s="423"/>
      <c r="J548" s="423"/>
      <c r="K548" s="423"/>
      <c r="L548" s="423"/>
      <c r="M548" s="423"/>
      <c r="N548" s="423"/>
      <c r="O548" s="423"/>
      <c r="P548" s="423"/>
      <c r="Q548" s="423"/>
      <c r="R548" s="423"/>
      <c r="S548" s="423"/>
      <c r="T548" s="423"/>
      <c r="U548" s="423"/>
      <c r="V548" s="423"/>
      <c r="W548" s="423"/>
      <c r="X548" s="423"/>
      <c r="Y548" s="423"/>
      <c r="Z548" s="423"/>
      <c r="AA548" s="423"/>
      <c r="AB548" s="423"/>
      <c r="AC548" s="423"/>
      <c r="AD548" s="423"/>
      <c r="AE548" s="423"/>
      <c r="AF548" s="423"/>
      <c r="AG548" s="423"/>
      <c r="AH548" s="423"/>
      <c r="AI548" s="423"/>
    </row>
    <row r="549">
      <c r="A549" s="419"/>
      <c r="B549" s="419"/>
      <c r="C549" s="419"/>
      <c r="D549" s="419"/>
      <c r="E549" s="387"/>
      <c r="F549" s="387"/>
      <c r="G549" s="423"/>
      <c r="H549" s="423"/>
      <c r="I549" s="423"/>
      <c r="J549" s="423"/>
      <c r="K549" s="423"/>
      <c r="L549" s="423"/>
      <c r="M549" s="423"/>
      <c r="N549" s="423"/>
      <c r="O549" s="423"/>
      <c r="P549" s="423"/>
      <c r="Q549" s="423"/>
      <c r="R549" s="423"/>
      <c r="S549" s="423"/>
      <c r="T549" s="423"/>
      <c r="U549" s="423"/>
      <c r="V549" s="423"/>
      <c r="W549" s="423"/>
      <c r="X549" s="423"/>
      <c r="Y549" s="423"/>
      <c r="Z549" s="423"/>
      <c r="AA549" s="423"/>
      <c r="AB549" s="423"/>
      <c r="AC549" s="423"/>
      <c r="AD549" s="423"/>
      <c r="AE549" s="423"/>
      <c r="AF549" s="423"/>
      <c r="AG549" s="423"/>
      <c r="AH549" s="423"/>
      <c r="AI549" s="423"/>
    </row>
    <row r="550">
      <c r="A550" s="419"/>
      <c r="B550" s="419"/>
      <c r="C550" s="419"/>
      <c r="D550" s="419"/>
      <c r="E550" s="387"/>
      <c r="F550" s="387"/>
      <c r="G550" s="423"/>
      <c r="H550" s="423"/>
      <c r="I550" s="423"/>
      <c r="J550" s="423"/>
      <c r="K550" s="423"/>
      <c r="L550" s="423"/>
      <c r="M550" s="423"/>
      <c r="N550" s="423"/>
      <c r="O550" s="423"/>
      <c r="P550" s="423"/>
      <c r="Q550" s="423"/>
      <c r="R550" s="423"/>
      <c r="S550" s="423"/>
      <c r="T550" s="423"/>
      <c r="U550" s="423"/>
      <c r="V550" s="423"/>
      <c r="W550" s="423"/>
      <c r="X550" s="423"/>
      <c r="Y550" s="423"/>
      <c r="Z550" s="423"/>
      <c r="AA550" s="423"/>
      <c r="AB550" s="423"/>
      <c r="AC550" s="423"/>
      <c r="AD550" s="423"/>
      <c r="AE550" s="423"/>
      <c r="AF550" s="423"/>
      <c r="AG550" s="423"/>
      <c r="AH550" s="423"/>
      <c r="AI550" s="423"/>
    </row>
    <row r="551">
      <c r="A551" s="419"/>
      <c r="B551" s="419"/>
      <c r="C551" s="419"/>
      <c r="D551" s="419"/>
      <c r="E551" s="387"/>
      <c r="F551" s="387"/>
      <c r="G551" s="423"/>
      <c r="H551" s="423"/>
      <c r="I551" s="423"/>
      <c r="J551" s="423"/>
      <c r="K551" s="423"/>
      <c r="L551" s="423"/>
      <c r="M551" s="423"/>
      <c r="N551" s="423"/>
      <c r="O551" s="423"/>
      <c r="P551" s="423"/>
      <c r="Q551" s="423"/>
      <c r="R551" s="423"/>
      <c r="S551" s="423"/>
      <c r="T551" s="423"/>
      <c r="U551" s="423"/>
      <c r="V551" s="423"/>
      <c r="W551" s="423"/>
      <c r="X551" s="423"/>
      <c r="Y551" s="423"/>
      <c r="Z551" s="423"/>
      <c r="AA551" s="423"/>
      <c r="AB551" s="423"/>
      <c r="AC551" s="423"/>
      <c r="AD551" s="423"/>
      <c r="AE551" s="423"/>
      <c r="AF551" s="423"/>
      <c r="AG551" s="423"/>
      <c r="AH551" s="423"/>
      <c r="AI551" s="423"/>
    </row>
    <row r="552">
      <c r="A552" s="419"/>
      <c r="B552" s="419"/>
      <c r="C552" s="419"/>
      <c r="D552" s="419"/>
      <c r="E552" s="387"/>
      <c r="F552" s="387"/>
      <c r="G552" s="423"/>
      <c r="H552" s="423"/>
      <c r="I552" s="423"/>
      <c r="J552" s="423"/>
      <c r="K552" s="423"/>
      <c r="L552" s="423"/>
      <c r="M552" s="423"/>
      <c r="N552" s="423"/>
      <c r="O552" s="423"/>
      <c r="P552" s="423"/>
      <c r="Q552" s="423"/>
      <c r="R552" s="423"/>
      <c r="S552" s="423"/>
      <c r="T552" s="423"/>
      <c r="U552" s="423"/>
      <c r="V552" s="423"/>
      <c r="W552" s="423"/>
      <c r="X552" s="423"/>
      <c r="Y552" s="423"/>
      <c r="Z552" s="423"/>
      <c r="AA552" s="423"/>
      <c r="AB552" s="423"/>
      <c r="AC552" s="423"/>
      <c r="AD552" s="423"/>
      <c r="AE552" s="423"/>
      <c r="AF552" s="423"/>
      <c r="AG552" s="423"/>
      <c r="AH552" s="423"/>
      <c r="AI552" s="423"/>
    </row>
    <row r="553">
      <c r="A553" s="419"/>
      <c r="B553" s="419"/>
      <c r="C553" s="419"/>
      <c r="D553" s="419"/>
      <c r="E553" s="387"/>
      <c r="F553" s="387"/>
      <c r="G553" s="423"/>
      <c r="H553" s="423"/>
      <c r="I553" s="423"/>
      <c r="J553" s="423"/>
      <c r="K553" s="423"/>
      <c r="L553" s="423"/>
      <c r="M553" s="423"/>
      <c r="N553" s="423"/>
      <c r="O553" s="423"/>
      <c r="P553" s="423"/>
      <c r="Q553" s="423"/>
      <c r="R553" s="423"/>
      <c r="S553" s="423"/>
      <c r="T553" s="423"/>
      <c r="U553" s="423"/>
      <c r="V553" s="423"/>
      <c r="W553" s="423"/>
      <c r="X553" s="423"/>
      <c r="Y553" s="423"/>
      <c r="Z553" s="423"/>
      <c r="AA553" s="423"/>
      <c r="AB553" s="423"/>
      <c r="AC553" s="423"/>
      <c r="AD553" s="423"/>
      <c r="AE553" s="423"/>
      <c r="AF553" s="423"/>
      <c r="AG553" s="423"/>
      <c r="AH553" s="423"/>
      <c r="AI553" s="423"/>
    </row>
    <row r="554">
      <c r="A554" s="419"/>
      <c r="B554" s="419"/>
      <c r="C554" s="419"/>
      <c r="D554" s="419"/>
      <c r="E554" s="387"/>
      <c r="F554" s="387"/>
      <c r="G554" s="423"/>
      <c r="H554" s="423"/>
      <c r="I554" s="423"/>
      <c r="J554" s="423"/>
      <c r="K554" s="423"/>
      <c r="L554" s="423"/>
      <c r="M554" s="423"/>
      <c r="N554" s="423"/>
      <c r="O554" s="423"/>
      <c r="P554" s="423"/>
      <c r="Q554" s="423"/>
      <c r="R554" s="423"/>
      <c r="S554" s="423"/>
      <c r="T554" s="423"/>
      <c r="U554" s="423"/>
      <c r="V554" s="423"/>
      <c r="W554" s="423"/>
      <c r="X554" s="423"/>
      <c r="Y554" s="423"/>
      <c r="Z554" s="423"/>
      <c r="AA554" s="423"/>
      <c r="AB554" s="423"/>
      <c r="AC554" s="423"/>
      <c r="AD554" s="423"/>
      <c r="AE554" s="423"/>
      <c r="AF554" s="423"/>
      <c r="AG554" s="423"/>
      <c r="AH554" s="423"/>
      <c r="AI554" s="423"/>
    </row>
    <row r="555">
      <c r="A555" s="419"/>
      <c r="B555" s="419"/>
      <c r="C555" s="419"/>
      <c r="D555" s="419"/>
      <c r="E555" s="387"/>
      <c r="F555" s="387"/>
      <c r="G555" s="423"/>
      <c r="H555" s="423"/>
      <c r="I555" s="423"/>
      <c r="J555" s="423"/>
      <c r="K555" s="423"/>
      <c r="L555" s="423"/>
      <c r="M555" s="423"/>
      <c r="N555" s="423"/>
      <c r="O555" s="423"/>
      <c r="P555" s="423"/>
      <c r="Q555" s="423"/>
      <c r="R555" s="423"/>
      <c r="S555" s="423"/>
      <c r="T555" s="423"/>
      <c r="U555" s="423"/>
      <c r="V555" s="423"/>
      <c r="W555" s="423"/>
      <c r="X555" s="423"/>
      <c r="Y555" s="423"/>
      <c r="Z555" s="423"/>
      <c r="AA555" s="423"/>
      <c r="AB555" s="423"/>
      <c r="AC555" s="423"/>
      <c r="AD555" s="423"/>
      <c r="AE555" s="423"/>
      <c r="AF555" s="423"/>
      <c r="AG555" s="423"/>
      <c r="AH555" s="423"/>
      <c r="AI555" s="423"/>
    </row>
    <row r="556">
      <c r="A556" s="419"/>
      <c r="B556" s="419"/>
      <c r="C556" s="419"/>
      <c r="D556" s="419"/>
      <c r="E556" s="387"/>
      <c r="F556" s="387"/>
      <c r="G556" s="423"/>
      <c r="H556" s="423"/>
      <c r="I556" s="423"/>
      <c r="J556" s="423"/>
      <c r="K556" s="423"/>
      <c r="L556" s="423"/>
      <c r="M556" s="423"/>
      <c r="N556" s="423"/>
      <c r="O556" s="423"/>
      <c r="P556" s="423"/>
      <c r="Q556" s="423"/>
      <c r="R556" s="423"/>
      <c r="S556" s="423"/>
      <c r="T556" s="423"/>
      <c r="U556" s="423"/>
      <c r="V556" s="423"/>
      <c r="W556" s="423"/>
      <c r="X556" s="423"/>
      <c r="Y556" s="423"/>
      <c r="Z556" s="423"/>
      <c r="AA556" s="423"/>
      <c r="AB556" s="423"/>
      <c r="AC556" s="423"/>
      <c r="AD556" s="423"/>
      <c r="AE556" s="423"/>
      <c r="AF556" s="423"/>
      <c r="AG556" s="423"/>
      <c r="AH556" s="423"/>
      <c r="AI556" s="423"/>
    </row>
    <row r="557">
      <c r="A557" s="419"/>
      <c r="B557" s="419"/>
      <c r="C557" s="419"/>
      <c r="D557" s="419"/>
      <c r="E557" s="387"/>
      <c r="F557" s="387"/>
      <c r="G557" s="423"/>
      <c r="H557" s="423"/>
      <c r="I557" s="423"/>
      <c r="J557" s="423"/>
      <c r="K557" s="423"/>
      <c r="L557" s="423"/>
      <c r="M557" s="423"/>
      <c r="N557" s="423"/>
      <c r="O557" s="423"/>
      <c r="P557" s="423"/>
      <c r="Q557" s="423"/>
      <c r="R557" s="423"/>
      <c r="S557" s="423"/>
      <c r="T557" s="423"/>
      <c r="U557" s="423"/>
      <c r="V557" s="423"/>
      <c r="W557" s="423"/>
      <c r="X557" s="423"/>
      <c r="Y557" s="423"/>
      <c r="Z557" s="423"/>
      <c r="AA557" s="423"/>
      <c r="AB557" s="423"/>
      <c r="AC557" s="423"/>
      <c r="AD557" s="423"/>
      <c r="AE557" s="423"/>
      <c r="AF557" s="423"/>
      <c r="AG557" s="423"/>
      <c r="AH557" s="423"/>
      <c r="AI557" s="423"/>
    </row>
    <row r="558">
      <c r="A558" s="419"/>
      <c r="B558" s="419"/>
      <c r="C558" s="419"/>
      <c r="D558" s="419"/>
      <c r="E558" s="387"/>
      <c r="F558" s="387"/>
      <c r="G558" s="423"/>
      <c r="H558" s="423"/>
      <c r="I558" s="423"/>
      <c r="J558" s="423"/>
      <c r="K558" s="423"/>
      <c r="L558" s="423"/>
      <c r="M558" s="423"/>
      <c r="N558" s="423"/>
      <c r="O558" s="423"/>
      <c r="P558" s="423"/>
      <c r="Q558" s="423"/>
      <c r="R558" s="423"/>
      <c r="S558" s="423"/>
      <c r="T558" s="423"/>
      <c r="U558" s="423"/>
      <c r="V558" s="423"/>
      <c r="W558" s="423"/>
      <c r="X558" s="423"/>
      <c r="Y558" s="423"/>
      <c r="Z558" s="423"/>
      <c r="AA558" s="423"/>
      <c r="AB558" s="423"/>
      <c r="AC558" s="423"/>
      <c r="AD558" s="423"/>
      <c r="AE558" s="423"/>
      <c r="AF558" s="423"/>
      <c r="AG558" s="423"/>
      <c r="AH558" s="423"/>
      <c r="AI558" s="423"/>
    </row>
    <row r="559">
      <c r="A559" s="419"/>
      <c r="B559" s="419"/>
      <c r="C559" s="419"/>
      <c r="D559" s="419"/>
      <c r="E559" s="387"/>
      <c r="F559" s="387"/>
      <c r="G559" s="423"/>
      <c r="H559" s="423"/>
      <c r="I559" s="423"/>
      <c r="J559" s="423"/>
      <c r="K559" s="423"/>
      <c r="L559" s="423"/>
      <c r="M559" s="423"/>
      <c r="N559" s="423"/>
      <c r="O559" s="423"/>
      <c r="P559" s="423"/>
      <c r="Q559" s="423"/>
      <c r="R559" s="423"/>
      <c r="S559" s="423"/>
      <c r="T559" s="423"/>
      <c r="U559" s="423"/>
      <c r="V559" s="423"/>
      <c r="W559" s="423"/>
      <c r="X559" s="423"/>
      <c r="Y559" s="423"/>
      <c r="Z559" s="423"/>
      <c r="AA559" s="423"/>
      <c r="AB559" s="423"/>
      <c r="AC559" s="423"/>
      <c r="AD559" s="423"/>
      <c r="AE559" s="423"/>
      <c r="AF559" s="423"/>
      <c r="AG559" s="423"/>
      <c r="AH559" s="423"/>
      <c r="AI559" s="423"/>
    </row>
    <row r="560">
      <c r="A560" s="419"/>
      <c r="B560" s="419"/>
      <c r="C560" s="419"/>
      <c r="D560" s="419"/>
      <c r="E560" s="387"/>
      <c r="F560" s="387"/>
      <c r="G560" s="423"/>
      <c r="H560" s="423"/>
      <c r="I560" s="423"/>
      <c r="J560" s="423"/>
      <c r="K560" s="423"/>
      <c r="L560" s="423"/>
      <c r="M560" s="423"/>
      <c r="N560" s="423"/>
      <c r="O560" s="423"/>
      <c r="P560" s="423"/>
      <c r="Q560" s="423"/>
      <c r="R560" s="423"/>
      <c r="S560" s="423"/>
      <c r="T560" s="423"/>
      <c r="U560" s="423"/>
      <c r="V560" s="423"/>
      <c r="W560" s="423"/>
      <c r="X560" s="423"/>
      <c r="Y560" s="423"/>
      <c r="Z560" s="423"/>
      <c r="AA560" s="423"/>
      <c r="AB560" s="423"/>
      <c r="AC560" s="423"/>
      <c r="AD560" s="423"/>
      <c r="AE560" s="423"/>
      <c r="AF560" s="423"/>
      <c r="AG560" s="423"/>
      <c r="AH560" s="423"/>
      <c r="AI560" s="423"/>
    </row>
    <row r="561">
      <c r="A561" s="419"/>
      <c r="B561" s="419"/>
      <c r="C561" s="419"/>
      <c r="D561" s="419"/>
      <c r="E561" s="387"/>
      <c r="F561" s="387"/>
      <c r="G561" s="423"/>
      <c r="H561" s="423"/>
      <c r="I561" s="423"/>
      <c r="J561" s="423"/>
      <c r="K561" s="423"/>
      <c r="L561" s="423"/>
      <c r="M561" s="423"/>
      <c r="N561" s="423"/>
      <c r="O561" s="423"/>
      <c r="P561" s="423"/>
      <c r="Q561" s="423"/>
      <c r="R561" s="423"/>
      <c r="S561" s="423"/>
      <c r="T561" s="423"/>
      <c r="U561" s="423"/>
      <c r="V561" s="423"/>
      <c r="W561" s="423"/>
      <c r="X561" s="423"/>
      <c r="Y561" s="423"/>
      <c r="Z561" s="423"/>
      <c r="AA561" s="423"/>
      <c r="AB561" s="423"/>
      <c r="AC561" s="423"/>
      <c r="AD561" s="423"/>
      <c r="AE561" s="423"/>
      <c r="AF561" s="423"/>
      <c r="AG561" s="423"/>
      <c r="AH561" s="423"/>
      <c r="AI561" s="423"/>
    </row>
    <row r="562">
      <c r="A562" s="419"/>
      <c r="B562" s="419"/>
      <c r="C562" s="419"/>
      <c r="D562" s="419"/>
      <c r="E562" s="387"/>
      <c r="F562" s="387"/>
      <c r="G562" s="423"/>
      <c r="H562" s="423"/>
      <c r="I562" s="423"/>
      <c r="J562" s="423"/>
      <c r="K562" s="423"/>
      <c r="L562" s="423"/>
      <c r="M562" s="423"/>
      <c r="N562" s="423"/>
      <c r="O562" s="423"/>
      <c r="P562" s="423"/>
      <c r="Q562" s="423"/>
      <c r="R562" s="423"/>
      <c r="S562" s="423"/>
      <c r="T562" s="423"/>
      <c r="U562" s="423"/>
      <c r="V562" s="423"/>
      <c r="W562" s="423"/>
      <c r="X562" s="423"/>
      <c r="Y562" s="423"/>
      <c r="Z562" s="423"/>
      <c r="AA562" s="423"/>
      <c r="AB562" s="423"/>
      <c r="AC562" s="423"/>
      <c r="AD562" s="423"/>
      <c r="AE562" s="423"/>
      <c r="AF562" s="423"/>
      <c r="AG562" s="423"/>
      <c r="AH562" s="423"/>
      <c r="AI562" s="423"/>
    </row>
    <row r="563">
      <c r="A563" s="419"/>
      <c r="B563" s="419"/>
      <c r="C563" s="419"/>
      <c r="D563" s="419"/>
      <c r="E563" s="387"/>
      <c r="F563" s="387"/>
      <c r="G563" s="423"/>
      <c r="H563" s="423"/>
      <c r="I563" s="423"/>
      <c r="J563" s="423"/>
      <c r="K563" s="423"/>
      <c r="L563" s="423"/>
      <c r="M563" s="423"/>
      <c r="N563" s="423"/>
      <c r="O563" s="423"/>
      <c r="P563" s="423"/>
      <c r="Q563" s="423"/>
      <c r="R563" s="423"/>
      <c r="S563" s="423"/>
      <c r="T563" s="423"/>
      <c r="U563" s="423"/>
      <c r="V563" s="423"/>
      <c r="W563" s="423"/>
      <c r="X563" s="423"/>
      <c r="Y563" s="423"/>
      <c r="Z563" s="423"/>
      <c r="AA563" s="423"/>
      <c r="AB563" s="423"/>
      <c r="AC563" s="423"/>
      <c r="AD563" s="423"/>
      <c r="AE563" s="423"/>
      <c r="AF563" s="423"/>
      <c r="AG563" s="423"/>
      <c r="AH563" s="423"/>
      <c r="AI563" s="423"/>
    </row>
    <row r="564">
      <c r="A564" s="419"/>
      <c r="B564" s="419"/>
      <c r="C564" s="419"/>
      <c r="D564" s="419"/>
      <c r="E564" s="387"/>
      <c r="F564" s="387"/>
      <c r="G564" s="423"/>
      <c r="H564" s="423"/>
      <c r="I564" s="423"/>
      <c r="J564" s="423"/>
      <c r="K564" s="423"/>
      <c r="L564" s="423"/>
      <c r="M564" s="423"/>
      <c r="N564" s="423"/>
      <c r="O564" s="423"/>
      <c r="P564" s="423"/>
      <c r="Q564" s="423"/>
      <c r="R564" s="423"/>
      <c r="S564" s="423"/>
      <c r="T564" s="423"/>
      <c r="U564" s="423"/>
      <c r="V564" s="423"/>
      <c r="W564" s="423"/>
      <c r="X564" s="423"/>
      <c r="Y564" s="423"/>
      <c r="Z564" s="423"/>
      <c r="AA564" s="423"/>
      <c r="AB564" s="423"/>
      <c r="AC564" s="423"/>
      <c r="AD564" s="423"/>
      <c r="AE564" s="423"/>
      <c r="AF564" s="423"/>
      <c r="AG564" s="423"/>
      <c r="AH564" s="423"/>
      <c r="AI564" s="423"/>
    </row>
    <row r="565">
      <c r="A565" s="419"/>
      <c r="B565" s="419"/>
      <c r="C565" s="419"/>
      <c r="D565" s="419"/>
      <c r="E565" s="387"/>
      <c r="F565" s="387"/>
      <c r="G565" s="423"/>
      <c r="H565" s="423"/>
      <c r="I565" s="423"/>
      <c r="J565" s="423"/>
      <c r="K565" s="423"/>
      <c r="L565" s="423"/>
      <c r="M565" s="423"/>
      <c r="N565" s="423"/>
      <c r="O565" s="423"/>
      <c r="P565" s="423"/>
      <c r="Q565" s="423"/>
      <c r="R565" s="423"/>
      <c r="S565" s="423"/>
      <c r="T565" s="423"/>
      <c r="U565" s="423"/>
      <c r="V565" s="423"/>
      <c r="W565" s="423"/>
      <c r="X565" s="423"/>
      <c r="Y565" s="423"/>
      <c r="Z565" s="423"/>
      <c r="AA565" s="423"/>
      <c r="AB565" s="423"/>
      <c r="AC565" s="423"/>
      <c r="AD565" s="423"/>
      <c r="AE565" s="423"/>
      <c r="AF565" s="423"/>
      <c r="AG565" s="423"/>
      <c r="AH565" s="423"/>
      <c r="AI565" s="423"/>
    </row>
    <row r="566">
      <c r="A566" s="419"/>
      <c r="B566" s="419"/>
      <c r="C566" s="419"/>
      <c r="D566" s="419"/>
      <c r="E566" s="387"/>
      <c r="F566" s="387"/>
      <c r="G566" s="423"/>
      <c r="H566" s="423"/>
      <c r="I566" s="423"/>
      <c r="J566" s="423"/>
      <c r="K566" s="423"/>
      <c r="L566" s="423"/>
      <c r="M566" s="423"/>
      <c r="N566" s="423"/>
      <c r="O566" s="423"/>
      <c r="P566" s="423"/>
      <c r="Q566" s="423"/>
      <c r="R566" s="423"/>
      <c r="S566" s="423"/>
      <c r="T566" s="423"/>
      <c r="U566" s="423"/>
      <c r="V566" s="423"/>
      <c r="W566" s="423"/>
      <c r="X566" s="423"/>
      <c r="Y566" s="423"/>
      <c r="Z566" s="423"/>
      <c r="AA566" s="423"/>
      <c r="AB566" s="423"/>
      <c r="AC566" s="423"/>
      <c r="AD566" s="423"/>
      <c r="AE566" s="423"/>
      <c r="AF566" s="423"/>
      <c r="AG566" s="423"/>
      <c r="AH566" s="423"/>
      <c r="AI566" s="423"/>
    </row>
    <row r="567">
      <c r="A567" s="419"/>
      <c r="B567" s="419"/>
      <c r="C567" s="419"/>
      <c r="D567" s="419"/>
      <c r="E567" s="387"/>
      <c r="F567" s="387"/>
      <c r="G567" s="423"/>
      <c r="H567" s="423"/>
      <c r="I567" s="423"/>
      <c r="J567" s="423"/>
      <c r="K567" s="423"/>
      <c r="L567" s="423"/>
      <c r="M567" s="423"/>
      <c r="N567" s="423"/>
      <c r="O567" s="423"/>
      <c r="P567" s="423"/>
      <c r="Q567" s="423"/>
      <c r="R567" s="423"/>
      <c r="S567" s="423"/>
      <c r="T567" s="423"/>
      <c r="U567" s="423"/>
      <c r="V567" s="423"/>
      <c r="W567" s="423"/>
      <c r="X567" s="423"/>
      <c r="Y567" s="423"/>
      <c r="Z567" s="423"/>
      <c r="AA567" s="423"/>
      <c r="AB567" s="423"/>
      <c r="AC567" s="423"/>
      <c r="AD567" s="423"/>
      <c r="AE567" s="423"/>
      <c r="AF567" s="423"/>
      <c r="AG567" s="423"/>
      <c r="AH567" s="423"/>
      <c r="AI567" s="423"/>
    </row>
    <row r="568">
      <c r="A568" s="419"/>
      <c r="B568" s="419"/>
      <c r="C568" s="419"/>
      <c r="D568" s="419"/>
      <c r="E568" s="387"/>
      <c r="F568" s="387"/>
      <c r="G568" s="423"/>
      <c r="H568" s="423"/>
      <c r="I568" s="423"/>
      <c r="J568" s="423"/>
      <c r="K568" s="423"/>
      <c r="L568" s="423"/>
      <c r="M568" s="423"/>
      <c r="N568" s="423"/>
      <c r="O568" s="423"/>
      <c r="P568" s="423"/>
      <c r="Q568" s="423"/>
      <c r="R568" s="423"/>
      <c r="S568" s="423"/>
      <c r="T568" s="423"/>
      <c r="U568" s="423"/>
      <c r="V568" s="423"/>
      <c r="W568" s="423"/>
      <c r="X568" s="423"/>
      <c r="Y568" s="423"/>
      <c r="Z568" s="423"/>
      <c r="AA568" s="423"/>
      <c r="AB568" s="423"/>
      <c r="AC568" s="423"/>
      <c r="AD568" s="423"/>
      <c r="AE568" s="423"/>
      <c r="AF568" s="423"/>
      <c r="AG568" s="423"/>
      <c r="AH568" s="423"/>
      <c r="AI568" s="423"/>
    </row>
    <row r="569">
      <c r="A569" s="419"/>
      <c r="B569" s="419"/>
      <c r="C569" s="419"/>
      <c r="D569" s="419"/>
      <c r="E569" s="387"/>
      <c r="F569" s="387"/>
      <c r="G569" s="423"/>
      <c r="H569" s="423"/>
      <c r="I569" s="423"/>
      <c r="J569" s="423"/>
      <c r="K569" s="423"/>
      <c r="L569" s="423"/>
      <c r="M569" s="423"/>
      <c r="N569" s="423"/>
      <c r="O569" s="423"/>
      <c r="P569" s="423"/>
      <c r="Q569" s="423"/>
      <c r="R569" s="423"/>
      <c r="S569" s="423"/>
      <c r="T569" s="423"/>
      <c r="U569" s="423"/>
      <c r="V569" s="423"/>
      <c r="W569" s="423"/>
      <c r="X569" s="423"/>
      <c r="Y569" s="423"/>
      <c r="Z569" s="423"/>
      <c r="AA569" s="423"/>
      <c r="AB569" s="423"/>
      <c r="AC569" s="423"/>
      <c r="AD569" s="423"/>
      <c r="AE569" s="423"/>
      <c r="AF569" s="423"/>
      <c r="AG569" s="423"/>
      <c r="AH569" s="423"/>
      <c r="AI569" s="423"/>
    </row>
    <row r="570">
      <c r="A570" s="419"/>
      <c r="B570" s="419"/>
      <c r="C570" s="419"/>
      <c r="D570" s="419"/>
      <c r="E570" s="387"/>
      <c r="F570" s="387"/>
      <c r="G570" s="423"/>
      <c r="H570" s="423"/>
      <c r="I570" s="423"/>
      <c r="J570" s="423"/>
      <c r="K570" s="423"/>
      <c r="L570" s="423"/>
      <c r="M570" s="423"/>
      <c r="N570" s="423"/>
      <c r="O570" s="423"/>
      <c r="P570" s="423"/>
      <c r="Q570" s="423"/>
      <c r="R570" s="423"/>
      <c r="S570" s="423"/>
      <c r="T570" s="423"/>
      <c r="U570" s="423"/>
      <c r="V570" s="423"/>
      <c r="W570" s="423"/>
      <c r="X570" s="423"/>
      <c r="Y570" s="423"/>
      <c r="Z570" s="423"/>
      <c r="AA570" s="423"/>
      <c r="AB570" s="423"/>
      <c r="AC570" s="423"/>
      <c r="AD570" s="423"/>
      <c r="AE570" s="423"/>
      <c r="AF570" s="423"/>
      <c r="AG570" s="423"/>
      <c r="AH570" s="423"/>
      <c r="AI570" s="423"/>
    </row>
    <row r="571">
      <c r="A571" s="419"/>
      <c r="B571" s="419"/>
      <c r="C571" s="419"/>
      <c r="D571" s="419"/>
      <c r="E571" s="387"/>
      <c r="F571" s="387"/>
      <c r="G571" s="423"/>
      <c r="H571" s="423"/>
      <c r="I571" s="423"/>
      <c r="J571" s="423"/>
      <c r="K571" s="423"/>
      <c r="L571" s="423"/>
      <c r="M571" s="423"/>
      <c r="N571" s="423"/>
      <c r="O571" s="423"/>
      <c r="P571" s="423"/>
      <c r="Q571" s="423"/>
      <c r="R571" s="423"/>
      <c r="S571" s="423"/>
      <c r="T571" s="423"/>
      <c r="U571" s="423"/>
      <c r="V571" s="423"/>
      <c r="W571" s="423"/>
      <c r="X571" s="423"/>
      <c r="Y571" s="423"/>
      <c r="Z571" s="423"/>
      <c r="AA571" s="423"/>
      <c r="AB571" s="423"/>
      <c r="AC571" s="423"/>
      <c r="AD571" s="423"/>
      <c r="AE571" s="423"/>
      <c r="AF571" s="423"/>
      <c r="AG571" s="423"/>
      <c r="AH571" s="423"/>
      <c r="AI571" s="423"/>
    </row>
    <row r="572">
      <c r="A572" s="419"/>
      <c r="B572" s="419"/>
      <c r="C572" s="419"/>
      <c r="D572" s="419"/>
      <c r="E572" s="387"/>
      <c r="F572" s="387"/>
      <c r="G572" s="423"/>
      <c r="H572" s="423"/>
      <c r="I572" s="423"/>
      <c r="J572" s="423"/>
      <c r="K572" s="423"/>
      <c r="L572" s="423"/>
      <c r="M572" s="423"/>
      <c r="N572" s="423"/>
      <c r="O572" s="423"/>
      <c r="P572" s="423"/>
      <c r="Q572" s="423"/>
      <c r="R572" s="423"/>
      <c r="S572" s="423"/>
      <c r="T572" s="423"/>
      <c r="U572" s="423"/>
      <c r="V572" s="423"/>
      <c r="W572" s="423"/>
      <c r="X572" s="423"/>
      <c r="Y572" s="423"/>
      <c r="Z572" s="423"/>
      <c r="AA572" s="423"/>
      <c r="AB572" s="423"/>
      <c r="AC572" s="423"/>
      <c r="AD572" s="423"/>
      <c r="AE572" s="423"/>
      <c r="AF572" s="423"/>
      <c r="AG572" s="423"/>
      <c r="AH572" s="423"/>
      <c r="AI572" s="423"/>
    </row>
    <row r="573">
      <c r="A573" s="419"/>
      <c r="B573" s="419"/>
      <c r="C573" s="419"/>
      <c r="D573" s="419"/>
      <c r="E573" s="387"/>
      <c r="F573" s="387"/>
      <c r="G573" s="423"/>
      <c r="H573" s="423"/>
      <c r="I573" s="423"/>
      <c r="J573" s="423"/>
      <c r="K573" s="423"/>
      <c r="L573" s="423"/>
      <c r="M573" s="423"/>
      <c r="N573" s="423"/>
      <c r="O573" s="423"/>
      <c r="P573" s="423"/>
      <c r="Q573" s="423"/>
      <c r="R573" s="423"/>
      <c r="S573" s="423"/>
      <c r="T573" s="423"/>
      <c r="U573" s="423"/>
      <c r="V573" s="423"/>
      <c r="W573" s="423"/>
      <c r="X573" s="423"/>
      <c r="Y573" s="423"/>
      <c r="Z573" s="423"/>
      <c r="AA573" s="423"/>
      <c r="AB573" s="423"/>
      <c r="AC573" s="423"/>
      <c r="AD573" s="423"/>
      <c r="AE573" s="423"/>
      <c r="AF573" s="423"/>
      <c r="AG573" s="423"/>
      <c r="AH573" s="423"/>
      <c r="AI573" s="423"/>
    </row>
    <row r="574">
      <c r="A574" s="419"/>
      <c r="B574" s="419"/>
      <c r="C574" s="419"/>
      <c r="D574" s="419"/>
      <c r="E574" s="387"/>
      <c r="F574" s="387"/>
      <c r="G574" s="423"/>
      <c r="H574" s="423"/>
      <c r="I574" s="423"/>
      <c r="J574" s="423"/>
      <c r="K574" s="423"/>
      <c r="L574" s="423"/>
      <c r="M574" s="423"/>
      <c r="N574" s="423"/>
      <c r="O574" s="423"/>
      <c r="P574" s="423"/>
      <c r="Q574" s="423"/>
      <c r="R574" s="423"/>
      <c r="S574" s="423"/>
      <c r="T574" s="423"/>
      <c r="U574" s="423"/>
      <c r="V574" s="423"/>
      <c r="W574" s="423"/>
      <c r="X574" s="423"/>
      <c r="Y574" s="423"/>
      <c r="Z574" s="423"/>
      <c r="AA574" s="423"/>
      <c r="AB574" s="423"/>
      <c r="AC574" s="423"/>
      <c r="AD574" s="423"/>
      <c r="AE574" s="423"/>
      <c r="AF574" s="423"/>
      <c r="AG574" s="423"/>
      <c r="AH574" s="423"/>
      <c r="AI574" s="423"/>
    </row>
    <row r="575">
      <c r="A575" s="419"/>
      <c r="B575" s="419"/>
      <c r="C575" s="419"/>
      <c r="D575" s="419"/>
      <c r="E575" s="387"/>
      <c r="F575" s="387"/>
      <c r="G575" s="423"/>
      <c r="H575" s="423"/>
      <c r="I575" s="423"/>
      <c r="J575" s="423"/>
      <c r="K575" s="423"/>
      <c r="L575" s="423"/>
      <c r="M575" s="423"/>
      <c r="N575" s="423"/>
      <c r="O575" s="423"/>
      <c r="P575" s="423"/>
      <c r="Q575" s="423"/>
      <c r="R575" s="423"/>
      <c r="S575" s="423"/>
      <c r="T575" s="423"/>
      <c r="U575" s="423"/>
      <c r="V575" s="423"/>
      <c r="W575" s="423"/>
      <c r="X575" s="423"/>
      <c r="Y575" s="423"/>
      <c r="Z575" s="423"/>
      <c r="AA575" s="423"/>
      <c r="AB575" s="423"/>
      <c r="AC575" s="423"/>
      <c r="AD575" s="423"/>
      <c r="AE575" s="423"/>
      <c r="AF575" s="423"/>
      <c r="AG575" s="423"/>
      <c r="AH575" s="423"/>
      <c r="AI575" s="423"/>
    </row>
    <row r="576">
      <c r="A576" s="419"/>
      <c r="B576" s="419"/>
      <c r="C576" s="419"/>
      <c r="D576" s="419"/>
      <c r="E576" s="387"/>
      <c r="F576" s="387"/>
      <c r="G576" s="423"/>
      <c r="H576" s="423"/>
      <c r="I576" s="423"/>
      <c r="J576" s="423"/>
      <c r="K576" s="423"/>
      <c r="L576" s="423"/>
      <c r="M576" s="423"/>
      <c r="N576" s="423"/>
      <c r="O576" s="423"/>
      <c r="P576" s="423"/>
      <c r="Q576" s="423"/>
      <c r="R576" s="423"/>
      <c r="S576" s="423"/>
      <c r="T576" s="423"/>
      <c r="U576" s="423"/>
      <c r="V576" s="423"/>
      <c r="W576" s="423"/>
      <c r="X576" s="423"/>
      <c r="Y576" s="423"/>
      <c r="Z576" s="423"/>
      <c r="AA576" s="423"/>
      <c r="AB576" s="423"/>
      <c r="AC576" s="423"/>
      <c r="AD576" s="423"/>
      <c r="AE576" s="423"/>
      <c r="AF576" s="423"/>
      <c r="AG576" s="423"/>
      <c r="AH576" s="423"/>
      <c r="AI576" s="423"/>
    </row>
    <row r="577">
      <c r="A577" s="419"/>
      <c r="B577" s="419"/>
      <c r="C577" s="419"/>
      <c r="D577" s="419"/>
      <c r="E577" s="387"/>
      <c r="F577" s="387"/>
      <c r="G577" s="423"/>
      <c r="H577" s="423"/>
      <c r="I577" s="423"/>
      <c r="J577" s="423"/>
      <c r="K577" s="423"/>
      <c r="L577" s="423"/>
      <c r="M577" s="423"/>
      <c r="N577" s="423"/>
      <c r="O577" s="423"/>
      <c r="P577" s="423"/>
      <c r="Q577" s="423"/>
      <c r="R577" s="423"/>
      <c r="S577" s="423"/>
      <c r="T577" s="423"/>
      <c r="U577" s="423"/>
      <c r="V577" s="423"/>
      <c r="W577" s="423"/>
      <c r="X577" s="423"/>
      <c r="Y577" s="423"/>
      <c r="Z577" s="423"/>
      <c r="AA577" s="423"/>
      <c r="AB577" s="423"/>
      <c r="AC577" s="423"/>
      <c r="AD577" s="423"/>
      <c r="AE577" s="423"/>
      <c r="AF577" s="423"/>
      <c r="AG577" s="423"/>
      <c r="AH577" s="423"/>
      <c r="AI577" s="423"/>
    </row>
    <row r="578">
      <c r="A578" s="419"/>
      <c r="B578" s="419"/>
      <c r="C578" s="419"/>
      <c r="D578" s="419"/>
      <c r="E578" s="387"/>
      <c r="F578" s="387"/>
      <c r="G578" s="423"/>
      <c r="H578" s="423"/>
      <c r="I578" s="423"/>
      <c r="J578" s="423"/>
      <c r="K578" s="423"/>
      <c r="L578" s="423"/>
      <c r="M578" s="423"/>
      <c r="N578" s="423"/>
      <c r="O578" s="423"/>
      <c r="P578" s="423"/>
      <c r="Q578" s="423"/>
      <c r="R578" s="423"/>
      <c r="S578" s="423"/>
      <c r="T578" s="423"/>
      <c r="U578" s="423"/>
      <c r="V578" s="423"/>
      <c r="W578" s="423"/>
      <c r="X578" s="423"/>
      <c r="Y578" s="423"/>
      <c r="Z578" s="423"/>
      <c r="AA578" s="423"/>
      <c r="AB578" s="423"/>
      <c r="AC578" s="423"/>
      <c r="AD578" s="423"/>
      <c r="AE578" s="423"/>
      <c r="AF578" s="423"/>
      <c r="AG578" s="423"/>
      <c r="AH578" s="423"/>
      <c r="AI578" s="423"/>
    </row>
    <row r="579">
      <c r="A579" s="419"/>
      <c r="B579" s="419"/>
      <c r="C579" s="419"/>
      <c r="D579" s="419"/>
      <c r="E579" s="387"/>
      <c r="F579" s="387"/>
      <c r="G579" s="423"/>
      <c r="H579" s="423"/>
      <c r="I579" s="423"/>
      <c r="J579" s="423"/>
      <c r="K579" s="423"/>
      <c r="L579" s="423"/>
      <c r="M579" s="423"/>
      <c r="N579" s="423"/>
      <c r="O579" s="423"/>
      <c r="P579" s="423"/>
      <c r="Q579" s="423"/>
      <c r="R579" s="423"/>
      <c r="S579" s="423"/>
      <c r="T579" s="423"/>
      <c r="U579" s="423"/>
      <c r="V579" s="423"/>
      <c r="W579" s="423"/>
      <c r="X579" s="423"/>
      <c r="Y579" s="423"/>
      <c r="Z579" s="423"/>
      <c r="AA579" s="423"/>
      <c r="AB579" s="423"/>
      <c r="AC579" s="423"/>
      <c r="AD579" s="423"/>
      <c r="AE579" s="423"/>
      <c r="AF579" s="423"/>
      <c r="AG579" s="423"/>
      <c r="AH579" s="423"/>
      <c r="AI579" s="423"/>
    </row>
    <row r="580">
      <c r="A580" s="419"/>
      <c r="B580" s="419"/>
      <c r="C580" s="419"/>
      <c r="D580" s="419"/>
      <c r="E580" s="387"/>
      <c r="F580" s="387"/>
      <c r="G580" s="423"/>
      <c r="H580" s="423"/>
      <c r="I580" s="423"/>
      <c r="J580" s="423"/>
      <c r="K580" s="423"/>
      <c r="L580" s="423"/>
      <c r="M580" s="423"/>
      <c r="N580" s="423"/>
      <c r="O580" s="423"/>
      <c r="P580" s="423"/>
      <c r="Q580" s="423"/>
      <c r="R580" s="423"/>
      <c r="S580" s="423"/>
      <c r="T580" s="423"/>
      <c r="U580" s="423"/>
      <c r="V580" s="423"/>
      <c r="W580" s="423"/>
      <c r="X580" s="423"/>
      <c r="Y580" s="423"/>
      <c r="Z580" s="423"/>
      <c r="AA580" s="423"/>
      <c r="AB580" s="423"/>
      <c r="AC580" s="423"/>
      <c r="AD580" s="423"/>
      <c r="AE580" s="423"/>
      <c r="AF580" s="423"/>
      <c r="AG580" s="423"/>
      <c r="AH580" s="423"/>
      <c r="AI580" s="423"/>
    </row>
    <row r="581">
      <c r="A581" s="419"/>
      <c r="B581" s="419"/>
      <c r="C581" s="419"/>
      <c r="D581" s="419"/>
      <c r="E581" s="387"/>
      <c r="F581" s="387"/>
      <c r="G581" s="423"/>
      <c r="H581" s="423"/>
      <c r="I581" s="423"/>
      <c r="J581" s="423"/>
      <c r="K581" s="423"/>
      <c r="L581" s="423"/>
      <c r="M581" s="423"/>
      <c r="N581" s="423"/>
      <c r="O581" s="423"/>
      <c r="P581" s="423"/>
      <c r="Q581" s="423"/>
      <c r="R581" s="423"/>
      <c r="S581" s="423"/>
      <c r="T581" s="423"/>
      <c r="U581" s="423"/>
      <c r="V581" s="423"/>
      <c r="W581" s="423"/>
      <c r="X581" s="423"/>
      <c r="Y581" s="423"/>
      <c r="Z581" s="423"/>
      <c r="AA581" s="423"/>
      <c r="AB581" s="423"/>
      <c r="AC581" s="423"/>
      <c r="AD581" s="423"/>
      <c r="AE581" s="423"/>
      <c r="AF581" s="423"/>
      <c r="AG581" s="423"/>
      <c r="AH581" s="423"/>
      <c r="AI581" s="423"/>
    </row>
    <row r="582">
      <c r="A582" s="419"/>
      <c r="B582" s="419"/>
      <c r="C582" s="419"/>
      <c r="D582" s="419"/>
      <c r="E582" s="387"/>
      <c r="F582" s="387"/>
      <c r="G582" s="423"/>
      <c r="H582" s="423"/>
      <c r="I582" s="423"/>
      <c r="J582" s="423"/>
      <c r="K582" s="423"/>
      <c r="L582" s="423"/>
      <c r="M582" s="423"/>
      <c r="N582" s="423"/>
      <c r="O582" s="423"/>
      <c r="P582" s="423"/>
      <c r="Q582" s="423"/>
      <c r="R582" s="423"/>
      <c r="S582" s="423"/>
      <c r="T582" s="423"/>
      <c r="U582" s="423"/>
      <c r="V582" s="423"/>
      <c r="W582" s="423"/>
      <c r="X582" s="423"/>
      <c r="Y582" s="423"/>
      <c r="Z582" s="423"/>
      <c r="AA582" s="423"/>
      <c r="AB582" s="423"/>
      <c r="AC582" s="423"/>
      <c r="AD582" s="423"/>
      <c r="AE582" s="423"/>
      <c r="AF582" s="423"/>
      <c r="AG582" s="423"/>
      <c r="AH582" s="423"/>
      <c r="AI582" s="423"/>
    </row>
    <row r="583">
      <c r="A583" s="419"/>
      <c r="B583" s="419"/>
      <c r="C583" s="419"/>
      <c r="D583" s="419"/>
      <c r="E583" s="387"/>
      <c r="F583" s="387"/>
      <c r="G583" s="423"/>
      <c r="H583" s="423"/>
      <c r="I583" s="423"/>
      <c r="J583" s="423"/>
      <c r="K583" s="423"/>
      <c r="L583" s="423"/>
      <c r="M583" s="423"/>
      <c r="N583" s="423"/>
      <c r="O583" s="423"/>
      <c r="P583" s="423"/>
      <c r="Q583" s="423"/>
      <c r="R583" s="423"/>
      <c r="S583" s="423"/>
      <c r="T583" s="423"/>
      <c r="U583" s="423"/>
      <c r="V583" s="423"/>
      <c r="W583" s="423"/>
      <c r="X583" s="423"/>
      <c r="Y583" s="423"/>
      <c r="Z583" s="423"/>
      <c r="AA583" s="423"/>
      <c r="AB583" s="423"/>
      <c r="AC583" s="423"/>
      <c r="AD583" s="423"/>
      <c r="AE583" s="423"/>
      <c r="AF583" s="423"/>
      <c r="AG583" s="423"/>
      <c r="AH583" s="423"/>
      <c r="AI583" s="423"/>
    </row>
    <row r="584">
      <c r="A584" s="419"/>
      <c r="B584" s="419"/>
      <c r="C584" s="419"/>
      <c r="D584" s="419"/>
      <c r="E584" s="387"/>
      <c r="F584" s="387"/>
      <c r="G584" s="423"/>
      <c r="H584" s="423"/>
      <c r="I584" s="423"/>
      <c r="J584" s="423"/>
      <c r="K584" s="423"/>
      <c r="L584" s="423"/>
      <c r="M584" s="423"/>
      <c r="N584" s="423"/>
      <c r="O584" s="423"/>
      <c r="P584" s="423"/>
      <c r="Q584" s="423"/>
      <c r="R584" s="423"/>
      <c r="S584" s="423"/>
      <c r="T584" s="423"/>
      <c r="U584" s="423"/>
      <c r="V584" s="423"/>
      <c r="W584" s="423"/>
      <c r="X584" s="423"/>
      <c r="Y584" s="423"/>
      <c r="Z584" s="423"/>
      <c r="AA584" s="423"/>
      <c r="AB584" s="423"/>
      <c r="AC584" s="423"/>
      <c r="AD584" s="423"/>
      <c r="AE584" s="423"/>
      <c r="AF584" s="423"/>
      <c r="AG584" s="423"/>
      <c r="AH584" s="423"/>
      <c r="AI584" s="423"/>
    </row>
    <row r="585">
      <c r="A585" s="419"/>
      <c r="B585" s="419"/>
      <c r="C585" s="419"/>
      <c r="D585" s="419"/>
      <c r="E585" s="387"/>
      <c r="F585" s="387"/>
      <c r="G585" s="423"/>
      <c r="H585" s="423"/>
      <c r="I585" s="423"/>
      <c r="J585" s="423"/>
      <c r="K585" s="423"/>
      <c r="L585" s="423"/>
      <c r="M585" s="423"/>
      <c r="N585" s="423"/>
      <c r="O585" s="423"/>
      <c r="P585" s="423"/>
      <c r="Q585" s="423"/>
      <c r="R585" s="423"/>
      <c r="S585" s="423"/>
      <c r="T585" s="423"/>
      <c r="U585" s="423"/>
      <c r="V585" s="423"/>
      <c r="W585" s="423"/>
      <c r="X585" s="423"/>
      <c r="Y585" s="423"/>
      <c r="Z585" s="423"/>
      <c r="AA585" s="423"/>
      <c r="AB585" s="423"/>
      <c r="AC585" s="423"/>
      <c r="AD585" s="423"/>
      <c r="AE585" s="423"/>
      <c r="AF585" s="423"/>
      <c r="AG585" s="423"/>
      <c r="AH585" s="423"/>
      <c r="AI585" s="423"/>
    </row>
    <row r="586">
      <c r="A586" s="419"/>
      <c r="B586" s="419"/>
      <c r="C586" s="419"/>
      <c r="D586" s="419"/>
      <c r="E586" s="387"/>
      <c r="F586" s="387"/>
      <c r="G586" s="423"/>
      <c r="H586" s="423"/>
      <c r="I586" s="423"/>
      <c r="J586" s="423"/>
      <c r="K586" s="423"/>
      <c r="L586" s="423"/>
      <c r="M586" s="423"/>
      <c r="N586" s="423"/>
      <c r="O586" s="423"/>
      <c r="P586" s="423"/>
      <c r="Q586" s="423"/>
      <c r="R586" s="423"/>
      <c r="S586" s="423"/>
      <c r="T586" s="423"/>
      <c r="U586" s="423"/>
      <c r="V586" s="423"/>
      <c r="W586" s="423"/>
      <c r="X586" s="423"/>
      <c r="Y586" s="423"/>
      <c r="Z586" s="423"/>
      <c r="AA586" s="423"/>
      <c r="AB586" s="423"/>
      <c r="AC586" s="423"/>
      <c r="AD586" s="423"/>
      <c r="AE586" s="423"/>
      <c r="AF586" s="423"/>
      <c r="AG586" s="423"/>
      <c r="AH586" s="423"/>
      <c r="AI586" s="423"/>
    </row>
    <row r="587">
      <c r="A587" s="419"/>
      <c r="B587" s="419"/>
      <c r="C587" s="419"/>
      <c r="D587" s="419"/>
      <c r="E587" s="387"/>
      <c r="F587" s="387"/>
      <c r="G587" s="423"/>
      <c r="H587" s="423"/>
      <c r="I587" s="423"/>
      <c r="J587" s="423"/>
      <c r="K587" s="423"/>
      <c r="L587" s="423"/>
      <c r="M587" s="423"/>
      <c r="N587" s="423"/>
      <c r="O587" s="423"/>
      <c r="P587" s="423"/>
      <c r="Q587" s="423"/>
      <c r="R587" s="423"/>
      <c r="S587" s="423"/>
      <c r="T587" s="423"/>
      <c r="U587" s="423"/>
      <c r="V587" s="423"/>
      <c r="W587" s="423"/>
      <c r="X587" s="423"/>
      <c r="Y587" s="423"/>
      <c r="Z587" s="423"/>
      <c r="AA587" s="423"/>
      <c r="AB587" s="423"/>
      <c r="AC587" s="423"/>
      <c r="AD587" s="423"/>
      <c r="AE587" s="423"/>
      <c r="AF587" s="423"/>
      <c r="AG587" s="423"/>
      <c r="AH587" s="423"/>
      <c r="AI587" s="423"/>
    </row>
    <row r="588">
      <c r="A588" s="419"/>
      <c r="B588" s="419"/>
      <c r="C588" s="419"/>
      <c r="D588" s="419"/>
      <c r="E588" s="387"/>
      <c r="F588" s="387"/>
      <c r="G588" s="423"/>
      <c r="H588" s="423"/>
      <c r="I588" s="423"/>
      <c r="J588" s="423"/>
      <c r="K588" s="423"/>
      <c r="L588" s="423"/>
      <c r="M588" s="423"/>
      <c r="N588" s="423"/>
      <c r="O588" s="423"/>
      <c r="P588" s="423"/>
      <c r="Q588" s="423"/>
      <c r="R588" s="423"/>
      <c r="S588" s="423"/>
      <c r="T588" s="423"/>
      <c r="U588" s="423"/>
      <c r="V588" s="423"/>
      <c r="W588" s="423"/>
      <c r="X588" s="423"/>
      <c r="Y588" s="423"/>
      <c r="Z588" s="423"/>
      <c r="AA588" s="423"/>
      <c r="AB588" s="423"/>
      <c r="AC588" s="423"/>
      <c r="AD588" s="423"/>
      <c r="AE588" s="423"/>
      <c r="AF588" s="423"/>
      <c r="AG588" s="423"/>
      <c r="AH588" s="423"/>
      <c r="AI588" s="423"/>
    </row>
    <row r="589">
      <c r="A589" s="419"/>
      <c r="B589" s="419"/>
      <c r="C589" s="419"/>
      <c r="D589" s="419"/>
      <c r="E589" s="387"/>
      <c r="F589" s="387"/>
      <c r="G589" s="423"/>
      <c r="H589" s="423"/>
      <c r="I589" s="423"/>
      <c r="J589" s="423"/>
      <c r="K589" s="423"/>
      <c r="L589" s="423"/>
      <c r="M589" s="423"/>
      <c r="N589" s="423"/>
      <c r="O589" s="423"/>
      <c r="P589" s="423"/>
      <c r="Q589" s="423"/>
      <c r="R589" s="423"/>
      <c r="S589" s="423"/>
      <c r="T589" s="423"/>
      <c r="U589" s="423"/>
      <c r="V589" s="423"/>
      <c r="W589" s="423"/>
      <c r="X589" s="423"/>
      <c r="Y589" s="423"/>
      <c r="Z589" s="423"/>
      <c r="AA589" s="423"/>
      <c r="AB589" s="423"/>
      <c r="AC589" s="423"/>
      <c r="AD589" s="423"/>
      <c r="AE589" s="423"/>
      <c r="AF589" s="423"/>
      <c r="AG589" s="423"/>
      <c r="AH589" s="423"/>
      <c r="AI589" s="423"/>
    </row>
    <row r="590">
      <c r="A590" s="419"/>
      <c r="B590" s="419"/>
      <c r="C590" s="419"/>
      <c r="D590" s="419"/>
      <c r="E590" s="387"/>
      <c r="F590" s="387"/>
      <c r="G590" s="423"/>
      <c r="H590" s="423"/>
      <c r="I590" s="423"/>
      <c r="J590" s="423"/>
      <c r="K590" s="423"/>
      <c r="L590" s="423"/>
      <c r="M590" s="423"/>
      <c r="N590" s="423"/>
      <c r="O590" s="423"/>
      <c r="P590" s="423"/>
      <c r="Q590" s="423"/>
      <c r="R590" s="423"/>
      <c r="S590" s="423"/>
      <c r="T590" s="423"/>
      <c r="U590" s="423"/>
      <c r="V590" s="423"/>
      <c r="W590" s="423"/>
      <c r="X590" s="423"/>
      <c r="Y590" s="423"/>
      <c r="Z590" s="423"/>
      <c r="AA590" s="423"/>
      <c r="AB590" s="423"/>
      <c r="AC590" s="423"/>
      <c r="AD590" s="423"/>
      <c r="AE590" s="423"/>
      <c r="AF590" s="423"/>
      <c r="AG590" s="423"/>
      <c r="AH590" s="423"/>
      <c r="AI590" s="423"/>
    </row>
    <row r="591">
      <c r="A591" s="419"/>
      <c r="B591" s="419"/>
      <c r="C591" s="419"/>
      <c r="D591" s="419"/>
      <c r="E591" s="387"/>
      <c r="F591" s="387"/>
      <c r="G591" s="423"/>
      <c r="H591" s="423"/>
      <c r="I591" s="423"/>
      <c r="J591" s="423"/>
      <c r="K591" s="423"/>
      <c r="L591" s="423"/>
      <c r="M591" s="423"/>
      <c r="N591" s="423"/>
      <c r="O591" s="423"/>
      <c r="P591" s="423"/>
      <c r="Q591" s="423"/>
      <c r="R591" s="423"/>
      <c r="S591" s="423"/>
      <c r="T591" s="423"/>
      <c r="U591" s="423"/>
      <c r="V591" s="423"/>
      <c r="W591" s="423"/>
      <c r="X591" s="423"/>
      <c r="Y591" s="423"/>
      <c r="Z591" s="423"/>
      <c r="AA591" s="423"/>
      <c r="AB591" s="423"/>
      <c r="AC591" s="423"/>
      <c r="AD591" s="423"/>
      <c r="AE591" s="423"/>
      <c r="AF591" s="423"/>
      <c r="AG591" s="423"/>
      <c r="AH591" s="423"/>
      <c r="AI591" s="423"/>
    </row>
    <row r="592">
      <c r="A592" s="419"/>
      <c r="B592" s="419"/>
      <c r="C592" s="419"/>
      <c r="D592" s="419"/>
      <c r="E592" s="387"/>
      <c r="F592" s="387"/>
      <c r="G592" s="423"/>
      <c r="H592" s="423"/>
      <c r="I592" s="423"/>
      <c r="J592" s="423"/>
      <c r="K592" s="423"/>
      <c r="L592" s="423"/>
      <c r="M592" s="423"/>
      <c r="N592" s="423"/>
      <c r="O592" s="423"/>
      <c r="P592" s="423"/>
      <c r="Q592" s="423"/>
      <c r="R592" s="423"/>
      <c r="S592" s="423"/>
      <c r="T592" s="423"/>
      <c r="U592" s="423"/>
      <c r="V592" s="423"/>
      <c r="W592" s="423"/>
      <c r="X592" s="423"/>
      <c r="Y592" s="423"/>
      <c r="Z592" s="423"/>
      <c r="AA592" s="423"/>
      <c r="AB592" s="423"/>
      <c r="AC592" s="423"/>
      <c r="AD592" s="423"/>
      <c r="AE592" s="423"/>
      <c r="AF592" s="423"/>
      <c r="AG592" s="423"/>
      <c r="AH592" s="423"/>
      <c r="AI592" s="423"/>
    </row>
    <row r="593">
      <c r="A593" s="419"/>
      <c r="B593" s="419"/>
      <c r="C593" s="419"/>
      <c r="D593" s="419"/>
      <c r="E593" s="387"/>
      <c r="F593" s="387"/>
      <c r="G593" s="423"/>
      <c r="H593" s="423"/>
      <c r="I593" s="423"/>
      <c r="J593" s="423"/>
      <c r="K593" s="423"/>
      <c r="L593" s="423"/>
      <c r="M593" s="423"/>
      <c r="N593" s="423"/>
      <c r="O593" s="423"/>
      <c r="P593" s="423"/>
      <c r="Q593" s="423"/>
      <c r="R593" s="423"/>
      <c r="S593" s="423"/>
      <c r="T593" s="423"/>
      <c r="U593" s="423"/>
      <c r="V593" s="423"/>
      <c r="W593" s="423"/>
      <c r="X593" s="423"/>
      <c r="Y593" s="423"/>
      <c r="Z593" s="423"/>
      <c r="AA593" s="423"/>
      <c r="AB593" s="423"/>
      <c r="AC593" s="423"/>
      <c r="AD593" s="423"/>
      <c r="AE593" s="423"/>
      <c r="AF593" s="423"/>
      <c r="AG593" s="423"/>
      <c r="AH593" s="423"/>
      <c r="AI593" s="423"/>
    </row>
    <row r="594">
      <c r="A594" s="419"/>
      <c r="B594" s="419"/>
      <c r="C594" s="419"/>
      <c r="D594" s="419"/>
      <c r="E594" s="387"/>
      <c r="F594" s="387"/>
      <c r="G594" s="423"/>
      <c r="H594" s="423"/>
      <c r="I594" s="423"/>
      <c r="J594" s="423"/>
      <c r="K594" s="423"/>
      <c r="L594" s="423"/>
      <c r="M594" s="423"/>
      <c r="N594" s="423"/>
      <c r="O594" s="423"/>
      <c r="P594" s="423"/>
      <c r="Q594" s="423"/>
      <c r="R594" s="423"/>
      <c r="S594" s="423"/>
      <c r="T594" s="423"/>
      <c r="U594" s="423"/>
      <c r="V594" s="423"/>
      <c r="W594" s="423"/>
      <c r="X594" s="423"/>
      <c r="Y594" s="423"/>
      <c r="Z594" s="423"/>
      <c r="AA594" s="423"/>
      <c r="AB594" s="423"/>
      <c r="AC594" s="423"/>
      <c r="AD594" s="423"/>
      <c r="AE594" s="423"/>
      <c r="AF594" s="423"/>
      <c r="AG594" s="423"/>
      <c r="AH594" s="423"/>
      <c r="AI594" s="423"/>
    </row>
    <row r="595">
      <c r="A595" s="419"/>
      <c r="B595" s="419"/>
      <c r="C595" s="419"/>
      <c r="D595" s="419"/>
      <c r="E595" s="387"/>
      <c r="F595" s="387"/>
      <c r="G595" s="423"/>
      <c r="H595" s="423"/>
      <c r="I595" s="423"/>
      <c r="J595" s="423"/>
      <c r="K595" s="423"/>
      <c r="L595" s="423"/>
      <c r="M595" s="423"/>
      <c r="N595" s="423"/>
      <c r="O595" s="423"/>
      <c r="P595" s="423"/>
      <c r="Q595" s="423"/>
      <c r="R595" s="423"/>
      <c r="S595" s="423"/>
      <c r="T595" s="423"/>
      <c r="U595" s="423"/>
      <c r="V595" s="423"/>
      <c r="W595" s="423"/>
      <c r="X595" s="423"/>
      <c r="Y595" s="423"/>
      <c r="Z595" s="423"/>
      <c r="AA595" s="423"/>
      <c r="AB595" s="423"/>
      <c r="AC595" s="423"/>
      <c r="AD595" s="423"/>
      <c r="AE595" s="423"/>
      <c r="AF595" s="423"/>
      <c r="AG595" s="423"/>
      <c r="AH595" s="423"/>
      <c r="AI595" s="423"/>
    </row>
    <row r="596">
      <c r="A596" s="419"/>
      <c r="B596" s="419"/>
      <c r="C596" s="419"/>
      <c r="D596" s="419"/>
      <c r="E596" s="387"/>
      <c r="F596" s="387"/>
      <c r="G596" s="423"/>
      <c r="H596" s="423"/>
      <c r="I596" s="423"/>
      <c r="J596" s="423"/>
      <c r="K596" s="423"/>
      <c r="L596" s="423"/>
      <c r="M596" s="423"/>
      <c r="N596" s="423"/>
      <c r="O596" s="423"/>
      <c r="P596" s="423"/>
      <c r="Q596" s="423"/>
      <c r="R596" s="423"/>
      <c r="S596" s="423"/>
      <c r="T596" s="423"/>
      <c r="U596" s="423"/>
      <c r="V596" s="423"/>
      <c r="W596" s="423"/>
      <c r="X596" s="423"/>
      <c r="Y596" s="423"/>
      <c r="Z596" s="423"/>
      <c r="AA596" s="423"/>
      <c r="AB596" s="423"/>
      <c r="AC596" s="423"/>
      <c r="AD596" s="423"/>
      <c r="AE596" s="423"/>
      <c r="AF596" s="423"/>
      <c r="AG596" s="423"/>
      <c r="AH596" s="423"/>
      <c r="AI596" s="423"/>
    </row>
    <row r="597">
      <c r="A597" s="419"/>
      <c r="B597" s="419"/>
      <c r="C597" s="419"/>
      <c r="D597" s="419"/>
      <c r="E597" s="387"/>
      <c r="F597" s="387"/>
      <c r="G597" s="423"/>
      <c r="H597" s="423"/>
      <c r="I597" s="423"/>
      <c r="J597" s="423"/>
      <c r="K597" s="423"/>
      <c r="L597" s="423"/>
      <c r="M597" s="423"/>
      <c r="N597" s="423"/>
      <c r="O597" s="423"/>
      <c r="P597" s="423"/>
      <c r="Q597" s="423"/>
      <c r="R597" s="423"/>
      <c r="S597" s="423"/>
      <c r="T597" s="423"/>
      <c r="U597" s="423"/>
      <c r="V597" s="423"/>
      <c r="W597" s="423"/>
      <c r="X597" s="423"/>
      <c r="Y597" s="423"/>
      <c r="Z597" s="423"/>
      <c r="AA597" s="423"/>
      <c r="AB597" s="423"/>
      <c r="AC597" s="423"/>
      <c r="AD597" s="423"/>
      <c r="AE597" s="423"/>
      <c r="AF597" s="423"/>
      <c r="AG597" s="423"/>
      <c r="AH597" s="423"/>
      <c r="AI597" s="423"/>
    </row>
    <row r="598">
      <c r="A598" s="419"/>
      <c r="B598" s="419"/>
      <c r="C598" s="419"/>
      <c r="D598" s="419"/>
      <c r="E598" s="387"/>
      <c r="F598" s="387"/>
      <c r="G598" s="423"/>
      <c r="H598" s="423"/>
      <c r="I598" s="423"/>
      <c r="J598" s="423"/>
      <c r="K598" s="423"/>
      <c r="L598" s="423"/>
      <c r="M598" s="423"/>
      <c r="N598" s="423"/>
      <c r="O598" s="423"/>
      <c r="P598" s="423"/>
      <c r="Q598" s="423"/>
      <c r="R598" s="423"/>
      <c r="S598" s="423"/>
      <c r="T598" s="423"/>
      <c r="U598" s="423"/>
      <c r="V598" s="423"/>
      <c r="W598" s="423"/>
      <c r="X598" s="423"/>
      <c r="Y598" s="423"/>
      <c r="Z598" s="423"/>
      <c r="AA598" s="423"/>
      <c r="AB598" s="423"/>
      <c r="AC598" s="423"/>
      <c r="AD598" s="423"/>
      <c r="AE598" s="423"/>
      <c r="AF598" s="423"/>
      <c r="AG598" s="423"/>
      <c r="AH598" s="423"/>
      <c r="AI598" s="423"/>
    </row>
    <row r="599">
      <c r="A599" s="419"/>
      <c r="B599" s="419"/>
      <c r="C599" s="419"/>
      <c r="D599" s="419"/>
      <c r="E599" s="387"/>
      <c r="F599" s="387"/>
      <c r="G599" s="423"/>
      <c r="H599" s="423"/>
      <c r="I599" s="423"/>
      <c r="J599" s="423"/>
      <c r="K599" s="423"/>
      <c r="L599" s="423"/>
      <c r="M599" s="423"/>
      <c r="N599" s="423"/>
      <c r="O599" s="423"/>
      <c r="P599" s="423"/>
      <c r="Q599" s="423"/>
      <c r="R599" s="423"/>
      <c r="S599" s="423"/>
      <c r="T599" s="423"/>
      <c r="U599" s="423"/>
      <c r="V599" s="423"/>
      <c r="W599" s="423"/>
      <c r="X599" s="423"/>
      <c r="Y599" s="423"/>
      <c r="Z599" s="423"/>
      <c r="AA599" s="423"/>
      <c r="AB599" s="423"/>
      <c r="AC599" s="423"/>
      <c r="AD599" s="423"/>
      <c r="AE599" s="423"/>
      <c r="AF599" s="423"/>
      <c r="AG599" s="423"/>
      <c r="AH599" s="423"/>
      <c r="AI599" s="423"/>
    </row>
    <row r="600">
      <c r="A600" s="419"/>
      <c r="B600" s="419"/>
      <c r="C600" s="419"/>
      <c r="D600" s="419"/>
      <c r="E600" s="387"/>
      <c r="F600" s="387"/>
      <c r="G600" s="423"/>
      <c r="H600" s="423"/>
      <c r="I600" s="423"/>
      <c r="J600" s="423"/>
      <c r="K600" s="423"/>
      <c r="L600" s="423"/>
      <c r="M600" s="423"/>
      <c r="N600" s="423"/>
      <c r="O600" s="423"/>
      <c r="P600" s="423"/>
      <c r="Q600" s="423"/>
      <c r="R600" s="423"/>
      <c r="S600" s="423"/>
      <c r="T600" s="423"/>
      <c r="U600" s="423"/>
      <c r="V600" s="423"/>
      <c r="W600" s="423"/>
      <c r="X600" s="423"/>
      <c r="Y600" s="423"/>
      <c r="Z600" s="423"/>
      <c r="AA600" s="423"/>
      <c r="AB600" s="423"/>
      <c r="AC600" s="423"/>
      <c r="AD600" s="423"/>
      <c r="AE600" s="423"/>
      <c r="AF600" s="423"/>
      <c r="AG600" s="423"/>
      <c r="AH600" s="423"/>
      <c r="AI600" s="423"/>
    </row>
    <row r="601">
      <c r="A601" s="419"/>
      <c r="B601" s="419"/>
      <c r="C601" s="419"/>
      <c r="D601" s="419"/>
      <c r="E601" s="387"/>
      <c r="F601" s="387"/>
      <c r="G601" s="423"/>
      <c r="H601" s="423"/>
      <c r="I601" s="423"/>
      <c r="J601" s="423"/>
      <c r="K601" s="423"/>
      <c r="L601" s="423"/>
      <c r="M601" s="423"/>
      <c r="N601" s="423"/>
      <c r="O601" s="423"/>
      <c r="P601" s="423"/>
      <c r="Q601" s="423"/>
      <c r="R601" s="423"/>
      <c r="S601" s="423"/>
      <c r="T601" s="423"/>
      <c r="U601" s="423"/>
      <c r="V601" s="423"/>
      <c r="W601" s="423"/>
      <c r="X601" s="423"/>
      <c r="Y601" s="423"/>
      <c r="Z601" s="423"/>
      <c r="AA601" s="423"/>
      <c r="AB601" s="423"/>
      <c r="AC601" s="423"/>
      <c r="AD601" s="423"/>
      <c r="AE601" s="423"/>
      <c r="AF601" s="423"/>
      <c r="AG601" s="423"/>
      <c r="AH601" s="423"/>
      <c r="AI601" s="423"/>
    </row>
    <row r="602">
      <c r="A602" s="419"/>
      <c r="B602" s="419"/>
      <c r="C602" s="419"/>
      <c r="D602" s="419"/>
      <c r="E602" s="387"/>
      <c r="F602" s="387"/>
      <c r="G602" s="423"/>
      <c r="H602" s="423"/>
      <c r="I602" s="423"/>
      <c r="J602" s="423"/>
      <c r="K602" s="423"/>
      <c r="L602" s="423"/>
      <c r="M602" s="423"/>
      <c r="N602" s="423"/>
      <c r="O602" s="423"/>
      <c r="P602" s="423"/>
      <c r="Q602" s="423"/>
      <c r="R602" s="423"/>
      <c r="S602" s="423"/>
      <c r="T602" s="423"/>
      <c r="U602" s="423"/>
      <c r="V602" s="423"/>
      <c r="W602" s="423"/>
      <c r="X602" s="423"/>
      <c r="Y602" s="423"/>
      <c r="Z602" s="423"/>
      <c r="AA602" s="423"/>
      <c r="AB602" s="423"/>
      <c r="AC602" s="423"/>
      <c r="AD602" s="423"/>
      <c r="AE602" s="423"/>
      <c r="AF602" s="423"/>
      <c r="AG602" s="423"/>
      <c r="AH602" s="423"/>
      <c r="AI602" s="423"/>
    </row>
    <row r="603">
      <c r="A603" s="419"/>
      <c r="B603" s="419"/>
      <c r="C603" s="419"/>
      <c r="D603" s="419"/>
      <c r="E603" s="387"/>
      <c r="F603" s="387"/>
      <c r="G603" s="423"/>
      <c r="H603" s="423"/>
      <c r="I603" s="423"/>
      <c r="J603" s="423"/>
      <c r="K603" s="423"/>
      <c r="L603" s="423"/>
      <c r="M603" s="423"/>
      <c r="N603" s="423"/>
      <c r="O603" s="423"/>
      <c r="P603" s="423"/>
      <c r="Q603" s="423"/>
      <c r="R603" s="423"/>
      <c r="S603" s="423"/>
      <c r="T603" s="423"/>
      <c r="U603" s="423"/>
      <c r="V603" s="423"/>
      <c r="W603" s="423"/>
      <c r="X603" s="423"/>
      <c r="Y603" s="423"/>
      <c r="Z603" s="423"/>
      <c r="AA603" s="423"/>
      <c r="AB603" s="423"/>
      <c r="AC603" s="423"/>
      <c r="AD603" s="423"/>
      <c r="AE603" s="423"/>
      <c r="AF603" s="423"/>
      <c r="AG603" s="423"/>
      <c r="AH603" s="423"/>
      <c r="AI603" s="423"/>
    </row>
    <row r="604">
      <c r="A604" s="419"/>
      <c r="B604" s="419"/>
      <c r="C604" s="419"/>
      <c r="D604" s="419"/>
      <c r="E604" s="387"/>
      <c r="F604" s="387"/>
      <c r="G604" s="423"/>
      <c r="H604" s="423"/>
      <c r="I604" s="423"/>
      <c r="J604" s="423"/>
      <c r="K604" s="423"/>
      <c r="L604" s="423"/>
      <c r="M604" s="423"/>
      <c r="N604" s="423"/>
      <c r="O604" s="423"/>
      <c r="P604" s="423"/>
      <c r="Q604" s="423"/>
      <c r="R604" s="423"/>
      <c r="S604" s="423"/>
      <c r="T604" s="423"/>
      <c r="U604" s="423"/>
      <c r="V604" s="423"/>
      <c r="W604" s="423"/>
      <c r="X604" s="423"/>
      <c r="Y604" s="423"/>
      <c r="Z604" s="423"/>
      <c r="AA604" s="423"/>
      <c r="AB604" s="423"/>
      <c r="AC604" s="423"/>
      <c r="AD604" s="423"/>
      <c r="AE604" s="423"/>
      <c r="AF604" s="423"/>
      <c r="AG604" s="423"/>
      <c r="AH604" s="423"/>
      <c r="AI604" s="423"/>
    </row>
    <row r="605">
      <c r="A605" s="419"/>
      <c r="B605" s="419"/>
      <c r="C605" s="419"/>
      <c r="D605" s="419"/>
      <c r="E605" s="387"/>
      <c r="F605" s="387"/>
      <c r="G605" s="423"/>
      <c r="H605" s="423"/>
      <c r="I605" s="423"/>
      <c r="J605" s="423"/>
      <c r="K605" s="423"/>
      <c r="L605" s="423"/>
      <c r="M605" s="423"/>
      <c r="N605" s="423"/>
      <c r="O605" s="423"/>
      <c r="P605" s="423"/>
      <c r="Q605" s="423"/>
      <c r="R605" s="423"/>
      <c r="S605" s="423"/>
      <c r="T605" s="423"/>
      <c r="U605" s="423"/>
      <c r="V605" s="423"/>
      <c r="W605" s="423"/>
      <c r="X605" s="423"/>
      <c r="Y605" s="423"/>
      <c r="Z605" s="423"/>
      <c r="AA605" s="423"/>
      <c r="AB605" s="423"/>
      <c r="AC605" s="423"/>
      <c r="AD605" s="423"/>
      <c r="AE605" s="423"/>
      <c r="AF605" s="423"/>
      <c r="AG605" s="423"/>
      <c r="AH605" s="423"/>
      <c r="AI605" s="423"/>
    </row>
    <row r="606">
      <c r="A606" s="419"/>
      <c r="B606" s="419"/>
      <c r="C606" s="419"/>
      <c r="D606" s="419"/>
      <c r="E606" s="387"/>
      <c r="F606" s="387"/>
      <c r="G606" s="423"/>
      <c r="H606" s="423"/>
      <c r="I606" s="423"/>
      <c r="J606" s="423"/>
      <c r="K606" s="423"/>
      <c r="L606" s="423"/>
      <c r="M606" s="423"/>
      <c r="N606" s="423"/>
      <c r="O606" s="423"/>
      <c r="P606" s="423"/>
      <c r="Q606" s="423"/>
      <c r="R606" s="423"/>
      <c r="S606" s="423"/>
      <c r="T606" s="423"/>
      <c r="U606" s="423"/>
      <c r="V606" s="423"/>
      <c r="W606" s="423"/>
      <c r="X606" s="423"/>
      <c r="Y606" s="423"/>
      <c r="Z606" s="423"/>
      <c r="AA606" s="423"/>
      <c r="AB606" s="423"/>
      <c r="AC606" s="423"/>
      <c r="AD606" s="423"/>
      <c r="AE606" s="423"/>
      <c r="AF606" s="423"/>
      <c r="AG606" s="423"/>
      <c r="AH606" s="423"/>
      <c r="AI606" s="423"/>
    </row>
    <row r="607">
      <c r="A607" s="419"/>
      <c r="B607" s="419"/>
      <c r="C607" s="419"/>
      <c r="D607" s="419"/>
      <c r="E607" s="387"/>
      <c r="F607" s="387"/>
      <c r="G607" s="423"/>
      <c r="H607" s="423"/>
      <c r="I607" s="423"/>
      <c r="J607" s="423"/>
      <c r="K607" s="423"/>
      <c r="L607" s="423"/>
      <c r="M607" s="423"/>
      <c r="N607" s="423"/>
      <c r="O607" s="423"/>
      <c r="P607" s="423"/>
      <c r="Q607" s="423"/>
      <c r="R607" s="423"/>
      <c r="S607" s="423"/>
      <c r="T607" s="423"/>
      <c r="U607" s="423"/>
      <c r="V607" s="423"/>
      <c r="W607" s="423"/>
      <c r="X607" s="423"/>
      <c r="Y607" s="423"/>
      <c r="Z607" s="423"/>
      <c r="AA607" s="423"/>
      <c r="AB607" s="423"/>
      <c r="AC607" s="423"/>
      <c r="AD607" s="423"/>
      <c r="AE607" s="423"/>
      <c r="AF607" s="423"/>
      <c r="AG607" s="423"/>
      <c r="AH607" s="423"/>
      <c r="AI607" s="423"/>
    </row>
    <row r="608">
      <c r="A608" s="419"/>
      <c r="B608" s="419"/>
      <c r="C608" s="419"/>
      <c r="D608" s="419"/>
      <c r="E608" s="387"/>
      <c r="F608" s="387"/>
      <c r="G608" s="423"/>
      <c r="H608" s="423"/>
      <c r="I608" s="423"/>
      <c r="J608" s="423"/>
      <c r="K608" s="423"/>
      <c r="L608" s="423"/>
      <c r="M608" s="423"/>
      <c r="N608" s="423"/>
      <c r="O608" s="423"/>
      <c r="P608" s="423"/>
      <c r="Q608" s="423"/>
      <c r="R608" s="423"/>
      <c r="S608" s="423"/>
      <c r="T608" s="423"/>
      <c r="U608" s="423"/>
      <c r="V608" s="423"/>
      <c r="W608" s="423"/>
      <c r="X608" s="423"/>
      <c r="Y608" s="423"/>
      <c r="Z608" s="423"/>
      <c r="AA608" s="423"/>
      <c r="AB608" s="423"/>
      <c r="AC608" s="423"/>
      <c r="AD608" s="423"/>
      <c r="AE608" s="423"/>
      <c r="AF608" s="423"/>
      <c r="AG608" s="423"/>
      <c r="AH608" s="423"/>
      <c r="AI608" s="423"/>
    </row>
    <row r="609">
      <c r="A609" s="419"/>
      <c r="B609" s="419"/>
      <c r="C609" s="419"/>
      <c r="D609" s="419"/>
      <c r="E609" s="387"/>
      <c r="F609" s="387"/>
      <c r="G609" s="423"/>
      <c r="H609" s="423"/>
      <c r="I609" s="423"/>
      <c r="J609" s="423"/>
      <c r="K609" s="423"/>
      <c r="L609" s="423"/>
      <c r="M609" s="423"/>
      <c r="N609" s="423"/>
      <c r="O609" s="423"/>
      <c r="P609" s="423"/>
      <c r="Q609" s="423"/>
      <c r="R609" s="423"/>
      <c r="S609" s="423"/>
      <c r="T609" s="423"/>
      <c r="U609" s="423"/>
      <c r="V609" s="423"/>
      <c r="W609" s="423"/>
      <c r="X609" s="423"/>
      <c r="Y609" s="423"/>
      <c r="Z609" s="423"/>
      <c r="AA609" s="423"/>
      <c r="AB609" s="423"/>
      <c r="AC609" s="423"/>
      <c r="AD609" s="423"/>
      <c r="AE609" s="423"/>
      <c r="AF609" s="423"/>
      <c r="AG609" s="423"/>
      <c r="AH609" s="423"/>
      <c r="AI609" s="423"/>
    </row>
    <row r="610">
      <c r="A610" s="419"/>
      <c r="B610" s="419"/>
      <c r="C610" s="419"/>
      <c r="D610" s="419"/>
      <c r="E610" s="387"/>
      <c r="F610" s="387"/>
      <c r="G610" s="423"/>
      <c r="H610" s="423"/>
      <c r="I610" s="423"/>
      <c r="J610" s="423"/>
      <c r="K610" s="423"/>
      <c r="L610" s="423"/>
      <c r="M610" s="423"/>
      <c r="N610" s="423"/>
      <c r="O610" s="423"/>
      <c r="P610" s="423"/>
      <c r="Q610" s="423"/>
      <c r="R610" s="423"/>
      <c r="S610" s="423"/>
      <c r="T610" s="423"/>
      <c r="U610" s="423"/>
      <c r="V610" s="423"/>
      <c r="W610" s="423"/>
      <c r="X610" s="423"/>
      <c r="Y610" s="423"/>
      <c r="Z610" s="423"/>
      <c r="AA610" s="423"/>
      <c r="AB610" s="423"/>
      <c r="AC610" s="423"/>
      <c r="AD610" s="423"/>
      <c r="AE610" s="423"/>
      <c r="AF610" s="423"/>
      <c r="AG610" s="423"/>
      <c r="AH610" s="423"/>
      <c r="AI610" s="423"/>
    </row>
    <row r="611">
      <c r="A611" s="419"/>
      <c r="B611" s="419"/>
      <c r="C611" s="419"/>
      <c r="D611" s="419"/>
      <c r="E611" s="387"/>
      <c r="F611" s="387"/>
      <c r="G611" s="423"/>
      <c r="H611" s="423"/>
      <c r="I611" s="423"/>
      <c r="J611" s="423"/>
      <c r="K611" s="423"/>
      <c r="L611" s="423"/>
      <c r="M611" s="423"/>
      <c r="N611" s="423"/>
      <c r="O611" s="423"/>
      <c r="P611" s="423"/>
      <c r="Q611" s="423"/>
      <c r="R611" s="423"/>
      <c r="S611" s="423"/>
      <c r="T611" s="423"/>
      <c r="U611" s="423"/>
      <c r="V611" s="423"/>
      <c r="W611" s="423"/>
      <c r="X611" s="423"/>
      <c r="Y611" s="423"/>
      <c r="Z611" s="423"/>
      <c r="AA611" s="423"/>
      <c r="AB611" s="423"/>
      <c r="AC611" s="423"/>
      <c r="AD611" s="423"/>
      <c r="AE611" s="423"/>
      <c r="AF611" s="423"/>
      <c r="AG611" s="423"/>
      <c r="AH611" s="423"/>
      <c r="AI611" s="423"/>
    </row>
    <row r="612">
      <c r="A612" s="419"/>
      <c r="B612" s="419"/>
      <c r="C612" s="419"/>
      <c r="D612" s="419"/>
      <c r="E612" s="387"/>
      <c r="F612" s="387"/>
      <c r="G612" s="423"/>
      <c r="H612" s="423"/>
      <c r="I612" s="423"/>
      <c r="J612" s="423"/>
      <c r="K612" s="423"/>
      <c r="L612" s="423"/>
      <c r="M612" s="423"/>
      <c r="N612" s="423"/>
      <c r="O612" s="423"/>
      <c r="P612" s="423"/>
      <c r="Q612" s="423"/>
      <c r="R612" s="423"/>
      <c r="S612" s="423"/>
      <c r="T612" s="423"/>
      <c r="U612" s="423"/>
      <c r="V612" s="423"/>
      <c r="W612" s="423"/>
      <c r="X612" s="423"/>
      <c r="Y612" s="423"/>
      <c r="Z612" s="423"/>
      <c r="AA612" s="423"/>
      <c r="AB612" s="423"/>
      <c r="AC612" s="423"/>
      <c r="AD612" s="423"/>
      <c r="AE612" s="423"/>
      <c r="AF612" s="423"/>
      <c r="AG612" s="423"/>
      <c r="AH612" s="423"/>
      <c r="AI612" s="423"/>
    </row>
    <row r="613">
      <c r="A613" s="419"/>
      <c r="B613" s="419"/>
      <c r="C613" s="419"/>
      <c r="D613" s="419"/>
      <c r="E613" s="387"/>
      <c r="F613" s="387"/>
      <c r="G613" s="423"/>
      <c r="H613" s="423"/>
      <c r="I613" s="423"/>
      <c r="J613" s="423"/>
      <c r="K613" s="423"/>
      <c r="L613" s="423"/>
      <c r="M613" s="423"/>
      <c r="N613" s="423"/>
      <c r="O613" s="423"/>
      <c r="P613" s="423"/>
      <c r="Q613" s="423"/>
      <c r="R613" s="423"/>
      <c r="S613" s="423"/>
      <c r="T613" s="423"/>
      <c r="U613" s="423"/>
      <c r="V613" s="423"/>
      <c r="W613" s="423"/>
      <c r="X613" s="423"/>
      <c r="Y613" s="423"/>
      <c r="Z613" s="423"/>
      <c r="AA613" s="423"/>
      <c r="AB613" s="423"/>
      <c r="AC613" s="423"/>
      <c r="AD613" s="423"/>
      <c r="AE613" s="423"/>
      <c r="AF613" s="423"/>
      <c r="AG613" s="423"/>
      <c r="AH613" s="423"/>
      <c r="AI613" s="423"/>
    </row>
    <row r="614">
      <c r="A614" s="419"/>
      <c r="B614" s="419"/>
      <c r="C614" s="419"/>
      <c r="D614" s="419"/>
      <c r="E614" s="387"/>
      <c r="F614" s="387"/>
      <c r="G614" s="423"/>
      <c r="H614" s="423"/>
      <c r="I614" s="423"/>
      <c r="J614" s="423"/>
      <c r="K614" s="423"/>
      <c r="L614" s="423"/>
      <c r="M614" s="423"/>
      <c r="N614" s="423"/>
      <c r="O614" s="423"/>
      <c r="P614" s="423"/>
      <c r="Q614" s="423"/>
      <c r="R614" s="423"/>
      <c r="S614" s="423"/>
      <c r="T614" s="423"/>
      <c r="U614" s="423"/>
      <c r="V614" s="423"/>
      <c r="W614" s="423"/>
      <c r="X614" s="423"/>
      <c r="Y614" s="423"/>
      <c r="Z614" s="423"/>
      <c r="AA614" s="423"/>
      <c r="AB614" s="423"/>
      <c r="AC614" s="423"/>
      <c r="AD614" s="423"/>
      <c r="AE614" s="423"/>
      <c r="AF614" s="423"/>
      <c r="AG614" s="423"/>
      <c r="AH614" s="423"/>
      <c r="AI614" s="423"/>
    </row>
    <row r="615">
      <c r="A615" s="419"/>
      <c r="B615" s="419"/>
      <c r="C615" s="419"/>
      <c r="D615" s="419"/>
      <c r="E615" s="387"/>
      <c r="F615" s="387"/>
      <c r="G615" s="423"/>
      <c r="H615" s="423"/>
      <c r="I615" s="423"/>
      <c r="J615" s="423"/>
      <c r="K615" s="423"/>
      <c r="L615" s="423"/>
      <c r="M615" s="423"/>
      <c r="N615" s="423"/>
      <c r="O615" s="423"/>
      <c r="P615" s="423"/>
      <c r="Q615" s="423"/>
      <c r="R615" s="423"/>
      <c r="S615" s="423"/>
      <c r="T615" s="423"/>
      <c r="U615" s="423"/>
      <c r="V615" s="423"/>
      <c r="W615" s="423"/>
      <c r="X615" s="423"/>
      <c r="Y615" s="423"/>
      <c r="Z615" s="423"/>
      <c r="AA615" s="423"/>
      <c r="AB615" s="423"/>
      <c r="AC615" s="423"/>
      <c r="AD615" s="423"/>
      <c r="AE615" s="423"/>
      <c r="AF615" s="423"/>
      <c r="AG615" s="423"/>
      <c r="AH615" s="423"/>
      <c r="AI615" s="423"/>
    </row>
    <row r="616">
      <c r="A616" s="419"/>
      <c r="B616" s="419"/>
      <c r="C616" s="419"/>
      <c r="D616" s="419"/>
      <c r="E616" s="387"/>
      <c r="F616" s="387"/>
      <c r="G616" s="423"/>
      <c r="H616" s="423"/>
      <c r="I616" s="423"/>
      <c r="J616" s="423"/>
      <c r="K616" s="423"/>
      <c r="L616" s="423"/>
      <c r="M616" s="423"/>
      <c r="N616" s="423"/>
      <c r="O616" s="423"/>
      <c r="P616" s="423"/>
      <c r="Q616" s="423"/>
      <c r="R616" s="423"/>
      <c r="S616" s="423"/>
      <c r="T616" s="423"/>
      <c r="U616" s="423"/>
      <c r="V616" s="423"/>
      <c r="W616" s="423"/>
      <c r="X616" s="423"/>
      <c r="Y616" s="423"/>
      <c r="Z616" s="423"/>
      <c r="AA616" s="423"/>
      <c r="AB616" s="423"/>
      <c r="AC616" s="423"/>
      <c r="AD616" s="423"/>
      <c r="AE616" s="423"/>
      <c r="AF616" s="423"/>
      <c r="AG616" s="423"/>
      <c r="AH616" s="423"/>
      <c r="AI616" s="423"/>
    </row>
    <row r="617">
      <c r="A617" s="419"/>
      <c r="B617" s="419"/>
      <c r="C617" s="419"/>
      <c r="D617" s="419"/>
      <c r="E617" s="387"/>
      <c r="F617" s="387"/>
      <c r="G617" s="423"/>
      <c r="H617" s="423"/>
      <c r="I617" s="423"/>
      <c r="J617" s="423"/>
      <c r="K617" s="423"/>
      <c r="L617" s="423"/>
      <c r="M617" s="423"/>
      <c r="N617" s="423"/>
      <c r="O617" s="423"/>
      <c r="P617" s="423"/>
      <c r="Q617" s="423"/>
      <c r="R617" s="423"/>
      <c r="S617" s="423"/>
      <c r="T617" s="423"/>
      <c r="U617" s="423"/>
      <c r="V617" s="423"/>
      <c r="W617" s="423"/>
      <c r="X617" s="423"/>
      <c r="Y617" s="423"/>
      <c r="Z617" s="423"/>
      <c r="AA617" s="423"/>
      <c r="AB617" s="423"/>
      <c r="AC617" s="423"/>
      <c r="AD617" s="423"/>
      <c r="AE617" s="423"/>
      <c r="AF617" s="423"/>
      <c r="AG617" s="423"/>
      <c r="AH617" s="423"/>
      <c r="AI617" s="423"/>
    </row>
    <row r="618">
      <c r="A618" s="419"/>
      <c r="B618" s="419"/>
      <c r="C618" s="419"/>
      <c r="D618" s="419"/>
      <c r="E618" s="387"/>
      <c r="F618" s="387"/>
      <c r="G618" s="423"/>
      <c r="H618" s="423"/>
      <c r="I618" s="423"/>
      <c r="J618" s="423"/>
      <c r="K618" s="423"/>
      <c r="L618" s="423"/>
      <c r="M618" s="423"/>
      <c r="N618" s="423"/>
      <c r="O618" s="423"/>
      <c r="P618" s="423"/>
      <c r="Q618" s="423"/>
      <c r="R618" s="423"/>
      <c r="S618" s="423"/>
      <c r="T618" s="423"/>
      <c r="U618" s="423"/>
      <c r="V618" s="423"/>
      <c r="W618" s="423"/>
      <c r="X618" s="423"/>
      <c r="Y618" s="423"/>
      <c r="Z618" s="423"/>
      <c r="AA618" s="423"/>
      <c r="AB618" s="423"/>
      <c r="AC618" s="423"/>
      <c r="AD618" s="423"/>
      <c r="AE618" s="423"/>
      <c r="AF618" s="423"/>
      <c r="AG618" s="423"/>
      <c r="AH618" s="423"/>
      <c r="AI618" s="423"/>
    </row>
    <row r="619">
      <c r="A619" s="419"/>
      <c r="B619" s="419"/>
      <c r="C619" s="419"/>
      <c r="D619" s="419"/>
      <c r="E619" s="387"/>
      <c r="F619" s="387"/>
      <c r="G619" s="423"/>
      <c r="H619" s="423"/>
      <c r="I619" s="423"/>
      <c r="J619" s="423"/>
      <c r="K619" s="423"/>
      <c r="L619" s="423"/>
      <c r="M619" s="423"/>
      <c r="N619" s="423"/>
      <c r="O619" s="423"/>
      <c r="P619" s="423"/>
      <c r="Q619" s="423"/>
      <c r="R619" s="423"/>
      <c r="S619" s="423"/>
      <c r="T619" s="423"/>
      <c r="U619" s="423"/>
      <c r="V619" s="423"/>
      <c r="W619" s="423"/>
      <c r="X619" s="423"/>
      <c r="Y619" s="423"/>
      <c r="Z619" s="423"/>
      <c r="AA619" s="423"/>
      <c r="AB619" s="423"/>
      <c r="AC619" s="423"/>
      <c r="AD619" s="423"/>
      <c r="AE619" s="423"/>
      <c r="AF619" s="423"/>
      <c r="AG619" s="423"/>
      <c r="AH619" s="423"/>
      <c r="AI619" s="423"/>
    </row>
    <row r="620">
      <c r="A620" s="419"/>
      <c r="B620" s="419"/>
      <c r="C620" s="419"/>
      <c r="D620" s="419"/>
      <c r="E620" s="387"/>
      <c r="F620" s="387"/>
      <c r="G620" s="423"/>
      <c r="H620" s="423"/>
      <c r="I620" s="423"/>
      <c r="J620" s="423"/>
      <c r="K620" s="423"/>
      <c r="L620" s="423"/>
      <c r="M620" s="423"/>
      <c r="N620" s="423"/>
      <c r="O620" s="423"/>
      <c r="P620" s="423"/>
      <c r="Q620" s="423"/>
      <c r="R620" s="423"/>
      <c r="S620" s="423"/>
      <c r="T620" s="423"/>
      <c r="U620" s="423"/>
      <c r="V620" s="423"/>
      <c r="W620" s="423"/>
      <c r="X620" s="423"/>
      <c r="Y620" s="423"/>
      <c r="Z620" s="423"/>
      <c r="AA620" s="423"/>
      <c r="AB620" s="423"/>
      <c r="AC620" s="423"/>
      <c r="AD620" s="423"/>
      <c r="AE620" s="423"/>
      <c r="AF620" s="423"/>
      <c r="AG620" s="423"/>
      <c r="AH620" s="423"/>
      <c r="AI620" s="423"/>
    </row>
    <row r="621">
      <c r="A621" s="419"/>
      <c r="B621" s="419"/>
      <c r="C621" s="419"/>
      <c r="D621" s="419"/>
      <c r="E621" s="387"/>
      <c r="F621" s="387"/>
      <c r="G621" s="423"/>
      <c r="H621" s="423"/>
      <c r="I621" s="423"/>
      <c r="J621" s="423"/>
      <c r="K621" s="423"/>
      <c r="L621" s="423"/>
      <c r="M621" s="423"/>
      <c r="N621" s="423"/>
      <c r="O621" s="423"/>
      <c r="P621" s="423"/>
      <c r="Q621" s="423"/>
      <c r="R621" s="423"/>
      <c r="S621" s="423"/>
      <c r="T621" s="423"/>
      <c r="U621" s="423"/>
      <c r="V621" s="423"/>
      <c r="W621" s="423"/>
      <c r="X621" s="423"/>
      <c r="Y621" s="423"/>
      <c r="Z621" s="423"/>
      <c r="AA621" s="423"/>
      <c r="AB621" s="423"/>
      <c r="AC621" s="423"/>
      <c r="AD621" s="423"/>
      <c r="AE621" s="423"/>
      <c r="AF621" s="423"/>
      <c r="AG621" s="423"/>
      <c r="AH621" s="423"/>
      <c r="AI621" s="423"/>
    </row>
    <row r="622">
      <c r="A622" s="419"/>
      <c r="B622" s="419"/>
      <c r="C622" s="419"/>
      <c r="D622" s="419"/>
      <c r="E622" s="387"/>
      <c r="F622" s="387"/>
      <c r="G622" s="423"/>
      <c r="H622" s="423"/>
      <c r="I622" s="423"/>
      <c r="J622" s="423"/>
      <c r="K622" s="423"/>
      <c r="L622" s="423"/>
      <c r="M622" s="423"/>
      <c r="N622" s="423"/>
      <c r="O622" s="423"/>
      <c r="P622" s="423"/>
      <c r="Q622" s="423"/>
      <c r="R622" s="423"/>
      <c r="S622" s="423"/>
      <c r="T622" s="423"/>
      <c r="U622" s="423"/>
      <c r="V622" s="423"/>
      <c r="W622" s="423"/>
      <c r="X622" s="423"/>
      <c r="Y622" s="423"/>
      <c r="Z622" s="423"/>
      <c r="AA622" s="423"/>
      <c r="AB622" s="423"/>
      <c r="AC622" s="423"/>
      <c r="AD622" s="423"/>
      <c r="AE622" s="423"/>
      <c r="AF622" s="423"/>
      <c r="AG622" s="423"/>
      <c r="AH622" s="423"/>
      <c r="AI622" s="423"/>
    </row>
    <row r="623">
      <c r="A623" s="419"/>
      <c r="B623" s="419"/>
      <c r="C623" s="419"/>
      <c r="D623" s="419"/>
      <c r="E623" s="387"/>
      <c r="F623" s="387"/>
      <c r="G623" s="423"/>
      <c r="H623" s="423"/>
      <c r="I623" s="423"/>
      <c r="J623" s="423"/>
      <c r="K623" s="423"/>
      <c r="L623" s="423"/>
      <c r="M623" s="423"/>
      <c r="N623" s="423"/>
      <c r="O623" s="423"/>
      <c r="P623" s="423"/>
      <c r="Q623" s="423"/>
      <c r="R623" s="423"/>
      <c r="S623" s="423"/>
      <c r="T623" s="423"/>
      <c r="U623" s="423"/>
      <c r="V623" s="423"/>
      <c r="W623" s="423"/>
      <c r="X623" s="423"/>
      <c r="Y623" s="423"/>
      <c r="Z623" s="423"/>
      <c r="AA623" s="423"/>
      <c r="AB623" s="423"/>
      <c r="AC623" s="423"/>
      <c r="AD623" s="423"/>
      <c r="AE623" s="423"/>
      <c r="AF623" s="423"/>
      <c r="AG623" s="423"/>
      <c r="AH623" s="423"/>
      <c r="AI623" s="423"/>
    </row>
    <row r="624">
      <c r="A624" s="419"/>
      <c r="B624" s="419"/>
      <c r="C624" s="419"/>
      <c r="D624" s="419"/>
      <c r="E624" s="387"/>
      <c r="F624" s="387"/>
      <c r="G624" s="423"/>
      <c r="H624" s="423"/>
      <c r="I624" s="423"/>
      <c r="J624" s="423"/>
      <c r="K624" s="423"/>
      <c r="L624" s="423"/>
      <c r="M624" s="423"/>
      <c r="N624" s="423"/>
      <c r="O624" s="423"/>
      <c r="P624" s="423"/>
      <c r="Q624" s="423"/>
      <c r="R624" s="423"/>
      <c r="S624" s="423"/>
      <c r="T624" s="423"/>
      <c r="U624" s="423"/>
      <c r="V624" s="423"/>
      <c r="W624" s="423"/>
      <c r="X624" s="423"/>
      <c r="Y624" s="423"/>
      <c r="Z624" s="423"/>
      <c r="AA624" s="423"/>
      <c r="AB624" s="423"/>
      <c r="AC624" s="423"/>
      <c r="AD624" s="423"/>
      <c r="AE624" s="423"/>
      <c r="AF624" s="423"/>
      <c r="AG624" s="423"/>
      <c r="AH624" s="423"/>
      <c r="AI624" s="423"/>
    </row>
    <row r="625">
      <c r="A625" s="419"/>
      <c r="B625" s="419"/>
      <c r="C625" s="419"/>
      <c r="D625" s="419"/>
      <c r="E625" s="387"/>
      <c r="F625" s="387"/>
      <c r="G625" s="423"/>
      <c r="H625" s="423"/>
      <c r="I625" s="423"/>
      <c r="J625" s="423"/>
      <c r="K625" s="423"/>
      <c r="L625" s="423"/>
      <c r="M625" s="423"/>
      <c r="N625" s="423"/>
      <c r="O625" s="423"/>
      <c r="P625" s="423"/>
      <c r="Q625" s="423"/>
      <c r="R625" s="423"/>
      <c r="S625" s="423"/>
      <c r="T625" s="423"/>
      <c r="U625" s="423"/>
      <c r="V625" s="423"/>
      <c r="W625" s="423"/>
      <c r="X625" s="423"/>
      <c r="Y625" s="423"/>
      <c r="Z625" s="423"/>
      <c r="AA625" s="423"/>
      <c r="AB625" s="423"/>
      <c r="AC625" s="423"/>
      <c r="AD625" s="423"/>
      <c r="AE625" s="423"/>
      <c r="AF625" s="423"/>
      <c r="AG625" s="423"/>
      <c r="AH625" s="423"/>
      <c r="AI625" s="423"/>
    </row>
    <row r="626">
      <c r="A626" s="419"/>
      <c r="B626" s="419"/>
      <c r="C626" s="419"/>
      <c r="D626" s="419"/>
      <c r="E626" s="387"/>
      <c r="F626" s="387"/>
      <c r="G626" s="423"/>
      <c r="H626" s="423"/>
      <c r="I626" s="423"/>
      <c r="J626" s="423"/>
      <c r="K626" s="423"/>
      <c r="L626" s="423"/>
      <c r="M626" s="423"/>
      <c r="N626" s="423"/>
      <c r="O626" s="423"/>
      <c r="P626" s="423"/>
      <c r="Q626" s="423"/>
      <c r="R626" s="423"/>
      <c r="S626" s="423"/>
      <c r="T626" s="423"/>
      <c r="U626" s="423"/>
      <c r="V626" s="423"/>
      <c r="W626" s="423"/>
      <c r="X626" s="423"/>
      <c r="Y626" s="423"/>
      <c r="Z626" s="423"/>
      <c r="AA626" s="423"/>
      <c r="AB626" s="423"/>
      <c r="AC626" s="423"/>
      <c r="AD626" s="423"/>
      <c r="AE626" s="423"/>
      <c r="AF626" s="423"/>
      <c r="AG626" s="423"/>
      <c r="AH626" s="423"/>
      <c r="AI626" s="423"/>
    </row>
    <row r="627">
      <c r="A627" s="419"/>
      <c r="B627" s="419"/>
      <c r="C627" s="419"/>
      <c r="D627" s="419"/>
      <c r="E627" s="387"/>
      <c r="F627" s="387"/>
      <c r="G627" s="423"/>
      <c r="H627" s="423"/>
      <c r="I627" s="423"/>
      <c r="J627" s="423"/>
      <c r="K627" s="423"/>
      <c r="L627" s="423"/>
      <c r="M627" s="423"/>
      <c r="N627" s="423"/>
      <c r="O627" s="423"/>
      <c r="P627" s="423"/>
      <c r="Q627" s="423"/>
      <c r="R627" s="423"/>
      <c r="S627" s="423"/>
      <c r="T627" s="423"/>
      <c r="U627" s="423"/>
      <c r="V627" s="423"/>
      <c r="W627" s="423"/>
      <c r="X627" s="423"/>
      <c r="Y627" s="423"/>
      <c r="Z627" s="423"/>
      <c r="AA627" s="423"/>
      <c r="AB627" s="423"/>
      <c r="AC627" s="423"/>
      <c r="AD627" s="423"/>
      <c r="AE627" s="423"/>
      <c r="AF627" s="423"/>
      <c r="AG627" s="423"/>
      <c r="AH627" s="423"/>
      <c r="AI627" s="423"/>
    </row>
    <row r="628">
      <c r="A628" s="419"/>
      <c r="B628" s="419"/>
      <c r="C628" s="419"/>
      <c r="D628" s="419"/>
      <c r="E628" s="387"/>
      <c r="F628" s="387"/>
      <c r="G628" s="423"/>
      <c r="H628" s="423"/>
      <c r="I628" s="423"/>
      <c r="J628" s="423"/>
      <c r="K628" s="423"/>
      <c r="L628" s="423"/>
      <c r="M628" s="423"/>
      <c r="N628" s="423"/>
      <c r="O628" s="423"/>
      <c r="P628" s="423"/>
      <c r="Q628" s="423"/>
      <c r="R628" s="423"/>
      <c r="S628" s="423"/>
      <c r="T628" s="423"/>
      <c r="U628" s="423"/>
      <c r="V628" s="423"/>
      <c r="W628" s="423"/>
      <c r="X628" s="423"/>
      <c r="Y628" s="423"/>
      <c r="Z628" s="423"/>
      <c r="AA628" s="423"/>
      <c r="AB628" s="423"/>
      <c r="AC628" s="423"/>
      <c r="AD628" s="423"/>
      <c r="AE628" s="423"/>
      <c r="AF628" s="423"/>
      <c r="AG628" s="423"/>
      <c r="AH628" s="423"/>
      <c r="AI628" s="423"/>
    </row>
    <row r="629">
      <c r="A629" s="419"/>
      <c r="B629" s="419"/>
      <c r="C629" s="419"/>
      <c r="D629" s="419"/>
      <c r="E629" s="387"/>
      <c r="F629" s="387"/>
      <c r="G629" s="423"/>
      <c r="H629" s="423"/>
      <c r="I629" s="423"/>
      <c r="J629" s="423"/>
      <c r="K629" s="423"/>
      <c r="L629" s="423"/>
      <c r="M629" s="423"/>
      <c r="N629" s="423"/>
      <c r="O629" s="423"/>
      <c r="P629" s="423"/>
      <c r="Q629" s="423"/>
      <c r="R629" s="423"/>
      <c r="S629" s="423"/>
      <c r="T629" s="423"/>
      <c r="U629" s="423"/>
      <c r="V629" s="423"/>
      <c r="W629" s="423"/>
      <c r="X629" s="423"/>
      <c r="Y629" s="423"/>
      <c r="Z629" s="423"/>
      <c r="AA629" s="423"/>
      <c r="AB629" s="423"/>
      <c r="AC629" s="423"/>
      <c r="AD629" s="423"/>
      <c r="AE629" s="423"/>
      <c r="AF629" s="423"/>
      <c r="AG629" s="423"/>
      <c r="AH629" s="423"/>
      <c r="AI629" s="423"/>
    </row>
    <row r="630">
      <c r="A630" s="419"/>
      <c r="B630" s="419"/>
      <c r="C630" s="419"/>
      <c r="D630" s="419"/>
      <c r="E630" s="387"/>
      <c r="F630" s="387"/>
      <c r="G630" s="423"/>
      <c r="H630" s="423"/>
      <c r="I630" s="423"/>
      <c r="J630" s="423"/>
      <c r="K630" s="423"/>
      <c r="L630" s="423"/>
      <c r="M630" s="423"/>
      <c r="N630" s="423"/>
      <c r="O630" s="423"/>
      <c r="P630" s="423"/>
      <c r="Q630" s="423"/>
      <c r="R630" s="423"/>
      <c r="S630" s="423"/>
      <c r="T630" s="423"/>
      <c r="U630" s="423"/>
      <c r="V630" s="423"/>
      <c r="W630" s="423"/>
      <c r="X630" s="423"/>
      <c r="Y630" s="423"/>
      <c r="Z630" s="423"/>
      <c r="AA630" s="423"/>
      <c r="AB630" s="423"/>
      <c r="AC630" s="423"/>
      <c r="AD630" s="423"/>
      <c r="AE630" s="423"/>
      <c r="AF630" s="423"/>
      <c r="AG630" s="423"/>
      <c r="AH630" s="423"/>
      <c r="AI630" s="423"/>
    </row>
    <row r="631">
      <c r="A631" s="419"/>
      <c r="B631" s="419"/>
      <c r="C631" s="419"/>
      <c r="D631" s="419"/>
      <c r="E631" s="387"/>
      <c r="F631" s="387"/>
      <c r="G631" s="423"/>
      <c r="H631" s="423"/>
      <c r="I631" s="423"/>
      <c r="J631" s="423"/>
      <c r="K631" s="423"/>
      <c r="L631" s="423"/>
      <c r="M631" s="423"/>
      <c r="N631" s="423"/>
      <c r="O631" s="423"/>
      <c r="P631" s="423"/>
      <c r="Q631" s="423"/>
      <c r="R631" s="423"/>
      <c r="S631" s="423"/>
      <c r="T631" s="423"/>
      <c r="U631" s="423"/>
      <c r="V631" s="423"/>
      <c r="W631" s="423"/>
      <c r="X631" s="423"/>
      <c r="Y631" s="423"/>
      <c r="Z631" s="423"/>
      <c r="AA631" s="423"/>
      <c r="AB631" s="423"/>
      <c r="AC631" s="423"/>
      <c r="AD631" s="423"/>
      <c r="AE631" s="423"/>
      <c r="AF631" s="423"/>
      <c r="AG631" s="423"/>
      <c r="AH631" s="423"/>
      <c r="AI631" s="423"/>
    </row>
    <row r="632">
      <c r="A632" s="419"/>
      <c r="B632" s="419"/>
      <c r="C632" s="419"/>
      <c r="D632" s="419"/>
      <c r="E632" s="387"/>
      <c r="F632" s="387"/>
      <c r="G632" s="423"/>
      <c r="H632" s="423"/>
      <c r="I632" s="423"/>
      <c r="J632" s="423"/>
      <c r="K632" s="423"/>
      <c r="L632" s="423"/>
      <c r="M632" s="423"/>
      <c r="N632" s="423"/>
      <c r="O632" s="423"/>
      <c r="P632" s="423"/>
      <c r="Q632" s="423"/>
      <c r="R632" s="423"/>
      <c r="S632" s="423"/>
      <c r="T632" s="423"/>
      <c r="U632" s="423"/>
      <c r="V632" s="423"/>
      <c r="W632" s="423"/>
      <c r="X632" s="423"/>
      <c r="Y632" s="423"/>
      <c r="Z632" s="423"/>
      <c r="AA632" s="423"/>
      <c r="AB632" s="423"/>
      <c r="AC632" s="423"/>
      <c r="AD632" s="423"/>
      <c r="AE632" s="423"/>
      <c r="AF632" s="423"/>
      <c r="AG632" s="423"/>
      <c r="AH632" s="423"/>
      <c r="AI632" s="423"/>
    </row>
    <row r="633">
      <c r="A633" s="419"/>
      <c r="B633" s="419"/>
      <c r="C633" s="419"/>
      <c r="D633" s="419"/>
      <c r="E633" s="387"/>
      <c r="F633" s="387"/>
      <c r="G633" s="423"/>
      <c r="H633" s="423"/>
      <c r="I633" s="423"/>
      <c r="J633" s="423"/>
      <c r="K633" s="423"/>
      <c r="L633" s="423"/>
      <c r="M633" s="423"/>
      <c r="N633" s="423"/>
      <c r="O633" s="423"/>
      <c r="P633" s="423"/>
      <c r="Q633" s="423"/>
      <c r="R633" s="423"/>
      <c r="S633" s="423"/>
      <c r="T633" s="423"/>
      <c r="U633" s="423"/>
      <c r="V633" s="423"/>
      <c r="W633" s="423"/>
      <c r="X633" s="423"/>
      <c r="Y633" s="423"/>
      <c r="Z633" s="423"/>
      <c r="AA633" s="423"/>
      <c r="AB633" s="423"/>
      <c r="AC633" s="423"/>
      <c r="AD633" s="423"/>
      <c r="AE633" s="423"/>
      <c r="AF633" s="423"/>
      <c r="AG633" s="423"/>
      <c r="AH633" s="423"/>
      <c r="AI633" s="423"/>
    </row>
    <row r="634">
      <c r="A634" s="419"/>
      <c r="B634" s="419"/>
      <c r="C634" s="419"/>
      <c r="D634" s="419"/>
      <c r="E634" s="387"/>
      <c r="F634" s="387"/>
      <c r="G634" s="423"/>
      <c r="H634" s="423"/>
      <c r="I634" s="423"/>
      <c r="J634" s="423"/>
      <c r="K634" s="423"/>
      <c r="L634" s="423"/>
      <c r="M634" s="423"/>
      <c r="N634" s="423"/>
      <c r="O634" s="423"/>
      <c r="P634" s="423"/>
      <c r="Q634" s="423"/>
      <c r="R634" s="423"/>
      <c r="S634" s="423"/>
      <c r="T634" s="423"/>
      <c r="U634" s="423"/>
      <c r="V634" s="423"/>
      <c r="W634" s="423"/>
      <c r="X634" s="423"/>
      <c r="Y634" s="423"/>
      <c r="Z634" s="423"/>
      <c r="AA634" s="423"/>
      <c r="AB634" s="423"/>
      <c r="AC634" s="423"/>
      <c r="AD634" s="423"/>
      <c r="AE634" s="423"/>
      <c r="AF634" s="423"/>
      <c r="AG634" s="423"/>
      <c r="AH634" s="423"/>
      <c r="AI634" s="423"/>
    </row>
    <row r="635">
      <c r="A635" s="419"/>
      <c r="B635" s="419"/>
      <c r="C635" s="419"/>
      <c r="D635" s="419"/>
      <c r="E635" s="387"/>
      <c r="F635" s="387"/>
      <c r="G635" s="423"/>
      <c r="H635" s="423"/>
      <c r="I635" s="423"/>
      <c r="J635" s="423"/>
      <c r="K635" s="423"/>
      <c r="L635" s="423"/>
      <c r="M635" s="423"/>
      <c r="N635" s="423"/>
      <c r="O635" s="423"/>
      <c r="P635" s="423"/>
      <c r="Q635" s="423"/>
      <c r="R635" s="423"/>
      <c r="S635" s="423"/>
      <c r="T635" s="423"/>
      <c r="U635" s="423"/>
      <c r="V635" s="423"/>
      <c r="W635" s="423"/>
      <c r="X635" s="423"/>
      <c r="Y635" s="423"/>
      <c r="Z635" s="423"/>
      <c r="AA635" s="423"/>
      <c r="AB635" s="423"/>
      <c r="AC635" s="423"/>
      <c r="AD635" s="423"/>
      <c r="AE635" s="423"/>
      <c r="AF635" s="423"/>
      <c r="AG635" s="423"/>
      <c r="AH635" s="423"/>
      <c r="AI635" s="423"/>
    </row>
    <row r="636">
      <c r="A636" s="419"/>
      <c r="B636" s="419"/>
      <c r="C636" s="419"/>
      <c r="D636" s="419"/>
      <c r="E636" s="387"/>
      <c r="F636" s="387"/>
      <c r="G636" s="423"/>
      <c r="H636" s="423"/>
      <c r="I636" s="423"/>
      <c r="J636" s="423"/>
      <c r="K636" s="423"/>
      <c r="L636" s="423"/>
      <c r="M636" s="423"/>
      <c r="N636" s="423"/>
      <c r="O636" s="423"/>
      <c r="P636" s="423"/>
      <c r="Q636" s="423"/>
      <c r="R636" s="423"/>
      <c r="S636" s="423"/>
      <c r="T636" s="423"/>
      <c r="U636" s="423"/>
      <c r="V636" s="423"/>
      <c r="W636" s="423"/>
      <c r="X636" s="423"/>
      <c r="Y636" s="423"/>
      <c r="Z636" s="423"/>
      <c r="AA636" s="423"/>
      <c r="AB636" s="423"/>
      <c r="AC636" s="423"/>
      <c r="AD636" s="423"/>
      <c r="AE636" s="423"/>
      <c r="AF636" s="423"/>
      <c r="AG636" s="423"/>
      <c r="AH636" s="423"/>
      <c r="AI636" s="423"/>
    </row>
    <row r="637">
      <c r="A637" s="419"/>
      <c r="B637" s="419"/>
      <c r="C637" s="419"/>
      <c r="D637" s="419"/>
      <c r="E637" s="387"/>
      <c r="F637" s="387"/>
      <c r="G637" s="423"/>
      <c r="H637" s="423"/>
      <c r="I637" s="423"/>
      <c r="J637" s="423"/>
      <c r="K637" s="423"/>
      <c r="L637" s="423"/>
      <c r="M637" s="423"/>
      <c r="N637" s="423"/>
      <c r="O637" s="423"/>
      <c r="P637" s="423"/>
      <c r="Q637" s="423"/>
      <c r="R637" s="423"/>
      <c r="S637" s="423"/>
      <c r="T637" s="423"/>
      <c r="U637" s="423"/>
      <c r="V637" s="423"/>
      <c r="W637" s="423"/>
      <c r="X637" s="423"/>
      <c r="Y637" s="423"/>
      <c r="Z637" s="423"/>
      <c r="AA637" s="423"/>
      <c r="AB637" s="423"/>
      <c r="AC637" s="423"/>
      <c r="AD637" s="423"/>
      <c r="AE637" s="423"/>
      <c r="AF637" s="423"/>
      <c r="AG637" s="423"/>
      <c r="AH637" s="423"/>
      <c r="AI637" s="423"/>
    </row>
    <row r="638">
      <c r="A638" s="419"/>
      <c r="B638" s="419"/>
      <c r="C638" s="419"/>
      <c r="D638" s="419"/>
      <c r="E638" s="387"/>
      <c r="F638" s="387"/>
      <c r="G638" s="423"/>
      <c r="H638" s="423"/>
      <c r="I638" s="423"/>
      <c r="J638" s="423"/>
      <c r="K638" s="423"/>
      <c r="L638" s="423"/>
      <c r="M638" s="423"/>
      <c r="N638" s="423"/>
      <c r="O638" s="423"/>
      <c r="P638" s="423"/>
      <c r="Q638" s="423"/>
      <c r="R638" s="423"/>
      <c r="S638" s="423"/>
      <c r="T638" s="423"/>
      <c r="U638" s="423"/>
      <c r="V638" s="423"/>
      <c r="W638" s="423"/>
      <c r="X638" s="423"/>
      <c r="Y638" s="423"/>
      <c r="Z638" s="423"/>
      <c r="AA638" s="423"/>
      <c r="AB638" s="423"/>
      <c r="AC638" s="423"/>
      <c r="AD638" s="423"/>
      <c r="AE638" s="423"/>
      <c r="AF638" s="423"/>
      <c r="AG638" s="423"/>
      <c r="AH638" s="423"/>
      <c r="AI638" s="423"/>
    </row>
    <row r="639">
      <c r="A639" s="419"/>
      <c r="B639" s="419"/>
      <c r="C639" s="419"/>
      <c r="D639" s="419"/>
      <c r="E639" s="387"/>
      <c r="F639" s="387"/>
      <c r="G639" s="423"/>
      <c r="H639" s="423"/>
      <c r="I639" s="423"/>
      <c r="J639" s="423"/>
      <c r="K639" s="423"/>
      <c r="L639" s="423"/>
      <c r="M639" s="423"/>
      <c r="N639" s="423"/>
      <c r="O639" s="423"/>
      <c r="P639" s="423"/>
      <c r="Q639" s="423"/>
      <c r="R639" s="423"/>
      <c r="S639" s="423"/>
      <c r="T639" s="423"/>
      <c r="U639" s="423"/>
      <c r="V639" s="423"/>
      <c r="W639" s="423"/>
      <c r="X639" s="423"/>
      <c r="Y639" s="423"/>
      <c r="Z639" s="423"/>
      <c r="AA639" s="423"/>
      <c r="AB639" s="423"/>
      <c r="AC639" s="423"/>
      <c r="AD639" s="423"/>
      <c r="AE639" s="423"/>
      <c r="AF639" s="423"/>
      <c r="AG639" s="423"/>
      <c r="AH639" s="423"/>
      <c r="AI639" s="423"/>
    </row>
    <row r="640">
      <c r="A640" s="419"/>
      <c r="B640" s="419"/>
      <c r="C640" s="419"/>
      <c r="D640" s="419"/>
      <c r="E640" s="387"/>
      <c r="F640" s="387"/>
      <c r="G640" s="423"/>
      <c r="H640" s="423"/>
      <c r="I640" s="423"/>
      <c r="J640" s="423"/>
      <c r="K640" s="423"/>
      <c r="L640" s="423"/>
      <c r="M640" s="423"/>
      <c r="N640" s="423"/>
      <c r="O640" s="423"/>
      <c r="P640" s="423"/>
      <c r="Q640" s="423"/>
      <c r="R640" s="423"/>
      <c r="S640" s="423"/>
      <c r="T640" s="423"/>
      <c r="U640" s="423"/>
      <c r="V640" s="423"/>
      <c r="W640" s="423"/>
      <c r="X640" s="423"/>
      <c r="Y640" s="423"/>
      <c r="Z640" s="423"/>
      <c r="AA640" s="423"/>
      <c r="AB640" s="423"/>
      <c r="AC640" s="423"/>
      <c r="AD640" s="423"/>
      <c r="AE640" s="423"/>
      <c r="AF640" s="423"/>
      <c r="AG640" s="423"/>
      <c r="AH640" s="423"/>
      <c r="AI640" s="423"/>
    </row>
    <row r="641">
      <c r="A641" s="419"/>
      <c r="B641" s="419"/>
      <c r="C641" s="419"/>
      <c r="D641" s="419"/>
      <c r="E641" s="387"/>
      <c r="F641" s="387"/>
      <c r="G641" s="423"/>
      <c r="H641" s="423"/>
      <c r="I641" s="423"/>
      <c r="J641" s="423"/>
      <c r="K641" s="423"/>
      <c r="L641" s="423"/>
      <c r="M641" s="423"/>
      <c r="N641" s="423"/>
      <c r="O641" s="423"/>
      <c r="P641" s="423"/>
      <c r="Q641" s="423"/>
      <c r="R641" s="423"/>
      <c r="S641" s="423"/>
      <c r="T641" s="423"/>
      <c r="U641" s="423"/>
      <c r="V641" s="423"/>
      <c r="W641" s="423"/>
      <c r="X641" s="423"/>
      <c r="Y641" s="423"/>
      <c r="Z641" s="423"/>
      <c r="AA641" s="423"/>
      <c r="AB641" s="423"/>
      <c r="AC641" s="423"/>
      <c r="AD641" s="423"/>
      <c r="AE641" s="423"/>
      <c r="AF641" s="423"/>
      <c r="AG641" s="423"/>
      <c r="AH641" s="423"/>
      <c r="AI641" s="423"/>
    </row>
    <row r="642">
      <c r="A642" s="419"/>
      <c r="B642" s="419"/>
      <c r="C642" s="419"/>
      <c r="D642" s="419"/>
      <c r="E642" s="387"/>
      <c r="F642" s="387"/>
      <c r="G642" s="423"/>
      <c r="H642" s="423"/>
      <c r="I642" s="423"/>
      <c r="J642" s="423"/>
      <c r="K642" s="423"/>
      <c r="L642" s="423"/>
      <c r="M642" s="423"/>
      <c r="N642" s="423"/>
      <c r="O642" s="423"/>
      <c r="P642" s="423"/>
      <c r="Q642" s="423"/>
      <c r="R642" s="423"/>
      <c r="S642" s="423"/>
      <c r="T642" s="423"/>
      <c r="U642" s="423"/>
      <c r="V642" s="423"/>
      <c r="W642" s="423"/>
      <c r="X642" s="423"/>
      <c r="Y642" s="423"/>
      <c r="Z642" s="423"/>
      <c r="AA642" s="423"/>
      <c r="AB642" s="423"/>
      <c r="AC642" s="423"/>
      <c r="AD642" s="423"/>
      <c r="AE642" s="423"/>
      <c r="AF642" s="423"/>
      <c r="AG642" s="423"/>
      <c r="AH642" s="423"/>
      <c r="AI642" s="423"/>
    </row>
    <row r="643">
      <c r="A643" s="419"/>
      <c r="B643" s="419"/>
      <c r="C643" s="419"/>
      <c r="D643" s="419"/>
      <c r="E643" s="387"/>
      <c r="F643" s="387"/>
      <c r="G643" s="423"/>
      <c r="H643" s="423"/>
      <c r="I643" s="423"/>
      <c r="J643" s="423"/>
      <c r="K643" s="423"/>
      <c r="L643" s="423"/>
      <c r="M643" s="423"/>
      <c r="N643" s="423"/>
      <c r="O643" s="423"/>
      <c r="P643" s="423"/>
      <c r="Q643" s="423"/>
      <c r="R643" s="423"/>
      <c r="S643" s="423"/>
      <c r="T643" s="423"/>
      <c r="U643" s="423"/>
      <c r="V643" s="423"/>
      <c r="W643" s="423"/>
      <c r="X643" s="423"/>
      <c r="Y643" s="423"/>
      <c r="Z643" s="423"/>
      <c r="AA643" s="423"/>
      <c r="AB643" s="423"/>
      <c r="AC643" s="423"/>
      <c r="AD643" s="423"/>
      <c r="AE643" s="423"/>
      <c r="AF643" s="423"/>
      <c r="AG643" s="423"/>
      <c r="AH643" s="423"/>
      <c r="AI643" s="423"/>
    </row>
    <row r="644">
      <c r="A644" s="419"/>
      <c r="B644" s="419"/>
      <c r="C644" s="419"/>
      <c r="D644" s="419"/>
      <c r="E644" s="387"/>
      <c r="F644" s="387"/>
      <c r="G644" s="423"/>
      <c r="H644" s="423"/>
      <c r="I644" s="423"/>
      <c r="J644" s="423"/>
      <c r="K644" s="423"/>
      <c r="L644" s="423"/>
      <c r="M644" s="423"/>
      <c r="N644" s="423"/>
      <c r="O644" s="423"/>
      <c r="P644" s="423"/>
      <c r="Q644" s="423"/>
      <c r="R644" s="423"/>
      <c r="S644" s="423"/>
      <c r="T644" s="423"/>
      <c r="U644" s="423"/>
      <c r="V644" s="423"/>
      <c r="W644" s="423"/>
      <c r="X644" s="423"/>
      <c r="Y644" s="423"/>
      <c r="Z644" s="423"/>
      <c r="AA644" s="423"/>
      <c r="AB644" s="423"/>
      <c r="AC644" s="423"/>
      <c r="AD644" s="423"/>
      <c r="AE644" s="423"/>
      <c r="AF644" s="423"/>
      <c r="AG644" s="423"/>
      <c r="AH644" s="423"/>
      <c r="AI644" s="423"/>
    </row>
    <row r="645">
      <c r="A645" s="419"/>
      <c r="B645" s="419"/>
      <c r="C645" s="419"/>
      <c r="D645" s="419"/>
      <c r="E645" s="387"/>
      <c r="F645" s="387"/>
      <c r="G645" s="423"/>
      <c r="H645" s="423"/>
      <c r="I645" s="423"/>
      <c r="J645" s="423"/>
      <c r="K645" s="423"/>
      <c r="L645" s="423"/>
      <c r="M645" s="423"/>
      <c r="N645" s="423"/>
      <c r="O645" s="423"/>
      <c r="P645" s="423"/>
      <c r="Q645" s="423"/>
      <c r="R645" s="423"/>
      <c r="S645" s="423"/>
      <c r="T645" s="423"/>
      <c r="U645" s="423"/>
      <c r="V645" s="423"/>
      <c r="W645" s="423"/>
      <c r="X645" s="423"/>
      <c r="Y645" s="423"/>
      <c r="Z645" s="423"/>
      <c r="AA645" s="423"/>
      <c r="AB645" s="423"/>
      <c r="AC645" s="423"/>
      <c r="AD645" s="423"/>
      <c r="AE645" s="423"/>
      <c r="AF645" s="423"/>
      <c r="AG645" s="423"/>
      <c r="AH645" s="423"/>
      <c r="AI645" s="423"/>
    </row>
    <row r="646">
      <c r="A646" s="419"/>
      <c r="B646" s="419"/>
      <c r="C646" s="419"/>
      <c r="D646" s="419"/>
      <c r="E646" s="387"/>
      <c r="F646" s="387"/>
      <c r="G646" s="423"/>
      <c r="H646" s="423"/>
      <c r="I646" s="423"/>
      <c r="J646" s="423"/>
      <c r="K646" s="423"/>
      <c r="L646" s="423"/>
      <c r="M646" s="423"/>
      <c r="N646" s="423"/>
      <c r="O646" s="423"/>
      <c r="P646" s="423"/>
      <c r="Q646" s="423"/>
      <c r="R646" s="423"/>
      <c r="S646" s="423"/>
      <c r="T646" s="423"/>
      <c r="U646" s="423"/>
      <c r="V646" s="423"/>
      <c r="W646" s="423"/>
      <c r="X646" s="423"/>
      <c r="Y646" s="423"/>
      <c r="Z646" s="423"/>
      <c r="AA646" s="423"/>
      <c r="AB646" s="423"/>
      <c r="AC646" s="423"/>
      <c r="AD646" s="423"/>
      <c r="AE646" s="423"/>
      <c r="AF646" s="423"/>
      <c r="AG646" s="423"/>
      <c r="AH646" s="423"/>
      <c r="AI646" s="423"/>
    </row>
    <row r="647">
      <c r="A647" s="419"/>
      <c r="B647" s="419"/>
      <c r="C647" s="419"/>
      <c r="D647" s="419"/>
      <c r="E647" s="387"/>
      <c r="F647" s="387"/>
      <c r="G647" s="423"/>
      <c r="H647" s="423"/>
      <c r="I647" s="423"/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/>
      <c r="Y647" s="423"/>
      <c r="Z647" s="423"/>
      <c r="AA647" s="423"/>
      <c r="AB647" s="423"/>
      <c r="AC647" s="423"/>
      <c r="AD647" s="423"/>
      <c r="AE647" s="423"/>
      <c r="AF647" s="423"/>
      <c r="AG647" s="423"/>
      <c r="AH647" s="423"/>
      <c r="AI647" s="423"/>
    </row>
    <row r="648">
      <c r="A648" s="419"/>
      <c r="B648" s="419"/>
      <c r="C648" s="419"/>
      <c r="D648" s="419"/>
      <c r="E648" s="387"/>
      <c r="F648" s="387"/>
      <c r="G648" s="423"/>
      <c r="H648" s="423"/>
      <c r="I648" s="423"/>
      <c r="J648" s="423"/>
      <c r="K648" s="423"/>
      <c r="L648" s="423"/>
      <c r="M648" s="423"/>
      <c r="N648" s="423"/>
      <c r="O648" s="423"/>
      <c r="P648" s="423"/>
      <c r="Q648" s="423"/>
      <c r="R648" s="423"/>
      <c r="S648" s="423"/>
      <c r="T648" s="423"/>
      <c r="U648" s="423"/>
      <c r="V648" s="423"/>
      <c r="W648" s="423"/>
      <c r="X648" s="423"/>
      <c r="Y648" s="423"/>
      <c r="Z648" s="423"/>
      <c r="AA648" s="423"/>
      <c r="AB648" s="423"/>
      <c r="AC648" s="423"/>
      <c r="AD648" s="423"/>
      <c r="AE648" s="423"/>
      <c r="AF648" s="423"/>
      <c r="AG648" s="423"/>
      <c r="AH648" s="423"/>
      <c r="AI648" s="423"/>
    </row>
    <row r="649">
      <c r="A649" s="419"/>
      <c r="B649" s="419"/>
      <c r="C649" s="419"/>
      <c r="D649" s="419"/>
      <c r="E649" s="387"/>
      <c r="F649" s="387"/>
      <c r="G649" s="423"/>
      <c r="H649" s="423"/>
      <c r="I649" s="423"/>
      <c r="J649" s="423"/>
      <c r="K649" s="423"/>
      <c r="L649" s="423"/>
      <c r="M649" s="423"/>
      <c r="N649" s="423"/>
      <c r="O649" s="423"/>
      <c r="P649" s="423"/>
      <c r="Q649" s="423"/>
      <c r="R649" s="423"/>
      <c r="S649" s="423"/>
      <c r="T649" s="423"/>
      <c r="U649" s="423"/>
      <c r="V649" s="423"/>
      <c r="W649" s="423"/>
      <c r="X649" s="423"/>
      <c r="Y649" s="423"/>
      <c r="Z649" s="423"/>
      <c r="AA649" s="423"/>
      <c r="AB649" s="423"/>
      <c r="AC649" s="423"/>
      <c r="AD649" s="423"/>
      <c r="AE649" s="423"/>
      <c r="AF649" s="423"/>
      <c r="AG649" s="423"/>
      <c r="AH649" s="423"/>
      <c r="AI649" s="423"/>
    </row>
    <row r="650">
      <c r="A650" s="419"/>
      <c r="B650" s="419"/>
      <c r="C650" s="419"/>
      <c r="D650" s="419"/>
      <c r="E650" s="387"/>
      <c r="F650" s="387"/>
      <c r="G650" s="423"/>
      <c r="H650" s="423"/>
      <c r="I650" s="423"/>
      <c r="J650" s="423"/>
      <c r="K650" s="423"/>
      <c r="L650" s="423"/>
      <c r="M650" s="423"/>
      <c r="N650" s="423"/>
      <c r="O650" s="423"/>
      <c r="P650" s="423"/>
      <c r="Q650" s="423"/>
      <c r="R650" s="423"/>
      <c r="S650" s="423"/>
      <c r="T650" s="423"/>
      <c r="U650" s="423"/>
      <c r="V650" s="423"/>
      <c r="W650" s="423"/>
      <c r="X650" s="423"/>
      <c r="Y650" s="423"/>
      <c r="Z650" s="423"/>
      <c r="AA650" s="423"/>
      <c r="AB650" s="423"/>
      <c r="AC650" s="423"/>
      <c r="AD650" s="423"/>
      <c r="AE650" s="423"/>
      <c r="AF650" s="423"/>
      <c r="AG650" s="423"/>
      <c r="AH650" s="423"/>
      <c r="AI650" s="423"/>
    </row>
    <row r="651">
      <c r="A651" s="419"/>
      <c r="B651" s="419"/>
      <c r="C651" s="419"/>
      <c r="D651" s="419"/>
      <c r="E651" s="387"/>
      <c r="F651" s="387"/>
      <c r="G651" s="423"/>
      <c r="H651" s="423"/>
      <c r="I651" s="423"/>
      <c r="J651" s="423"/>
      <c r="K651" s="423"/>
      <c r="L651" s="423"/>
      <c r="M651" s="423"/>
      <c r="N651" s="423"/>
      <c r="O651" s="423"/>
      <c r="P651" s="423"/>
      <c r="Q651" s="423"/>
      <c r="R651" s="423"/>
      <c r="S651" s="423"/>
      <c r="T651" s="423"/>
      <c r="U651" s="423"/>
      <c r="V651" s="423"/>
      <c r="W651" s="423"/>
      <c r="X651" s="423"/>
      <c r="Y651" s="423"/>
      <c r="Z651" s="423"/>
      <c r="AA651" s="423"/>
      <c r="AB651" s="423"/>
      <c r="AC651" s="423"/>
      <c r="AD651" s="423"/>
      <c r="AE651" s="423"/>
      <c r="AF651" s="423"/>
      <c r="AG651" s="423"/>
      <c r="AH651" s="423"/>
      <c r="AI651" s="423"/>
    </row>
    <row r="652">
      <c r="A652" s="419"/>
      <c r="B652" s="419"/>
      <c r="C652" s="419"/>
      <c r="D652" s="419"/>
      <c r="E652" s="387"/>
      <c r="F652" s="387"/>
      <c r="G652" s="423"/>
      <c r="H652" s="423"/>
      <c r="I652" s="423"/>
      <c r="J652" s="423"/>
      <c r="K652" s="423"/>
      <c r="L652" s="423"/>
      <c r="M652" s="423"/>
      <c r="N652" s="423"/>
      <c r="O652" s="423"/>
      <c r="P652" s="423"/>
      <c r="Q652" s="423"/>
      <c r="R652" s="423"/>
      <c r="S652" s="423"/>
      <c r="T652" s="423"/>
      <c r="U652" s="423"/>
      <c r="V652" s="423"/>
      <c r="W652" s="423"/>
      <c r="X652" s="423"/>
      <c r="Y652" s="423"/>
      <c r="Z652" s="423"/>
      <c r="AA652" s="423"/>
      <c r="AB652" s="423"/>
      <c r="AC652" s="423"/>
      <c r="AD652" s="423"/>
      <c r="AE652" s="423"/>
      <c r="AF652" s="423"/>
      <c r="AG652" s="423"/>
      <c r="AH652" s="423"/>
      <c r="AI652" s="423"/>
    </row>
    <row r="653">
      <c r="A653" s="419"/>
      <c r="B653" s="419"/>
      <c r="C653" s="419"/>
      <c r="D653" s="419"/>
      <c r="E653" s="387"/>
      <c r="F653" s="387"/>
      <c r="G653" s="423"/>
      <c r="H653" s="423"/>
      <c r="I653" s="423"/>
      <c r="J653" s="423"/>
      <c r="K653" s="423"/>
      <c r="L653" s="423"/>
      <c r="M653" s="423"/>
      <c r="N653" s="423"/>
      <c r="O653" s="423"/>
      <c r="P653" s="423"/>
      <c r="Q653" s="423"/>
      <c r="R653" s="423"/>
      <c r="S653" s="423"/>
      <c r="T653" s="423"/>
      <c r="U653" s="423"/>
      <c r="V653" s="423"/>
      <c r="W653" s="423"/>
      <c r="X653" s="423"/>
      <c r="Y653" s="423"/>
      <c r="Z653" s="423"/>
      <c r="AA653" s="423"/>
      <c r="AB653" s="423"/>
      <c r="AC653" s="423"/>
      <c r="AD653" s="423"/>
      <c r="AE653" s="423"/>
      <c r="AF653" s="423"/>
      <c r="AG653" s="423"/>
      <c r="AH653" s="423"/>
      <c r="AI653" s="423"/>
    </row>
    <row r="654">
      <c r="A654" s="419"/>
      <c r="B654" s="419"/>
      <c r="C654" s="419"/>
      <c r="D654" s="419"/>
      <c r="E654" s="387"/>
      <c r="F654" s="387"/>
      <c r="G654" s="423"/>
      <c r="H654" s="423"/>
      <c r="I654" s="423"/>
      <c r="J654" s="423"/>
      <c r="K654" s="423"/>
      <c r="L654" s="423"/>
      <c r="M654" s="423"/>
      <c r="N654" s="423"/>
      <c r="O654" s="423"/>
      <c r="P654" s="423"/>
      <c r="Q654" s="423"/>
      <c r="R654" s="423"/>
      <c r="S654" s="423"/>
      <c r="T654" s="423"/>
      <c r="U654" s="423"/>
      <c r="V654" s="423"/>
      <c r="W654" s="423"/>
      <c r="X654" s="423"/>
      <c r="Y654" s="423"/>
      <c r="Z654" s="423"/>
      <c r="AA654" s="423"/>
      <c r="AB654" s="423"/>
      <c r="AC654" s="423"/>
      <c r="AD654" s="423"/>
      <c r="AE654" s="423"/>
      <c r="AF654" s="423"/>
      <c r="AG654" s="423"/>
      <c r="AH654" s="423"/>
      <c r="AI654" s="423"/>
    </row>
    <row r="655">
      <c r="A655" s="419"/>
      <c r="B655" s="419"/>
      <c r="C655" s="419"/>
      <c r="D655" s="419"/>
      <c r="E655" s="387"/>
      <c r="F655" s="387"/>
      <c r="G655" s="423"/>
      <c r="H655" s="423"/>
      <c r="I655" s="423"/>
      <c r="J655" s="423"/>
      <c r="K655" s="423"/>
      <c r="L655" s="423"/>
      <c r="M655" s="423"/>
      <c r="N655" s="423"/>
      <c r="O655" s="423"/>
      <c r="P655" s="423"/>
      <c r="Q655" s="423"/>
      <c r="R655" s="423"/>
      <c r="S655" s="423"/>
      <c r="T655" s="423"/>
      <c r="U655" s="423"/>
      <c r="V655" s="423"/>
      <c r="W655" s="423"/>
      <c r="X655" s="423"/>
      <c r="Y655" s="423"/>
      <c r="Z655" s="423"/>
      <c r="AA655" s="423"/>
      <c r="AB655" s="423"/>
      <c r="AC655" s="423"/>
      <c r="AD655" s="423"/>
      <c r="AE655" s="423"/>
      <c r="AF655" s="423"/>
      <c r="AG655" s="423"/>
      <c r="AH655" s="423"/>
      <c r="AI655" s="423"/>
    </row>
    <row r="656">
      <c r="A656" s="419"/>
      <c r="B656" s="419"/>
      <c r="C656" s="419"/>
      <c r="D656" s="419"/>
      <c r="E656" s="387"/>
      <c r="F656" s="387"/>
      <c r="G656" s="423"/>
      <c r="H656" s="423"/>
      <c r="I656" s="423"/>
      <c r="J656" s="423"/>
      <c r="K656" s="423"/>
      <c r="L656" s="423"/>
      <c r="M656" s="423"/>
      <c r="N656" s="423"/>
      <c r="O656" s="423"/>
      <c r="P656" s="423"/>
      <c r="Q656" s="423"/>
      <c r="R656" s="423"/>
      <c r="S656" s="423"/>
      <c r="T656" s="423"/>
      <c r="U656" s="423"/>
      <c r="V656" s="423"/>
      <c r="W656" s="423"/>
      <c r="X656" s="423"/>
      <c r="Y656" s="423"/>
      <c r="Z656" s="423"/>
      <c r="AA656" s="423"/>
      <c r="AB656" s="423"/>
      <c r="AC656" s="423"/>
      <c r="AD656" s="423"/>
      <c r="AE656" s="423"/>
      <c r="AF656" s="423"/>
      <c r="AG656" s="423"/>
      <c r="AH656" s="423"/>
      <c r="AI656" s="423"/>
    </row>
    <row r="657">
      <c r="A657" s="419"/>
      <c r="B657" s="419"/>
      <c r="C657" s="419"/>
      <c r="D657" s="419"/>
      <c r="E657" s="387"/>
      <c r="F657" s="387"/>
      <c r="G657" s="423"/>
      <c r="H657" s="423"/>
      <c r="I657" s="423"/>
      <c r="J657" s="423"/>
      <c r="K657" s="423"/>
      <c r="L657" s="423"/>
      <c r="M657" s="423"/>
      <c r="N657" s="423"/>
      <c r="O657" s="423"/>
      <c r="P657" s="423"/>
      <c r="Q657" s="423"/>
      <c r="R657" s="423"/>
      <c r="S657" s="423"/>
      <c r="T657" s="423"/>
      <c r="U657" s="423"/>
      <c r="V657" s="423"/>
      <c r="W657" s="423"/>
      <c r="X657" s="423"/>
      <c r="Y657" s="423"/>
      <c r="Z657" s="423"/>
      <c r="AA657" s="423"/>
      <c r="AB657" s="423"/>
      <c r="AC657" s="423"/>
      <c r="AD657" s="423"/>
      <c r="AE657" s="423"/>
      <c r="AF657" s="423"/>
      <c r="AG657" s="423"/>
      <c r="AH657" s="423"/>
      <c r="AI657" s="423"/>
    </row>
    <row r="658">
      <c r="A658" s="419"/>
      <c r="B658" s="419"/>
      <c r="C658" s="419"/>
      <c r="D658" s="419"/>
      <c r="E658" s="387"/>
      <c r="F658" s="387"/>
      <c r="G658" s="423"/>
      <c r="H658" s="423"/>
      <c r="I658" s="423"/>
      <c r="J658" s="423"/>
      <c r="K658" s="423"/>
      <c r="L658" s="423"/>
      <c r="M658" s="423"/>
      <c r="N658" s="423"/>
      <c r="O658" s="423"/>
      <c r="P658" s="423"/>
      <c r="Q658" s="423"/>
      <c r="R658" s="423"/>
      <c r="S658" s="423"/>
      <c r="T658" s="423"/>
      <c r="U658" s="423"/>
      <c r="V658" s="423"/>
      <c r="W658" s="423"/>
      <c r="X658" s="423"/>
      <c r="Y658" s="423"/>
      <c r="Z658" s="423"/>
      <c r="AA658" s="423"/>
      <c r="AB658" s="423"/>
      <c r="AC658" s="423"/>
      <c r="AD658" s="423"/>
      <c r="AE658" s="423"/>
      <c r="AF658" s="423"/>
      <c r="AG658" s="423"/>
      <c r="AH658" s="423"/>
      <c r="AI658" s="423"/>
    </row>
    <row r="659">
      <c r="A659" s="419"/>
      <c r="B659" s="419"/>
      <c r="C659" s="419"/>
      <c r="D659" s="419"/>
      <c r="E659" s="387"/>
      <c r="F659" s="387"/>
      <c r="G659" s="423"/>
      <c r="H659" s="423"/>
      <c r="I659" s="423"/>
      <c r="J659" s="423"/>
      <c r="K659" s="423"/>
      <c r="L659" s="423"/>
      <c r="M659" s="423"/>
      <c r="N659" s="423"/>
      <c r="O659" s="423"/>
      <c r="P659" s="423"/>
      <c r="Q659" s="423"/>
      <c r="R659" s="423"/>
      <c r="S659" s="423"/>
      <c r="T659" s="423"/>
      <c r="U659" s="423"/>
      <c r="V659" s="423"/>
      <c r="W659" s="423"/>
      <c r="X659" s="423"/>
      <c r="Y659" s="423"/>
      <c r="Z659" s="423"/>
      <c r="AA659" s="423"/>
      <c r="AB659" s="423"/>
      <c r="AC659" s="423"/>
      <c r="AD659" s="423"/>
      <c r="AE659" s="423"/>
      <c r="AF659" s="423"/>
      <c r="AG659" s="423"/>
      <c r="AH659" s="423"/>
      <c r="AI659" s="423"/>
    </row>
    <row r="660">
      <c r="A660" s="419"/>
      <c r="B660" s="419"/>
      <c r="C660" s="419"/>
      <c r="D660" s="419"/>
      <c r="E660" s="387"/>
      <c r="F660" s="387"/>
      <c r="G660" s="423"/>
      <c r="H660" s="423"/>
      <c r="I660" s="423"/>
      <c r="J660" s="423"/>
      <c r="K660" s="423"/>
      <c r="L660" s="423"/>
      <c r="M660" s="423"/>
      <c r="N660" s="423"/>
      <c r="O660" s="423"/>
      <c r="P660" s="423"/>
      <c r="Q660" s="423"/>
      <c r="R660" s="423"/>
      <c r="S660" s="423"/>
      <c r="T660" s="423"/>
      <c r="U660" s="423"/>
      <c r="V660" s="423"/>
      <c r="W660" s="423"/>
      <c r="X660" s="423"/>
      <c r="Y660" s="423"/>
      <c r="Z660" s="423"/>
      <c r="AA660" s="423"/>
      <c r="AB660" s="423"/>
      <c r="AC660" s="423"/>
      <c r="AD660" s="423"/>
      <c r="AE660" s="423"/>
      <c r="AF660" s="423"/>
      <c r="AG660" s="423"/>
      <c r="AH660" s="423"/>
      <c r="AI660" s="423"/>
    </row>
    <row r="661">
      <c r="A661" s="419"/>
      <c r="B661" s="419"/>
      <c r="C661" s="419"/>
      <c r="D661" s="419"/>
      <c r="E661" s="387"/>
      <c r="F661" s="387"/>
      <c r="G661" s="423"/>
      <c r="H661" s="423"/>
      <c r="I661" s="423"/>
      <c r="J661" s="423"/>
      <c r="K661" s="423"/>
      <c r="L661" s="423"/>
      <c r="M661" s="423"/>
      <c r="N661" s="423"/>
      <c r="O661" s="423"/>
      <c r="P661" s="423"/>
      <c r="Q661" s="423"/>
      <c r="R661" s="423"/>
      <c r="S661" s="423"/>
      <c r="T661" s="423"/>
      <c r="U661" s="423"/>
      <c r="V661" s="423"/>
      <c r="W661" s="423"/>
      <c r="X661" s="423"/>
      <c r="Y661" s="423"/>
      <c r="Z661" s="423"/>
      <c r="AA661" s="423"/>
      <c r="AB661" s="423"/>
      <c r="AC661" s="423"/>
      <c r="AD661" s="423"/>
      <c r="AE661" s="423"/>
      <c r="AF661" s="423"/>
      <c r="AG661" s="423"/>
      <c r="AH661" s="423"/>
      <c r="AI661" s="423"/>
    </row>
    <row r="662">
      <c r="A662" s="419"/>
      <c r="B662" s="419"/>
      <c r="C662" s="419"/>
      <c r="D662" s="419"/>
      <c r="E662" s="387"/>
      <c r="F662" s="387"/>
      <c r="G662" s="423"/>
      <c r="H662" s="423"/>
      <c r="I662" s="423"/>
      <c r="J662" s="423"/>
      <c r="K662" s="423"/>
      <c r="L662" s="423"/>
      <c r="M662" s="423"/>
      <c r="N662" s="423"/>
      <c r="O662" s="423"/>
      <c r="P662" s="423"/>
      <c r="Q662" s="423"/>
      <c r="R662" s="423"/>
      <c r="S662" s="423"/>
      <c r="T662" s="423"/>
      <c r="U662" s="423"/>
      <c r="V662" s="423"/>
      <c r="W662" s="423"/>
      <c r="X662" s="423"/>
      <c r="Y662" s="423"/>
      <c r="Z662" s="423"/>
      <c r="AA662" s="423"/>
      <c r="AB662" s="423"/>
      <c r="AC662" s="423"/>
      <c r="AD662" s="423"/>
      <c r="AE662" s="423"/>
      <c r="AF662" s="423"/>
      <c r="AG662" s="423"/>
      <c r="AH662" s="423"/>
      <c r="AI662" s="423"/>
    </row>
    <row r="663">
      <c r="A663" s="419"/>
      <c r="B663" s="419"/>
      <c r="C663" s="419"/>
      <c r="D663" s="419"/>
      <c r="E663" s="387"/>
      <c r="F663" s="387"/>
      <c r="G663" s="423"/>
      <c r="H663" s="423"/>
      <c r="I663" s="423"/>
      <c r="J663" s="423"/>
      <c r="K663" s="423"/>
      <c r="L663" s="423"/>
      <c r="M663" s="423"/>
      <c r="N663" s="423"/>
      <c r="O663" s="423"/>
      <c r="P663" s="423"/>
      <c r="Q663" s="423"/>
      <c r="R663" s="423"/>
      <c r="S663" s="423"/>
      <c r="T663" s="423"/>
      <c r="U663" s="423"/>
      <c r="V663" s="423"/>
      <c r="W663" s="423"/>
      <c r="X663" s="423"/>
      <c r="Y663" s="423"/>
      <c r="Z663" s="423"/>
      <c r="AA663" s="423"/>
      <c r="AB663" s="423"/>
      <c r="AC663" s="423"/>
      <c r="AD663" s="423"/>
      <c r="AE663" s="423"/>
      <c r="AF663" s="423"/>
      <c r="AG663" s="423"/>
      <c r="AH663" s="423"/>
      <c r="AI663" s="423"/>
    </row>
    <row r="664">
      <c r="A664" s="419"/>
      <c r="B664" s="419"/>
      <c r="C664" s="419"/>
      <c r="D664" s="419"/>
      <c r="E664" s="387"/>
      <c r="F664" s="387"/>
      <c r="G664" s="423"/>
      <c r="H664" s="423"/>
      <c r="I664" s="423"/>
      <c r="J664" s="423"/>
      <c r="K664" s="423"/>
      <c r="L664" s="423"/>
      <c r="M664" s="423"/>
      <c r="N664" s="423"/>
      <c r="O664" s="423"/>
      <c r="P664" s="423"/>
      <c r="Q664" s="423"/>
      <c r="R664" s="423"/>
      <c r="S664" s="423"/>
      <c r="T664" s="423"/>
      <c r="U664" s="423"/>
      <c r="V664" s="423"/>
      <c r="W664" s="423"/>
      <c r="X664" s="423"/>
      <c r="Y664" s="423"/>
      <c r="Z664" s="423"/>
      <c r="AA664" s="423"/>
      <c r="AB664" s="423"/>
      <c r="AC664" s="423"/>
      <c r="AD664" s="423"/>
      <c r="AE664" s="423"/>
      <c r="AF664" s="423"/>
      <c r="AG664" s="423"/>
      <c r="AH664" s="423"/>
      <c r="AI664" s="423"/>
    </row>
    <row r="665">
      <c r="A665" s="419"/>
      <c r="B665" s="419"/>
      <c r="C665" s="419"/>
      <c r="D665" s="419"/>
      <c r="E665" s="387"/>
      <c r="F665" s="387"/>
      <c r="G665" s="423"/>
      <c r="H665" s="423"/>
      <c r="I665" s="423"/>
      <c r="J665" s="423"/>
      <c r="K665" s="423"/>
      <c r="L665" s="423"/>
      <c r="M665" s="423"/>
      <c r="N665" s="423"/>
      <c r="O665" s="423"/>
      <c r="P665" s="423"/>
      <c r="Q665" s="423"/>
      <c r="R665" s="423"/>
      <c r="S665" s="423"/>
      <c r="T665" s="423"/>
      <c r="U665" s="423"/>
      <c r="V665" s="423"/>
      <c r="W665" s="423"/>
      <c r="X665" s="423"/>
      <c r="Y665" s="423"/>
      <c r="Z665" s="423"/>
      <c r="AA665" s="423"/>
      <c r="AB665" s="423"/>
      <c r="AC665" s="423"/>
      <c r="AD665" s="423"/>
      <c r="AE665" s="423"/>
      <c r="AF665" s="423"/>
      <c r="AG665" s="423"/>
      <c r="AH665" s="423"/>
      <c r="AI665" s="423"/>
    </row>
    <row r="666">
      <c r="A666" s="419"/>
      <c r="B666" s="419"/>
      <c r="C666" s="419"/>
      <c r="D666" s="419"/>
      <c r="E666" s="387"/>
      <c r="F666" s="387"/>
      <c r="G666" s="423"/>
      <c r="H666" s="423"/>
      <c r="I666" s="423"/>
      <c r="J666" s="423"/>
      <c r="K666" s="423"/>
      <c r="L666" s="423"/>
      <c r="M666" s="423"/>
      <c r="N666" s="423"/>
      <c r="O666" s="423"/>
      <c r="P666" s="423"/>
      <c r="Q666" s="423"/>
      <c r="R666" s="423"/>
      <c r="S666" s="423"/>
      <c r="T666" s="423"/>
      <c r="U666" s="423"/>
      <c r="V666" s="423"/>
      <c r="W666" s="423"/>
      <c r="X666" s="423"/>
      <c r="Y666" s="423"/>
      <c r="Z666" s="423"/>
      <c r="AA666" s="423"/>
      <c r="AB666" s="423"/>
      <c r="AC666" s="423"/>
      <c r="AD666" s="423"/>
      <c r="AE666" s="423"/>
      <c r="AF666" s="423"/>
      <c r="AG666" s="423"/>
      <c r="AH666" s="423"/>
      <c r="AI666" s="423"/>
    </row>
    <row r="667">
      <c r="A667" s="419"/>
      <c r="B667" s="419"/>
      <c r="C667" s="419"/>
      <c r="D667" s="419"/>
      <c r="E667" s="387"/>
      <c r="F667" s="387"/>
      <c r="G667" s="423"/>
      <c r="H667" s="423"/>
      <c r="I667" s="423"/>
      <c r="J667" s="423"/>
      <c r="K667" s="423"/>
      <c r="L667" s="423"/>
      <c r="M667" s="423"/>
      <c r="N667" s="423"/>
      <c r="O667" s="423"/>
      <c r="P667" s="423"/>
      <c r="Q667" s="423"/>
      <c r="R667" s="423"/>
      <c r="S667" s="423"/>
      <c r="T667" s="423"/>
      <c r="U667" s="423"/>
      <c r="V667" s="423"/>
      <c r="W667" s="423"/>
      <c r="X667" s="423"/>
      <c r="Y667" s="423"/>
      <c r="Z667" s="423"/>
      <c r="AA667" s="423"/>
      <c r="AB667" s="423"/>
      <c r="AC667" s="423"/>
      <c r="AD667" s="423"/>
      <c r="AE667" s="423"/>
      <c r="AF667" s="423"/>
      <c r="AG667" s="423"/>
      <c r="AH667" s="423"/>
      <c r="AI667" s="423"/>
    </row>
    <row r="668">
      <c r="A668" s="419"/>
      <c r="B668" s="419"/>
      <c r="C668" s="419"/>
      <c r="D668" s="419"/>
      <c r="E668" s="387"/>
      <c r="F668" s="387"/>
      <c r="G668" s="423"/>
      <c r="H668" s="423"/>
      <c r="I668" s="423"/>
      <c r="J668" s="423"/>
      <c r="K668" s="423"/>
      <c r="L668" s="423"/>
      <c r="M668" s="423"/>
      <c r="N668" s="423"/>
      <c r="O668" s="423"/>
      <c r="P668" s="423"/>
      <c r="Q668" s="423"/>
      <c r="R668" s="423"/>
      <c r="S668" s="423"/>
      <c r="T668" s="423"/>
      <c r="U668" s="423"/>
      <c r="V668" s="423"/>
      <c r="W668" s="423"/>
      <c r="X668" s="423"/>
      <c r="Y668" s="423"/>
      <c r="Z668" s="423"/>
      <c r="AA668" s="423"/>
      <c r="AB668" s="423"/>
      <c r="AC668" s="423"/>
      <c r="AD668" s="423"/>
      <c r="AE668" s="423"/>
      <c r="AF668" s="423"/>
      <c r="AG668" s="423"/>
      <c r="AH668" s="423"/>
      <c r="AI668" s="423"/>
    </row>
    <row r="669">
      <c r="A669" s="419"/>
      <c r="B669" s="419"/>
      <c r="C669" s="419"/>
      <c r="D669" s="419"/>
      <c r="E669" s="387"/>
      <c r="F669" s="387"/>
      <c r="G669" s="423"/>
      <c r="H669" s="423"/>
      <c r="I669" s="423"/>
      <c r="J669" s="423"/>
      <c r="K669" s="423"/>
      <c r="L669" s="423"/>
      <c r="M669" s="423"/>
      <c r="N669" s="423"/>
      <c r="O669" s="423"/>
      <c r="P669" s="423"/>
      <c r="Q669" s="423"/>
      <c r="R669" s="423"/>
      <c r="S669" s="423"/>
      <c r="T669" s="423"/>
      <c r="U669" s="423"/>
      <c r="V669" s="423"/>
      <c r="W669" s="423"/>
      <c r="X669" s="423"/>
      <c r="Y669" s="423"/>
      <c r="Z669" s="423"/>
      <c r="AA669" s="423"/>
      <c r="AB669" s="423"/>
      <c r="AC669" s="423"/>
      <c r="AD669" s="423"/>
      <c r="AE669" s="423"/>
      <c r="AF669" s="423"/>
      <c r="AG669" s="423"/>
      <c r="AH669" s="423"/>
      <c r="AI669" s="423"/>
    </row>
    <row r="670">
      <c r="A670" s="419"/>
      <c r="B670" s="419"/>
      <c r="C670" s="419"/>
      <c r="D670" s="419"/>
      <c r="E670" s="387"/>
      <c r="F670" s="387"/>
      <c r="G670" s="423"/>
      <c r="H670" s="423"/>
      <c r="I670" s="423"/>
      <c r="J670" s="423"/>
      <c r="K670" s="423"/>
      <c r="L670" s="423"/>
      <c r="M670" s="423"/>
      <c r="N670" s="423"/>
      <c r="O670" s="423"/>
      <c r="P670" s="423"/>
      <c r="Q670" s="423"/>
      <c r="R670" s="423"/>
      <c r="S670" s="423"/>
      <c r="T670" s="423"/>
      <c r="U670" s="423"/>
      <c r="V670" s="423"/>
      <c r="W670" s="423"/>
      <c r="X670" s="423"/>
      <c r="Y670" s="423"/>
      <c r="Z670" s="423"/>
      <c r="AA670" s="423"/>
      <c r="AB670" s="423"/>
      <c r="AC670" s="423"/>
      <c r="AD670" s="423"/>
      <c r="AE670" s="423"/>
      <c r="AF670" s="423"/>
      <c r="AG670" s="423"/>
      <c r="AH670" s="423"/>
      <c r="AI670" s="423"/>
    </row>
    <row r="671">
      <c r="A671" s="419"/>
      <c r="B671" s="419"/>
      <c r="C671" s="419"/>
      <c r="D671" s="419"/>
      <c r="E671" s="387"/>
      <c r="F671" s="387"/>
      <c r="G671" s="423"/>
      <c r="H671" s="423"/>
      <c r="I671" s="423"/>
      <c r="J671" s="423"/>
      <c r="K671" s="423"/>
      <c r="L671" s="423"/>
      <c r="M671" s="423"/>
      <c r="N671" s="423"/>
      <c r="O671" s="423"/>
      <c r="P671" s="423"/>
      <c r="Q671" s="423"/>
      <c r="R671" s="423"/>
      <c r="S671" s="423"/>
      <c r="T671" s="423"/>
      <c r="U671" s="423"/>
      <c r="V671" s="423"/>
      <c r="W671" s="423"/>
      <c r="X671" s="423"/>
      <c r="Y671" s="423"/>
      <c r="Z671" s="423"/>
      <c r="AA671" s="423"/>
      <c r="AB671" s="423"/>
      <c r="AC671" s="423"/>
      <c r="AD671" s="423"/>
      <c r="AE671" s="423"/>
      <c r="AF671" s="423"/>
      <c r="AG671" s="423"/>
      <c r="AH671" s="423"/>
      <c r="AI671" s="423"/>
    </row>
    <row r="672">
      <c r="A672" s="419"/>
      <c r="B672" s="419"/>
      <c r="C672" s="419"/>
      <c r="D672" s="419"/>
      <c r="E672" s="387"/>
      <c r="F672" s="387"/>
      <c r="G672" s="423"/>
      <c r="H672" s="423"/>
      <c r="I672" s="423"/>
      <c r="J672" s="423"/>
      <c r="K672" s="423"/>
      <c r="L672" s="423"/>
      <c r="M672" s="423"/>
      <c r="N672" s="423"/>
      <c r="O672" s="423"/>
      <c r="P672" s="423"/>
      <c r="Q672" s="423"/>
      <c r="R672" s="423"/>
      <c r="S672" s="423"/>
      <c r="T672" s="423"/>
      <c r="U672" s="423"/>
      <c r="V672" s="423"/>
      <c r="W672" s="423"/>
      <c r="X672" s="423"/>
      <c r="Y672" s="423"/>
      <c r="Z672" s="423"/>
      <c r="AA672" s="423"/>
      <c r="AB672" s="423"/>
      <c r="AC672" s="423"/>
      <c r="AD672" s="423"/>
      <c r="AE672" s="423"/>
      <c r="AF672" s="423"/>
      <c r="AG672" s="423"/>
      <c r="AH672" s="423"/>
      <c r="AI672" s="423"/>
    </row>
    <row r="673">
      <c r="A673" s="419"/>
      <c r="B673" s="419"/>
      <c r="C673" s="419"/>
      <c r="D673" s="419"/>
      <c r="E673" s="387"/>
      <c r="F673" s="387"/>
      <c r="G673" s="423"/>
      <c r="H673" s="423"/>
      <c r="I673" s="423"/>
      <c r="J673" s="423"/>
      <c r="K673" s="423"/>
      <c r="L673" s="423"/>
      <c r="M673" s="423"/>
      <c r="N673" s="423"/>
      <c r="O673" s="423"/>
      <c r="P673" s="423"/>
      <c r="Q673" s="423"/>
      <c r="R673" s="423"/>
      <c r="S673" s="423"/>
      <c r="T673" s="423"/>
      <c r="U673" s="423"/>
      <c r="V673" s="423"/>
      <c r="W673" s="423"/>
      <c r="X673" s="423"/>
      <c r="Y673" s="423"/>
      <c r="Z673" s="423"/>
      <c r="AA673" s="423"/>
      <c r="AB673" s="423"/>
      <c r="AC673" s="423"/>
      <c r="AD673" s="423"/>
      <c r="AE673" s="423"/>
      <c r="AF673" s="423"/>
      <c r="AG673" s="423"/>
      <c r="AH673" s="423"/>
      <c r="AI673" s="423"/>
    </row>
    <row r="674">
      <c r="A674" s="419"/>
      <c r="B674" s="419"/>
      <c r="C674" s="419"/>
      <c r="D674" s="419"/>
      <c r="E674" s="387"/>
      <c r="F674" s="387"/>
      <c r="G674" s="423"/>
      <c r="H674" s="423"/>
      <c r="I674" s="423"/>
      <c r="J674" s="423"/>
      <c r="K674" s="423"/>
      <c r="L674" s="423"/>
      <c r="M674" s="423"/>
      <c r="N674" s="423"/>
      <c r="O674" s="423"/>
      <c r="P674" s="423"/>
      <c r="Q674" s="423"/>
      <c r="R674" s="423"/>
      <c r="S674" s="423"/>
      <c r="T674" s="423"/>
      <c r="U674" s="423"/>
      <c r="V674" s="423"/>
      <c r="W674" s="423"/>
      <c r="X674" s="423"/>
      <c r="Y674" s="423"/>
      <c r="Z674" s="423"/>
      <c r="AA674" s="423"/>
      <c r="AB674" s="423"/>
      <c r="AC674" s="423"/>
      <c r="AD674" s="423"/>
      <c r="AE674" s="423"/>
      <c r="AF674" s="423"/>
      <c r="AG674" s="423"/>
      <c r="AH674" s="423"/>
      <c r="AI674" s="423"/>
    </row>
    <row r="675">
      <c r="A675" s="419"/>
      <c r="B675" s="419"/>
      <c r="C675" s="419"/>
      <c r="D675" s="419"/>
      <c r="E675" s="387"/>
      <c r="F675" s="387"/>
      <c r="G675" s="423"/>
      <c r="H675" s="423"/>
      <c r="I675" s="423"/>
      <c r="J675" s="423"/>
      <c r="K675" s="423"/>
      <c r="L675" s="423"/>
      <c r="M675" s="423"/>
      <c r="N675" s="423"/>
      <c r="O675" s="423"/>
      <c r="P675" s="423"/>
      <c r="Q675" s="423"/>
      <c r="R675" s="423"/>
      <c r="S675" s="423"/>
      <c r="T675" s="423"/>
      <c r="U675" s="423"/>
      <c r="V675" s="423"/>
      <c r="W675" s="423"/>
      <c r="X675" s="423"/>
      <c r="Y675" s="423"/>
      <c r="Z675" s="423"/>
      <c r="AA675" s="423"/>
      <c r="AB675" s="423"/>
      <c r="AC675" s="423"/>
      <c r="AD675" s="423"/>
      <c r="AE675" s="423"/>
      <c r="AF675" s="423"/>
      <c r="AG675" s="423"/>
      <c r="AH675" s="423"/>
      <c r="AI675" s="423"/>
    </row>
    <row r="676">
      <c r="A676" s="419"/>
      <c r="B676" s="419"/>
      <c r="C676" s="419"/>
      <c r="D676" s="419"/>
      <c r="E676" s="387"/>
      <c r="F676" s="387"/>
      <c r="G676" s="423"/>
      <c r="H676" s="423"/>
      <c r="I676" s="423"/>
      <c r="J676" s="423"/>
      <c r="K676" s="423"/>
      <c r="L676" s="423"/>
      <c r="M676" s="423"/>
      <c r="N676" s="423"/>
      <c r="O676" s="423"/>
      <c r="P676" s="423"/>
      <c r="Q676" s="423"/>
      <c r="R676" s="423"/>
      <c r="S676" s="423"/>
      <c r="T676" s="423"/>
      <c r="U676" s="423"/>
      <c r="V676" s="423"/>
      <c r="W676" s="423"/>
      <c r="X676" s="423"/>
      <c r="Y676" s="423"/>
      <c r="Z676" s="423"/>
      <c r="AA676" s="423"/>
      <c r="AB676" s="423"/>
      <c r="AC676" s="423"/>
      <c r="AD676" s="423"/>
      <c r="AE676" s="423"/>
      <c r="AF676" s="423"/>
      <c r="AG676" s="423"/>
      <c r="AH676" s="423"/>
      <c r="AI676" s="423"/>
    </row>
    <row r="677">
      <c r="A677" s="419"/>
      <c r="B677" s="419"/>
      <c r="C677" s="419"/>
      <c r="D677" s="419"/>
      <c r="E677" s="387"/>
      <c r="F677" s="387"/>
      <c r="G677" s="423"/>
      <c r="H677" s="423"/>
      <c r="I677" s="423"/>
      <c r="J677" s="423"/>
      <c r="K677" s="423"/>
      <c r="L677" s="423"/>
      <c r="M677" s="423"/>
      <c r="N677" s="423"/>
      <c r="O677" s="423"/>
      <c r="P677" s="423"/>
      <c r="Q677" s="423"/>
      <c r="R677" s="423"/>
      <c r="S677" s="423"/>
      <c r="T677" s="423"/>
      <c r="U677" s="423"/>
      <c r="V677" s="423"/>
      <c r="W677" s="423"/>
      <c r="X677" s="423"/>
      <c r="Y677" s="423"/>
      <c r="Z677" s="423"/>
      <c r="AA677" s="423"/>
      <c r="AB677" s="423"/>
      <c r="AC677" s="423"/>
      <c r="AD677" s="423"/>
      <c r="AE677" s="423"/>
      <c r="AF677" s="423"/>
      <c r="AG677" s="423"/>
      <c r="AH677" s="423"/>
      <c r="AI677" s="423"/>
    </row>
    <row r="678">
      <c r="A678" s="419"/>
      <c r="B678" s="419"/>
      <c r="C678" s="419"/>
      <c r="D678" s="419"/>
      <c r="E678" s="387"/>
      <c r="F678" s="387"/>
      <c r="G678" s="423"/>
      <c r="H678" s="423"/>
      <c r="I678" s="423"/>
      <c r="J678" s="423"/>
      <c r="K678" s="423"/>
      <c r="L678" s="423"/>
      <c r="M678" s="423"/>
      <c r="N678" s="423"/>
      <c r="O678" s="423"/>
      <c r="P678" s="423"/>
      <c r="Q678" s="423"/>
      <c r="R678" s="423"/>
      <c r="S678" s="423"/>
      <c r="T678" s="423"/>
      <c r="U678" s="423"/>
      <c r="V678" s="423"/>
      <c r="W678" s="423"/>
      <c r="X678" s="423"/>
      <c r="Y678" s="423"/>
      <c r="Z678" s="423"/>
      <c r="AA678" s="423"/>
      <c r="AB678" s="423"/>
      <c r="AC678" s="423"/>
      <c r="AD678" s="423"/>
      <c r="AE678" s="423"/>
      <c r="AF678" s="423"/>
      <c r="AG678" s="423"/>
      <c r="AH678" s="423"/>
      <c r="AI678" s="423"/>
    </row>
    <row r="679">
      <c r="A679" s="419"/>
      <c r="B679" s="419"/>
      <c r="C679" s="419"/>
      <c r="D679" s="419"/>
      <c r="E679" s="387"/>
      <c r="F679" s="387"/>
      <c r="G679" s="423"/>
      <c r="H679" s="423"/>
      <c r="I679" s="423"/>
      <c r="J679" s="423"/>
      <c r="K679" s="423"/>
      <c r="L679" s="423"/>
      <c r="M679" s="423"/>
      <c r="N679" s="423"/>
      <c r="O679" s="423"/>
      <c r="P679" s="423"/>
      <c r="Q679" s="423"/>
      <c r="R679" s="423"/>
      <c r="S679" s="423"/>
      <c r="T679" s="423"/>
      <c r="U679" s="423"/>
      <c r="V679" s="423"/>
      <c r="W679" s="423"/>
      <c r="X679" s="423"/>
      <c r="Y679" s="423"/>
      <c r="Z679" s="423"/>
      <c r="AA679" s="423"/>
      <c r="AB679" s="423"/>
      <c r="AC679" s="423"/>
      <c r="AD679" s="423"/>
      <c r="AE679" s="423"/>
      <c r="AF679" s="423"/>
      <c r="AG679" s="423"/>
      <c r="AH679" s="423"/>
      <c r="AI679" s="423"/>
    </row>
    <row r="680">
      <c r="A680" s="419"/>
      <c r="B680" s="419"/>
      <c r="C680" s="419"/>
      <c r="D680" s="419"/>
      <c r="E680" s="387"/>
      <c r="F680" s="387"/>
      <c r="G680" s="423"/>
      <c r="H680" s="423"/>
      <c r="I680" s="423"/>
      <c r="J680" s="423"/>
      <c r="K680" s="423"/>
      <c r="L680" s="423"/>
      <c r="M680" s="423"/>
      <c r="N680" s="423"/>
      <c r="O680" s="423"/>
      <c r="P680" s="423"/>
      <c r="Q680" s="423"/>
      <c r="R680" s="423"/>
      <c r="S680" s="423"/>
      <c r="T680" s="423"/>
      <c r="U680" s="423"/>
      <c r="V680" s="423"/>
      <c r="W680" s="423"/>
      <c r="X680" s="423"/>
      <c r="Y680" s="423"/>
      <c r="Z680" s="423"/>
      <c r="AA680" s="423"/>
      <c r="AB680" s="423"/>
      <c r="AC680" s="423"/>
      <c r="AD680" s="423"/>
      <c r="AE680" s="423"/>
      <c r="AF680" s="423"/>
      <c r="AG680" s="423"/>
      <c r="AH680" s="423"/>
      <c r="AI680" s="423"/>
    </row>
    <row r="681">
      <c r="A681" s="419"/>
      <c r="B681" s="419"/>
      <c r="C681" s="419"/>
      <c r="D681" s="419"/>
      <c r="E681" s="387"/>
      <c r="F681" s="387"/>
      <c r="G681" s="423"/>
      <c r="H681" s="423"/>
      <c r="I681" s="423"/>
      <c r="J681" s="423"/>
      <c r="K681" s="423"/>
      <c r="L681" s="423"/>
      <c r="M681" s="423"/>
      <c r="N681" s="423"/>
      <c r="O681" s="423"/>
      <c r="P681" s="423"/>
      <c r="Q681" s="423"/>
      <c r="R681" s="423"/>
      <c r="S681" s="423"/>
      <c r="T681" s="423"/>
      <c r="U681" s="423"/>
      <c r="V681" s="423"/>
      <c r="W681" s="423"/>
      <c r="X681" s="423"/>
      <c r="Y681" s="423"/>
      <c r="Z681" s="423"/>
      <c r="AA681" s="423"/>
      <c r="AB681" s="423"/>
      <c r="AC681" s="423"/>
      <c r="AD681" s="423"/>
      <c r="AE681" s="423"/>
      <c r="AF681" s="423"/>
      <c r="AG681" s="423"/>
      <c r="AH681" s="423"/>
      <c r="AI681" s="423"/>
    </row>
    <row r="682">
      <c r="A682" s="419"/>
      <c r="B682" s="419"/>
      <c r="C682" s="419"/>
      <c r="D682" s="419"/>
      <c r="E682" s="387"/>
      <c r="F682" s="387"/>
      <c r="G682" s="423"/>
      <c r="H682" s="423"/>
      <c r="I682" s="423"/>
      <c r="J682" s="423"/>
      <c r="K682" s="423"/>
      <c r="L682" s="423"/>
      <c r="M682" s="423"/>
      <c r="N682" s="423"/>
      <c r="O682" s="423"/>
      <c r="P682" s="423"/>
      <c r="Q682" s="423"/>
      <c r="R682" s="423"/>
      <c r="S682" s="423"/>
      <c r="T682" s="423"/>
      <c r="U682" s="423"/>
      <c r="V682" s="423"/>
      <c r="W682" s="423"/>
      <c r="X682" s="423"/>
      <c r="Y682" s="423"/>
      <c r="Z682" s="423"/>
      <c r="AA682" s="423"/>
      <c r="AB682" s="423"/>
      <c r="AC682" s="423"/>
      <c r="AD682" s="423"/>
      <c r="AE682" s="423"/>
      <c r="AF682" s="423"/>
      <c r="AG682" s="423"/>
      <c r="AH682" s="423"/>
      <c r="AI682" s="423"/>
    </row>
    <row r="683">
      <c r="A683" s="419"/>
      <c r="B683" s="419"/>
      <c r="C683" s="419"/>
      <c r="D683" s="419"/>
      <c r="E683" s="387"/>
      <c r="F683" s="387"/>
      <c r="G683" s="423"/>
      <c r="H683" s="423"/>
      <c r="I683" s="423"/>
      <c r="J683" s="423"/>
      <c r="K683" s="423"/>
      <c r="L683" s="423"/>
      <c r="M683" s="423"/>
      <c r="N683" s="423"/>
      <c r="O683" s="423"/>
      <c r="P683" s="423"/>
      <c r="Q683" s="423"/>
      <c r="R683" s="423"/>
      <c r="S683" s="423"/>
      <c r="T683" s="423"/>
      <c r="U683" s="423"/>
      <c r="V683" s="423"/>
      <c r="W683" s="423"/>
      <c r="X683" s="423"/>
      <c r="Y683" s="423"/>
      <c r="Z683" s="423"/>
      <c r="AA683" s="423"/>
      <c r="AB683" s="423"/>
      <c r="AC683" s="423"/>
      <c r="AD683" s="423"/>
      <c r="AE683" s="423"/>
      <c r="AF683" s="423"/>
      <c r="AG683" s="423"/>
      <c r="AH683" s="423"/>
      <c r="AI683" s="423"/>
    </row>
    <row r="684">
      <c r="A684" s="419"/>
      <c r="B684" s="419"/>
      <c r="C684" s="419"/>
      <c r="D684" s="419"/>
      <c r="E684" s="387"/>
      <c r="F684" s="387"/>
      <c r="G684" s="423"/>
      <c r="H684" s="423"/>
      <c r="I684" s="423"/>
      <c r="J684" s="423"/>
      <c r="K684" s="423"/>
      <c r="L684" s="423"/>
      <c r="M684" s="423"/>
      <c r="N684" s="423"/>
      <c r="O684" s="423"/>
      <c r="P684" s="423"/>
      <c r="Q684" s="423"/>
      <c r="R684" s="423"/>
      <c r="S684" s="423"/>
      <c r="T684" s="423"/>
      <c r="U684" s="423"/>
      <c r="V684" s="423"/>
      <c r="W684" s="423"/>
      <c r="X684" s="423"/>
      <c r="Y684" s="423"/>
      <c r="Z684" s="423"/>
      <c r="AA684" s="423"/>
      <c r="AB684" s="423"/>
      <c r="AC684" s="423"/>
      <c r="AD684" s="423"/>
      <c r="AE684" s="423"/>
      <c r="AF684" s="423"/>
      <c r="AG684" s="423"/>
      <c r="AH684" s="423"/>
      <c r="AI684" s="423"/>
    </row>
    <row r="685">
      <c r="A685" s="419"/>
      <c r="B685" s="419"/>
      <c r="C685" s="419"/>
      <c r="D685" s="419"/>
      <c r="E685" s="387"/>
      <c r="F685" s="387"/>
      <c r="G685" s="423"/>
      <c r="H685" s="423"/>
      <c r="I685" s="423"/>
      <c r="J685" s="423"/>
      <c r="K685" s="423"/>
      <c r="L685" s="423"/>
      <c r="M685" s="423"/>
      <c r="N685" s="423"/>
      <c r="O685" s="423"/>
      <c r="P685" s="423"/>
      <c r="Q685" s="423"/>
      <c r="R685" s="423"/>
      <c r="S685" s="423"/>
      <c r="T685" s="423"/>
      <c r="U685" s="423"/>
      <c r="V685" s="423"/>
      <c r="W685" s="423"/>
      <c r="X685" s="423"/>
      <c r="Y685" s="423"/>
      <c r="Z685" s="423"/>
      <c r="AA685" s="423"/>
      <c r="AB685" s="423"/>
      <c r="AC685" s="423"/>
      <c r="AD685" s="423"/>
      <c r="AE685" s="423"/>
      <c r="AF685" s="423"/>
      <c r="AG685" s="423"/>
      <c r="AH685" s="423"/>
      <c r="AI685" s="423"/>
    </row>
    <row r="686">
      <c r="A686" s="419"/>
      <c r="B686" s="419"/>
      <c r="C686" s="419"/>
      <c r="D686" s="419"/>
      <c r="E686" s="387"/>
      <c r="F686" s="387"/>
      <c r="G686" s="423"/>
      <c r="H686" s="423"/>
      <c r="I686" s="423"/>
      <c r="J686" s="423"/>
      <c r="K686" s="423"/>
      <c r="L686" s="423"/>
      <c r="M686" s="423"/>
      <c r="N686" s="423"/>
      <c r="O686" s="423"/>
      <c r="P686" s="423"/>
      <c r="Q686" s="423"/>
      <c r="R686" s="423"/>
      <c r="S686" s="423"/>
      <c r="T686" s="423"/>
      <c r="U686" s="423"/>
      <c r="V686" s="423"/>
      <c r="W686" s="423"/>
      <c r="X686" s="423"/>
      <c r="Y686" s="423"/>
      <c r="Z686" s="423"/>
      <c r="AA686" s="423"/>
      <c r="AB686" s="423"/>
      <c r="AC686" s="423"/>
      <c r="AD686" s="423"/>
      <c r="AE686" s="423"/>
      <c r="AF686" s="423"/>
      <c r="AG686" s="423"/>
      <c r="AH686" s="423"/>
      <c r="AI686" s="423"/>
    </row>
    <row r="687">
      <c r="A687" s="419"/>
      <c r="B687" s="419"/>
      <c r="C687" s="419"/>
      <c r="D687" s="419"/>
      <c r="E687" s="387"/>
      <c r="F687" s="387"/>
      <c r="G687" s="423"/>
      <c r="H687" s="423"/>
      <c r="I687" s="423"/>
      <c r="J687" s="423"/>
      <c r="K687" s="423"/>
      <c r="L687" s="423"/>
      <c r="M687" s="423"/>
      <c r="N687" s="423"/>
      <c r="O687" s="423"/>
      <c r="P687" s="423"/>
      <c r="Q687" s="423"/>
      <c r="R687" s="423"/>
      <c r="S687" s="423"/>
      <c r="T687" s="423"/>
      <c r="U687" s="423"/>
      <c r="V687" s="423"/>
      <c r="W687" s="423"/>
      <c r="X687" s="423"/>
      <c r="Y687" s="423"/>
      <c r="Z687" s="423"/>
      <c r="AA687" s="423"/>
      <c r="AB687" s="423"/>
      <c r="AC687" s="423"/>
      <c r="AD687" s="423"/>
      <c r="AE687" s="423"/>
      <c r="AF687" s="423"/>
      <c r="AG687" s="423"/>
      <c r="AH687" s="423"/>
      <c r="AI687" s="423"/>
    </row>
    <row r="688">
      <c r="A688" s="419"/>
      <c r="B688" s="419"/>
      <c r="C688" s="419"/>
      <c r="D688" s="419"/>
      <c r="E688" s="387"/>
      <c r="F688" s="387"/>
      <c r="G688" s="423"/>
      <c r="H688" s="423"/>
      <c r="I688" s="423"/>
      <c r="J688" s="423"/>
      <c r="K688" s="423"/>
      <c r="L688" s="423"/>
      <c r="M688" s="423"/>
      <c r="N688" s="423"/>
      <c r="O688" s="423"/>
      <c r="P688" s="423"/>
      <c r="Q688" s="423"/>
      <c r="R688" s="423"/>
      <c r="S688" s="423"/>
      <c r="T688" s="423"/>
      <c r="U688" s="423"/>
      <c r="V688" s="423"/>
      <c r="W688" s="423"/>
      <c r="X688" s="423"/>
      <c r="Y688" s="423"/>
      <c r="Z688" s="423"/>
      <c r="AA688" s="423"/>
      <c r="AB688" s="423"/>
      <c r="AC688" s="423"/>
      <c r="AD688" s="423"/>
      <c r="AE688" s="423"/>
      <c r="AF688" s="423"/>
      <c r="AG688" s="423"/>
      <c r="AH688" s="423"/>
      <c r="AI688" s="423"/>
    </row>
    <row r="689">
      <c r="A689" s="419"/>
      <c r="B689" s="419"/>
      <c r="C689" s="419"/>
      <c r="D689" s="419"/>
      <c r="E689" s="387"/>
      <c r="F689" s="387"/>
      <c r="G689" s="423"/>
      <c r="H689" s="423"/>
      <c r="I689" s="423"/>
      <c r="J689" s="423"/>
      <c r="K689" s="423"/>
      <c r="L689" s="423"/>
      <c r="M689" s="423"/>
      <c r="N689" s="423"/>
      <c r="O689" s="423"/>
      <c r="P689" s="423"/>
      <c r="Q689" s="423"/>
      <c r="R689" s="423"/>
      <c r="S689" s="423"/>
      <c r="T689" s="423"/>
      <c r="U689" s="423"/>
      <c r="V689" s="423"/>
      <c r="W689" s="423"/>
      <c r="X689" s="423"/>
      <c r="Y689" s="423"/>
      <c r="Z689" s="423"/>
      <c r="AA689" s="423"/>
      <c r="AB689" s="423"/>
      <c r="AC689" s="423"/>
      <c r="AD689" s="423"/>
      <c r="AE689" s="423"/>
      <c r="AF689" s="423"/>
      <c r="AG689" s="423"/>
      <c r="AH689" s="423"/>
      <c r="AI689" s="423"/>
    </row>
    <row r="690">
      <c r="A690" s="419"/>
      <c r="B690" s="419"/>
      <c r="C690" s="419"/>
      <c r="D690" s="419"/>
      <c r="E690" s="387"/>
      <c r="F690" s="387"/>
      <c r="G690" s="423"/>
      <c r="H690" s="423"/>
      <c r="I690" s="423"/>
      <c r="J690" s="423"/>
      <c r="K690" s="423"/>
      <c r="L690" s="423"/>
      <c r="M690" s="423"/>
      <c r="N690" s="423"/>
      <c r="O690" s="423"/>
      <c r="P690" s="423"/>
      <c r="Q690" s="423"/>
      <c r="R690" s="423"/>
      <c r="S690" s="423"/>
      <c r="T690" s="423"/>
      <c r="U690" s="423"/>
      <c r="V690" s="423"/>
      <c r="W690" s="423"/>
      <c r="X690" s="423"/>
      <c r="Y690" s="423"/>
      <c r="Z690" s="423"/>
      <c r="AA690" s="423"/>
      <c r="AB690" s="423"/>
      <c r="AC690" s="423"/>
      <c r="AD690" s="423"/>
      <c r="AE690" s="423"/>
      <c r="AF690" s="423"/>
      <c r="AG690" s="423"/>
      <c r="AH690" s="423"/>
      <c r="AI690" s="423"/>
    </row>
    <row r="691">
      <c r="A691" s="419"/>
      <c r="B691" s="419"/>
      <c r="C691" s="419"/>
      <c r="D691" s="419"/>
      <c r="E691" s="387"/>
      <c r="F691" s="387"/>
      <c r="G691" s="423"/>
      <c r="H691" s="423"/>
      <c r="I691" s="423"/>
      <c r="J691" s="423"/>
      <c r="K691" s="423"/>
      <c r="L691" s="423"/>
      <c r="M691" s="423"/>
      <c r="N691" s="423"/>
      <c r="O691" s="423"/>
      <c r="P691" s="423"/>
      <c r="Q691" s="423"/>
      <c r="R691" s="423"/>
      <c r="S691" s="423"/>
      <c r="T691" s="423"/>
      <c r="U691" s="423"/>
      <c r="V691" s="423"/>
      <c r="W691" s="423"/>
      <c r="X691" s="423"/>
      <c r="Y691" s="423"/>
      <c r="Z691" s="423"/>
      <c r="AA691" s="423"/>
      <c r="AB691" s="423"/>
      <c r="AC691" s="423"/>
      <c r="AD691" s="423"/>
      <c r="AE691" s="423"/>
      <c r="AF691" s="423"/>
      <c r="AG691" s="423"/>
      <c r="AH691" s="423"/>
      <c r="AI691" s="423"/>
    </row>
    <row r="692">
      <c r="A692" s="419"/>
      <c r="B692" s="419"/>
      <c r="C692" s="419"/>
      <c r="D692" s="419"/>
      <c r="E692" s="387"/>
      <c r="F692" s="387"/>
      <c r="G692" s="423"/>
      <c r="H692" s="423"/>
      <c r="I692" s="423"/>
      <c r="J692" s="423"/>
      <c r="K692" s="423"/>
      <c r="L692" s="423"/>
      <c r="M692" s="423"/>
      <c r="N692" s="423"/>
      <c r="O692" s="423"/>
      <c r="P692" s="423"/>
      <c r="Q692" s="423"/>
      <c r="R692" s="423"/>
      <c r="S692" s="423"/>
      <c r="T692" s="423"/>
      <c r="U692" s="423"/>
      <c r="V692" s="423"/>
      <c r="W692" s="423"/>
      <c r="X692" s="423"/>
      <c r="Y692" s="423"/>
      <c r="Z692" s="423"/>
      <c r="AA692" s="423"/>
      <c r="AB692" s="423"/>
      <c r="AC692" s="423"/>
      <c r="AD692" s="423"/>
      <c r="AE692" s="423"/>
      <c r="AF692" s="423"/>
      <c r="AG692" s="423"/>
      <c r="AH692" s="423"/>
      <c r="AI692" s="423"/>
    </row>
    <row r="693">
      <c r="A693" s="419"/>
      <c r="B693" s="419"/>
      <c r="C693" s="419"/>
      <c r="D693" s="419"/>
      <c r="E693" s="387"/>
      <c r="F693" s="387"/>
      <c r="G693" s="423"/>
      <c r="H693" s="423"/>
      <c r="I693" s="423"/>
      <c r="J693" s="423"/>
      <c r="K693" s="423"/>
      <c r="L693" s="423"/>
      <c r="M693" s="423"/>
      <c r="N693" s="423"/>
      <c r="O693" s="423"/>
      <c r="P693" s="423"/>
      <c r="Q693" s="423"/>
      <c r="R693" s="423"/>
      <c r="S693" s="423"/>
      <c r="T693" s="423"/>
      <c r="U693" s="423"/>
      <c r="V693" s="423"/>
      <c r="W693" s="423"/>
      <c r="X693" s="423"/>
      <c r="Y693" s="423"/>
      <c r="Z693" s="423"/>
      <c r="AA693" s="423"/>
      <c r="AB693" s="423"/>
      <c r="AC693" s="423"/>
      <c r="AD693" s="423"/>
      <c r="AE693" s="423"/>
      <c r="AF693" s="423"/>
      <c r="AG693" s="423"/>
      <c r="AH693" s="423"/>
      <c r="AI693" s="423"/>
    </row>
    <row r="694">
      <c r="A694" s="419"/>
      <c r="B694" s="419"/>
      <c r="C694" s="419"/>
      <c r="D694" s="419"/>
      <c r="E694" s="387"/>
      <c r="F694" s="387"/>
      <c r="G694" s="423"/>
      <c r="H694" s="423"/>
      <c r="I694" s="423"/>
      <c r="J694" s="423"/>
      <c r="K694" s="423"/>
      <c r="L694" s="423"/>
      <c r="M694" s="423"/>
      <c r="N694" s="423"/>
      <c r="O694" s="423"/>
      <c r="P694" s="423"/>
      <c r="Q694" s="423"/>
      <c r="R694" s="423"/>
      <c r="S694" s="423"/>
      <c r="T694" s="423"/>
      <c r="U694" s="423"/>
      <c r="V694" s="423"/>
      <c r="W694" s="423"/>
      <c r="X694" s="423"/>
      <c r="Y694" s="423"/>
      <c r="Z694" s="423"/>
      <c r="AA694" s="423"/>
      <c r="AB694" s="423"/>
      <c r="AC694" s="423"/>
      <c r="AD694" s="423"/>
      <c r="AE694" s="423"/>
      <c r="AF694" s="423"/>
      <c r="AG694" s="423"/>
      <c r="AH694" s="423"/>
      <c r="AI694" s="423"/>
    </row>
    <row r="695">
      <c r="A695" s="419"/>
      <c r="B695" s="419"/>
      <c r="C695" s="419"/>
      <c r="D695" s="419"/>
      <c r="E695" s="387"/>
      <c r="F695" s="387"/>
      <c r="G695" s="423"/>
      <c r="H695" s="423"/>
      <c r="I695" s="423"/>
      <c r="J695" s="423"/>
      <c r="K695" s="423"/>
      <c r="L695" s="423"/>
      <c r="M695" s="423"/>
      <c r="N695" s="423"/>
      <c r="O695" s="423"/>
      <c r="P695" s="423"/>
      <c r="Q695" s="423"/>
      <c r="R695" s="423"/>
      <c r="S695" s="423"/>
      <c r="T695" s="423"/>
      <c r="U695" s="423"/>
      <c r="V695" s="423"/>
      <c r="W695" s="423"/>
      <c r="X695" s="423"/>
      <c r="Y695" s="423"/>
      <c r="Z695" s="423"/>
      <c r="AA695" s="423"/>
      <c r="AB695" s="423"/>
      <c r="AC695" s="423"/>
      <c r="AD695" s="423"/>
      <c r="AE695" s="423"/>
      <c r="AF695" s="423"/>
      <c r="AG695" s="423"/>
      <c r="AH695" s="423"/>
      <c r="AI695" s="423"/>
    </row>
    <row r="696">
      <c r="A696" s="419"/>
      <c r="B696" s="419"/>
      <c r="C696" s="419"/>
      <c r="D696" s="419"/>
      <c r="E696" s="387"/>
      <c r="F696" s="387"/>
      <c r="G696" s="423"/>
      <c r="H696" s="423"/>
      <c r="I696" s="423"/>
      <c r="J696" s="423"/>
      <c r="K696" s="423"/>
      <c r="L696" s="423"/>
      <c r="M696" s="423"/>
      <c r="N696" s="423"/>
      <c r="O696" s="423"/>
      <c r="P696" s="423"/>
      <c r="Q696" s="423"/>
      <c r="R696" s="423"/>
      <c r="S696" s="423"/>
      <c r="T696" s="423"/>
      <c r="U696" s="423"/>
      <c r="V696" s="423"/>
      <c r="W696" s="423"/>
      <c r="X696" s="423"/>
      <c r="Y696" s="423"/>
      <c r="Z696" s="423"/>
      <c r="AA696" s="423"/>
      <c r="AB696" s="423"/>
      <c r="AC696" s="423"/>
      <c r="AD696" s="423"/>
      <c r="AE696" s="423"/>
      <c r="AF696" s="423"/>
      <c r="AG696" s="423"/>
      <c r="AH696" s="423"/>
      <c r="AI696" s="423"/>
    </row>
    <row r="697">
      <c r="A697" s="419"/>
      <c r="B697" s="419"/>
      <c r="C697" s="419"/>
      <c r="D697" s="419"/>
      <c r="E697" s="387"/>
      <c r="F697" s="387"/>
      <c r="G697" s="423"/>
      <c r="H697" s="423"/>
      <c r="I697" s="423"/>
      <c r="J697" s="423"/>
      <c r="K697" s="423"/>
      <c r="L697" s="423"/>
      <c r="M697" s="423"/>
      <c r="N697" s="423"/>
      <c r="O697" s="423"/>
      <c r="P697" s="423"/>
      <c r="Q697" s="423"/>
      <c r="R697" s="423"/>
      <c r="S697" s="423"/>
      <c r="T697" s="423"/>
      <c r="U697" s="423"/>
      <c r="V697" s="423"/>
      <c r="W697" s="423"/>
      <c r="X697" s="423"/>
      <c r="Y697" s="423"/>
      <c r="Z697" s="423"/>
      <c r="AA697" s="423"/>
      <c r="AB697" s="423"/>
      <c r="AC697" s="423"/>
      <c r="AD697" s="423"/>
      <c r="AE697" s="423"/>
      <c r="AF697" s="423"/>
      <c r="AG697" s="423"/>
      <c r="AH697" s="423"/>
      <c r="AI697" s="423"/>
    </row>
    <row r="698">
      <c r="A698" s="419"/>
      <c r="B698" s="419"/>
      <c r="C698" s="419"/>
      <c r="D698" s="419"/>
      <c r="E698" s="387"/>
      <c r="F698" s="387"/>
      <c r="G698" s="423"/>
      <c r="H698" s="423"/>
      <c r="I698" s="423"/>
      <c r="J698" s="423"/>
      <c r="K698" s="423"/>
      <c r="L698" s="423"/>
      <c r="M698" s="423"/>
      <c r="N698" s="423"/>
      <c r="O698" s="423"/>
      <c r="P698" s="423"/>
      <c r="Q698" s="423"/>
      <c r="R698" s="423"/>
      <c r="S698" s="423"/>
      <c r="T698" s="423"/>
      <c r="U698" s="423"/>
      <c r="V698" s="423"/>
      <c r="W698" s="423"/>
      <c r="X698" s="423"/>
      <c r="Y698" s="423"/>
      <c r="Z698" s="423"/>
      <c r="AA698" s="423"/>
      <c r="AB698" s="423"/>
      <c r="AC698" s="423"/>
      <c r="AD698" s="423"/>
      <c r="AE698" s="423"/>
      <c r="AF698" s="423"/>
      <c r="AG698" s="423"/>
      <c r="AH698" s="423"/>
      <c r="AI698" s="423"/>
    </row>
    <row r="699">
      <c r="A699" s="419"/>
      <c r="B699" s="419"/>
      <c r="C699" s="419"/>
      <c r="D699" s="419"/>
      <c r="E699" s="387"/>
      <c r="F699" s="387"/>
      <c r="G699" s="423"/>
      <c r="H699" s="423"/>
      <c r="I699" s="423"/>
      <c r="J699" s="423"/>
      <c r="K699" s="423"/>
      <c r="L699" s="423"/>
      <c r="M699" s="423"/>
      <c r="N699" s="423"/>
      <c r="O699" s="423"/>
      <c r="P699" s="423"/>
      <c r="Q699" s="423"/>
      <c r="R699" s="423"/>
      <c r="S699" s="423"/>
      <c r="T699" s="423"/>
      <c r="U699" s="423"/>
      <c r="V699" s="423"/>
      <c r="W699" s="423"/>
      <c r="X699" s="423"/>
      <c r="Y699" s="423"/>
      <c r="Z699" s="423"/>
      <c r="AA699" s="423"/>
      <c r="AB699" s="423"/>
      <c r="AC699" s="423"/>
      <c r="AD699" s="423"/>
      <c r="AE699" s="423"/>
      <c r="AF699" s="423"/>
      <c r="AG699" s="423"/>
      <c r="AH699" s="423"/>
      <c r="AI699" s="423"/>
    </row>
    <row r="700">
      <c r="A700" s="419"/>
      <c r="B700" s="419"/>
      <c r="C700" s="419"/>
      <c r="D700" s="419"/>
      <c r="E700" s="387"/>
      <c r="F700" s="387"/>
      <c r="G700" s="423"/>
      <c r="H700" s="423"/>
      <c r="I700" s="423"/>
      <c r="J700" s="423"/>
      <c r="K700" s="423"/>
      <c r="L700" s="423"/>
      <c r="M700" s="423"/>
      <c r="N700" s="423"/>
      <c r="O700" s="423"/>
      <c r="P700" s="423"/>
      <c r="Q700" s="423"/>
      <c r="R700" s="423"/>
      <c r="S700" s="423"/>
      <c r="T700" s="423"/>
      <c r="U700" s="423"/>
      <c r="V700" s="423"/>
      <c r="W700" s="423"/>
      <c r="X700" s="423"/>
      <c r="Y700" s="423"/>
      <c r="Z700" s="423"/>
      <c r="AA700" s="423"/>
      <c r="AB700" s="423"/>
      <c r="AC700" s="423"/>
      <c r="AD700" s="423"/>
      <c r="AE700" s="423"/>
      <c r="AF700" s="423"/>
      <c r="AG700" s="423"/>
      <c r="AH700" s="423"/>
      <c r="AI700" s="423"/>
    </row>
    <row r="701">
      <c r="A701" s="419"/>
      <c r="B701" s="419"/>
      <c r="C701" s="419"/>
      <c r="D701" s="419"/>
      <c r="E701" s="387"/>
      <c r="F701" s="387"/>
      <c r="G701" s="423"/>
      <c r="H701" s="423"/>
      <c r="I701" s="423"/>
      <c r="J701" s="423"/>
      <c r="K701" s="423"/>
      <c r="L701" s="423"/>
      <c r="M701" s="423"/>
      <c r="N701" s="423"/>
      <c r="O701" s="423"/>
      <c r="P701" s="423"/>
      <c r="Q701" s="423"/>
      <c r="R701" s="423"/>
      <c r="S701" s="423"/>
      <c r="T701" s="423"/>
      <c r="U701" s="423"/>
      <c r="V701" s="423"/>
      <c r="W701" s="423"/>
      <c r="X701" s="423"/>
      <c r="Y701" s="423"/>
      <c r="Z701" s="423"/>
      <c r="AA701" s="423"/>
      <c r="AB701" s="423"/>
      <c r="AC701" s="423"/>
      <c r="AD701" s="423"/>
      <c r="AE701" s="423"/>
      <c r="AF701" s="423"/>
      <c r="AG701" s="423"/>
      <c r="AH701" s="423"/>
      <c r="AI701" s="423"/>
    </row>
    <row r="702">
      <c r="A702" s="419"/>
      <c r="B702" s="419"/>
      <c r="C702" s="419"/>
      <c r="D702" s="419"/>
      <c r="E702" s="387"/>
      <c r="F702" s="387"/>
      <c r="G702" s="423"/>
      <c r="H702" s="423"/>
      <c r="I702" s="423"/>
      <c r="J702" s="423"/>
      <c r="K702" s="423"/>
      <c r="L702" s="423"/>
      <c r="M702" s="423"/>
      <c r="N702" s="423"/>
      <c r="O702" s="423"/>
      <c r="P702" s="423"/>
      <c r="Q702" s="423"/>
      <c r="R702" s="423"/>
      <c r="S702" s="423"/>
      <c r="T702" s="423"/>
      <c r="U702" s="423"/>
      <c r="V702" s="423"/>
      <c r="W702" s="423"/>
      <c r="X702" s="423"/>
      <c r="Y702" s="423"/>
      <c r="Z702" s="423"/>
      <c r="AA702" s="423"/>
      <c r="AB702" s="423"/>
      <c r="AC702" s="423"/>
      <c r="AD702" s="423"/>
      <c r="AE702" s="423"/>
      <c r="AF702" s="423"/>
      <c r="AG702" s="423"/>
      <c r="AH702" s="423"/>
      <c r="AI702" s="423"/>
    </row>
    <row r="703">
      <c r="A703" s="419"/>
      <c r="B703" s="419"/>
      <c r="C703" s="419"/>
      <c r="D703" s="419"/>
      <c r="E703" s="387"/>
      <c r="F703" s="387"/>
      <c r="G703" s="423"/>
      <c r="H703" s="423"/>
      <c r="I703" s="423"/>
      <c r="J703" s="423"/>
      <c r="K703" s="423"/>
      <c r="L703" s="423"/>
      <c r="M703" s="423"/>
      <c r="N703" s="423"/>
      <c r="O703" s="423"/>
      <c r="P703" s="423"/>
      <c r="Q703" s="423"/>
      <c r="R703" s="423"/>
      <c r="S703" s="423"/>
      <c r="T703" s="423"/>
      <c r="U703" s="423"/>
      <c r="V703" s="423"/>
      <c r="W703" s="423"/>
      <c r="X703" s="423"/>
      <c r="Y703" s="423"/>
      <c r="Z703" s="423"/>
      <c r="AA703" s="423"/>
      <c r="AB703" s="423"/>
      <c r="AC703" s="423"/>
      <c r="AD703" s="423"/>
      <c r="AE703" s="423"/>
      <c r="AF703" s="423"/>
      <c r="AG703" s="423"/>
      <c r="AH703" s="423"/>
      <c r="AI703" s="423"/>
    </row>
    <row r="704">
      <c r="A704" s="419"/>
      <c r="B704" s="419"/>
      <c r="C704" s="419"/>
      <c r="D704" s="419"/>
      <c r="E704" s="387"/>
      <c r="F704" s="387"/>
      <c r="G704" s="423"/>
      <c r="H704" s="423"/>
      <c r="I704" s="423"/>
      <c r="J704" s="423"/>
      <c r="K704" s="423"/>
      <c r="L704" s="423"/>
      <c r="M704" s="423"/>
      <c r="N704" s="423"/>
      <c r="O704" s="423"/>
      <c r="P704" s="423"/>
      <c r="Q704" s="423"/>
      <c r="R704" s="423"/>
      <c r="S704" s="423"/>
      <c r="T704" s="423"/>
      <c r="U704" s="423"/>
      <c r="V704" s="423"/>
      <c r="W704" s="423"/>
      <c r="X704" s="423"/>
      <c r="Y704" s="423"/>
      <c r="Z704" s="423"/>
      <c r="AA704" s="423"/>
      <c r="AB704" s="423"/>
      <c r="AC704" s="423"/>
      <c r="AD704" s="423"/>
      <c r="AE704" s="423"/>
      <c r="AF704" s="423"/>
      <c r="AG704" s="423"/>
      <c r="AH704" s="423"/>
      <c r="AI704" s="423"/>
    </row>
    <row r="705">
      <c r="A705" s="419"/>
      <c r="B705" s="419"/>
      <c r="C705" s="419"/>
      <c r="D705" s="419"/>
      <c r="E705" s="387"/>
      <c r="F705" s="387"/>
      <c r="G705" s="423"/>
      <c r="H705" s="423"/>
      <c r="I705" s="423"/>
      <c r="J705" s="423"/>
      <c r="K705" s="423"/>
      <c r="L705" s="423"/>
      <c r="M705" s="423"/>
      <c r="N705" s="423"/>
      <c r="O705" s="423"/>
      <c r="P705" s="423"/>
      <c r="Q705" s="423"/>
      <c r="R705" s="423"/>
      <c r="S705" s="423"/>
      <c r="T705" s="423"/>
      <c r="U705" s="423"/>
      <c r="V705" s="423"/>
      <c r="W705" s="423"/>
      <c r="X705" s="423"/>
      <c r="Y705" s="423"/>
      <c r="Z705" s="423"/>
      <c r="AA705" s="423"/>
      <c r="AB705" s="423"/>
      <c r="AC705" s="423"/>
      <c r="AD705" s="423"/>
      <c r="AE705" s="423"/>
      <c r="AF705" s="423"/>
      <c r="AG705" s="423"/>
      <c r="AH705" s="423"/>
      <c r="AI705" s="423"/>
    </row>
    <row r="706">
      <c r="A706" s="419"/>
      <c r="B706" s="419"/>
      <c r="C706" s="419"/>
      <c r="D706" s="419"/>
      <c r="E706" s="387"/>
      <c r="F706" s="387"/>
      <c r="G706" s="423"/>
      <c r="H706" s="423"/>
      <c r="I706" s="423"/>
      <c r="J706" s="423"/>
      <c r="K706" s="423"/>
      <c r="L706" s="423"/>
      <c r="M706" s="423"/>
      <c r="N706" s="423"/>
      <c r="O706" s="423"/>
      <c r="P706" s="423"/>
      <c r="Q706" s="423"/>
      <c r="R706" s="423"/>
      <c r="S706" s="423"/>
      <c r="T706" s="423"/>
      <c r="U706" s="423"/>
      <c r="V706" s="423"/>
      <c r="W706" s="423"/>
      <c r="X706" s="423"/>
      <c r="Y706" s="423"/>
      <c r="Z706" s="423"/>
      <c r="AA706" s="423"/>
      <c r="AB706" s="423"/>
      <c r="AC706" s="423"/>
      <c r="AD706" s="423"/>
      <c r="AE706" s="423"/>
      <c r="AF706" s="423"/>
      <c r="AG706" s="423"/>
      <c r="AH706" s="423"/>
      <c r="AI706" s="423"/>
    </row>
    <row r="707">
      <c r="A707" s="419"/>
      <c r="B707" s="419"/>
      <c r="C707" s="419"/>
      <c r="D707" s="419"/>
      <c r="E707" s="387"/>
      <c r="F707" s="387"/>
      <c r="G707" s="423"/>
      <c r="H707" s="423"/>
      <c r="I707" s="423"/>
      <c r="J707" s="423"/>
      <c r="K707" s="423"/>
      <c r="L707" s="423"/>
      <c r="M707" s="423"/>
      <c r="N707" s="423"/>
      <c r="O707" s="423"/>
      <c r="P707" s="423"/>
      <c r="Q707" s="423"/>
      <c r="R707" s="423"/>
      <c r="S707" s="423"/>
      <c r="T707" s="423"/>
      <c r="U707" s="423"/>
      <c r="V707" s="423"/>
      <c r="W707" s="423"/>
      <c r="X707" s="423"/>
      <c r="Y707" s="423"/>
      <c r="Z707" s="423"/>
      <c r="AA707" s="423"/>
      <c r="AB707" s="423"/>
      <c r="AC707" s="423"/>
      <c r="AD707" s="423"/>
      <c r="AE707" s="423"/>
      <c r="AF707" s="423"/>
      <c r="AG707" s="423"/>
      <c r="AH707" s="423"/>
      <c r="AI707" s="423"/>
    </row>
    <row r="708">
      <c r="A708" s="419"/>
      <c r="B708" s="419"/>
      <c r="C708" s="419"/>
      <c r="D708" s="419"/>
      <c r="E708" s="387"/>
      <c r="F708" s="387"/>
      <c r="G708" s="423"/>
      <c r="H708" s="423"/>
      <c r="I708" s="423"/>
      <c r="J708" s="423"/>
      <c r="K708" s="423"/>
      <c r="L708" s="423"/>
      <c r="M708" s="423"/>
      <c r="N708" s="423"/>
      <c r="O708" s="423"/>
      <c r="P708" s="423"/>
      <c r="Q708" s="423"/>
      <c r="R708" s="423"/>
      <c r="S708" s="423"/>
      <c r="T708" s="423"/>
      <c r="U708" s="423"/>
      <c r="V708" s="423"/>
      <c r="W708" s="423"/>
      <c r="X708" s="423"/>
      <c r="Y708" s="423"/>
      <c r="Z708" s="423"/>
      <c r="AA708" s="423"/>
      <c r="AB708" s="423"/>
      <c r="AC708" s="423"/>
      <c r="AD708" s="423"/>
      <c r="AE708" s="423"/>
      <c r="AF708" s="423"/>
      <c r="AG708" s="423"/>
      <c r="AH708" s="423"/>
      <c r="AI708" s="423"/>
    </row>
    <row r="709">
      <c r="A709" s="419"/>
      <c r="B709" s="419"/>
      <c r="C709" s="419"/>
      <c r="D709" s="419"/>
      <c r="E709" s="387"/>
      <c r="F709" s="387"/>
      <c r="G709" s="423"/>
      <c r="H709" s="423"/>
      <c r="I709" s="423"/>
      <c r="J709" s="423"/>
      <c r="K709" s="423"/>
      <c r="L709" s="423"/>
      <c r="M709" s="423"/>
      <c r="N709" s="423"/>
      <c r="O709" s="423"/>
      <c r="P709" s="423"/>
      <c r="Q709" s="423"/>
      <c r="R709" s="423"/>
      <c r="S709" s="423"/>
      <c r="T709" s="423"/>
      <c r="U709" s="423"/>
      <c r="V709" s="423"/>
      <c r="W709" s="423"/>
      <c r="X709" s="423"/>
      <c r="Y709" s="423"/>
      <c r="Z709" s="423"/>
      <c r="AA709" s="423"/>
      <c r="AB709" s="423"/>
      <c r="AC709" s="423"/>
      <c r="AD709" s="423"/>
      <c r="AE709" s="423"/>
      <c r="AF709" s="423"/>
      <c r="AG709" s="423"/>
      <c r="AH709" s="423"/>
      <c r="AI709" s="423"/>
    </row>
    <row r="710">
      <c r="A710" s="419"/>
      <c r="B710" s="419"/>
      <c r="C710" s="419"/>
      <c r="D710" s="419"/>
      <c r="E710" s="387"/>
      <c r="F710" s="387"/>
      <c r="G710" s="423"/>
      <c r="H710" s="423"/>
      <c r="I710" s="423"/>
      <c r="J710" s="423"/>
      <c r="K710" s="423"/>
      <c r="L710" s="423"/>
      <c r="M710" s="423"/>
      <c r="N710" s="423"/>
      <c r="O710" s="423"/>
      <c r="P710" s="423"/>
      <c r="Q710" s="423"/>
      <c r="R710" s="423"/>
      <c r="S710" s="423"/>
      <c r="T710" s="423"/>
      <c r="U710" s="423"/>
      <c r="V710" s="423"/>
      <c r="W710" s="423"/>
      <c r="X710" s="423"/>
      <c r="Y710" s="423"/>
      <c r="Z710" s="423"/>
      <c r="AA710" s="423"/>
      <c r="AB710" s="423"/>
      <c r="AC710" s="423"/>
      <c r="AD710" s="423"/>
      <c r="AE710" s="423"/>
      <c r="AF710" s="423"/>
      <c r="AG710" s="423"/>
      <c r="AH710" s="423"/>
      <c r="AI710" s="423"/>
    </row>
    <row r="711">
      <c r="A711" s="419"/>
      <c r="B711" s="419"/>
      <c r="C711" s="419"/>
      <c r="D711" s="419"/>
      <c r="E711" s="387"/>
      <c r="F711" s="387"/>
      <c r="G711" s="423"/>
      <c r="H711" s="423"/>
      <c r="I711" s="423"/>
      <c r="J711" s="423"/>
      <c r="K711" s="423"/>
      <c r="L711" s="423"/>
      <c r="M711" s="423"/>
      <c r="N711" s="423"/>
      <c r="O711" s="423"/>
      <c r="P711" s="423"/>
      <c r="Q711" s="423"/>
      <c r="R711" s="423"/>
      <c r="S711" s="423"/>
      <c r="T711" s="423"/>
      <c r="U711" s="423"/>
      <c r="V711" s="423"/>
      <c r="W711" s="423"/>
      <c r="X711" s="423"/>
      <c r="Y711" s="423"/>
      <c r="Z711" s="423"/>
      <c r="AA711" s="423"/>
      <c r="AB711" s="423"/>
      <c r="AC711" s="423"/>
      <c r="AD711" s="423"/>
      <c r="AE711" s="423"/>
      <c r="AF711" s="423"/>
      <c r="AG711" s="423"/>
      <c r="AH711" s="423"/>
      <c r="AI711" s="423"/>
    </row>
    <row r="712">
      <c r="A712" s="419"/>
      <c r="B712" s="419"/>
      <c r="C712" s="419"/>
      <c r="D712" s="419"/>
      <c r="E712" s="387"/>
      <c r="F712" s="387"/>
      <c r="G712" s="423"/>
      <c r="H712" s="423"/>
      <c r="I712" s="423"/>
      <c r="J712" s="423"/>
      <c r="K712" s="423"/>
      <c r="L712" s="423"/>
      <c r="M712" s="423"/>
      <c r="N712" s="423"/>
      <c r="O712" s="423"/>
      <c r="P712" s="423"/>
      <c r="Q712" s="423"/>
      <c r="R712" s="423"/>
      <c r="S712" s="423"/>
      <c r="T712" s="423"/>
      <c r="U712" s="423"/>
      <c r="V712" s="423"/>
      <c r="W712" s="423"/>
      <c r="X712" s="423"/>
      <c r="Y712" s="423"/>
      <c r="Z712" s="423"/>
      <c r="AA712" s="423"/>
      <c r="AB712" s="423"/>
      <c r="AC712" s="423"/>
      <c r="AD712" s="423"/>
      <c r="AE712" s="423"/>
      <c r="AF712" s="423"/>
      <c r="AG712" s="423"/>
      <c r="AH712" s="423"/>
      <c r="AI712" s="423"/>
    </row>
    <row r="713">
      <c r="A713" s="419"/>
      <c r="B713" s="419"/>
      <c r="C713" s="419"/>
      <c r="D713" s="419"/>
      <c r="E713" s="387"/>
      <c r="F713" s="387"/>
      <c r="G713" s="423"/>
      <c r="H713" s="423"/>
      <c r="I713" s="423"/>
      <c r="J713" s="423"/>
      <c r="K713" s="423"/>
      <c r="L713" s="423"/>
      <c r="M713" s="423"/>
      <c r="N713" s="423"/>
      <c r="O713" s="423"/>
      <c r="P713" s="423"/>
      <c r="Q713" s="423"/>
      <c r="R713" s="423"/>
      <c r="S713" s="423"/>
      <c r="T713" s="423"/>
      <c r="U713" s="423"/>
      <c r="V713" s="423"/>
      <c r="W713" s="423"/>
      <c r="X713" s="423"/>
      <c r="Y713" s="423"/>
      <c r="Z713" s="423"/>
      <c r="AA713" s="423"/>
      <c r="AB713" s="423"/>
      <c r="AC713" s="423"/>
      <c r="AD713" s="423"/>
      <c r="AE713" s="423"/>
      <c r="AF713" s="423"/>
      <c r="AG713" s="423"/>
      <c r="AH713" s="423"/>
      <c r="AI713" s="423"/>
    </row>
    <row r="714">
      <c r="A714" s="419"/>
      <c r="B714" s="419"/>
      <c r="C714" s="419"/>
      <c r="D714" s="419"/>
      <c r="E714" s="387"/>
      <c r="F714" s="387"/>
      <c r="G714" s="423"/>
      <c r="H714" s="423"/>
      <c r="I714" s="423"/>
      <c r="J714" s="423"/>
      <c r="K714" s="423"/>
      <c r="L714" s="423"/>
      <c r="M714" s="423"/>
      <c r="N714" s="423"/>
      <c r="O714" s="423"/>
      <c r="P714" s="423"/>
      <c r="Q714" s="423"/>
      <c r="R714" s="423"/>
      <c r="S714" s="423"/>
      <c r="T714" s="423"/>
      <c r="U714" s="423"/>
      <c r="V714" s="423"/>
      <c r="W714" s="423"/>
      <c r="X714" s="423"/>
      <c r="Y714" s="423"/>
      <c r="Z714" s="423"/>
      <c r="AA714" s="423"/>
      <c r="AB714" s="423"/>
      <c r="AC714" s="423"/>
      <c r="AD714" s="423"/>
      <c r="AE714" s="423"/>
      <c r="AF714" s="423"/>
      <c r="AG714" s="423"/>
      <c r="AH714" s="423"/>
      <c r="AI714" s="423"/>
    </row>
    <row r="715">
      <c r="A715" s="419"/>
      <c r="B715" s="419"/>
      <c r="C715" s="419"/>
      <c r="D715" s="419"/>
      <c r="E715" s="387"/>
      <c r="F715" s="387"/>
      <c r="G715" s="423"/>
      <c r="H715" s="423"/>
      <c r="I715" s="423"/>
      <c r="J715" s="423"/>
      <c r="K715" s="423"/>
      <c r="L715" s="423"/>
      <c r="M715" s="423"/>
      <c r="N715" s="423"/>
      <c r="O715" s="423"/>
      <c r="P715" s="423"/>
      <c r="Q715" s="423"/>
      <c r="R715" s="423"/>
      <c r="S715" s="423"/>
      <c r="T715" s="423"/>
      <c r="U715" s="423"/>
      <c r="V715" s="423"/>
      <c r="W715" s="423"/>
      <c r="X715" s="423"/>
      <c r="Y715" s="423"/>
      <c r="Z715" s="423"/>
      <c r="AA715" s="423"/>
      <c r="AB715" s="423"/>
      <c r="AC715" s="423"/>
      <c r="AD715" s="423"/>
      <c r="AE715" s="423"/>
      <c r="AF715" s="423"/>
      <c r="AG715" s="423"/>
      <c r="AH715" s="423"/>
      <c r="AI715" s="423"/>
    </row>
    <row r="716">
      <c r="A716" s="419"/>
      <c r="B716" s="419"/>
      <c r="C716" s="419"/>
      <c r="D716" s="419"/>
      <c r="E716" s="387"/>
      <c r="F716" s="387"/>
      <c r="G716" s="423"/>
      <c r="H716" s="423"/>
      <c r="I716" s="423"/>
      <c r="J716" s="423"/>
      <c r="K716" s="423"/>
      <c r="L716" s="423"/>
      <c r="M716" s="423"/>
      <c r="N716" s="423"/>
      <c r="O716" s="423"/>
      <c r="P716" s="423"/>
      <c r="Q716" s="423"/>
      <c r="R716" s="423"/>
      <c r="S716" s="423"/>
      <c r="T716" s="423"/>
      <c r="U716" s="423"/>
      <c r="V716" s="423"/>
      <c r="W716" s="423"/>
      <c r="X716" s="423"/>
      <c r="Y716" s="423"/>
      <c r="Z716" s="423"/>
      <c r="AA716" s="423"/>
      <c r="AB716" s="423"/>
      <c r="AC716" s="423"/>
      <c r="AD716" s="423"/>
      <c r="AE716" s="423"/>
      <c r="AF716" s="423"/>
      <c r="AG716" s="423"/>
      <c r="AH716" s="423"/>
      <c r="AI716" s="423"/>
    </row>
    <row r="717">
      <c r="A717" s="419"/>
      <c r="B717" s="419"/>
      <c r="C717" s="419"/>
      <c r="D717" s="419"/>
      <c r="E717" s="387"/>
      <c r="F717" s="387"/>
      <c r="G717" s="423"/>
      <c r="H717" s="423"/>
      <c r="I717" s="423"/>
      <c r="J717" s="423"/>
      <c r="K717" s="423"/>
      <c r="L717" s="423"/>
      <c r="M717" s="423"/>
      <c r="N717" s="423"/>
      <c r="O717" s="423"/>
      <c r="P717" s="423"/>
      <c r="Q717" s="423"/>
      <c r="R717" s="423"/>
      <c r="S717" s="423"/>
      <c r="T717" s="423"/>
      <c r="U717" s="423"/>
      <c r="V717" s="423"/>
      <c r="W717" s="423"/>
      <c r="X717" s="423"/>
      <c r="Y717" s="423"/>
      <c r="Z717" s="423"/>
      <c r="AA717" s="423"/>
      <c r="AB717" s="423"/>
      <c r="AC717" s="423"/>
      <c r="AD717" s="423"/>
      <c r="AE717" s="423"/>
      <c r="AF717" s="423"/>
      <c r="AG717" s="423"/>
      <c r="AH717" s="423"/>
      <c r="AI717" s="423"/>
    </row>
    <row r="718">
      <c r="A718" s="419"/>
      <c r="B718" s="419"/>
      <c r="C718" s="419"/>
      <c r="D718" s="419"/>
      <c r="E718" s="387"/>
      <c r="F718" s="387"/>
      <c r="G718" s="423"/>
      <c r="H718" s="423"/>
      <c r="I718" s="423"/>
      <c r="J718" s="423"/>
      <c r="K718" s="423"/>
      <c r="L718" s="423"/>
      <c r="M718" s="423"/>
      <c r="N718" s="423"/>
      <c r="O718" s="423"/>
      <c r="P718" s="423"/>
      <c r="Q718" s="423"/>
      <c r="R718" s="423"/>
      <c r="S718" s="423"/>
      <c r="T718" s="423"/>
      <c r="U718" s="423"/>
      <c r="V718" s="423"/>
      <c r="W718" s="423"/>
      <c r="X718" s="423"/>
      <c r="Y718" s="423"/>
      <c r="Z718" s="423"/>
      <c r="AA718" s="423"/>
      <c r="AB718" s="423"/>
      <c r="AC718" s="423"/>
      <c r="AD718" s="423"/>
      <c r="AE718" s="423"/>
      <c r="AF718" s="423"/>
      <c r="AG718" s="423"/>
      <c r="AH718" s="423"/>
      <c r="AI718" s="423"/>
    </row>
    <row r="719">
      <c r="A719" s="419"/>
      <c r="B719" s="419"/>
      <c r="C719" s="419"/>
      <c r="D719" s="419"/>
      <c r="E719" s="387"/>
      <c r="F719" s="387"/>
      <c r="G719" s="423"/>
      <c r="H719" s="423"/>
      <c r="I719" s="423"/>
      <c r="J719" s="423"/>
      <c r="K719" s="423"/>
      <c r="L719" s="423"/>
      <c r="M719" s="423"/>
      <c r="N719" s="423"/>
      <c r="O719" s="423"/>
      <c r="P719" s="423"/>
      <c r="Q719" s="423"/>
      <c r="R719" s="423"/>
      <c r="S719" s="423"/>
      <c r="T719" s="423"/>
      <c r="U719" s="423"/>
      <c r="V719" s="423"/>
      <c r="W719" s="423"/>
      <c r="X719" s="423"/>
      <c r="Y719" s="423"/>
      <c r="Z719" s="423"/>
      <c r="AA719" s="423"/>
      <c r="AB719" s="423"/>
      <c r="AC719" s="423"/>
      <c r="AD719" s="423"/>
      <c r="AE719" s="423"/>
      <c r="AF719" s="423"/>
      <c r="AG719" s="423"/>
      <c r="AH719" s="423"/>
      <c r="AI719" s="423"/>
    </row>
    <row r="720">
      <c r="A720" s="419"/>
      <c r="B720" s="419"/>
      <c r="C720" s="419"/>
      <c r="D720" s="419"/>
      <c r="E720" s="387"/>
      <c r="F720" s="387"/>
      <c r="G720" s="423"/>
      <c r="H720" s="423"/>
      <c r="I720" s="423"/>
      <c r="J720" s="423"/>
      <c r="K720" s="423"/>
      <c r="L720" s="423"/>
      <c r="M720" s="423"/>
      <c r="N720" s="423"/>
      <c r="O720" s="423"/>
      <c r="P720" s="423"/>
      <c r="Q720" s="423"/>
      <c r="R720" s="423"/>
      <c r="S720" s="423"/>
      <c r="T720" s="423"/>
      <c r="U720" s="423"/>
      <c r="V720" s="423"/>
      <c r="W720" s="423"/>
      <c r="X720" s="423"/>
      <c r="Y720" s="423"/>
      <c r="Z720" s="423"/>
      <c r="AA720" s="423"/>
      <c r="AB720" s="423"/>
      <c r="AC720" s="423"/>
      <c r="AD720" s="423"/>
      <c r="AE720" s="423"/>
      <c r="AF720" s="423"/>
      <c r="AG720" s="423"/>
      <c r="AH720" s="423"/>
      <c r="AI720" s="423"/>
    </row>
    <row r="721">
      <c r="A721" s="419"/>
      <c r="B721" s="419"/>
      <c r="C721" s="419"/>
      <c r="D721" s="419"/>
      <c r="E721" s="387"/>
      <c r="F721" s="387"/>
      <c r="G721" s="423"/>
      <c r="H721" s="423"/>
      <c r="I721" s="423"/>
      <c r="J721" s="423"/>
      <c r="K721" s="423"/>
      <c r="L721" s="423"/>
      <c r="M721" s="423"/>
      <c r="N721" s="423"/>
      <c r="O721" s="423"/>
      <c r="P721" s="423"/>
      <c r="Q721" s="423"/>
      <c r="R721" s="423"/>
      <c r="S721" s="423"/>
      <c r="T721" s="423"/>
      <c r="U721" s="423"/>
      <c r="V721" s="423"/>
      <c r="W721" s="423"/>
      <c r="X721" s="423"/>
      <c r="Y721" s="423"/>
      <c r="Z721" s="423"/>
      <c r="AA721" s="423"/>
      <c r="AB721" s="423"/>
      <c r="AC721" s="423"/>
      <c r="AD721" s="423"/>
      <c r="AE721" s="423"/>
      <c r="AF721" s="423"/>
      <c r="AG721" s="423"/>
      <c r="AH721" s="423"/>
      <c r="AI721" s="423"/>
    </row>
    <row r="722">
      <c r="A722" s="419"/>
      <c r="B722" s="419"/>
      <c r="C722" s="419"/>
      <c r="D722" s="419"/>
      <c r="E722" s="387"/>
      <c r="F722" s="387"/>
      <c r="G722" s="423"/>
      <c r="H722" s="423"/>
      <c r="I722" s="423"/>
      <c r="J722" s="423"/>
      <c r="K722" s="423"/>
      <c r="L722" s="423"/>
      <c r="M722" s="423"/>
      <c r="N722" s="423"/>
      <c r="O722" s="423"/>
      <c r="P722" s="423"/>
      <c r="Q722" s="423"/>
      <c r="R722" s="423"/>
      <c r="S722" s="423"/>
      <c r="T722" s="423"/>
      <c r="U722" s="423"/>
      <c r="V722" s="423"/>
      <c r="W722" s="423"/>
      <c r="X722" s="423"/>
      <c r="Y722" s="423"/>
      <c r="Z722" s="423"/>
      <c r="AA722" s="423"/>
      <c r="AB722" s="423"/>
      <c r="AC722" s="423"/>
      <c r="AD722" s="423"/>
      <c r="AE722" s="423"/>
      <c r="AF722" s="423"/>
      <c r="AG722" s="423"/>
      <c r="AH722" s="423"/>
      <c r="AI722" s="423"/>
    </row>
    <row r="723">
      <c r="A723" s="419"/>
      <c r="B723" s="419"/>
      <c r="C723" s="419"/>
      <c r="D723" s="419"/>
      <c r="E723" s="387"/>
      <c r="F723" s="387"/>
      <c r="G723" s="423"/>
      <c r="H723" s="423"/>
      <c r="I723" s="423"/>
      <c r="J723" s="423"/>
      <c r="K723" s="423"/>
      <c r="L723" s="423"/>
      <c r="M723" s="423"/>
      <c r="N723" s="423"/>
      <c r="O723" s="423"/>
      <c r="P723" s="423"/>
      <c r="Q723" s="423"/>
      <c r="R723" s="423"/>
      <c r="S723" s="423"/>
      <c r="T723" s="423"/>
      <c r="U723" s="423"/>
      <c r="V723" s="423"/>
      <c r="W723" s="423"/>
      <c r="X723" s="423"/>
      <c r="Y723" s="423"/>
      <c r="Z723" s="423"/>
      <c r="AA723" s="423"/>
      <c r="AB723" s="423"/>
      <c r="AC723" s="423"/>
      <c r="AD723" s="423"/>
      <c r="AE723" s="423"/>
      <c r="AF723" s="423"/>
      <c r="AG723" s="423"/>
      <c r="AH723" s="423"/>
      <c r="AI723" s="423"/>
    </row>
    <row r="724">
      <c r="A724" s="419"/>
      <c r="B724" s="419"/>
      <c r="C724" s="419"/>
      <c r="D724" s="419"/>
      <c r="E724" s="387"/>
      <c r="F724" s="387"/>
      <c r="G724" s="423"/>
      <c r="H724" s="423"/>
      <c r="I724" s="423"/>
      <c r="J724" s="423"/>
      <c r="K724" s="423"/>
      <c r="L724" s="423"/>
      <c r="M724" s="423"/>
      <c r="N724" s="423"/>
      <c r="O724" s="423"/>
      <c r="P724" s="423"/>
      <c r="Q724" s="423"/>
      <c r="R724" s="423"/>
      <c r="S724" s="423"/>
      <c r="T724" s="423"/>
      <c r="U724" s="423"/>
      <c r="V724" s="423"/>
      <c r="W724" s="423"/>
      <c r="X724" s="423"/>
      <c r="Y724" s="423"/>
      <c r="Z724" s="423"/>
      <c r="AA724" s="423"/>
      <c r="AB724" s="423"/>
      <c r="AC724" s="423"/>
      <c r="AD724" s="423"/>
      <c r="AE724" s="423"/>
      <c r="AF724" s="423"/>
      <c r="AG724" s="423"/>
      <c r="AH724" s="423"/>
      <c r="AI724" s="423"/>
    </row>
    <row r="725">
      <c r="A725" s="419"/>
      <c r="B725" s="419"/>
      <c r="C725" s="419"/>
      <c r="D725" s="419"/>
      <c r="E725" s="387"/>
      <c r="F725" s="387"/>
      <c r="G725" s="423"/>
      <c r="H725" s="423"/>
      <c r="I725" s="423"/>
      <c r="J725" s="423"/>
      <c r="K725" s="423"/>
      <c r="L725" s="423"/>
      <c r="M725" s="423"/>
      <c r="N725" s="423"/>
      <c r="O725" s="423"/>
      <c r="P725" s="423"/>
      <c r="Q725" s="423"/>
      <c r="R725" s="423"/>
      <c r="S725" s="423"/>
      <c r="T725" s="423"/>
      <c r="U725" s="423"/>
      <c r="V725" s="423"/>
      <c r="W725" s="423"/>
      <c r="X725" s="423"/>
      <c r="Y725" s="423"/>
      <c r="Z725" s="423"/>
      <c r="AA725" s="423"/>
      <c r="AB725" s="423"/>
      <c r="AC725" s="423"/>
      <c r="AD725" s="423"/>
      <c r="AE725" s="423"/>
      <c r="AF725" s="423"/>
      <c r="AG725" s="423"/>
      <c r="AH725" s="423"/>
      <c r="AI725" s="423"/>
    </row>
    <row r="726">
      <c r="A726" s="419"/>
      <c r="B726" s="419"/>
      <c r="C726" s="419"/>
      <c r="D726" s="419"/>
      <c r="E726" s="387"/>
      <c r="F726" s="387"/>
      <c r="G726" s="423"/>
      <c r="H726" s="423"/>
      <c r="I726" s="423"/>
      <c r="J726" s="423"/>
      <c r="K726" s="423"/>
      <c r="L726" s="423"/>
      <c r="M726" s="423"/>
      <c r="N726" s="423"/>
      <c r="O726" s="423"/>
      <c r="P726" s="423"/>
      <c r="Q726" s="423"/>
      <c r="R726" s="423"/>
      <c r="S726" s="423"/>
      <c r="T726" s="423"/>
      <c r="U726" s="423"/>
      <c r="V726" s="423"/>
      <c r="W726" s="423"/>
      <c r="X726" s="423"/>
      <c r="Y726" s="423"/>
      <c r="Z726" s="423"/>
      <c r="AA726" s="423"/>
      <c r="AB726" s="423"/>
      <c r="AC726" s="423"/>
      <c r="AD726" s="423"/>
      <c r="AE726" s="423"/>
      <c r="AF726" s="423"/>
      <c r="AG726" s="423"/>
      <c r="AH726" s="423"/>
      <c r="AI726" s="423"/>
    </row>
    <row r="727">
      <c r="A727" s="419"/>
      <c r="B727" s="419"/>
      <c r="C727" s="419"/>
      <c r="D727" s="419"/>
      <c r="E727" s="387"/>
      <c r="F727" s="387"/>
      <c r="G727" s="423"/>
      <c r="H727" s="423"/>
      <c r="I727" s="423"/>
      <c r="J727" s="423"/>
      <c r="K727" s="423"/>
      <c r="L727" s="423"/>
      <c r="M727" s="423"/>
      <c r="N727" s="423"/>
      <c r="O727" s="423"/>
      <c r="P727" s="423"/>
      <c r="Q727" s="423"/>
      <c r="R727" s="423"/>
      <c r="S727" s="423"/>
      <c r="T727" s="423"/>
      <c r="U727" s="423"/>
      <c r="V727" s="423"/>
      <c r="W727" s="423"/>
      <c r="X727" s="423"/>
      <c r="Y727" s="423"/>
      <c r="Z727" s="423"/>
      <c r="AA727" s="423"/>
      <c r="AB727" s="423"/>
      <c r="AC727" s="423"/>
      <c r="AD727" s="423"/>
      <c r="AE727" s="423"/>
      <c r="AF727" s="423"/>
      <c r="AG727" s="423"/>
      <c r="AH727" s="423"/>
      <c r="AI727" s="423"/>
    </row>
    <row r="728">
      <c r="A728" s="419"/>
      <c r="B728" s="419"/>
      <c r="C728" s="419"/>
      <c r="D728" s="419"/>
      <c r="E728" s="387"/>
      <c r="F728" s="387"/>
      <c r="G728" s="423"/>
      <c r="H728" s="423"/>
      <c r="I728" s="423"/>
      <c r="J728" s="423"/>
      <c r="K728" s="423"/>
      <c r="L728" s="423"/>
      <c r="M728" s="423"/>
      <c r="N728" s="423"/>
      <c r="O728" s="423"/>
      <c r="P728" s="423"/>
      <c r="Q728" s="423"/>
      <c r="R728" s="423"/>
      <c r="S728" s="423"/>
      <c r="T728" s="423"/>
      <c r="U728" s="423"/>
      <c r="V728" s="423"/>
      <c r="W728" s="423"/>
      <c r="X728" s="423"/>
      <c r="Y728" s="423"/>
      <c r="Z728" s="423"/>
      <c r="AA728" s="423"/>
      <c r="AB728" s="423"/>
      <c r="AC728" s="423"/>
      <c r="AD728" s="423"/>
      <c r="AE728" s="423"/>
      <c r="AF728" s="423"/>
      <c r="AG728" s="423"/>
      <c r="AH728" s="423"/>
      <c r="AI728" s="423"/>
    </row>
    <row r="729">
      <c r="A729" s="419"/>
      <c r="B729" s="419"/>
      <c r="C729" s="419"/>
      <c r="D729" s="419"/>
      <c r="E729" s="387"/>
      <c r="F729" s="387"/>
      <c r="G729" s="423"/>
      <c r="H729" s="423"/>
      <c r="I729" s="423"/>
      <c r="J729" s="423"/>
      <c r="K729" s="423"/>
      <c r="L729" s="423"/>
      <c r="M729" s="423"/>
      <c r="N729" s="423"/>
      <c r="O729" s="423"/>
      <c r="P729" s="423"/>
      <c r="Q729" s="423"/>
      <c r="R729" s="423"/>
      <c r="S729" s="423"/>
      <c r="T729" s="423"/>
      <c r="U729" s="423"/>
      <c r="V729" s="423"/>
      <c r="W729" s="423"/>
      <c r="X729" s="423"/>
      <c r="Y729" s="423"/>
      <c r="Z729" s="423"/>
      <c r="AA729" s="423"/>
      <c r="AB729" s="423"/>
      <c r="AC729" s="423"/>
      <c r="AD729" s="423"/>
      <c r="AE729" s="423"/>
      <c r="AF729" s="423"/>
      <c r="AG729" s="423"/>
      <c r="AH729" s="423"/>
      <c r="AI729" s="423"/>
    </row>
    <row r="730">
      <c r="A730" s="419"/>
      <c r="B730" s="419"/>
      <c r="C730" s="419"/>
      <c r="D730" s="419"/>
      <c r="E730" s="387"/>
      <c r="F730" s="387"/>
      <c r="G730" s="423"/>
      <c r="H730" s="423"/>
      <c r="I730" s="423"/>
      <c r="J730" s="423"/>
      <c r="K730" s="423"/>
      <c r="L730" s="423"/>
      <c r="M730" s="423"/>
      <c r="N730" s="423"/>
      <c r="O730" s="423"/>
      <c r="P730" s="423"/>
      <c r="Q730" s="423"/>
      <c r="R730" s="423"/>
      <c r="S730" s="423"/>
      <c r="T730" s="423"/>
      <c r="U730" s="423"/>
      <c r="V730" s="423"/>
      <c r="W730" s="423"/>
      <c r="X730" s="423"/>
      <c r="Y730" s="423"/>
      <c r="Z730" s="423"/>
      <c r="AA730" s="423"/>
      <c r="AB730" s="423"/>
      <c r="AC730" s="423"/>
      <c r="AD730" s="423"/>
      <c r="AE730" s="423"/>
      <c r="AF730" s="423"/>
      <c r="AG730" s="423"/>
      <c r="AH730" s="423"/>
      <c r="AI730" s="423"/>
    </row>
    <row r="731">
      <c r="A731" s="419"/>
      <c r="B731" s="419"/>
      <c r="C731" s="419"/>
      <c r="D731" s="419"/>
      <c r="E731" s="387"/>
      <c r="F731" s="387"/>
      <c r="G731" s="423"/>
      <c r="H731" s="423"/>
      <c r="I731" s="423"/>
      <c r="J731" s="423"/>
      <c r="K731" s="423"/>
      <c r="L731" s="423"/>
      <c r="M731" s="423"/>
      <c r="N731" s="423"/>
      <c r="O731" s="423"/>
      <c r="P731" s="423"/>
      <c r="Q731" s="423"/>
      <c r="R731" s="423"/>
      <c r="S731" s="423"/>
      <c r="T731" s="423"/>
      <c r="U731" s="423"/>
      <c r="V731" s="423"/>
      <c r="W731" s="423"/>
      <c r="X731" s="423"/>
      <c r="Y731" s="423"/>
      <c r="Z731" s="423"/>
      <c r="AA731" s="423"/>
      <c r="AB731" s="423"/>
      <c r="AC731" s="423"/>
      <c r="AD731" s="423"/>
      <c r="AE731" s="423"/>
      <c r="AF731" s="423"/>
      <c r="AG731" s="423"/>
      <c r="AH731" s="423"/>
      <c r="AI731" s="423"/>
    </row>
    <row r="732">
      <c r="A732" s="419"/>
      <c r="B732" s="419"/>
      <c r="C732" s="419"/>
      <c r="D732" s="419"/>
      <c r="E732" s="387"/>
      <c r="F732" s="387"/>
      <c r="G732" s="423"/>
      <c r="H732" s="423"/>
      <c r="I732" s="423"/>
      <c r="J732" s="423"/>
      <c r="K732" s="423"/>
      <c r="L732" s="423"/>
      <c r="M732" s="423"/>
      <c r="N732" s="423"/>
      <c r="O732" s="423"/>
      <c r="P732" s="423"/>
      <c r="Q732" s="423"/>
      <c r="R732" s="423"/>
      <c r="S732" s="423"/>
      <c r="T732" s="423"/>
      <c r="U732" s="423"/>
      <c r="V732" s="423"/>
      <c r="W732" s="423"/>
      <c r="X732" s="423"/>
      <c r="Y732" s="423"/>
      <c r="Z732" s="423"/>
      <c r="AA732" s="423"/>
      <c r="AB732" s="423"/>
      <c r="AC732" s="423"/>
      <c r="AD732" s="423"/>
      <c r="AE732" s="423"/>
      <c r="AF732" s="423"/>
      <c r="AG732" s="423"/>
      <c r="AH732" s="423"/>
      <c r="AI732" s="423"/>
    </row>
    <row r="733">
      <c r="A733" s="419"/>
      <c r="B733" s="419"/>
      <c r="C733" s="419"/>
      <c r="D733" s="419"/>
      <c r="E733" s="387"/>
      <c r="F733" s="387"/>
      <c r="G733" s="423"/>
      <c r="H733" s="423"/>
      <c r="I733" s="423"/>
      <c r="J733" s="423"/>
      <c r="K733" s="423"/>
      <c r="L733" s="423"/>
      <c r="M733" s="423"/>
      <c r="N733" s="423"/>
      <c r="O733" s="423"/>
      <c r="P733" s="423"/>
      <c r="Q733" s="423"/>
      <c r="R733" s="423"/>
      <c r="S733" s="423"/>
      <c r="T733" s="423"/>
      <c r="U733" s="423"/>
      <c r="V733" s="423"/>
      <c r="W733" s="423"/>
      <c r="X733" s="423"/>
      <c r="Y733" s="423"/>
      <c r="Z733" s="423"/>
      <c r="AA733" s="423"/>
      <c r="AB733" s="423"/>
      <c r="AC733" s="423"/>
      <c r="AD733" s="423"/>
      <c r="AE733" s="423"/>
      <c r="AF733" s="423"/>
      <c r="AG733" s="423"/>
      <c r="AH733" s="423"/>
      <c r="AI733" s="423"/>
    </row>
    <row r="734">
      <c r="A734" s="419"/>
      <c r="B734" s="419"/>
      <c r="C734" s="419"/>
      <c r="D734" s="419"/>
      <c r="E734" s="387"/>
      <c r="F734" s="387"/>
      <c r="G734" s="423"/>
      <c r="H734" s="423"/>
      <c r="I734" s="423"/>
      <c r="J734" s="423"/>
      <c r="K734" s="423"/>
      <c r="L734" s="423"/>
      <c r="M734" s="423"/>
      <c r="N734" s="423"/>
      <c r="O734" s="423"/>
      <c r="P734" s="423"/>
      <c r="Q734" s="423"/>
      <c r="R734" s="423"/>
      <c r="S734" s="423"/>
      <c r="T734" s="423"/>
      <c r="U734" s="423"/>
      <c r="V734" s="423"/>
      <c r="W734" s="423"/>
      <c r="X734" s="423"/>
      <c r="Y734" s="423"/>
      <c r="Z734" s="423"/>
      <c r="AA734" s="423"/>
      <c r="AB734" s="423"/>
      <c r="AC734" s="423"/>
      <c r="AD734" s="423"/>
      <c r="AE734" s="423"/>
      <c r="AF734" s="423"/>
      <c r="AG734" s="423"/>
      <c r="AH734" s="423"/>
      <c r="AI734" s="423"/>
    </row>
    <row r="735">
      <c r="A735" s="419"/>
      <c r="B735" s="419"/>
      <c r="C735" s="419"/>
      <c r="D735" s="419"/>
      <c r="E735" s="387"/>
      <c r="F735" s="387"/>
      <c r="G735" s="423"/>
      <c r="H735" s="423"/>
      <c r="I735" s="423"/>
      <c r="J735" s="423"/>
      <c r="K735" s="423"/>
      <c r="L735" s="423"/>
      <c r="M735" s="423"/>
      <c r="N735" s="423"/>
      <c r="O735" s="423"/>
      <c r="P735" s="423"/>
      <c r="Q735" s="423"/>
      <c r="R735" s="423"/>
      <c r="S735" s="423"/>
      <c r="T735" s="423"/>
      <c r="U735" s="423"/>
      <c r="V735" s="423"/>
      <c r="W735" s="423"/>
      <c r="X735" s="423"/>
      <c r="Y735" s="423"/>
      <c r="Z735" s="423"/>
      <c r="AA735" s="423"/>
      <c r="AB735" s="423"/>
      <c r="AC735" s="423"/>
      <c r="AD735" s="423"/>
      <c r="AE735" s="423"/>
      <c r="AF735" s="423"/>
      <c r="AG735" s="423"/>
      <c r="AH735" s="423"/>
      <c r="AI735" s="423"/>
    </row>
    <row r="736">
      <c r="A736" s="419"/>
      <c r="B736" s="419"/>
      <c r="C736" s="419"/>
      <c r="D736" s="419"/>
      <c r="E736" s="387"/>
      <c r="F736" s="387"/>
      <c r="G736" s="423"/>
      <c r="H736" s="423"/>
      <c r="I736" s="423"/>
      <c r="J736" s="423"/>
      <c r="K736" s="423"/>
      <c r="L736" s="423"/>
      <c r="M736" s="423"/>
      <c r="N736" s="423"/>
      <c r="O736" s="423"/>
      <c r="P736" s="423"/>
      <c r="Q736" s="423"/>
      <c r="R736" s="423"/>
      <c r="S736" s="423"/>
      <c r="T736" s="423"/>
      <c r="U736" s="423"/>
      <c r="V736" s="423"/>
      <c r="W736" s="423"/>
      <c r="X736" s="423"/>
      <c r="Y736" s="423"/>
      <c r="Z736" s="423"/>
      <c r="AA736" s="423"/>
      <c r="AB736" s="423"/>
      <c r="AC736" s="423"/>
      <c r="AD736" s="423"/>
      <c r="AE736" s="423"/>
      <c r="AF736" s="423"/>
      <c r="AG736" s="423"/>
      <c r="AH736" s="423"/>
      <c r="AI736" s="423"/>
    </row>
    <row r="737">
      <c r="A737" s="419"/>
      <c r="B737" s="419"/>
      <c r="C737" s="419"/>
      <c r="D737" s="419"/>
      <c r="E737" s="387"/>
      <c r="F737" s="387"/>
      <c r="G737" s="423"/>
      <c r="H737" s="423"/>
      <c r="I737" s="423"/>
      <c r="J737" s="423"/>
      <c r="K737" s="423"/>
      <c r="L737" s="423"/>
      <c r="M737" s="423"/>
      <c r="N737" s="423"/>
      <c r="O737" s="423"/>
      <c r="P737" s="423"/>
      <c r="Q737" s="423"/>
      <c r="R737" s="423"/>
      <c r="S737" s="423"/>
      <c r="T737" s="423"/>
      <c r="U737" s="423"/>
      <c r="V737" s="423"/>
      <c r="W737" s="423"/>
      <c r="X737" s="423"/>
      <c r="Y737" s="423"/>
      <c r="Z737" s="423"/>
      <c r="AA737" s="423"/>
      <c r="AB737" s="423"/>
      <c r="AC737" s="423"/>
      <c r="AD737" s="423"/>
      <c r="AE737" s="423"/>
      <c r="AF737" s="423"/>
      <c r="AG737" s="423"/>
      <c r="AH737" s="423"/>
      <c r="AI737" s="423"/>
    </row>
    <row r="738">
      <c r="A738" s="419"/>
      <c r="B738" s="419"/>
      <c r="C738" s="419"/>
      <c r="D738" s="419"/>
      <c r="E738" s="387"/>
      <c r="F738" s="387"/>
      <c r="G738" s="423"/>
      <c r="H738" s="423"/>
      <c r="I738" s="423"/>
      <c r="J738" s="423"/>
      <c r="K738" s="423"/>
      <c r="L738" s="423"/>
      <c r="M738" s="423"/>
      <c r="N738" s="423"/>
      <c r="O738" s="423"/>
      <c r="P738" s="423"/>
      <c r="Q738" s="423"/>
      <c r="R738" s="423"/>
      <c r="S738" s="423"/>
      <c r="T738" s="423"/>
      <c r="U738" s="423"/>
      <c r="V738" s="423"/>
      <c r="W738" s="423"/>
      <c r="X738" s="423"/>
      <c r="Y738" s="423"/>
      <c r="Z738" s="423"/>
      <c r="AA738" s="423"/>
      <c r="AB738" s="423"/>
      <c r="AC738" s="423"/>
      <c r="AD738" s="423"/>
      <c r="AE738" s="423"/>
      <c r="AF738" s="423"/>
      <c r="AG738" s="423"/>
      <c r="AH738" s="423"/>
      <c r="AI738" s="423"/>
    </row>
    <row r="739">
      <c r="A739" s="419"/>
      <c r="B739" s="419"/>
      <c r="C739" s="419"/>
      <c r="D739" s="419"/>
      <c r="E739" s="387"/>
      <c r="F739" s="387"/>
      <c r="G739" s="423"/>
      <c r="H739" s="423"/>
      <c r="I739" s="423"/>
      <c r="J739" s="423"/>
      <c r="K739" s="423"/>
      <c r="L739" s="423"/>
      <c r="M739" s="423"/>
      <c r="N739" s="423"/>
      <c r="O739" s="423"/>
      <c r="P739" s="423"/>
      <c r="Q739" s="423"/>
      <c r="R739" s="423"/>
      <c r="S739" s="423"/>
      <c r="T739" s="423"/>
      <c r="U739" s="423"/>
      <c r="V739" s="423"/>
      <c r="W739" s="423"/>
      <c r="X739" s="423"/>
      <c r="Y739" s="423"/>
      <c r="Z739" s="423"/>
      <c r="AA739" s="423"/>
      <c r="AB739" s="423"/>
      <c r="AC739" s="423"/>
      <c r="AD739" s="423"/>
      <c r="AE739" s="423"/>
      <c r="AF739" s="423"/>
      <c r="AG739" s="423"/>
      <c r="AH739" s="423"/>
      <c r="AI739" s="423"/>
    </row>
    <row r="740">
      <c r="A740" s="419"/>
      <c r="B740" s="419"/>
      <c r="C740" s="419"/>
      <c r="D740" s="419"/>
      <c r="E740" s="387"/>
      <c r="F740" s="387"/>
      <c r="G740" s="423"/>
      <c r="H740" s="423"/>
      <c r="I740" s="423"/>
      <c r="J740" s="423"/>
      <c r="K740" s="423"/>
      <c r="L740" s="423"/>
      <c r="M740" s="423"/>
      <c r="N740" s="423"/>
      <c r="O740" s="423"/>
      <c r="P740" s="423"/>
      <c r="Q740" s="423"/>
      <c r="R740" s="423"/>
      <c r="S740" s="423"/>
      <c r="T740" s="423"/>
      <c r="U740" s="423"/>
      <c r="V740" s="423"/>
      <c r="W740" s="423"/>
      <c r="X740" s="423"/>
      <c r="Y740" s="423"/>
      <c r="Z740" s="423"/>
      <c r="AA740" s="423"/>
      <c r="AB740" s="423"/>
      <c r="AC740" s="423"/>
      <c r="AD740" s="423"/>
      <c r="AE740" s="423"/>
      <c r="AF740" s="423"/>
      <c r="AG740" s="423"/>
      <c r="AH740" s="423"/>
      <c r="AI740" s="423"/>
    </row>
    <row r="741">
      <c r="A741" s="419"/>
      <c r="B741" s="419"/>
      <c r="C741" s="419"/>
      <c r="D741" s="419"/>
      <c r="E741" s="387"/>
      <c r="F741" s="387"/>
      <c r="G741" s="423"/>
      <c r="H741" s="423"/>
      <c r="I741" s="423"/>
      <c r="J741" s="423"/>
      <c r="K741" s="423"/>
      <c r="L741" s="423"/>
      <c r="M741" s="423"/>
      <c r="N741" s="423"/>
      <c r="O741" s="423"/>
      <c r="P741" s="423"/>
      <c r="Q741" s="423"/>
      <c r="R741" s="423"/>
      <c r="S741" s="423"/>
      <c r="T741" s="423"/>
      <c r="U741" s="423"/>
      <c r="V741" s="423"/>
      <c r="W741" s="423"/>
      <c r="X741" s="423"/>
      <c r="Y741" s="423"/>
      <c r="Z741" s="423"/>
      <c r="AA741" s="423"/>
      <c r="AB741" s="423"/>
      <c r="AC741" s="423"/>
      <c r="AD741" s="423"/>
      <c r="AE741" s="423"/>
      <c r="AF741" s="423"/>
      <c r="AG741" s="423"/>
      <c r="AH741" s="423"/>
      <c r="AI741" s="423"/>
    </row>
    <row r="742">
      <c r="A742" s="419"/>
      <c r="B742" s="419"/>
      <c r="C742" s="419"/>
      <c r="D742" s="419"/>
      <c r="E742" s="387"/>
      <c r="F742" s="387"/>
      <c r="G742" s="423"/>
      <c r="H742" s="423"/>
      <c r="I742" s="423"/>
      <c r="J742" s="423"/>
      <c r="K742" s="423"/>
      <c r="L742" s="423"/>
      <c r="M742" s="423"/>
      <c r="N742" s="423"/>
      <c r="O742" s="423"/>
      <c r="P742" s="423"/>
      <c r="Q742" s="423"/>
      <c r="R742" s="423"/>
      <c r="S742" s="423"/>
      <c r="T742" s="423"/>
      <c r="U742" s="423"/>
      <c r="V742" s="423"/>
      <c r="W742" s="423"/>
      <c r="X742" s="423"/>
      <c r="Y742" s="423"/>
      <c r="Z742" s="423"/>
      <c r="AA742" s="423"/>
      <c r="AB742" s="423"/>
      <c r="AC742" s="423"/>
      <c r="AD742" s="423"/>
      <c r="AE742" s="423"/>
      <c r="AF742" s="423"/>
      <c r="AG742" s="423"/>
      <c r="AH742" s="423"/>
      <c r="AI742" s="423"/>
    </row>
    <row r="743">
      <c r="A743" s="419"/>
      <c r="B743" s="419"/>
      <c r="C743" s="419"/>
      <c r="D743" s="419"/>
      <c r="E743" s="387"/>
      <c r="F743" s="387"/>
      <c r="G743" s="423"/>
      <c r="H743" s="423"/>
      <c r="I743" s="423"/>
      <c r="J743" s="423"/>
      <c r="K743" s="423"/>
      <c r="L743" s="423"/>
      <c r="M743" s="423"/>
      <c r="N743" s="423"/>
      <c r="O743" s="423"/>
      <c r="P743" s="423"/>
      <c r="Q743" s="423"/>
      <c r="R743" s="423"/>
      <c r="S743" s="423"/>
      <c r="T743" s="423"/>
      <c r="U743" s="423"/>
      <c r="V743" s="423"/>
      <c r="W743" s="423"/>
      <c r="X743" s="423"/>
      <c r="Y743" s="423"/>
      <c r="Z743" s="423"/>
      <c r="AA743" s="423"/>
      <c r="AB743" s="423"/>
      <c r="AC743" s="423"/>
      <c r="AD743" s="423"/>
      <c r="AE743" s="423"/>
      <c r="AF743" s="423"/>
      <c r="AG743" s="423"/>
      <c r="AH743" s="423"/>
      <c r="AI743" s="423"/>
    </row>
    <row r="744">
      <c r="A744" s="419"/>
      <c r="B744" s="419"/>
      <c r="C744" s="419"/>
      <c r="D744" s="419"/>
      <c r="E744" s="387"/>
      <c r="F744" s="387"/>
      <c r="G744" s="423"/>
      <c r="H744" s="423"/>
      <c r="I744" s="423"/>
      <c r="J744" s="423"/>
      <c r="K744" s="423"/>
      <c r="L744" s="423"/>
      <c r="M744" s="423"/>
      <c r="N744" s="423"/>
      <c r="O744" s="423"/>
      <c r="P744" s="423"/>
      <c r="Q744" s="423"/>
      <c r="R744" s="423"/>
      <c r="S744" s="423"/>
      <c r="T744" s="423"/>
      <c r="U744" s="423"/>
      <c r="V744" s="423"/>
      <c r="W744" s="423"/>
      <c r="X744" s="423"/>
      <c r="Y744" s="423"/>
      <c r="Z744" s="423"/>
      <c r="AA744" s="423"/>
      <c r="AB744" s="423"/>
      <c r="AC744" s="423"/>
      <c r="AD744" s="423"/>
      <c r="AE744" s="423"/>
      <c r="AF744" s="423"/>
      <c r="AG744" s="423"/>
      <c r="AH744" s="423"/>
      <c r="AI744" s="423"/>
    </row>
    <row r="745">
      <c r="A745" s="419"/>
      <c r="B745" s="419"/>
      <c r="C745" s="419"/>
      <c r="D745" s="419"/>
      <c r="E745" s="387"/>
      <c r="F745" s="387"/>
      <c r="G745" s="423"/>
      <c r="H745" s="423"/>
      <c r="I745" s="423"/>
      <c r="J745" s="423"/>
      <c r="K745" s="423"/>
      <c r="L745" s="423"/>
      <c r="M745" s="423"/>
      <c r="N745" s="423"/>
      <c r="O745" s="423"/>
      <c r="P745" s="423"/>
      <c r="Q745" s="423"/>
      <c r="R745" s="423"/>
      <c r="S745" s="423"/>
      <c r="T745" s="423"/>
      <c r="U745" s="423"/>
      <c r="V745" s="423"/>
      <c r="W745" s="423"/>
      <c r="X745" s="423"/>
      <c r="Y745" s="423"/>
      <c r="Z745" s="423"/>
      <c r="AA745" s="423"/>
      <c r="AB745" s="423"/>
      <c r="AC745" s="423"/>
      <c r="AD745" s="423"/>
      <c r="AE745" s="423"/>
      <c r="AF745" s="423"/>
      <c r="AG745" s="423"/>
      <c r="AH745" s="423"/>
      <c r="AI745" s="423"/>
    </row>
    <row r="746">
      <c r="A746" s="419"/>
      <c r="B746" s="419"/>
      <c r="C746" s="419"/>
      <c r="D746" s="419"/>
      <c r="E746" s="387"/>
      <c r="F746" s="387"/>
      <c r="G746" s="423"/>
      <c r="H746" s="423"/>
      <c r="I746" s="423"/>
      <c r="J746" s="423"/>
      <c r="K746" s="423"/>
      <c r="L746" s="423"/>
      <c r="M746" s="423"/>
      <c r="N746" s="423"/>
      <c r="O746" s="423"/>
      <c r="P746" s="423"/>
      <c r="Q746" s="423"/>
      <c r="R746" s="423"/>
      <c r="S746" s="423"/>
      <c r="T746" s="423"/>
      <c r="U746" s="423"/>
      <c r="V746" s="423"/>
      <c r="W746" s="423"/>
      <c r="X746" s="423"/>
      <c r="Y746" s="423"/>
      <c r="Z746" s="423"/>
      <c r="AA746" s="423"/>
      <c r="AB746" s="423"/>
      <c r="AC746" s="423"/>
      <c r="AD746" s="423"/>
      <c r="AE746" s="423"/>
      <c r="AF746" s="423"/>
      <c r="AG746" s="423"/>
      <c r="AH746" s="423"/>
      <c r="AI746" s="423"/>
    </row>
    <row r="747">
      <c r="A747" s="419"/>
      <c r="B747" s="419"/>
      <c r="C747" s="419"/>
      <c r="D747" s="419"/>
      <c r="E747" s="387"/>
      <c r="F747" s="387"/>
      <c r="G747" s="423"/>
      <c r="H747" s="423"/>
      <c r="I747" s="423"/>
      <c r="J747" s="423"/>
      <c r="K747" s="423"/>
      <c r="L747" s="423"/>
      <c r="M747" s="423"/>
      <c r="N747" s="423"/>
      <c r="O747" s="423"/>
      <c r="P747" s="423"/>
      <c r="Q747" s="423"/>
      <c r="R747" s="423"/>
      <c r="S747" s="423"/>
      <c r="T747" s="423"/>
      <c r="U747" s="423"/>
      <c r="V747" s="423"/>
      <c r="W747" s="423"/>
      <c r="X747" s="423"/>
      <c r="Y747" s="423"/>
      <c r="Z747" s="423"/>
      <c r="AA747" s="423"/>
      <c r="AB747" s="423"/>
      <c r="AC747" s="423"/>
      <c r="AD747" s="423"/>
      <c r="AE747" s="423"/>
      <c r="AF747" s="423"/>
      <c r="AG747" s="423"/>
      <c r="AH747" s="423"/>
      <c r="AI747" s="423"/>
    </row>
    <row r="748">
      <c r="A748" s="419"/>
      <c r="B748" s="419"/>
      <c r="C748" s="419"/>
      <c r="D748" s="419"/>
      <c r="E748" s="387"/>
      <c r="F748" s="387"/>
      <c r="G748" s="423"/>
      <c r="H748" s="423"/>
      <c r="I748" s="423"/>
      <c r="J748" s="423"/>
      <c r="K748" s="423"/>
      <c r="L748" s="423"/>
      <c r="M748" s="423"/>
      <c r="N748" s="423"/>
      <c r="O748" s="423"/>
      <c r="P748" s="423"/>
      <c r="Q748" s="423"/>
      <c r="R748" s="423"/>
      <c r="S748" s="423"/>
      <c r="T748" s="423"/>
      <c r="U748" s="423"/>
      <c r="V748" s="423"/>
      <c r="W748" s="423"/>
      <c r="X748" s="423"/>
      <c r="Y748" s="423"/>
      <c r="Z748" s="423"/>
      <c r="AA748" s="423"/>
      <c r="AB748" s="423"/>
      <c r="AC748" s="423"/>
      <c r="AD748" s="423"/>
      <c r="AE748" s="423"/>
      <c r="AF748" s="423"/>
      <c r="AG748" s="423"/>
      <c r="AH748" s="423"/>
      <c r="AI748" s="423"/>
    </row>
    <row r="749">
      <c r="A749" s="419"/>
      <c r="B749" s="419"/>
      <c r="C749" s="419"/>
      <c r="D749" s="419"/>
      <c r="E749" s="387"/>
      <c r="F749" s="387"/>
      <c r="G749" s="423"/>
      <c r="H749" s="423"/>
      <c r="I749" s="423"/>
      <c r="J749" s="423"/>
      <c r="K749" s="423"/>
      <c r="L749" s="423"/>
      <c r="M749" s="423"/>
      <c r="N749" s="423"/>
      <c r="O749" s="423"/>
      <c r="P749" s="423"/>
      <c r="Q749" s="423"/>
      <c r="R749" s="423"/>
      <c r="S749" s="423"/>
      <c r="T749" s="423"/>
      <c r="U749" s="423"/>
      <c r="V749" s="423"/>
      <c r="W749" s="423"/>
      <c r="X749" s="423"/>
      <c r="Y749" s="423"/>
      <c r="Z749" s="423"/>
      <c r="AA749" s="423"/>
      <c r="AB749" s="423"/>
      <c r="AC749" s="423"/>
      <c r="AD749" s="423"/>
      <c r="AE749" s="423"/>
      <c r="AF749" s="423"/>
      <c r="AG749" s="423"/>
      <c r="AH749" s="423"/>
      <c r="AI749" s="423"/>
    </row>
    <row r="750">
      <c r="A750" s="419"/>
      <c r="B750" s="419"/>
      <c r="C750" s="419"/>
      <c r="D750" s="419"/>
      <c r="E750" s="387"/>
      <c r="F750" s="387"/>
      <c r="G750" s="423"/>
      <c r="H750" s="423"/>
      <c r="I750" s="423"/>
      <c r="J750" s="423"/>
      <c r="K750" s="423"/>
      <c r="L750" s="423"/>
      <c r="M750" s="423"/>
      <c r="N750" s="423"/>
      <c r="O750" s="423"/>
      <c r="P750" s="423"/>
      <c r="Q750" s="423"/>
      <c r="R750" s="423"/>
      <c r="S750" s="423"/>
      <c r="T750" s="423"/>
      <c r="U750" s="423"/>
      <c r="V750" s="423"/>
      <c r="W750" s="423"/>
      <c r="X750" s="423"/>
      <c r="Y750" s="423"/>
      <c r="Z750" s="423"/>
      <c r="AA750" s="423"/>
      <c r="AB750" s="423"/>
      <c r="AC750" s="423"/>
      <c r="AD750" s="423"/>
      <c r="AE750" s="423"/>
      <c r="AF750" s="423"/>
      <c r="AG750" s="423"/>
      <c r="AH750" s="423"/>
      <c r="AI750" s="423"/>
    </row>
    <row r="751">
      <c r="A751" s="419"/>
      <c r="B751" s="419"/>
      <c r="C751" s="419"/>
      <c r="D751" s="419"/>
      <c r="E751" s="387"/>
      <c r="F751" s="387"/>
      <c r="G751" s="423"/>
      <c r="H751" s="423"/>
      <c r="I751" s="423"/>
      <c r="J751" s="423"/>
      <c r="K751" s="423"/>
      <c r="L751" s="423"/>
      <c r="M751" s="423"/>
      <c r="N751" s="423"/>
      <c r="O751" s="423"/>
      <c r="P751" s="423"/>
      <c r="Q751" s="423"/>
      <c r="R751" s="423"/>
      <c r="S751" s="423"/>
      <c r="T751" s="423"/>
      <c r="U751" s="423"/>
      <c r="V751" s="423"/>
      <c r="W751" s="423"/>
      <c r="X751" s="423"/>
      <c r="Y751" s="423"/>
      <c r="Z751" s="423"/>
      <c r="AA751" s="423"/>
      <c r="AB751" s="423"/>
      <c r="AC751" s="423"/>
      <c r="AD751" s="423"/>
      <c r="AE751" s="423"/>
      <c r="AF751" s="423"/>
      <c r="AG751" s="423"/>
      <c r="AH751" s="423"/>
      <c r="AI751" s="423"/>
    </row>
    <row r="752">
      <c r="A752" s="419"/>
      <c r="B752" s="419"/>
      <c r="C752" s="419"/>
      <c r="D752" s="419"/>
      <c r="E752" s="387"/>
      <c r="F752" s="387"/>
      <c r="G752" s="423"/>
      <c r="H752" s="423"/>
      <c r="I752" s="423"/>
      <c r="J752" s="423"/>
      <c r="K752" s="423"/>
      <c r="L752" s="423"/>
      <c r="M752" s="423"/>
      <c r="N752" s="423"/>
      <c r="O752" s="423"/>
      <c r="P752" s="423"/>
      <c r="Q752" s="423"/>
      <c r="R752" s="423"/>
      <c r="S752" s="423"/>
      <c r="T752" s="423"/>
      <c r="U752" s="423"/>
      <c r="V752" s="423"/>
      <c r="W752" s="423"/>
      <c r="X752" s="423"/>
      <c r="Y752" s="423"/>
      <c r="Z752" s="423"/>
      <c r="AA752" s="423"/>
      <c r="AB752" s="423"/>
      <c r="AC752" s="423"/>
      <c r="AD752" s="423"/>
      <c r="AE752" s="423"/>
      <c r="AF752" s="423"/>
      <c r="AG752" s="423"/>
      <c r="AH752" s="423"/>
      <c r="AI752" s="423"/>
    </row>
    <row r="753">
      <c r="A753" s="419"/>
      <c r="B753" s="419"/>
      <c r="C753" s="419"/>
      <c r="D753" s="419"/>
      <c r="E753" s="387"/>
      <c r="F753" s="387"/>
      <c r="G753" s="423"/>
      <c r="H753" s="423"/>
      <c r="I753" s="423"/>
      <c r="J753" s="423"/>
      <c r="K753" s="423"/>
      <c r="L753" s="423"/>
      <c r="M753" s="423"/>
      <c r="N753" s="423"/>
      <c r="O753" s="423"/>
      <c r="P753" s="423"/>
      <c r="Q753" s="423"/>
      <c r="R753" s="423"/>
      <c r="S753" s="423"/>
      <c r="T753" s="423"/>
      <c r="U753" s="423"/>
      <c r="V753" s="423"/>
      <c r="W753" s="423"/>
      <c r="X753" s="423"/>
      <c r="Y753" s="423"/>
      <c r="Z753" s="423"/>
      <c r="AA753" s="423"/>
      <c r="AB753" s="423"/>
      <c r="AC753" s="423"/>
      <c r="AD753" s="423"/>
      <c r="AE753" s="423"/>
      <c r="AF753" s="423"/>
      <c r="AG753" s="423"/>
      <c r="AH753" s="423"/>
      <c r="AI753" s="423"/>
    </row>
    <row r="754">
      <c r="A754" s="419"/>
      <c r="B754" s="419"/>
      <c r="C754" s="419"/>
      <c r="D754" s="419"/>
      <c r="E754" s="387"/>
      <c r="F754" s="387"/>
      <c r="G754" s="423"/>
      <c r="H754" s="423"/>
      <c r="I754" s="423"/>
      <c r="J754" s="423"/>
      <c r="K754" s="423"/>
      <c r="L754" s="423"/>
      <c r="M754" s="423"/>
      <c r="N754" s="423"/>
      <c r="O754" s="423"/>
      <c r="P754" s="423"/>
      <c r="Q754" s="423"/>
      <c r="R754" s="423"/>
      <c r="S754" s="423"/>
      <c r="T754" s="423"/>
      <c r="U754" s="423"/>
      <c r="V754" s="423"/>
      <c r="W754" s="423"/>
      <c r="X754" s="423"/>
      <c r="Y754" s="423"/>
      <c r="Z754" s="423"/>
      <c r="AA754" s="423"/>
      <c r="AB754" s="423"/>
      <c r="AC754" s="423"/>
      <c r="AD754" s="423"/>
      <c r="AE754" s="423"/>
      <c r="AF754" s="423"/>
      <c r="AG754" s="423"/>
      <c r="AH754" s="423"/>
      <c r="AI754" s="423"/>
    </row>
    <row r="755">
      <c r="A755" s="419"/>
      <c r="B755" s="419"/>
      <c r="C755" s="419"/>
      <c r="D755" s="419"/>
      <c r="E755" s="387"/>
      <c r="F755" s="387"/>
      <c r="G755" s="423"/>
      <c r="H755" s="423"/>
      <c r="I755" s="423"/>
      <c r="J755" s="423"/>
      <c r="K755" s="423"/>
      <c r="L755" s="423"/>
      <c r="M755" s="423"/>
      <c r="N755" s="423"/>
      <c r="O755" s="423"/>
      <c r="P755" s="423"/>
      <c r="Q755" s="423"/>
      <c r="R755" s="423"/>
      <c r="S755" s="423"/>
      <c r="T755" s="423"/>
      <c r="U755" s="423"/>
      <c r="V755" s="423"/>
      <c r="W755" s="423"/>
      <c r="X755" s="423"/>
      <c r="Y755" s="423"/>
      <c r="Z755" s="423"/>
      <c r="AA755" s="423"/>
      <c r="AB755" s="423"/>
      <c r="AC755" s="423"/>
      <c r="AD755" s="423"/>
      <c r="AE755" s="423"/>
      <c r="AF755" s="423"/>
      <c r="AG755" s="423"/>
      <c r="AH755" s="423"/>
      <c r="AI755" s="423"/>
    </row>
    <row r="756">
      <c r="A756" s="419"/>
      <c r="B756" s="419"/>
      <c r="C756" s="419"/>
      <c r="D756" s="419"/>
      <c r="E756" s="387"/>
      <c r="F756" s="387"/>
      <c r="G756" s="423"/>
      <c r="H756" s="423"/>
      <c r="I756" s="423"/>
      <c r="J756" s="423"/>
      <c r="K756" s="423"/>
      <c r="L756" s="423"/>
      <c r="M756" s="423"/>
      <c r="N756" s="423"/>
      <c r="O756" s="423"/>
      <c r="P756" s="423"/>
      <c r="Q756" s="423"/>
      <c r="R756" s="423"/>
      <c r="S756" s="423"/>
      <c r="T756" s="423"/>
      <c r="U756" s="423"/>
      <c r="V756" s="423"/>
      <c r="W756" s="423"/>
      <c r="X756" s="423"/>
      <c r="Y756" s="423"/>
      <c r="Z756" s="423"/>
      <c r="AA756" s="423"/>
      <c r="AB756" s="423"/>
      <c r="AC756" s="423"/>
      <c r="AD756" s="423"/>
      <c r="AE756" s="423"/>
      <c r="AF756" s="423"/>
      <c r="AG756" s="423"/>
      <c r="AH756" s="423"/>
      <c r="AI756" s="423"/>
    </row>
    <row r="757">
      <c r="A757" s="419"/>
      <c r="B757" s="419"/>
      <c r="C757" s="419"/>
      <c r="D757" s="419"/>
      <c r="E757" s="387"/>
      <c r="F757" s="387"/>
      <c r="G757" s="423"/>
      <c r="H757" s="423"/>
      <c r="I757" s="423"/>
      <c r="J757" s="423"/>
      <c r="K757" s="423"/>
      <c r="L757" s="423"/>
      <c r="M757" s="423"/>
      <c r="N757" s="423"/>
      <c r="O757" s="423"/>
      <c r="P757" s="423"/>
      <c r="Q757" s="423"/>
      <c r="R757" s="423"/>
      <c r="S757" s="423"/>
      <c r="T757" s="423"/>
      <c r="U757" s="423"/>
      <c r="V757" s="423"/>
      <c r="W757" s="423"/>
      <c r="X757" s="423"/>
      <c r="Y757" s="423"/>
      <c r="Z757" s="423"/>
      <c r="AA757" s="423"/>
      <c r="AB757" s="423"/>
      <c r="AC757" s="423"/>
      <c r="AD757" s="423"/>
      <c r="AE757" s="423"/>
      <c r="AF757" s="423"/>
      <c r="AG757" s="423"/>
      <c r="AH757" s="423"/>
      <c r="AI757" s="423"/>
    </row>
    <row r="758">
      <c r="A758" s="419"/>
      <c r="B758" s="419"/>
      <c r="C758" s="419"/>
      <c r="D758" s="419"/>
      <c r="E758" s="387"/>
      <c r="F758" s="387"/>
      <c r="G758" s="423"/>
      <c r="H758" s="423"/>
      <c r="I758" s="423"/>
      <c r="J758" s="423"/>
      <c r="K758" s="423"/>
      <c r="L758" s="423"/>
      <c r="M758" s="423"/>
      <c r="N758" s="423"/>
      <c r="O758" s="423"/>
      <c r="P758" s="423"/>
      <c r="Q758" s="423"/>
      <c r="R758" s="423"/>
      <c r="S758" s="423"/>
      <c r="T758" s="423"/>
      <c r="U758" s="423"/>
      <c r="V758" s="423"/>
      <c r="W758" s="423"/>
      <c r="X758" s="423"/>
      <c r="Y758" s="423"/>
      <c r="Z758" s="423"/>
      <c r="AA758" s="423"/>
      <c r="AB758" s="423"/>
      <c r="AC758" s="423"/>
      <c r="AD758" s="423"/>
      <c r="AE758" s="423"/>
      <c r="AF758" s="423"/>
      <c r="AG758" s="423"/>
      <c r="AH758" s="423"/>
      <c r="AI758" s="423"/>
    </row>
    <row r="759">
      <c r="A759" s="419"/>
      <c r="B759" s="419"/>
      <c r="C759" s="419"/>
      <c r="D759" s="419"/>
      <c r="E759" s="387"/>
      <c r="F759" s="387"/>
      <c r="G759" s="423"/>
      <c r="H759" s="423"/>
      <c r="I759" s="423"/>
      <c r="J759" s="423"/>
      <c r="K759" s="423"/>
      <c r="L759" s="423"/>
      <c r="M759" s="423"/>
      <c r="N759" s="423"/>
      <c r="O759" s="423"/>
      <c r="P759" s="423"/>
      <c r="Q759" s="423"/>
      <c r="R759" s="423"/>
      <c r="S759" s="423"/>
      <c r="T759" s="423"/>
      <c r="U759" s="423"/>
      <c r="V759" s="423"/>
      <c r="W759" s="423"/>
      <c r="X759" s="423"/>
      <c r="Y759" s="423"/>
      <c r="Z759" s="423"/>
      <c r="AA759" s="423"/>
      <c r="AB759" s="423"/>
      <c r="AC759" s="423"/>
      <c r="AD759" s="423"/>
      <c r="AE759" s="423"/>
      <c r="AF759" s="423"/>
      <c r="AG759" s="423"/>
      <c r="AH759" s="423"/>
      <c r="AI759" s="423"/>
    </row>
    <row r="760">
      <c r="A760" s="419"/>
      <c r="B760" s="419"/>
      <c r="C760" s="419"/>
      <c r="D760" s="419"/>
      <c r="E760" s="387"/>
      <c r="F760" s="387"/>
      <c r="G760" s="423"/>
      <c r="H760" s="423"/>
      <c r="I760" s="423"/>
      <c r="J760" s="423"/>
      <c r="K760" s="423"/>
      <c r="L760" s="423"/>
      <c r="M760" s="423"/>
      <c r="N760" s="423"/>
      <c r="O760" s="423"/>
      <c r="P760" s="423"/>
      <c r="Q760" s="423"/>
      <c r="R760" s="423"/>
      <c r="S760" s="423"/>
      <c r="T760" s="423"/>
      <c r="U760" s="423"/>
      <c r="V760" s="423"/>
      <c r="W760" s="423"/>
      <c r="X760" s="423"/>
      <c r="Y760" s="423"/>
      <c r="Z760" s="423"/>
      <c r="AA760" s="423"/>
      <c r="AB760" s="423"/>
      <c r="AC760" s="423"/>
      <c r="AD760" s="423"/>
      <c r="AE760" s="423"/>
      <c r="AF760" s="423"/>
      <c r="AG760" s="423"/>
      <c r="AH760" s="423"/>
      <c r="AI760" s="423"/>
    </row>
    <row r="761">
      <c r="A761" s="419"/>
      <c r="B761" s="419"/>
      <c r="C761" s="419"/>
      <c r="D761" s="419"/>
      <c r="E761" s="387"/>
      <c r="F761" s="387"/>
      <c r="G761" s="423"/>
      <c r="H761" s="423"/>
      <c r="I761" s="423"/>
      <c r="J761" s="423"/>
      <c r="K761" s="423"/>
      <c r="L761" s="423"/>
      <c r="M761" s="423"/>
      <c r="N761" s="423"/>
      <c r="O761" s="423"/>
      <c r="P761" s="423"/>
      <c r="Q761" s="423"/>
      <c r="R761" s="423"/>
      <c r="S761" s="423"/>
      <c r="T761" s="423"/>
      <c r="U761" s="423"/>
      <c r="V761" s="423"/>
      <c r="W761" s="423"/>
      <c r="X761" s="423"/>
      <c r="Y761" s="423"/>
      <c r="Z761" s="423"/>
      <c r="AA761" s="423"/>
      <c r="AB761" s="423"/>
      <c r="AC761" s="423"/>
      <c r="AD761" s="423"/>
      <c r="AE761" s="423"/>
      <c r="AF761" s="423"/>
      <c r="AG761" s="423"/>
      <c r="AH761" s="423"/>
      <c r="AI761" s="423"/>
    </row>
    <row r="762">
      <c r="A762" s="419"/>
      <c r="B762" s="419"/>
      <c r="C762" s="419"/>
      <c r="D762" s="419"/>
      <c r="E762" s="387"/>
      <c r="F762" s="387"/>
      <c r="G762" s="423"/>
      <c r="H762" s="423"/>
      <c r="I762" s="423"/>
      <c r="J762" s="423"/>
      <c r="K762" s="423"/>
      <c r="L762" s="423"/>
      <c r="M762" s="423"/>
      <c r="N762" s="423"/>
      <c r="O762" s="423"/>
      <c r="P762" s="423"/>
      <c r="Q762" s="423"/>
      <c r="R762" s="423"/>
      <c r="S762" s="423"/>
      <c r="T762" s="423"/>
      <c r="U762" s="423"/>
      <c r="V762" s="423"/>
      <c r="W762" s="423"/>
      <c r="X762" s="423"/>
      <c r="Y762" s="423"/>
      <c r="Z762" s="423"/>
      <c r="AA762" s="423"/>
      <c r="AB762" s="423"/>
      <c r="AC762" s="423"/>
      <c r="AD762" s="423"/>
      <c r="AE762" s="423"/>
      <c r="AF762" s="423"/>
      <c r="AG762" s="423"/>
      <c r="AH762" s="423"/>
      <c r="AI762" s="423"/>
    </row>
    <row r="763">
      <c r="A763" s="419"/>
      <c r="B763" s="419"/>
      <c r="C763" s="419"/>
      <c r="D763" s="419"/>
      <c r="E763" s="387"/>
      <c r="F763" s="387"/>
      <c r="G763" s="423"/>
      <c r="H763" s="423"/>
      <c r="I763" s="423"/>
      <c r="J763" s="423"/>
      <c r="K763" s="423"/>
      <c r="L763" s="423"/>
      <c r="M763" s="423"/>
      <c r="N763" s="423"/>
      <c r="O763" s="423"/>
      <c r="P763" s="423"/>
      <c r="Q763" s="423"/>
      <c r="R763" s="423"/>
      <c r="S763" s="423"/>
      <c r="T763" s="423"/>
      <c r="U763" s="423"/>
      <c r="V763" s="423"/>
      <c r="W763" s="423"/>
      <c r="X763" s="423"/>
      <c r="Y763" s="423"/>
      <c r="Z763" s="423"/>
      <c r="AA763" s="423"/>
      <c r="AB763" s="423"/>
      <c r="AC763" s="423"/>
      <c r="AD763" s="423"/>
      <c r="AE763" s="423"/>
      <c r="AF763" s="423"/>
      <c r="AG763" s="423"/>
      <c r="AH763" s="423"/>
      <c r="AI763" s="423"/>
    </row>
    <row r="764">
      <c r="A764" s="419"/>
      <c r="B764" s="419"/>
      <c r="C764" s="419"/>
      <c r="D764" s="419"/>
      <c r="E764" s="387"/>
      <c r="F764" s="387"/>
      <c r="G764" s="423"/>
      <c r="H764" s="423"/>
      <c r="I764" s="423"/>
      <c r="J764" s="423"/>
      <c r="K764" s="423"/>
      <c r="L764" s="423"/>
      <c r="M764" s="423"/>
      <c r="N764" s="423"/>
      <c r="O764" s="423"/>
      <c r="P764" s="423"/>
      <c r="Q764" s="423"/>
      <c r="R764" s="423"/>
      <c r="S764" s="423"/>
      <c r="T764" s="423"/>
      <c r="U764" s="423"/>
      <c r="V764" s="423"/>
      <c r="W764" s="423"/>
      <c r="X764" s="423"/>
      <c r="Y764" s="423"/>
      <c r="Z764" s="423"/>
      <c r="AA764" s="423"/>
      <c r="AB764" s="423"/>
      <c r="AC764" s="423"/>
      <c r="AD764" s="423"/>
      <c r="AE764" s="423"/>
      <c r="AF764" s="423"/>
      <c r="AG764" s="423"/>
      <c r="AH764" s="423"/>
      <c r="AI764" s="423"/>
    </row>
    <row r="765">
      <c r="A765" s="419"/>
      <c r="B765" s="419"/>
      <c r="C765" s="419"/>
      <c r="D765" s="419"/>
      <c r="E765" s="387"/>
      <c r="F765" s="387"/>
      <c r="G765" s="423"/>
      <c r="H765" s="423"/>
      <c r="I765" s="423"/>
      <c r="J765" s="423"/>
      <c r="K765" s="423"/>
      <c r="L765" s="423"/>
      <c r="M765" s="423"/>
      <c r="N765" s="423"/>
      <c r="O765" s="423"/>
      <c r="P765" s="423"/>
      <c r="Q765" s="423"/>
      <c r="R765" s="423"/>
      <c r="S765" s="423"/>
      <c r="T765" s="423"/>
      <c r="U765" s="423"/>
      <c r="V765" s="423"/>
      <c r="W765" s="423"/>
      <c r="X765" s="423"/>
      <c r="Y765" s="423"/>
      <c r="Z765" s="423"/>
      <c r="AA765" s="423"/>
      <c r="AB765" s="423"/>
      <c r="AC765" s="423"/>
      <c r="AD765" s="423"/>
      <c r="AE765" s="423"/>
      <c r="AF765" s="423"/>
      <c r="AG765" s="423"/>
      <c r="AH765" s="423"/>
      <c r="AI765" s="423"/>
    </row>
    <row r="766">
      <c r="A766" s="419"/>
      <c r="B766" s="419"/>
      <c r="C766" s="419"/>
      <c r="D766" s="419"/>
      <c r="E766" s="387"/>
      <c r="F766" s="387"/>
      <c r="G766" s="423"/>
      <c r="H766" s="423"/>
      <c r="I766" s="423"/>
      <c r="J766" s="423"/>
      <c r="K766" s="423"/>
      <c r="L766" s="423"/>
      <c r="M766" s="423"/>
      <c r="N766" s="423"/>
      <c r="O766" s="423"/>
      <c r="P766" s="423"/>
      <c r="Q766" s="423"/>
      <c r="R766" s="423"/>
      <c r="S766" s="423"/>
      <c r="T766" s="423"/>
      <c r="U766" s="423"/>
      <c r="V766" s="423"/>
      <c r="W766" s="423"/>
      <c r="X766" s="423"/>
      <c r="Y766" s="423"/>
      <c r="Z766" s="423"/>
      <c r="AA766" s="423"/>
      <c r="AB766" s="423"/>
      <c r="AC766" s="423"/>
      <c r="AD766" s="423"/>
      <c r="AE766" s="423"/>
      <c r="AF766" s="423"/>
      <c r="AG766" s="423"/>
      <c r="AH766" s="423"/>
      <c r="AI766" s="423"/>
    </row>
    <row r="767">
      <c r="A767" s="419"/>
      <c r="B767" s="419"/>
      <c r="C767" s="419"/>
      <c r="D767" s="419"/>
      <c r="E767" s="387"/>
      <c r="F767" s="387"/>
      <c r="G767" s="423"/>
      <c r="H767" s="423"/>
      <c r="I767" s="423"/>
      <c r="J767" s="423"/>
      <c r="K767" s="423"/>
      <c r="L767" s="423"/>
      <c r="M767" s="423"/>
      <c r="N767" s="423"/>
      <c r="O767" s="423"/>
      <c r="P767" s="423"/>
      <c r="Q767" s="423"/>
      <c r="R767" s="423"/>
      <c r="S767" s="423"/>
      <c r="T767" s="423"/>
      <c r="U767" s="423"/>
      <c r="V767" s="423"/>
      <c r="W767" s="423"/>
      <c r="X767" s="423"/>
      <c r="Y767" s="423"/>
      <c r="Z767" s="423"/>
      <c r="AA767" s="423"/>
      <c r="AB767" s="423"/>
      <c r="AC767" s="423"/>
      <c r="AD767" s="423"/>
      <c r="AE767" s="423"/>
      <c r="AF767" s="423"/>
      <c r="AG767" s="423"/>
      <c r="AH767" s="423"/>
      <c r="AI767" s="423"/>
    </row>
    <row r="768">
      <c r="A768" s="419"/>
      <c r="B768" s="419"/>
      <c r="C768" s="419"/>
      <c r="D768" s="419"/>
      <c r="E768" s="387"/>
      <c r="F768" s="387"/>
      <c r="G768" s="423"/>
      <c r="H768" s="423"/>
      <c r="I768" s="423"/>
      <c r="J768" s="423"/>
      <c r="K768" s="423"/>
      <c r="L768" s="423"/>
      <c r="M768" s="423"/>
      <c r="N768" s="423"/>
      <c r="O768" s="423"/>
      <c r="P768" s="423"/>
      <c r="Q768" s="423"/>
      <c r="R768" s="423"/>
      <c r="S768" s="423"/>
      <c r="T768" s="423"/>
      <c r="U768" s="423"/>
      <c r="V768" s="423"/>
      <c r="W768" s="423"/>
      <c r="X768" s="423"/>
      <c r="Y768" s="423"/>
      <c r="Z768" s="423"/>
      <c r="AA768" s="423"/>
      <c r="AB768" s="423"/>
      <c r="AC768" s="423"/>
      <c r="AD768" s="423"/>
      <c r="AE768" s="423"/>
      <c r="AF768" s="423"/>
      <c r="AG768" s="423"/>
      <c r="AH768" s="423"/>
      <c r="AI768" s="423"/>
    </row>
    <row r="769">
      <c r="A769" s="419"/>
      <c r="B769" s="419"/>
      <c r="C769" s="419"/>
      <c r="D769" s="419"/>
      <c r="E769" s="387"/>
      <c r="F769" s="387"/>
      <c r="G769" s="423"/>
      <c r="H769" s="423"/>
      <c r="I769" s="423"/>
      <c r="J769" s="423"/>
      <c r="K769" s="423"/>
      <c r="L769" s="423"/>
      <c r="M769" s="423"/>
      <c r="N769" s="423"/>
      <c r="O769" s="423"/>
      <c r="P769" s="423"/>
      <c r="Q769" s="423"/>
      <c r="R769" s="423"/>
      <c r="S769" s="423"/>
      <c r="T769" s="423"/>
      <c r="U769" s="423"/>
      <c r="V769" s="423"/>
      <c r="W769" s="423"/>
      <c r="X769" s="423"/>
      <c r="Y769" s="423"/>
      <c r="Z769" s="423"/>
      <c r="AA769" s="423"/>
      <c r="AB769" s="423"/>
      <c r="AC769" s="423"/>
      <c r="AD769" s="423"/>
      <c r="AE769" s="423"/>
      <c r="AF769" s="423"/>
      <c r="AG769" s="423"/>
      <c r="AH769" s="423"/>
      <c r="AI769" s="423"/>
    </row>
    <row r="770">
      <c r="A770" s="419"/>
      <c r="B770" s="419"/>
      <c r="C770" s="419"/>
      <c r="D770" s="419"/>
      <c r="E770" s="387"/>
      <c r="F770" s="387"/>
      <c r="G770" s="423"/>
      <c r="H770" s="423"/>
      <c r="I770" s="423"/>
      <c r="J770" s="423"/>
      <c r="K770" s="423"/>
      <c r="L770" s="423"/>
      <c r="M770" s="423"/>
      <c r="N770" s="423"/>
      <c r="O770" s="423"/>
      <c r="P770" s="423"/>
      <c r="Q770" s="423"/>
      <c r="R770" s="423"/>
      <c r="S770" s="423"/>
      <c r="T770" s="423"/>
      <c r="U770" s="423"/>
      <c r="V770" s="423"/>
      <c r="W770" s="423"/>
      <c r="X770" s="423"/>
      <c r="Y770" s="423"/>
      <c r="Z770" s="423"/>
      <c r="AA770" s="423"/>
      <c r="AB770" s="423"/>
      <c r="AC770" s="423"/>
      <c r="AD770" s="423"/>
      <c r="AE770" s="423"/>
      <c r="AF770" s="423"/>
      <c r="AG770" s="423"/>
      <c r="AH770" s="423"/>
      <c r="AI770" s="423"/>
    </row>
    <row r="771">
      <c r="A771" s="419"/>
      <c r="B771" s="419"/>
      <c r="C771" s="419"/>
      <c r="D771" s="419"/>
      <c r="E771" s="387"/>
      <c r="F771" s="387"/>
      <c r="G771" s="423"/>
      <c r="H771" s="423"/>
      <c r="I771" s="423"/>
      <c r="J771" s="423"/>
      <c r="K771" s="423"/>
      <c r="L771" s="423"/>
      <c r="M771" s="423"/>
      <c r="N771" s="423"/>
      <c r="O771" s="423"/>
      <c r="P771" s="423"/>
      <c r="Q771" s="423"/>
      <c r="R771" s="423"/>
      <c r="S771" s="423"/>
      <c r="T771" s="423"/>
      <c r="U771" s="423"/>
      <c r="V771" s="423"/>
      <c r="W771" s="423"/>
      <c r="X771" s="423"/>
      <c r="Y771" s="423"/>
      <c r="Z771" s="423"/>
      <c r="AA771" s="423"/>
      <c r="AB771" s="423"/>
      <c r="AC771" s="423"/>
      <c r="AD771" s="423"/>
      <c r="AE771" s="423"/>
      <c r="AF771" s="423"/>
      <c r="AG771" s="423"/>
      <c r="AH771" s="423"/>
      <c r="AI771" s="423"/>
    </row>
    <row r="772">
      <c r="A772" s="419"/>
      <c r="B772" s="419"/>
      <c r="C772" s="419"/>
      <c r="D772" s="419"/>
      <c r="E772" s="387"/>
      <c r="F772" s="387"/>
      <c r="G772" s="423"/>
      <c r="H772" s="423"/>
      <c r="I772" s="423"/>
      <c r="J772" s="423"/>
      <c r="K772" s="423"/>
      <c r="L772" s="423"/>
      <c r="M772" s="423"/>
      <c r="N772" s="423"/>
      <c r="O772" s="423"/>
      <c r="P772" s="423"/>
      <c r="Q772" s="423"/>
      <c r="R772" s="423"/>
      <c r="S772" s="423"/>
      <c r="T772" s="423"/>
      <c r="U772" s="423"/>
      <c r="V772" s="423"/>
      <c r="W772" s="423"/>
      <c r="X772" s="423"/>
      <c r="Y772" s="423"/>
      <c r="Z772" s="423"/>
      <c r="AA772" s="423"/>
      <c r="AB772" s="423"/>
      <c r="AC772" s="423"/>
      <c r="AD772" s="423"/>
      <c r="AE772" s="423"/>
      <c r="AF772" s="423"/>
      <c r="AG772" s="423"/>
      <c r="AH772" s="423"/>
      <c r="AI772" s="423"/>
    </row>
    <row r="773">
      <c r="A773" s="419"/>
      <c r="B773" s="419"/>
      <c r="C773" s="419"/>
      <c r="D773" s="419"/>
      <c r="E773" s="387"/>
      <c r="F773" s="387"/>
      <c r="G773" s="423"/>
      <c r="H773" s="423"/>
      <c r="I773" s="423"/>
      <c r="J773" s="423"/>
      <c r="K773" s="423"/>
      <c r="L773" s="423"/>
      <c r="M773" s="423"/>
      <c r="N773" s="423"/>
      <c r="O773" s="423"/>
      <c r="P773" s="423"/>
      <c r="Q773" s="423"/>
      <c r="R773" s="423"/>
      <c r="S773" s="423"/>
      <c r="T773" s="423"/>
      <c r="U773" s="423"/>
      <c r="V773" s="423"/>
      <c r="W773" s="423"/>
      <c r="X773" s="423"/>
      <c r="Y773" s="423"/>
      <c r="Z773" s="423"/>
      <c r="AA773" s="423"/>
      <c r="AB773" s="423"/>
      <c r="AC773" s="423"/>
      <c r="AD773" s="423"/>
      <c r="AE773" s="423"/>
      <c r="AF773" s="423"/>
      <c r="AG773" s="423"/>
      <c r="AH773" s="423"/>
      <c r="AI773" s="423"/>
    </row>
    <row r="774">
      <c r="A774" s="419"/>
      <c r="B774" s="419"/>
      <c r="C774" s="419"/>
      <c r="D774" s="419"/>
      <c r="E774" s="387"/>
      <c r="F774" s="387"/>
      <c r="G774" s="423"/>
      <c r="H774" s="423"/>
      <c r="I774" s="423"/>
      <c r="J774" s="423"/>
      <c r="K774" s="423"/>
      <c r="L774" s="423"/>
      <c r="M774" s="423"/>
      <c r="N774" s="423"/>
      <c r="O774" s="423"/>
      <c r="P774" s="423"/>
      <c r="Q774" s="423"/>
      <c r="R774" s="423"/>
      <c r="S774" s="423"/>
      <c r="T774" s="423"/>
      <c r="U774" s="423"/>
      <c r="V774" s="423"/>
      <c r="W774" s="423"/>
      <c r="X774" s="423"/>
      <c r="Y774" s="423"/>
      <c r="Z774" s="423"/>
      <c r="AA774" s="423"/>
      <c r="AB774" s="423"/>
      <c r="AC774" s="423"/>
      <c r="AD774" s="423"/>
      <c r="AE774" s="423"/>
      <c r="AF774" s="423"/>
      <c r="AG774" s="423"/>
      <c r="AH774" s="423"/>
      <c r="AI774" s="423"/>
    </row>
    <row r="775">
      <c r="A775" s="419"/>
      <c r="B775" s="419"/>
      <c r="C775" s="419"/>
      <c r="D775" s="419"/>
      <c r="E775" s="387"/>
      <c r="F775" s="387"/>
      <c r="G775" s="423"/>
      <c r="H775" s="423"/>
      <c r="I775" s="423"/>
      <c r="J775" s="423"/>
      <c r="K775" s="423"/>
      <c r="L775" s="423"/>
      <c r="M775" s="423"/>
      <c r="N775" s="423"/>
      <c r="O775" s="423"/>
      <c r="P775" s="423"/>
      <c r="Q775" s="423"/>
      <c r="R775" s="423"/>
      <c r="S775" s="423"/>
      <c r="T775" s="423"/>
      <c r="U775" s="423"/>
      <c r="V775" s="423"/>
      <c r="W775" s="423"/>
      <c r="X775" s="423"/>
      <c r="Y775" s="423"/>
      <c r="Z775" s="423"/>
      <c r="AA775" s="423"/>
      <c r="AB775" s="423"/>
      <c r="AC775" s="423"/>
      <c r="AD775" s="423"/>
      <c r="AE775" s="423"/>
      <c r="AF775" s="423"/>
      <c r="AG775" s="423"/>
      <c r="AH775" s="423"/>
      <c r="AI775" s="423"/>
    </row>
    <row r="776">
      <c r="A776" s="419"/>
      <c r="B776" s="419"/>
      <c r="C776" s="419"/>
      <c r="D776" s="419"/>
      <c r="E776" s="387"/>
      <c r="F776" s="387"/>
      <c r="G776" s="423"/>
      <c r="H776" s="423"/>
      <c r="I776" s="423"/>
      <c r="J776" s="423"/>
      <c r="K776" s="423"/>
      <c r="L776" s="423"/>
      <c r="M776" s="423"/>
      <c r="N776" s="423"/>
      <c r="O776" s="423"/>
      <c r="P776" s="423"/>
      <c r="Q776" s="423"/>
      <c r="R776" s="423"/>
      <c r="S776" s="423"/>
      <c r="T776" s="423"/>
      <c r="U776" s="423"/>
      <c r="V776" s="423"/>
      <c r="W776" s="423"/>
      <c r="X776" s="423"/>
      <c r="Y776" s="423"/>
      <c r="Z776" s="423"/>
      <c r="AA776" s="423"/>
      <c r="AB776" s="423"/>
      <c r="AC776" s="423"/>
      <c r="AD776" s="423"/>
      <c r="AE776" s="423"/>
      <c r="AF776" s="423"/>
      <c r="AG776" s="423"/>
      <c r="AH776" s="423"/>
      <c r="AI776" s="423"/>
    </row>
    <row r="777">
      <c r="A777" s="419"/>
      <c r="B777" s="419"/>
      <c r="C777" s="419"/>
      <c r="D777" s="419"/>
      <c r="E777" s="387"/>
      <c r="F777" s="387"/>
      <c r="G777" s="423"/>
      <c r="H777" s="423"/>
      <c r="I777" s="423"/>
      <c r="J777" s="423"/>
      <c r="K777" s="423"/>
      <c r="L777" s="423"/>
      <c r="M777" s="423"/>
      <c r="N777" s="423"/>
      <c r="O777" s="423"/>
      <c r="P777" s="423"/>
      <c r="Q777" s="423"/>
      <c r="R777" s="423"/>
      <c r="S777" s="423"/>
      <c r="T777" s="423"/>
      <c r="U777" s="423"/>
      <c r="V777" s="423"/>
      <c r="W777" s="423"/>
      <c r="X777" s="423"/>
      <c r="Y777" s="423"/>
      <c r="Z777" s="423"/>
      <c r="AA777" s="423"/>
      <c r="AB777" s="423"/>
      <c r="AC777" s="423"/>
      <c r="AD777" s="423"/>
      <c r="AE777" s="423"/>
      <c r="AF777" s="423"/>
      <c r="AG777" s="423"/>
      <c r="AH777" s="423"/>
      <c r="AI777" s="423"/>
    </row>
    <row r="778">
      <c r="A778" s="419"/>
      <c r="B778" s="419"/>
      <c r="C778" s="419"/>
      <c r="D778" s="419"/>
      <c r="E778" s="387"/>
      <c r="F778" s="387"/>
      <c r="G778" s="423"/>
      <c r="H778" s="423"/>
      <c r="I778" s="423"/>
      <c r="J778" s="423"/>
      <c r="K778" s="423"/>
      <c r="L778" s="423"/>
      <c r="M778" s="423"/>
      <c r="N778" s="423"/>
      <c r="O778" s="423"/>
      <c r="P778" s="423"/>
      <c r="Q778" s="423"/>
      <c r="R778" s="423"/>
      <c r="S778" s="423"/>
      <c r="T778" s="423"/>
      <c r="U778" s="423"/>
      <c r="V778" s="423"/>
      <c r="W778" s="423"/>
      <c r="X778" s="423"/>
      <c r="Y778" s="423"/>
      <c r="Z778" s="423"/>
      <c r="AA778" s="423"/>
      <c r="AB778" s="423"/>
      <c r="AC778" s="423"/>
      <c r="AD778" s="423"/>
      <c r="AE778" s="423"/>
      <c r="AF778" s="423"/>
      <c r="AG778" s="423"/>
      <c r="AH778" s="423"/>
      <c r="AI778" s="423"/>
    </row>
    <row r="779">
      <c r="A779" s="419"/>
      <c r="B779" s="419"/>
      <c r="C779" s="419"/>
      <c r="D779" s="419"/>
      <c r="E779" s="387"/>
      <c r="F779" s="387"/>
      <c r="G779" s="423"/>
      <c r="H779" s="423"/>
      <c r="I779" s="423"/>
      <c r="J779" s="423"/>
      <c r="K779" s="423"/>
      <c r="L779" s="423"/>
      <c r="M779" s="423"/>
      <c r="N779" s="423"/>
      <c r="O779" s="423"/>
      <c r="P779" s="423"/>
      <c r="Q779" s="423"/>
      <c r="R779" s="423"/>
      <c r="S779" s="423"/>
      <c r="T779" s="423"/>
      <c r="U779" s="423"/>
      <c r="V779" s="423"/>
      <c r="W779" s="423"/>
      <c r="X779" s="423"/>
      <c r="Y779" s="423"/>
      <c r="Z779" s="423"/>
      <c r="AA779" s="423"/>
      <c r="AB779" s="423"/>
      <c r="AC779" s="423"/>
      <c r="AD779" s="423"/>
      <c r="AE779" s="423"/>
      <c r="AF779" s="423"/>
      <c r="AG779" s="423"/>
      <c r="AH779" s="423"/>
      <c r="AI779" s="423"/>
    </row>
    <row r="780">
      <c r="A780" s="419"/>
      <c r="B780" s="419"/>
      <c r="C780" s="419"/>
      <c r="D780" s="419"/>
      <c r="E780" s="387"/>
      <c r="F780" s="387"/>
      <c r="G780" s="423"/>
      <c r="H780" s="423"/>
      <c r="I780" s="423"/>
      <c r="J780" s="423"/>
      <c r="K780" s="423"/>
      <c r="L780" s="423"/>
      <c r="M780" s="423"/>
      <c r="N780" s="423"/>
      <c r="O780" s="423"/>
      <c r="P780" s="423"/>
      <c r="Q780" s="423"/>
      <c r="R780" s="423"/>
      <c r="S780" s="423"/>
      <c r="T780" s="423"/>
      <c r="U780" s="423"/>
      <c r="V780" s="423"/>
      <c r="W780" s="423"/>
      <c r="X780" s="423"/>
      <c r="Y780" s="423"/>
      <c r="Z780" s="423"/>
      <c r="AA780" s="423"/>
      <c r="AB780" s="423"/>
      <c r="AC780" s="423"/>
      <c r="AD780" s="423"/>
      <c r="AE780" s="423"/>
      <c r="AF780" s="423"/>
      <c r="AG780" s="423"/>
      <c r="AH780" s="423"/>
      <c r="AI780" s="423"/>
    </row>
    <row r="781">
      <c r="A781" s="419"/>
      <c r="B781" s="419"/>
      <c r="C781" s="419"/>
      <c r="D781" s="419"/>
      <c r="E781" s="387"/>
      <c r="F781" s="387"/>
      <c r="G781" s="423"/>
      <c r="H781" s="423"/>
      <c r="I781" s="423"/>
      <c r="J781" s="423"/>
      <c r="K781" s="423"/>
      <c r="L781" s="423"/>
      <c r="M781" s="423"/>
      <c r="N781" s="423"/>
      <c r="O781" s="423"/>
      <c r="P781" s="423"/>
      <c r="Q781" s="423"/>
      <c r="R781" s="423"/>
      <c r="S781" s="423"/>
      <c r="T781" s="423"/>
      <c r="U781" s="423"/>
      <c r="V781" s="423"/>
      <c r="W781" s="423"/>
      <c r="X781" s="423"/>
      <c r="Y781" s="423"/>
      <c r="Z781" s="423"/>
      <c r="AA781" s="423"/>
      <c r="AB781" s="423"/>
      <c r="AC781" s="423"/>
      <c r="AD781" s="423"/>
      <c r="AE781" s="423"/>
      <c r="AF781" s="423"/>
      <c r="AG781" s="423"/>
      <c r="AH781" s="423"/>
      <c r="AI781" s="423"/>
    </row>
    <row r="782">
      <c r="A782" s="419"/>
      <c r="B782" s="419"/>
      <c r="C782" s="419"/>
      <c r="D782" s="419"/>
      <c r="E782" s="387"/>
      <c r="F782" s="387"/>
      <c r="G782" s="423"/>
      <c r="H782" s="423"/>
      <c r="I782" s="423"/>
      <c r="J782" s="423"/>
      <c r="K782" s="423"/>
      <c r="L782" s="423"/>
      <c r="M782" s="423"/>
      <c r="N782" s="423"/>
      <c r="O782" s="423"/>
      <c r="P782" s="423"/>
      <c r="Q782" s="423"/>
      <c r="R782" s="423"/>
      <c r="S782" s="423"/>
      <c r="T782" s="423"/>
      <c r="U782" s="423"/>
      <c r="V782" s="423"/>
      <c r="W782" s="423"/>
      <c r="X782" s="423"/>
      <c r="Y782" s="423"/>
      <c r="Z782" s="423"/>
      <c r="AA782" s="423"/>
      <c r="AB782" s="423"/>
      <c r="AC782" s="423"/>
      <c r="AD782" s="423"/>
      <c r="AE782" s="423"/>
      <c r="AF782" s="423"/>
      <c r="AG782" s="423"/>
      <c r="AH782" s="423"/>
      <c r="AI782" s="423"/>
    </row>
    <row r="783">
      <c r="A783" s="419"/>
      <c r="B783" s="419"/>
      <c r="C783" s="419"/>
      <c r="D783" s="419"/>
      <c r="E783" s="387"/>
      <c r="F783" s="387"/>
      <c r="G783" s="423"/>
      <c r="H783" s="423"/>
      <c r="I783" s="423"/>
      <c r="J783" s="423"/>
      <c r="K783" s="423"/>
      <c r="L783" s="423"/>
      <c r="M783" s="423"/>
      <c r="N783" s="423"/>
      <c r="O783" s="423"/>
      <c r="P783" s="423"/>
      <c r="Q783" s="423"/>
      <c r="R783" s="423"/>
      <c r="S783" s="423"/>
      <c r="T783" s="423"/>
      <c r="U783" s="423"/>
      <c r="V783" s="423"/>
      <c r="W783" s="423"/>
      <c r="X783" s="423"/>
      <c r="Y783" s="423"/>
      <c r="Z783" s="423"/>
      <c r="AA783" s="423"/>
      <c r="AB783" s="423"/>
      <c r="AC783" s="423"/>
      <c r="AD783" s="423"/>
      <c r="AE783" s="423"/>
      <c r="AF783" s="423"/>
      <c r="AG783" s="423"/>
      <c r="AH783" s="423"/>
      <c r="AI783" s="423"/>
    </row>
    <row r="784">
      <c r="A784" s="419"/>
      <c r="B784" s="419"/>
      <c r="C784" s="419"/>
      <c r="D784" s="419"/>
      <c r="E784" s="387"/>
      <c r="F784" s="387"/>
      <c r="G784" s="423"/>
      <c r="H784" s="423"/>
      <c r="I784" s="423"/>
      <c r="J784" s="423"/>
      <c r="K784" s="423"/>
      <c r="L784" s="423"/>
      <c r="M784" s="423"/>
      <c r="N784" s="423"/>
      <c r="O784" s="423"/>
      <c r="P784" s="423"/>
      <c r="Q784" s="423"/>
      <c r="R784" s="423"/>
      <c r="S784" s="423"/>
      <c r="T784" s="423"/>
      <c r="U784" s="423"/>
      <c r="V784" s="423"/>
      <c r="W784" s="423"/>
      <c r="X784" s="423"/>
      <c r="Y784" s="423"/>
      <c r="Z784" s="423"/>
      <c r="AA784" s="423"/>
      <c r="AB784" s="423"/>
      <c r="AC784" s="423"/>
      <c r="AD784" s="423"/>
      <c r="AE784" s="423"/>
      <c r="AF784" s="423"/>
      <c r="AG784" s="423"/>
      <c r="AH784" s="423"/>
      <c r="AI784" s="423"/>
    </row>
    <row r="785">
      <c r="A785" s="419"/>
      <c r="B785" s="419"/>
      <c r="C785" s="419"/>
      <c r="D785" s="419"/>
      <c r="E785" s="387"/>
      <c r="F785" s="387"/>
      <c r="G785" s="423"/>
      <c r="H785" s="423"/>
      <c r="I785" s="423"/>
      <c r="J785" s="423"/>
      <c r="K785" s="423"/>
      <c r="L785" s="423"/>
      <c r="M785" s="423"/>
      <c r="N785" s="423"/>
      <c r="O785" s="423"/>
      <c r="P785" s="423"/>
      <c r="Q785" s="423"/>
      <c r="R785" s="423"/>
      <c r="S785" s="423"/>
      <c r="T785" s="423"/>
      <c r="U785" s="423"/>
      <c r="V785" s="423"/>
      <c r="W785" s="423"/>
      <c r="X785" s="423"/>
      <c r="Y785" s="423"/>
      <c r="Z785" s="423"/>
      <c r="AA785" s="423"/>
      <c r="AB785" s="423"/>
      <c r="AC785" s="423"/>
      <c r="AD785" s="423"/>
      <c r="AE785" s="423"/>
      <c r="AF785" s="423"/>
      <c r="AG785" s="423"/>
      <c r="AH785" s="423"/>
      <c r="AI785" s="423"/>
    </row>
    <row r="786">
      <c r="A786" s="419"/>
      <c r="B786" s="419"/>
      <c r="C786" s="419"/>
      <c r="D786" s="419"/>
      <c r="E786" s="387"/>
      <c r="F786" s="387"/>
      <c r="G786" s="423"/>
      <c r="H786" s="423"/>
      <c r="I786" s="423"/>
      <c r="J786" s="423"/>
      <c r="K786" s="423"/>
      <c r="L786" s="423"/>
      <c r="M786" s="423"/>
      <c r="N786" s="423"/>
      <c r="O786" s="423"/>
      <c r="P786" s="423"/>
      <c r="Q786" s="423"/>
      <c r="R786" s="423"/>
      <c r="S786" s="423"/>
      <c r="T786" s="423"/>
      <c r="U786" s="423"/>
      <c r="V786" s="423"/>
      <c r="W786" s="423"/>
      <c r="X786" s="423"/>
      <c r="Y786" s="423"/>
      <c r="Z786" s="423"/>
      <c r="AA786" s="423"/>
      <c r="AB786" s="423"/>
      <c r="AC786" s="423"/>
      <c r="AD786" s="423"/>
      <c r="AE786" s="423"/>
      <c r="AF786" s="423"/>
      <c r="AG786" s="423"/>
      <c r="AH786" s="423"/>
      <c r="AI786" s="423"/>
    </row>
    <row r="787">
      <c r="A787" s="419"/>
      <c r="B787" s="419"/>
      <c r="C787" s="419"/>
      <c r="D787" s="419"/>
      <c r="E787" s="387"/>
      <c r="F787" s="387"/>
      <c r="G787" s="423"/>
      <c r="H787" s="423"/>
      <c r="I787" s="423"/>
      <c r="J787" s="423"/>
      <c r="K787" s="423"/>
      <c r="L787" s="423"/>
      <c r="M787" s="423"/>
      <c r="N787" s="423"/>
      <c r="O787" s="423"/>
      <c r="P787" s="423"/>
      <c r="Q787" s="423"/>
      <c r="R787" s="423"/>
      <c r="S787" s="423"/>
      <c r="T787" s="423"/>
      <c r="U787" s="423"/>
      <c r="V787" s="423"/>
      <c r="W787" s="423"/>
      <c r="X787" s="423"/>
      <c r="Y787" s="423"/>
      <c r="Z787" s="423"/>
      <c r="AA787" s="423"/>
      <c r="AB787" s="423"/>
      <c r="AC787" s="423"/>
      <c r="AD787" s="423"/>
      <c r="AE787" s="423"/>
      <c r="AF787" s="423"/>
      <c r="AG787" s="423"/>
      <c r="AH787" s="423"/>
      <c r="AI787" s="423"/>
    </row>
    <row r="788">
      <c r="A788" s="419"/>
      <c r="B788" s="419"/>
      <c r="C788" s="419"/>
      <c r="D788" s="419"/>
      <c r="E788" s="387"/>
      <c r="F788" s="387"/>
      <c r="G788" s="423"/>
      <c r="H788" s="423"/>
      <c r="I788" s="423"/>
      <c r="J788" s="423"/>
      <c r="K788" s="423"/>
      <c r="L788" s="423"/>
      <c r="M788" s="423"/>
      <c r="N788" s="423"/>
      <c r="O788" s="423"/>
      <c r="P788" s="423"/>
      <c r="Q788" s="423"/>
      <c r="R788" s="423"/>
      <c r="S788" s="423"/>
      <c r="T788" s="423"/>
      <c r="U788" s="423"/>
      <c r="V788" s="423"/>
      <c r="W788" s="423"/>
      <c r="X788" s="423"/>
      <c r="Y788" s="423"/>
      <c r="Z788" s="423"/>
      <c r="AA788" s="423"/>
      <c r="AB788" s="423"/>
      <c r="AC788" s="423"/>
      <c r="AD788" s="423"/>
      <c r="AE788" s="423"/>
      <c r="AF788" s="423"/>
      <c r="AG788" s="423"/>
      <c r="AH788" s="423"/>
      <c r="AI788" s="423"/>
    </row>
    <row r="789">
      <c r="A789" s="419"/>
      <c r="B789" s="419"/>
      <c r="C789" s="419"/>
      <c r="D789" s="419"/>
      <c r="E789" s="387"/>
      <c r="F789" s="387"/>
      <c r="G789" s="423"/>
      <c r="H789" s="423"/>
      <c r="I789" s="423"/>
      <c r="J789" s="423"/>
      <c r="K789" s="423"/>
      <c r="L789" s="423"/>
      <c r="M789" s="423"/>
      <c r="N789" s="423"/>
      <c r="O789" s="423"/>
      <c r="P789" s="423"/>
      <c r="Q789" s="423"/>
      <c r="R789" s="423"/>
      <c r="S789" s="423"/>
      <c r="T789" s="423"/>
      <c r="U789" s="423"/>
      <c r="V789" s="423"/>
      <c r="W789" s="423"/>
      <c r="X789" s="423"/>
      <c r="Y789" s="423"/>
      <c r="Z789" s="423"/>
      <c r="AA789" s="423"/>
      <c r="AB789" s="423"/>
      <c r="AC789" s="423"/>
      <c r="AD789" s="423"/>
      <c r="AE789" s="423"/>
      <c r="AF789" s="423"/>
      <c r="AG789" s="423"/>
      <c r="AH789" s="423"/>
      <c r="AI789" s="423"/>
    </row>
    <row r="790">
      <c r="A790" s="419"/>
      <c r="B790" s="419"/>
      <c r="C790" s="419"/>
      <c r="D790" s="419"/>
      <c r="E790" s="387"/>
      <c r="F790" s="387"/>
      <c r="G790" s="423"/>
      <c r="H790" s="423"/>
      <c r="I790" s="423"/>
      <c r="J790" s="423"/>
      <c r="K790" s="423"/>
      <c r="L790" s="423"/>
      <c r="M790" s="423"/>
      <c r="N790" s="423"/>
      <c r="O790" s="423"/>
      <c r="P790" s="423"/>
      <c r="Q790" s="423"/>
      <c r="R790" s="423"/>
      <c r="S790" s="423"/>
      <c r="T790" s="423"/>
      <c r="U790" s="423"/>
      <c r="V790" s="423"/>
      <c r="W790" s="423"/>
      <c r="X790" s="423"/>
      <c r="Y790" s="423"/>
      <c r="Z790" s="423"/>
      <c r="AA790" s="423"/>
      <c r="AB790" s="423"/>
      <c r="AC790" s="423"/>
      <c r="AD790" s="423"/>
      <c r="AE790" s="423"/>
      <c r="AF790" s="423"/>
      <c r="AG790" s="423"/>
      <c r="AH790" s="423"/>
      <c r="AI790" s="423"/>
    </row>
    <row r="791">
      <c r="A791" s="419"/>
      <c r="B791" s="419"/>
      <c r="C791" s="419"/>
      <c r="D791" s="419"/>
      <c r="E791" s="387"/>
      <c r="F791" s="387"/>
      <c r="G791" s="423"/>
      <c r="H791" s="423"/>
      <c r="I791" s="423"/>
      <c r="J791" s="423"/>
      <c r="K791" s="423"/>
      <c r="L791" s="423"/>
      <c r="M791" s="423"/>
      <c r="N791" s="423"/>
      <c r="O791" s="423"/>
      <c r="P791" s="423"/>
      <c r="Q791" s="423"/>
      <c r="R791" s="423"/>
      <c r="S791" s="423"/>
      <c r="T791" s="423"/>
      <c r="U791" s="423"/>
      <c r="V791" s="423"/>
      <c r="W791" s="423"/>
      <c r="X791" s="423"/>
      <c r="Y791" s="423"/>
      <c r="Z791" s="423"/>
      <c r="AA791" s="423"/>
      <c r="AB791" s="423"/>
      <c r="AC791" s="423"/>
      <c r="AD791" s="423"/>
      <c r="AE791" s="423"/>
      <c r="AF791" s="423"/>
      <c r="AG791" s="423"/>
      <c r="AH791" s="423"/>
      <c r="AI791" s="423"/>
    </row>
    <row r="792">
      <c r="A792" s="419"/>
      <c r="B792" s="419"/>
      <c r="C792" s="419"/>
      <c r="D792" s="419"/>
      <c r="E792" s="387"/>
      <c r="F792" s="387"/>
      <c r="G792" s="423"/>
      <c r="H792" s="423"/>
      <c r="I792" s="423"/>
      <c r="J792" s="423"/>
      <c r="K792" s="423"/>
      <c r="L792" s="423"/>
      <c r="M792" s="423"/>
      <c r="N792" s="423"/>
      <c r="O792" s="423"/>
      <c r="P792" s="423"/>
      <c r="Q792" s="423"/>
      <c r="R792" s="423"/>
      <c r="S792" s="423"/>
      <c r="T792" s="423"/>
      <c r="U792" s="423"/>
      <c r="V792" s="423"/>
      <c r="W792" s="423"/>
      <c r="X792" s="423"/>
      <c r="Y792" s="423"/>
      <c r="Z792" s="423"/>
      <c r="AA792" s="423"/>
      <c r="AB792" s="423"/>
      <c r="AC792" s="423"/>
      <c r="AD792" s="423"/>
      <c r="AE792" s="423"/>
      <c r="AF792" s="423"/>
      <c r="AG792" s="423"/>
      <c r="AH792" s="423"/>
      <c r="AI792" s="423"/>
    </row>
    <row r="793">
      <c r="A793" s="419"/>
      <c r="B793" s="419"/>
      <c r="C793" s="419"/>
      <c r="D793" s="419"/>
      <c r="E793" s="387"/>
      <c r="F793" s="387"/>
      <c r="G793" s="423"/>
      <c r="H793" s="423"/>
      <c r="I793" s="423"/>
      <c r="J793" s="423"/>
      <c r="K793" s="423"/>
      <c r="L793" s="423"/>
      <c r="M793" s="423"/>
      <c r="N793" s="423"/>
      <c r="O793" s="423"/>
      <c r="P793" s="423"/>
      <c r="Q793" s="423"/>
      <c r="R793" s="423"/>
      <c r="S793" s="423"/>
      <c r="T793" s="423"/>
      <c r="U793" s="423"/>
      <c r="V793" s="423"/>
      <c r="W793" s="423"/>
      <c r="X793" s="423"/>
      <c r="Y793" s="423"/>
      <c r="Z793" s="423"/>
      <c r="AA793" s="423"/>
      <c r="AB793" s="423"/>
      <c r="AC793" s="423"/>
      <c r="AD793" s="423"/>
      <c r="AE793" s="423"/>
      <c r="AF793" s="423"/>
      <c r="AG793" s="423"/>
      <c r="AH793" s="423"/>
      <c r="AI793" s="423"/>
    </row>
    <row r="794">
      <c r="A794" s="419"/>
      <c r="B794" s="419"/>
      <c r="C794" s="419"/>
      <c r="D794" s="419"/>
      <c r="E794" s="387"/>
      <c r="F794" s="387"/>
      <c r="G794" s="423"/>
      <c r="H794" s="423"/>
      <c r="I794" s="423"/>
      <c r="J794" s="423"/>
      <c r="K794" s="423"/>
      <c r="L794" s="423"/>
      <c r="M794" s="423"/>
      <c r="N794" s="423"/>
      <c r="O794" s="423"/>
      <c r="P794" s="423"/>
      <c r="Q794" s="423"/>
      <c r="R794" s="423"/>
      <c r="S794" s="423"/>
      <c r="T794" s="423"/>
      <c r="U794" s="423"/>
      <c r="V794" s="423"/>
      <c r="W794" s="423"/>
      <c r="X794" s="423"/>
      <c r="Y794" s="423"/>
      <c r="Z794" s="423"/>
      <c r="AA794" s="423"/>
      <c r="AB794" s="423"/>
      <c r="AC794" s="423"/>
      <c r="AD794" s="423"/>
      <c r="AE794" s="423"/>
      <c r="AF794" s="423"/>
      <c r="AG794" s="423"/>
      <c r="AH794" s="423"/>
      <c r="AI794" s="423"/>
    </row>
    <row r="795">
      <c r="A795" s="419"/>
      <c r="B795" s="419"/>
      <c r="C795" s="419"/>
      <c r="D795" s="419"/>
      <c r="E795" s="387"/>
      <c r="F795" s="387"/>
      <c r="G795" s="423"/>
      <c r="H795" s="423"/>
      <c r="I795" s="423"/>
      <c r="J795" s="423"/>
      <c r="K795" s="423"/>
      <c r="L795" s="423"/>
      <c r="M795" s="423"/>
      <c r="N795" s="423"/>
      <c r="O795" s="423"/>
      <c r="P795" s="423"/>
      <c r="Q795" s="423"/>
      <c r="R795" s="423"/>
      <c r="S795" s="423"/>
      <c r="T795" s="423"/>
      <c r="U795" s="423"/>
      <c r="V795" s="423"/>
      <c r="W795" s="423"/>
      <c r="X795" s="423"/>
      <c r="Y795" s="423"/>
      <c r="Z795" s="423"/>
      <c r="AA795" s="423"/>
      <c r="AB795" s="423"/>
      <c r="AC795" s="423"/>
      <c r="AD795" s="423"/>
      <c r="AE795" s="423"/>
      <c r="AF795" s="423"/>
      <c r="AG795" s="423"/>
      <c r="AH795" s="423"/>
      <c r="AI795" s="423"/>
    </row>
    <row r="796">
      <c r="A796" s="419"/>
      <c r="B796" s="419"/>
      <c r="C796" s="419"/>
      <c r="D796" s="419"/>
      <c r="E796" s="387"/>
      <c r="F796" s="387"/>
      <c r="G796" s="423"/>
      <c r="H796" s="423"/>
      <c r="I796" s="423"/>
      <c r="J796" s="423"/>
      <c r="K796" s="423"/>
      <c r="L796" s="423"/>
      <c r="M796" s="423"/>
      <c r="N796" s="423"/>
      <c r="O796" s="423"/>
      <c r="P796" s="423"/>
      <c r="Q796" s="423"/>
      <c r="R796" s="423"/>
      <c r="S796" s="423"/>
      <c r="T796" s="423"/>
      <c r="U796" s="423"/>
      <c r="V796" s="423"/>
      <c r="W796" s="423"/>
      <c r="X796" s="423"/>
      <c r="Y796" s="423"/>
      <c r="Z796" s="423"/>
      <c r="AA796" s="423"/>
      <c r="AB796" s="423"/>
      <c r="AC796" s="423"/>
      <c r="AD796" s="423"/>
      <c r="AE796" s="423"/>
      <c r="AF796" s="423"/>
      <c r="AG796" s="423"/>
      <c r="AH796" s="423"/>
      <c r="AI796" s="423"/>
    </row>
    <row r="797">
      <c r="A797" s="419"/>
      <c r="B797" s="419"/>
      <c r="C797" s="419"/>
      <c r="D797" s="419"/>
      <c r="E797" s="387"/>
      <c r="F797" s="387"/>
      <c r="G797" s="423"/>
      <c r="H797" s="423"/>
      <c r="I797" s="423"/>
      <c r="J797" s="423"/>
      <c r="K797" s="423"/>
      <c r="L797" s="423"/>
      <c r="M797" s="423"/>
      <c r="N797" s="423"/>
      <c r="O797" s="423"/>
      <c r="P797" s="423"/>
      <c r="Q797" s="423"/>
      <c r="R797" s="423"/>
      <c r="S797" s="423"/>
      <c r="T797" s="423"/>
      <c r="U797" s="423"/>
      <c r="V797" s="423"/>
      <c r="W797" s="423"/>
      <c r="X797" s="423"/>
      <c r="Y797" s="423"/>
      <c r="Z797" s="423"/>
      <c r="AA797" s="423"/>
      <c r="AB797" s="423"/>
      <c r="AC797" s="423"/>
      <c r="AD797" s="423"/>
      <c r="AE797" s="423"/>
      <c r="AF797" s="423"/>
      <c r="AG797" s="423"/>
      <c r="AH797" s="423"/>
      <c r="AI797" s="423"/>
    </row>
    <row r="798">
      <c r="A798" s="419"/>
      <c r="B798" s="419"/>
      <c r="C798" s="419"/>
      <c r="D798" s="419"/>
      <c r="E798" s="387"/>
      <c r="F798" s="387"/>
      <c r="G798" s="423"/>
      <c r="H798" s="423"/>
      <c r="I798" s="423"/>
      <c r="J798" s="423"/>
      <c r="K798" s="423"/>
      <c r="L798" s="423"/>
      <c r="M798" s="423"/>
      <c r="N798" s="423"/>
      <c r="O798" s="423"/>
      <c r="P798" s="423"/>
      <c r="Q798" s="423"/>
      <c r="R798" s="423"/>
      <c r="S798" s="423"/>
      <c r="T798" s="423"/>
      <c r="U798" s="423"/>
      <c r="V798" s="423"/>
      <c r="W798" s="423"/>
      <c r="X798" s="423"/>
      <c r="Y798" s="423"/>
      <c r="Z798" s="423"/>
      <c r="AA798" s="423"/>
      <c r="AB798" s="423"/>
      <c r="AC798" s="423"/>
      <c r="AD798" s="423"/>
      <c r="AE798" s="423"/>
      <c r="AF798" s="423"/>
      <c r="AG798" s="423"/>
      <c r="AH798" s="423"/>
      <c r="AI798" s="423"/>
    </row>
    <row r="799">
      <c r="A799" s="419"/>
      <c r="B799" s="419"/>
      <c r="C799" s="419"/>
      <c r="D799" s="419"/>
      <c r="E799" s="387"/>
      <c r="F799" s="387"/>
      <c r="G799" s="423"/>
      <c r="H799" s="423"/>
      <c r="I799" s="423"/>
      <c r="J799" s="423"/>
      <c r="K799" s="423"/>
      <c r="L799" s="423"/>
      <c r="M799" s="423"/>
      <c r="N799" s="423"/>
      <c r="O799" s="423"/>
      <c r="P799" s="423"/>
      <c r="Q799" s="423"/>
      <c r="R799" s="423"/>
      <c r="S799" s="423"/>
      <c r="T799" s="423"/>
      <c r="U799" s="423"/>
      <c r="V799" s="423"/>
      <c r="W799" s="423"/>
      <c r="X799" s="423"/>
      <c r="Y799" s="423"/>
      <c r="Z799" s="423"/>
      <c r="AA799" s="423"/>
      <c r="AB799" s="423"/>
      <c r="AC799" s="423"/>
      <c r="AD799" s="423"/>
      <c r="AE799" s="423"/>
      <c r="AF799" s="423"/>
      <c r="AG799" s="423"/>
      <c r="AH799" s="423"/>
      <c r="AI799" s="423"/>
    </row>
    <row r="800">
      <c r="A800" s="419"/>
      <c r="B800" s="419"/>
      <c r="C800" s="419"/>
      <c r="D800" s="419"/>
      <c r="E800" s="387"/>
      <c r="F800" s="387"/>
      <c r="G800" s="423"/>
      <c r="H800" s="423"/>
      <c r="I800" s="423"/>
      <c r="J800" s="423"/>
      <c r="K800" s="423"/>
      <c r="L800" s="423"/>
      <c r="M800" s="423"/>
      <c r="N800" s="423"/>
      <c r="O800" s="423"/>
      <c r="P800" s="423"/>
      <c r="Q800" s="423"/>
      <c r="R800" s="423"/>
      <c r="S800" s="423"/>
      <c r="T800" s="423"/>
      <c r="U800" s="423"/>
      <c r="V800" s="423"/>
      <c r="W800" s="423"/>
      <c r="X800" s="423"/>
      <c r="Y800" s="423"/>
      <c r="Z800" s="423"/>
      <c r="AA800" s="423"/>
      <c r="AB800" s="423"/>
      <c r="AC800" s="423"/>
      <c r="AD800" s="423"/>
      <c r="AE800" s="423"/>
      <c r="AF800" s="423"/>
      <c r="AG800" s="423"/>
      <c r="AH800" s="423"/>
      <c r="AI800" s="423"/>
    </row>
    <row r="801">
      <c r="A801" s="419"/>
      <c r="B801" s="419"/>
      <c r="C801" s="419"/>
      <c r="D801" s="419"/>
      <c r="E801" s="387"/>
      <c r="F801" s="387"/>
      <c r="G801" s="423"/>
      <c r="H801" s="423"/>
      <c r="I801" s="423"/>
      <c r="J801" s="423"/>
      <c r="K801" s="423"/>
      <c r="L801" s="423"/>
      <c r="M801" s="423"/>
      <c r="N801" s="423"/>
      <c r="O801" s="423"/>
      <c r="P801" s="423"/>
      <c r="Q801" s="423"/>
      <c r="R801" s="423"/>
      <c r="S801" s="423"/>
      <c r="T801" s="423"/>
      <c r="U801" s="423"/>
      <c r="V801" s="423"/>
      <c r="W801" s="423"/>
      <c r="X801" s="423"/>
      <c r="Y801" s="423"/>
      <c r="Z801" s="423"/>
      <c r="AA801" s="423"/>
      <c r="AB801" s="423"/>
      <c r="AC801" s="423"/>
      <c r="AD801" s="423"/>
      <c r="AE801" s="423"/>
      <c r="AF801" s="423"/>
      <c r="AG801" s="423"/>
      <c r="AH801" s="423"/>
      <c r="AI801" s="423"/>
    </row>
    <row r="802">
      <c r="A802" s="419"/>
      <c r="B802" s="419"/>
      <c r="C802" s="419"/>
      <c r="D802" s="419"/>
      <c r="E802" s="387"/>
      <c r="F802" s="387"/>
      <c r="G802" s="423"/>
      <c r="H802" s="423"/>
      <c r="I802" s="423"/>
      <c r="J802" s="423"/>
      <c r="K802" s="423"/>
      <c r="L802" s="423"/>
      <c r="M802" s="423"/>
      <c r="N802" s="423"/>
      <c r="O802" s="423"/>
      <c r="P802" s="423"/>
      <c r="Q802" s="423"/>
      <c r="R802" s="423"/>
      <c r="S802" s="423"/>
      <c r="T802" s="423"/>
      <c r="U802" s="423"/>
      <c r="V802" s="423"/>
      <c r="W802" s="423"/>
      <c r="X802" s="423"/>
      <c r="Y802" s="423"/>
      <c r="Z802" s="423"/>
      <c r="AA802" s="423"/>
      <c r="AB802" s="423"/>
      <c r="AC802" s="423"/>
      <c r="AD802" s="423"/>
      <c r="AE802" s="423"/>
      <c r="AF802" s="423"/>
      <c r="AG802" s="423"/>
      <c r="AH802" s="423"/>
      <c r="AI802" s="423"/>
    </row>
    <row r="803">
      <c r="A803" s="419"/>
      <c r="B803" s="419"/>
      <c r="C803" s="419"/>
      <c r="D803" s="419"/>
      <c r="E803" s="387"/>
      <c r="F803" s="387"/>
      <c r="G803" s="423"/>
      <c r="H803" s="423"/>
      <c r="I803" s="423"/>
      <c r="J803" s="423"/>
      <c r="K803" s="423"/>
      <c r="L803" s="423"/>
      <c r="M803" s="423"/>
      <c r="N803" s="423"/>
      <c r="O803" s="423"/>
      <c r="P803" s="423"/>
      <c r="Q803" s="423"/>
      <c r="R803" s="423"/>
      <c r="S803" s="423"/>
      <c r="T803" s="423"/>
      <c r="U803" s="423"/>
      <c r="V803" s="423"/>
      <c r="W803" s="423"/>
      <c r="X803" s="423"/>
      <c r="Y803" s="423"/>
      <c r="Z803" s="423"/>
      <c r="AA803" s="423"/>
      <c r="AB803" s="423"/>
      <c r="AC803" s="423"/>
      <c r="AD803" s="423"/>
      <c r="AE803" s="423"/>
      <c r="AF803" s="423"/>
      <c r="AG803" s="423"/>
      <c r="AH803" s="423"/>
      <c r="AI803" s="423"/>
    </row>
    <row r="804">
      <c r="A804" s="419"/>
      <c r="B804" s="419"/>
      <c r="C804" s="419"/>
      <c r="D804" s="419"/>
      <c r="E804" s="387"/>
      <c r="F804" s="387"/>
      <c r="G804" s="423"/>
      <c r="H804" s="423"/>
      <c r="I804" s="423"/>
      <c r="J804" s="423"/>
      <c r="K804" s="423"/>
      <c r="L804" s="423"/>
      <c r="M804" s="423"/>
      <c r="N804" s="423"/>
      <c r="O804" s="423"/>
      <c r="P804" s="423"/>
      <c r="Q804" s="423"/>
      <c r="R804" s="423"/>
      <c r="S804" s="423"/>
      <c r="T804" s="423"/>
      <c r="U804" s="423"/>
      <c r="V804" s="423"/>
      <c r="W804" s="423"/>
      <c r="X804" s="423"/>
      <c r="Y804" s="423"/>
      <c r="Z804" s="423"/>
      <c r="AA804" s="423"/>
      <c r="AB804" s="423"/>
      <c r="AC804" s="423"/>
      <c r="AD804" s="423"/>
      <c r="AE804" s="423"/>
      <c r="AF804" s="423"/>
      <c r="AG804" s="423"/>
      <c r="AH804" s="423"/>
      <c r="AI804" s="423"/>
    </row>
    <row r="805">
      <c r="A805" s="419"/>
      <c r="B805" s="419"/>
      <c r="C805" s="419"/>
      <c r="D805" s="419"/>
      <c r="E805" s="387"/>
      <c r="F805" s="387"/>
      <c r="G805" s="423"/>
      <c r="H805" s="423"/>
      <c r="I805" s="423"/>
      <c r="J805" s="423"/>
      <c r="K805" s="423"/>
      <c r="L805" s="423"/>
      <c r="M805" s="423"/>
      <c r="N805" s="423"/>
      <c r="O805" s="423"/>
      <c r="P805" s="423"/>
      <c r="Q805" s="423"/>
      <c r="R805" s="423"/>
      <c r="S805" s="423"/>
      <c r="T805" s="423"/>
      <c r="U805" s="423"/>
      <c r="V805" s="423"/>
      <c r="W805" s="423"/>
      <c r="X805" s="423"/>
      <c r="Y805" s="423"/>
      <c r="Z805" s="423"/>
      <c r="AA805" s="423"/>
      <c r="AB805" s="423"/>
      <c r="AC805" s="423"/>
      <c r="AD805" s="423"/>
      <c r="AE805" s="423"/>
      <c r="AF805" s="423"/>
      <c r="AG805" s="423"/>
      <c r="AH805" s="423"/>
      <c r="AI805" s="423"/>
    </row>
    <row r="806">
      <c r="A806" s="419"/>
      <c r="B806" s="419"/>
      <c r="C806" s="419"/>
      <c r="D806" s="419"/>
      <c r="E806" s="387"/>
      <c r="F806" s="387"/>
      <c r="G806" s="423"/>
      <c r="H806" s="423"/>
      <c r="I806" s="423"/>
      <c r="J806" s="423"/>
      <c r="K806" s="423"/>
      <c r="L806" s="423"/>
      <c r="M806" s="423"/>
      <c r="N806" s="423"/>
      <c r="O806" s="423"/>
      <c r="P806" s="423"/>
      <c r="Q806" s="423"/>
      <c r="R806" s="423"/>
      <c r="S806" s="423"/>
      <c r="T806" s="423"/>
      <c r="U806" s="423"/>
      <c r="V806" s="423"/>
      <c r="W806" s="423"/>
      <c r="X806" s="423"/>
      <c r="Y806" s="423"/>
      <c r="Z806" s="423"/>
      <c r="AA806" s="423"/>
      <c r="AB806" s="423"/>
      <c r="AC806" s="423"/>
      <c r="AD806" s="423"/>
      <c r="AE806" s="423"/>
      <c r="AF806" s="423"/>
      <c r="AG806" s="423"/>
      <c r="AH806" s="423"/>
      <c r="AI806" s="423"/>
    </row>
    <row r="807">
      <c r="A807" s="419"/>
      <c r="B807" s="419"/>
      <c r="C807" s="419"/>
      <c r="D807" s="419"/>
      <c r="E807" s="387"/>
      <c r="F807" s="387"/>
      <c r="G807" s="423"/>
      <c r="H807" s="423"/>
      <c r="I807" s="423"/>
      <c r="J807" s="423"/>
      <c r="K807" s="423"/>
      <c r="L807" s="423"/>
      <c r="M807" s="423"/>
      <c r="N807" s="423"/>
      <c r="O807" s="423"/>
      <c r="P807" s="423"/>
      <c r="Q807" s="423"/>
      <c r="R807" s="423"/>
      <c r="S807" s="423"/>
      <c r="T807" s="423"/>
      <c r="U807" s="423"/>
      <c r="V807" s="423"/>
      <c r="W807" s="423"/>
      <c r="X807" s="423"/>
      <c r="Y807" s="423"/>
      <c r="Z807" s="423"/>
      <c r="AA807" s="423"/>
      <c r="AB807" s="423"/>
      <c r="AC807" s="423"/>
      <c r="AD807" s="423"/>
      <c r="AE807" s="423"/>
      <c r="AF807" s="423"/>
      <c r="AG807" s="423"/>
      <c r="AH807" s="423"/>
      <c r="AI807" s="423"/>
    </row>
    <row r="808">
      <c r="A808" s="419"/>
      <c r="B808" s="419"/>
      <c r="C808" s="419"/>
      <c r="D808" s="419"/>
      <c r="E808" s="387"/>
      <c r="F808" s="387"/>
      <c r="G808" s="423"/>
      <c r="H808" s="423"/>
      <c r="I808" s="423"/>
      <c r="J808" s="423"/>
      <c r="K808" s="423"/>
      <c r="L808" s="423"/>
      <c r="M808" s="423"/>
      <c r="N808" s="423"/>
      <c r="O808" s="423"/>
      <c r="P808" s="423"/>
      <c r="Q808" s="423"/>
      <c r="R808" s="423"/>
      <c r="S808" s="423"/>
      <c r="T808" s="423"/>
      <c r="U808" s="423"/>
      <c r="V808" s="423"/>
      <c r="W808" s="423"/>
      <c r="X808" s="423"/>
      <c r="Y808" s="423"/>
      <c r="Z808" s="423"/>
      <c r="AA808" s="423"/>
      <c r="AB808" s="423"/>
      <c r="AC808" s="423"/>
      <c r="AD808" s="423"/>
      <c r="AE808" s="423"/>
      <c r="AF808" s="423"/>
      <c r="AG808" s="423"/>
      <c r="AH808" s="423"/>
      <c r="AI808" s="423"/>
    </row>
    <row r="809">
      <c r="A809" s="419"/>
      <c r="B809" s="419"/>
      <c r="C809" s="419"/>
      <c r="D809" s="419"/>
      <c r="E809" s="387"/>
      <c r="F809" s="387"/>
      <c r="G809" s="423"/>
      <c r="H809" s="423"/>
      <c r="I809" s="423"/>
      <c r="J809" s="423"/>
      <c r="K809" s="423"/>
      <c r="L809" s="423"/>
      <c r="M809" s="423"/>
      <c r="N809" s="423"/>
      <c r="O809" s="423"/>
      <c r="P809" s="423"/>
      <c r="Q809" s="423"/>
      <c r="R809" s="423"/>
      <c r="S809" s="423"/>
      <c r="T809" s="423"/>
      <c r="U809" s="423"/>
      <c r="V809" s="423"/>
      <c r="W809" s="423"/>
      <c r="X809" s="423"/>
      <c r="Y809" s="423"/>
      <c r="Z809" s="423"/>
      <c r="AA809" s="423"/>
      <c r="AB809" s="423"/>
      <c r="AC809" s="423"/>
      <c r="AD809" s="423"/>
      <c r="AE809" s="423"/>
      <c r="AF809" s="423"/>
      <c r="AG809" s="423"/>
      <c r="AH809" s="423"/>
      <c r="AI809" s="423"/>
    </row>
    <row r="810">
      <c r="A810" s="419"/>
      <c r="B810" s="419"/>
      <c r="C810" s="419"/>
      <c r="D810" s="419"/>
      <c r="E810" s="387"/>
      <c r="F810" s="387"/>
      <c r="G810" s="423"/>
      <c r="H810" s="423"/>
      <c r="I810" s="423"/>
      <c r="J810" s="423"/>
      <c r="K810" s="423"/>
      <c r="L810" s="423"/>
      <c r="M810" s="423"/>
      <c r="N810" s="423"/>
      <c r="O810" s="423"/>
      <c r="P810" s="423"/>
      <c r="Q810" s="423"/>
      <c r="R810" s="423"/>
      <c r="S810" s="423"/>
      <c r="T810" s="423"/>
      <c r="U810" s="423"/>
      <c r="V810" s="423"/>
      <c r="W810" s="423"/>
      <c r="X810" s="423"/>
      <c r="Y810" s="423"/>
      <c r="Z810" s="423"/>
      <c r="AA810" s="423"/>
      <c r="AB810" s="423"/>
      <c r="AC810" s="423"/>
      <c r="AD810" s="423"/>
      <c r="AE810" s="423"/>
      <c r="AF810" s="423"/>
      <c r="AG810" s="423"/>
      <c r="AH810" s="423"/>
      <c r="AI810" s="423"/>
    </row>
    <row r="811">
      <c r="A811" s="419"/>
      <c r="B811" s="419"/>
      <c r="C811" s="419"/>
      <c r="D811" s="419"/>
      <c r="E811" s="387"/>
      <c r="F811" s="387"/>
      <c r="G811" s="423"/>
      <c r="H811" s="423"/>
      <c r="I811" s="423"/>
      <c r="J811" s="423"/>
      <c r="K811" s="423"/>
      <c r="L811" s="423"/>
      <c r="M811" s="423"/>
      <c r="N811" s="423"/>
      <c r="O811" s="423"/>
      <c r="P811" s="423"/>
      <c r="Q811" s="423"/>
      <c r="R811" s="423"/>
      <c r="S811" s="423"/>
      <c r="T811" s="423"/>
      <c r="U811" s="423"/>
      <c r="V811" s="423"/>
      <c r="W811" s="423"/>
      <c r="X811" s="423"/>
      <c r="Y811" s="423"/>
      <c r="Z811" s="423"/>
      <c r="AA811" s="423"/>
      <c r="AB811" s="423"/>
      <c r="AC811" s="423"/>
      <c r="AD811" s="423"/>
      <c r="AE811" s="423"/>
      <c r="AF811" s="423"/>
      <c r="AG811" s="423"/>
      <c r="AH811" s="423"/>
      <c r="AI811" s="423"/>
    </row>
    <row r="812">
      <c r="A812" s="419"/>
      <c r="B812" s="419"/>
      <c r="C812" s="419"/>
      <c r="D812" s="419"/>
      <c r="E812" s="387"/>
      <c r="F812" s="387"/>
      <c r="G812" s="423"/>
      <c r="H812" s="423"/>
      <c r="I812" s="423"/>
      <c r="J812" s="423"/>
      <c r="K812" s="423"/>
      <c r="L812" s="423"/>
      <c r="M812" s="423"/>
      <c r="N812" s="423"/>
      <c r="O812" s="423"/>
      <c r="P812" s="423"/>
      <c r="Q812" s="423"/>
      <c r="R812" s="423"/>
      <c r="S812" s="423"/>
      <c r="T812" s="423"/>
      <c r="U812" s="423"/>
      <c r="V812" s="423"/>
      <c r="W812" s="423"/>
      <c r="X812" s="423"/>
      <c r="Y812" s="423"/>
      <c r="Z812" s="423"/>
      <c r="AA812" s="423"/>
      <c r="AB812" s="423"/>
      <c r="AC812" s="423"/>
      <c r="AD812" s="423"/>
      <c r="AE812" s="423"/>
      <c r="AF812" s="423"/>
      <c r="AG812" s="423"/>
      <c r="AH812" s="423"/>
      <c r="AI812" s="423"/>
    </row>
    <row r="813">
      <c r="A813" s="419"/>
      <c r="B813" s="419"/>
      <c r="C813" s="419"/>
      <c r="D813" s="419"/>
      <c r="E813" s="387"/>
      <c r="F813" s="387"/>
      <c r="G813" s="423"/>
      <c r="H813" s="423"/>
      <c r="I813" s="423"/>
      <c r="J813" s="423"/>
      <c r="K813" s="423"/>
      <c r="L813" s="423"/>
      <c r="M813" s="423"/>
      <c r="N813" s="423"/>
      <c r="O813" s="423"/>
      <c r="P813" s="423"/>
      <c r="Q813" s="423"/>
      <c r="R813" s="423"/>
      <c r="S813" s="423"/>
      <c r="T813" s="423"/>
      <c r="U813" s="423"/>
      <c r="V813" s="423"/>
      <c r="W813" s="423"/>
      <c r="X813" s="423"/>
      <c r="Y813" s="423"/>
      <c r="Z813" s="423"/>
      <c r="AA813" s="423"/>
      <c r="AB813" s="423"/>
      <c r="AC813" s="423"/>
      <c r="AD813" s="423"/>
      <c r="AE813" s="423"/>
      <c r="AF813" s="423"/>
      <c r="AG813" s="423"/>
      <c r="AH813" s="423"/>
      <c r="AI813" s="423"/>
    </row>
    <row r="814">
      <c r="A814" s="419"/>
      <c r="B814" s="419"/>
      <c r="C814" s="419"/>
      <c r="D814" s="419"/>
      <c r="E814" s="387"/>
      <c r="F814" s="387"/>
      <c r="G814" s="423"/>
      <c r="H814" s="423"/>
      <c r="I814" s="423"/>
      <c r="J814" s="423"/>
      <c r="K814" s="423"/>
      <c r="L814" s="423"/>
      <c r="M814" s="423"/>
      <c r="N814" s="423"/>
      <c r="O814" s="423"/>
      <c r="P814" s="423"/>
      <c r="Q814" s="423"/>
      <c r="R814" s="423"/>
      <c r="S814" s="423"/>
      <c r="T814" s="423"/>
      <c r="U814" s="423"/>
      <c r="V814" s="423"/>
      <c r="W814" s="423"/>
      <c r="X814" s="423"/>
      <c r="Y814" s="423"/>
      <c r="Z814" s="423"/>
      <c r="AA814" s="423"/>
      <c r="AB814" s="423"/>
      <c r="AC814" s="423"/>
      <c r="AD814" s="423"/>
      <c r="AE814" s="423"/>
      <c r="AF814" s="423"/>
      <c r="AG814" s="423"/>
      <c r="AH814" s="423"/>
      <c r="AI814" s="423"/>
    </row>
    <row r="815">
      <c r="A815" s="419"/>
      <c r="B815" s="419"/>
      <c r="C815" s="419"/>
      <c r="D815" s="419"/>
      <c r="E815" s="387"/>
      <c r="F815" s="387"/>
      <c r="G815" s="423"/>
      <c r="H815" s="423"/>
      <c r="I815" s="423"/>
      <c r="J815" s="423"/>
      <c r="K815" s="423"/>
      <c r="L815" s="423"/>
      <c r="M815" s="423"/>
      <c r="N815" s="423"/>
      <c r="O815" s="423"/>
      <c r="P815" s="423"/>
      <c r="Q815" s="423"/>
      <c r="R815" s="423"/>
      <c r="S815" s="423"/>
      <c r="T815" s="423"/>
      <c r="U815" s="423"/>
      <c r="V815" s="423"/>
      <c r="W815" s="423"/>
      <c r="X815" s="423"/>
      <c r="Y815" s="423"/>
      <c r="Z815" s="423"/>
      <c r="AA815" s="423"/>
      <c r="AB815" s="423"/>
      <c r="AC815" s="423"/>
      <c r="AD815" s="423"/>
      <c r="AE815" s="423"/>
      <c r="AF815" s="423"/>
      <c r="AG815" s="423"/>
      <c r="AH815" s="423"/>
      <c r="AI815" s="423"/>
    </row>
    <row r="816">
      <c r="A816" s="419"/>
      <c r="B816" s="419"/>
      <c r="C816" s="419"/>
      <c r="D816" s="419"/>
      <c r="E816" s="387"/>
      <c r="F816" s="387"/>
      <c r="G816" s="423"/>
      <c r="H816" s="423"/>
      <c r="I816" s="423"/>
      <c r="J816" s="423"/>
      <c r="K816" s="423"/>
      <c r="L816" s="423"/>
      <c r="M816" s="423"/>
      <c r="N816" s="423"/>
      <c r="O816" s="423"/>
      <c r="P816" s="423"/>
      <c r="Q816" s="423"/>
      <c r="R816" s="423"/>
      <c r="S816" s="423"/>
      <c r="T816" s="423"/>
      <c r="U816" s="423"/>
      <c r="V816" s="423"/>
      <c r="W816" s="423"/>
      <c r="X816" s="423"/>
      <c r="Y816" s="423"/>
      <c r="Z816" s="423"/>
      <c r="AA816" s="423"/>
      <c r="AB816" s="423"/>
      <c r="AC816" s="423"/>
      <c r="AD816" s="423"/>
      <c r="AE816" s="423"/>
      <c r="AF816" s="423"/>
      <c r="AG816" s="423"/>
      <c r="AH816" s="423"/>
      <c r="AI816" s="423"/>
    </row>
    <row r="817">
      <c r="A817" s="419"/>
      <c r="B817" s="419"/>
      <c r="C817" s="419"/>
      <c r="D817" s="419"/>
      <c r="E817" s="387"/>
      <c r="F817" s="387"/>
      <c r="G817" s="423"/>
      <c r="H817" s="423"/>
      <c r="I817" s="423"/>
      <c r="J817" s="423"/>
      <c r="K817" s="423"/>
      <c r="L817" s="423"/>
      <c r="M817" s="423"/>
      <c r="N817" s="423"/>
      <c r="O817" s="423"/>
      <c r="P817" s="423"/>
      <c r="Q817" s="423"/>
      <c r="R817" s="423"/>
      <c r="S817" s="423"/>
      <c r="T817" s="423"/>
      <c r="U817" s="423"/>
      <c r="V817" s="423"/>
      <c r="W817" s="423"/>
      <c r="X817" s="423"/>
      <c r="Y817" s="423"/>
      <c r="Z817" s="423"/>
      <c r="AA817" s="423"/>
      <c r="AB817" s="423"/>
      <c r="AC817" s="423"/>
      <c r="AD817" s="423"/>
      <c r="AE817" s="423"/>
      <c r="AF817" s="423"/>
      <c r="AG817" s="423"/>
      <c r="AH817" s="423"/>
      <c r="AI817" s="423"/>
    </row>
    <row r="818">
      <c r="A818" s="419"/>
      <c r="B818" s="419"/>
      <c r="C818" s="419"/>
      <c r="D818" s="419"/>
      <c r="E818" s="387"/>
      <c r="F818" s="387"/>
      <c r="G818" s="423"/>
      <c r="H818" s="423"/>
      <c r="I818" s="423"/>
      <c r="J818" s="423"/>
      <c r="K818" s="423"/>
      <c r="L818" s="423"/>
      <c r="M818" s="423"/>
      <c r="N818" s="423"/>
      <c r="O818" s="423"/>
      <c r="P818" s="423"/>
      <c r="Q818" s="423"/>
      <c r="R818" s="423"/>
      <c r="S818" s="423"/>
      <c r="T818" s="423"/>
      <c r="U818" s="423"/>
      <c r="V818" s="423"/>
      <c r="W818" s="423"/>
      <c r="X818" s="423"/>
      <c r="Y818" s="423"/>
      <c r="Z818" s="423"/>
      <c r="AA818" s="423"/>
      <c r="AB818" s="423"/>
      <c r="AC818" s="423"/>
      <c r="AD818" s="423"/>
      <c r="AE818" s="423"/>
      <c r="AF818" s="423"/>
      <c r="AG818" s="423"/>
      <c r="AH818" s="423"/>
      <c r="AI818" s="423"/>
    </row>
    <row r="819">
      <c r="A819" s="419"/>
      <c r="B819" s="419"/>
      <c r="C819" s="419"/>
      <c r="D819" s="419"/>
      <c r="E819" s="387"/>
      <c r="F819" s="387"/>
      <c r="G819" s="423"/>
      <c r="H819" s="423"/>
      <c r="I819" s="423"/>
      <c r="J819" s="423"/>
      <c r="K819" s="423"/>
      <c r="L819" s="423"/>
      <c r="M819" s="423"/>
      <c r="N819" s="423"/>
      <c r="O819" s="423"/>
      <c r="P819" s="423"/>
      <c r="Q819" s="423"/>
      <c r="R819" s="423"/>
      <c r="S819" s="423"/>
      <c r="T819" s="423"/>
      <c r="U819" s="423"/>
      <c r="V819" s="423"/>
      <c r="W819" s="423"/>
      <c r="X819" s="423"/>
      <c r="Y819" s="423"/>
      <c r="Z819" s="423"/>
      <c r="AA819" s="423"/>
      <c r="AB819" s="423"/>
      <c r="AC819" s="423"/>
      <c r="AD819" s="423"/>
      <c r="AE819" s="423"/>
      <c r="AF819" s="423"/>
      <c r="AG819" s="423"/>
      <c r="AH819" s="423"/>
      <c r="AI819" s="423"/>
    </row>
    <row r="820">
      <c r="A820" s="419"/>
      <c r="B820" s="419"/>
      <c r="C820" s="419"/>
      <c r="D820" s="419"/>
      <c r="E820" s="387"/>
      <c r="F820" s="387"/>
      <c r="G820" s="423"/>
      <c r="H820" s="423"/>
      <c r="I820" s="423"/>
      <c r="J820" s="423"/>
      <c r="K820" s="423"/>
      <c r="L820" s="423"/>
      <c r="M820" s="423"/>
      <c r="N820" s="423"/>
      <c r="O820" s="423"/>
      <c r="P820" s="423"/>
      <c r="Q820" s="423"/>
      <c r="R820" s="423"/>
      <c r="S820" s="423"/>
      <c r="T820" s="423"/>
      <c r="U820" s="423"/>
      <c r="V820" s="423"/>
      <c r="W820" s="423"/>
      <c r="X820" s="423"/>
      <c r="Y820" s="423"/>
      <c r="Z820" s="423"/>
      <c r="AA820" s="423"/>
      <c r="AB820" s="423"/>
      <c r="AC820" s="423"/>
      <c r="AD820" s="423"/>
      <c r="AE820" s="423"/>
      <c r="AF820" s="423"/>
      <c r="AG820" s="423"/>
      <c r="AH820" s="423"/>
      <c r="AI820" s="423"/>
    </row>
    <row r="821">
      <c r="A821" s="419"/>
      <c r="B821" s="419"/>
      <c r="C821" s="419"/>
      <c r="D821" s="419"/>
      <c r="E821" s="387"/>
      <c r="F821" s="387"/>
      <c r="G821" s="423"/>
      <c r="H821" s="423"/>
      <c r="I821" s="423"/>
      <c r="J821" s="423"/>
      <c r="K821" s="423"/>
      <c r="L821" s="423"/>
      <c r="M821" s="423"/>
      <c r="N821" s="423"/>
      <c r="O821" s="423"/>
      <c r="P821" s="423"/>
      <c r="Q821" s="423"/>
      <c r="R821" s="423"/>
      <c r="S821" s="423"/>
      <c r="T821" s="423"/>
      <c r="U821" s="423"/>
      <c r="V821" s="423"/>
      <c r="W821" s="423"/>
      <c r="X821" s="423"/>
      <c r="Y821" s="423"/>
      <c r="Z821" s="423"/>
      <c r="AA821" s="423"/>
      <c r="AB821" s="423"/>
      <c r="AC821" s="423"/>
      <c r="AD821" s="423"/>
      <c r="AE821" s="423"/>
      <c r="AF821" s="423"/>
      <c r="AG821" s="423"/>
      <c r="AH821" s="423"/>
      <c r="AI821" s="423"/>
    </row>
    <row r="822">
      <c r="A822" s="419"/>
      <c r="B822" s="419"/>
      <c r="C822" s="419"/>
      <c r="D822" s="419"/>
      <c r="E822" s="387"/>
      <c r="F822" s="387"/>
      <c r="G822" s="423"/>
      <c r="H822" s="423"/>
      <c r="I822" s="423"/>
      <c r="J822" s="423"/>
      <c r="K822" s="423"/>
      <c r="L822" s="423"/>
      <c r="M822" s="423"/>
      <c r="N822" s="423"/>
      <c r="O822" s="423"/>
      <c r="P822" s="423"/>
      <c r="Q822" s="423"/>
      <c r="R822" s="423"/>
      <c r="S822" s="423"/>
      <c r="T822" s="423"/>
      <c r="U822" s="423"/>
      <c r="V822" s="423"/>
      <c r="W822" s="423"/>
      <c r="X822" s="423"/>
      <c r="Y822" s="423"/>
      <c r="Z822" s="423"/>
      <c r="AA822" s="423"/>
      <c r="AB822" s="423"/>
      <c r="AC822" s="423"/>
      <c r="AD822" s="423"/>
      <c r="AE822" s="423"/>
      <c r="AF822" s="423"/>
      <c r="AG822" s="423"/>
      <c r="AH822" s="423"/>
      <c r="AI822" s="423"/>
    </row>
    <row r="823">
      <c r="A823" s="419"/>
      <c r="B823" s="419"/>
      <c r="C823" s="419"/>
      <c r="D823" s="419"/>
      <c r="E823" s="387"/>
      <c r="F823" s="387"/>
      <c r="G823" s="423"/>
      <c r="H823" s="423"/>
      <c r="I823" s="423"/>
      <c r="J823" s="423"/>
      <c r="K823" s="423"/>
      <c r="L823" s="423"/>
      <c r="M823" s="423"/>
      <c r="N823" s="423"/>
      <c r="O823" s="423"/>
      <c r="P823" s="423"/>
      <c r="Q823" s="423"/>
      <c r="R823" s="423"/>
      <c r="S823" s="423"/>
      <c r="T823" s="423"/>
      <c r="U823" s="423"/>
      <c r="V823" s="423"/>
      <c r="W823" s="423"/>
      <c r="X823" s="423"/>
      <c r="Y823" s="423"/>
      <c r="Z823" s="423"/>
      <c r="AA823" s="423"/>
      <c r="AB823" s="423"/>
      <c r="AC823" s="423"/>
      <c r="AD823" s="423"/>
      <c r="AE823" s="423"/>
      <c r="AF823" s="423"/>
      <c r="AG823" s="423"/>
      <c r="AH823" s="423"/>
      <c r="AI823" s="423"/>
    </row>
    <row r="824">
      <c r="A824" s="419"/>
      <c r="B824" s="419"/>
      <c r="C824" s="419"/>
      <c r="D824" s="419"/>
      <c r="E824" s="387"/>
      <c r="F824" s="387"/>
      <c r="G824" s="423"/>
      <c r="H824" s="423"/>
      <c r="I824" s="423"/>
      <c r="J824" s="423"/>
      <c r="K824" s="423"/>
      <c r="L824" s="423"/>
      <c r="M824" s="423"/>
      <c r="N824" s="423"/>
      <c r="O824" s="423"/>
      <c r="P824" s="423"/>
      <c r="Q824" s="423"/>
      <c r="R824" s="423"/>
      <c r="S824" s="423"/>
      <c r="T824" s="423"/>
      <c r="U824" s="423"/>
      <c r="V824" s="423"/>
      <c r="W824" s="423"/>
      <c r="X824" s="423"/>
      <c r="Y824" s="423"/>
      <c r="Z824" s="423"/>
      <c r="AA824" s="423"/>
      <c r="AB824" s="423"/>
      <c r="AC824" s="423"/>
      <c r="AD824" s="423"/>
      <c r="AE824" s="423"/>
      <c r="AF824" s="423"/>
      <c r="AG824" s="423"/>
      <c r="AH824" s="423"/>
      <c r="AI824" s="423"/>
    </row>
    <row r="825">
      <c r="A825" s="419"/>
      <c r="B825" s="419"/>
      <c r="C825" s="419"/>
      <c r="D825" s="419"/>
      <c r="E825" s="387"/>
      <c r="F825" s="387"/>
      <c r="G825" s="423"/>
      <c r="H825" s="423"/>
      <c r="I825" s="423"/>
      <c r="J825" s="423"/>
      <c r="K825" s="423"/>
      <c r="L825" s="423"/>
      <c r="M825" s="423"/>
      <c r="N825" s="423"/>
      <c r="O825" s="423"/>
      <c r="P825" s="423"/>
      <c r="Q825" s="423"/>
      <c r="R825" s="423"/>
      <c r="S825" s="423"/>
      <c r="T825" s="423"/>
      <c r="U825" s="423"/>
      <c r="V825" s="423"/>
      <c r="W825" s="423"/>
      <c r="X825" s="423"/>
      <c r="Y825" s="423"/>
      <c r="Z825" s="423"/>
      <c r="AA825" s="423"/>
      <c r="AB825" s="423"/>
      <c r="AC825" s="423"/>
      <c r="AD825" s="423"/>
      <c r="AE825" s="423"/>
      <c r="AF825" s="423"/>
      <c r="AG825" s="423"/>
      <c r="AH825" s="423"/>
      <c r="AI825" s="423"/>
    </row>
    <row r="826">
      <c r="A826" s="419"/>
      <c r="B826" s="419"/>
      <c r="C826" s="419"/>
      <c r="D826" s="419"/>
      <c r="E826" s="387"/>
      <c r="F826" s="387"/>
      <c r="G826" s="423"/>
      <c r="H826" s="423"/>
      <c r="I826" s="423"/>
      <c r="J826" s="423"/>
      <c r="K826" s="423"/>
      <c r="L826" s="423"/>
      <c r="M826" s="423"/>
      <c r="N826" s="423"/>
      <c r="O826" s="423"/>
      <c r="P826" s="423"/>
      <c r="Q826" s="423"/>
      <c r="R826" s="423"/>
      <c r="S826" s="423"/>
      <c r="T826" s="423"/>
      <c r="U826" s="423"/>
      <c r="V826" s="423"/>
      <c r="W826" s="423"/>
      <c r="X826" s="423"/>
      <c r="Y826" s="423"/>
      <c r="Z826" s="423"/>
      <c r="AA826" s="423"/>
      <c r="AB826" s="423"/>
      <c r="AC826" s="423"/>
      <c r="AD826" s="423"/>
      <c r="AE826" s="423"/>
      <c r="AF826" s="423"/>
      <c r="AG826" s="423"/>
      <c r="AH826" s="423"/>
      <c r="AI826" s="423"/>
    </row>
    <row r="827">
      <c r="A827" s="419"/>
      <c r="B827" s="419"/>
      <c r="C827" s="419"/>
      <c r="D827" s="419"/>
      <c r="E827" s="387"/>
      <c r="F827" s="387"/>
      <c r="G827" s="423"/>
      <c r="H827" s="423"/>
      <c r="I827" s="423"/>
      <c r="J827" s="423"/>
      <c r="K827" s="423"/>
      <c r="L827" s="423"/>
      <c r="M827" s="423"/>
      <c r="N827" s="423"/>
      <c r="O827" s="423"/>
      <c r="P827" s="423"/>
      <c r="Q827" s="423"/>
      <c r="R827" s="423"/>
      <c r="S827" s="423"/>
      <c r="T827" s="423"/>
      <c r="U827" s="423"/>
      <c r="V827" s="423"/>
      <c r="W827" s="423"/>
      <c r="X827" s="423"/>
      <c r="Y827" s="423"/>
      <c r="Z827" s="423"/>
      <c r="AA827" s="423"/>
      <c r="AB827" s="423"/>
      <c r="AC827" s="423"/>
      <c r="AD827" s="423"/>
      <c r="AE827" s="423"/>
      <c r="AF827" s="423"/>
      <c r="AG827" s="423"/>
      <c r="AH827" s="423"/>
      <c r="AI827" s="423"/>
    </row>
    <row r="828">
      <c r="A828" s="419"/>
      <c r="B828" s="419"/>
      <c r="C828" s="419"/>
      <c r="D828" s="419"/>
      <c r="E828" s="387"/>
      <c r="F828" s="387"/>
      <c r="G828" s="423"/>
      <c r="H828" s="423"/>
      <c r="I828" s="423"/>
      <c r="J828" s="423"/>
      <c r="K828" s="423"/>
      <c r="L828" s="423"/>
      <c r="M828" s="423"/>
      <c r="N828" s="423"/>
      <c r="O828" s="423"/>
      <c r="P828" s="423"/>
      <c r="Q828" s="423"/>
      <c r="R828" s="423"/>
      <c r="S828" s="423"/>
      <c r="T828" s="423"/>
      <c r="U828" s="423"/>
      <c r="V828" s="423"/>
      <c r="W828" s="423"/>
      <c r="X828" s="423"/>
      <c r="Y828" s="423"/>
      <c r="Z828" s="423"/>
      <c r="AA828" s="423"/>
      <c r="AB828" s="423"/>
      <c r="AC828" s="423"/>
      <c r="AD828" s="423"/>
      <c r="AE828" s="423"/>
      <c r="AF828" s="423"/>
      <c r="AG828" s="423"/>
      <c r="AH828" s="423"/>
      <c r="AI828" s="423"/>
    </row>
    <row r="829">
      <c r="A829" s="419"/>
      <c r="B829" s="419"/>
      <c r="C829" s="419"/>
      <c r="D829" s="419"/>
      <c r="E829" s="387"/>
      <c r="F829" s="387"/>
      <c r="G829" s="423"/>
      <c r="H829" s="423"/>
      <c r="I829" s="423"/>
      <c r="J829" s="423"/>
      <c r="K829" s="423"/>
      <c r="L829" s="423"/>
      <c r="M829" s="423"/>
      <c r="N829" s="423"/>
      <c r="O829" s="423"/>
      <c r="P829" s="423"/>
      <c r="Q829" s="423"/>
      <c r="R829" s="423"/>
      <c r="S829" s="423"/>
      <c r="T829" s="423"/>
      <c r="U829" s="423"/>
      <c r="V829" s="423"/>
      <c r="W829" s="423"/>
      <c r="X829" s="423"/>
      <c r="Y829" s="423"/>
      <c r="Z829" s="423"/>
      <c r="AA829" s="423"/>
      <c r="AB829" s="423"/>
      <c r="AC829" s="423"/>
      <c r="AD829" s="423"/>
      <c r="AE829" s="423"/>
      <c r="AF829" s="423"/>
      <c r="AG829" s="423"/>
      <c r="AH829" s="423"/>
      <c r="AI829" s="423"/>
    </row>
    <row r="830">
      <c r="A830" s="419"/>
      <c r="B830" s="419"/>
      <c r="C830" s="419"/>
      <c r="D830" s="419"/>
      <c r="E830" s="387"/>
      <c r="F830" s="387"/>
      <c r="G830" s="423"/>
      <c r="H830" s="423"/>
      <c r="I830" s="423"/>
      <c r="J830" s="423"/>
      <c r="K830" s="423"/>
      <c r="L830" s="423"/>
      <c r="M830" s="423"/>
      <c r="N830" s="423"/>
      <c r="O830" s="423"/>
      <c r="P830" s="423"/>
      <c r="Q830" s="423"/>
      <c r="R830" s="423"/>
      <c r="S830" s="423"/>
      <c r="T830" s="423"/>
      <c r="U830" s="423"/>
      <c r="V830" s="423"/>
      <c r="W830" s="423"/>
      <c r="X830" s="423"/>
      <c r="Y830" s="423"/>
      <c r="Z830" s="423"/>
      <c r="AA830" s="423"/>
      <c r="AB830" s="423"/>
      <c r="AC830" s="423"/>
      <c r="AD830" s="423"/>
      <c r="AE830" s="423"/>
      <c r="AF830" s="423"/>
      <c r="AG830" s="423"/>
      <c r="AH830" s="423"/>
      <c r="AI830" s="423"/>
    </row>
    <row r="831">
      <c r="A831" s="419"/>
      <c r="B831" s="419"/>
      <c r="C831" s="419"/>
      <c r="D831" s="419"/>
      <c r="E831" s="387"/>
      <c r="F831" s="387"/>
      <c r="G831" s="423"/>
      <c r="H831" s="423"/>
      <c r="I831" s="423"/>
      <c r="J831" s="423"/>
      <c r="K831" s="423"/>
      <c r="L831" s="423"/>
      <c r="M831" s="423"/>
      <c r="N831" s="423"/>
      <c r="O831" s="423"/>
      <c r="P831" s="423"/>
      <c r="Q831" s="423"/>
      <c r="R831" s="423"/>
      <c r="S831" s="423"/>
      <c r="T831" s="423"/>
      <c r="U831" s="423"/>
      <c r="V831" s="423"/>
      <c r="W831" s="423"/>
      <c r="X831" s="423"/>
      <c r="Y831" s="423"/>
      <c r="Z831" s="423"/>
      <c r="AA831" s="423"/>
      <c r="AB831" s="423"/>
      <c r="AC831" s="423"/>
      <c r="AD831" s="423"/>
      <c r="AE831" s="423"/>
      <c r="AF831" s="423"/>
      <c r="AG831" s="423"/>
      <c r="AH831" s="423"/>
      <c r="AI831" s="423"/>
    </row>
    <row r="832">
      <c r="A832" s="419"/>
      <c r="B832" s="419"/>
      <c r="C832" s="419"/>
      <c r="D832" s="419"/>
      <c r="E832" s="387"/>
      <c r="F832" s="387"/>
      <c r="G832" s="423"/>
      <c r="H832" s="423"/>
      <c r="I832" s="423"/>
      <c r="J832" s="423"/>
      <c r="K832" s="423"/>
      <c r="L832" s="423"/>
      <c r="M832" s="423"/>
      <c r="N832" s="423"/>
      <c r="O832" s="423"/>
      <c r="P832" s="423"/>
      <c r="Q832" s="423"/>
      <c r="R832" s="423"/>
      <c r="S832" s="423"/>
      <c r="T832" s="423"/>
      <c r="U832" s="423"/>
      <c r="V832" s="423"/>
      <c r="W832" s="423"/>
      <c r="X832" s="423"/>
      <c r="Y832" s="423"/>
      <c r="Z832" s="423"/>
      <c r="AA832" s="423"/>
      <c r="AB832" s="423"/>
      <c r="AC832" s="423"/>
      <c r="AD832" s="423"/>
      <c r="AE832" s="423"/>
      <c r="AF832" s="423"/>
      <c r="AG832" s="423"/>
      <c r="AH832" s="423"/>
      <c r="AI832" s="423"/>
    </row>
    <row r="833">
      <c r="A833" s="419"/>
      <c r="B833" s="419"/>
      <c r="C833" s="419"/>
      <c r="D833" s="419"/>
      <c r="E833" s="387"/>
      <c r="F833" s="387"/>
      <c r="G833" s="423"/>
      <c r="H833" s="423"/>
      <c r="I833" s="423"/>
      <c r="J833" s="423"/>
      <c r="K833" s="423"/>
      <c r="L833" s="423"/>
      <c r="M833" s="423"/>
      <c r="N833" s="423"/>
      <c r="O833" s="423"/>
      <c r="P833" s="423"/>
      <c r="Q833" s="423"/>
      <c r="R833" s="423"/>
      <c r="S833" s="423"/>
      <c r="T833" s="423"/>
      <c r="U833" s="423"/>
      <c r="V833" s="423"/>
      <c r="W833" s="423"/>
      <c r="X833" s="423"/>
      <c r="Y833" s="423"/>
      <c r="Z833" s="423"/>
      <c r="AA833" s="423"/>
      <c r="AB833" s="423"/>
      <c r="AC833" s="423"/>
      <c r="AD833" s="423"/>
      <c r="AE833" s="423"/>
      <c r="AF833" s="423"/>
      <c r="AG833" s="423"/>
      <c r="AH833" s="423"/>
      <c r="AI833" s="423"/>
    </row>
    <row r="834">
      <c r="A834" s="419"/>
      <c r="B834" s="419"/>
      <c r="C834" s="419"/>
      <c r="D834" s="419"/>
      <c r="E834" s="387"/>
      <c r="F834" s="387"/>
      <c r="G834" s="423"/>
      <c r="H834" s="423"/>
      <c r="I834" s="423"/>
      <c r="J834" s="423"/>
      <c r="K834" s="423"/>
      <c r="L834" s="423"/>
      <c r="M834" s="423"/>
      <c r="N834" s="423"/>
      <c r="O834" s="423"/>
      <c r="P834" s="423"/>
      <c r="Q834" s="423"/>
      <c r="R834" s="423"/>
      <c r="S834" s="423"/>
      <c r="T834" s="423"/>
      <c r="U834" s="423"/>
      <c r="V834" s="423"/>
      <c r="W834" s="423"/>
      <c r="X834" s="423"/>
      <c r="Y834" s="423"/>
      <c r="Z834" s="423"/>
      <c r="AA834" s="423"/>
      <c r="AB834" s="423"/>
      <c r="AC834" s="423"/>
      <c r="AD834" s="423"/>
      <c r="AE834" s="423"/>
      <c r="AF834" s="423"/>
      <c r="AG834" s="423"/>
      <c r="AH834" s="423"/>
      <c r="AI834" s="423"/>
    </row>
    <row r="835">
      <c r="A835" s="419"/>
      <c r="B835" s="419"/>
      <c r="C835" s="419"/>
      <c r="D835" s="419"/>
      <c r="E835" s="387"/>
      <c r="F835" s="387"/>
      <c r="G835" s="423"/>
      <c r="H835" s="423"/>
      <c r="I835" s="423"/>
      <c r="J835" s="423"/>
      <c r="K835" s="423"/>
      <c r="L835" s="423"/>
      <c r="M835" s="423"/>
      <c r="N835" s="423"/>
      <c r="O835" s="423"/>
      <c r="P835" s="423"/>
      <c r="Q835" s="423"/>
      <c r="R835" s="423"/>
      <c r="S835" s="423"/>
      <c r="T835" s="423"/>
      <c r="U835" s="423"/>
      <c r="V835" s="423"/>
      <c r="W835" s="423"/>
      <c r="X835" s="423"/>
      <c r="Y835" s="423"/>
      <c r="Z835" s="423"/>
      <c r="AA835" s="423"/>
      <c r="AB835" s="423"/>
      <c r="AC835" s="423"/>
      <c r="AD835" s="423"/>
      <c r="AE835" s="423"/>
      <c r="AF835" s="423"/>
      <c r="AG835" s="423"/>
      <c r="AH835" s="423"/>
      <c r="AI835" s="423"/>
    </row>
    <row r="836">
      <c r="A836" s="419"/>
      <c r="B836" s="419"/>
      <c r="C836" s="419"/>
      <c r="D836" s="419"/>
      <c r="E836" s="387"/>
      <c r="F836" s="387"/>
      <c r="G836" s="423"/>
      <c r="H836" s="423"/>
      <c r="I836" s="423"/>
      <c r="J836" s="423"/>
      <c r="K836" s="423"/>
      <c r="L836" s="423"/>
      <c r="M836" s="423"/>
      <c r="N836" s="423"/>
      <c r="O836" s="423"/>
      <c r="P836" s="423"/>
      <c r="Q836" s="423"/>
      <c r="R836" s="423"/>
      <c r="S836" s="423"/>
      <c r="T836" s="423"/>
      <c r="U836" s="423"/>
      <c r="V836" s="423"/>
      <c r="W836" s="423"/>
      <c r="X836" s="423"/>
      <c r="Y836" s="423"/>
      <c r="Z836" s="423"/>
      <c r="AA836" s="423"/>
      <c r="AB836" s="423"/>
      <c r="AC836" s="423"/>
      <c r="AD836" s="423"/>
      <c r="AE836" s="423"/>
      <c r="AF836" s="423"/>
      <c r="AG836" s="423"/>
      <c r="AH836" s="423"/>
      <c r="AI836" s="423"/>
    </row>
    <row r="837">
      <c r="A837" s="419"/>
      <c r="B837" s="419"/>
      <c r="C837" s="419"/>
      <c r="D837" s="419"/>
      <c r="E837" s="387"/>
      <c r="F837" s="387"/>
      <c r="G837" s="423"/>
      <c r="H837" s="423"/>
      <c r="I837" s="423"/>
      <c r="J837" s="423"/>
      <c r="K837" s="423"/>
      <c r="L837" s="423"/>
      <c r="M837" s="423"/>
      <c r="N837" s="423"/>
      <c r="O837" s="423"/>
      <c r="P837" s="423"/>
      <c r="Q837" s="423"/>
      <c r="R837" s="423"/>
      <c r="S837" s="423"/>
      <c r="T837" s="423"/>
      <c r="U837" s="423"/>
      <c r="V837" s="423"/>
      <c r="W837" s="423"/>
      <c r="X837" s="423"/>
      <c r="Y837" s="423"/>
      <c r="Z837" s="423"/>
      <c r="AA837" s="423"/>
      <c r="AB837" s="423"/>
      <c r="AC837" s="423"/>
      <c r="AD837" s="423"/>
      <c r="AE837" s="423"/>
      <c r="AF837" s="423"/>
      <c r="AG837" s="423"/>
      <c r="AH837" s="423"/>
      <c r="AI837" s="423"/>
    </row>
    <row r="838">
      <c r="A838" s="419"/>
      <c r="B838" s="419"/>
      <c r="C838" s="419"/>
      <c r="D838" s="419"/>
      <c r="E838" s="387"/>
      <c r="F838" s="387"/>
      <c r="G838" s="423"/>
      <c r="H838" s="423"/>
      <c r="I838" s="423"/>
      <c r="J838" s="423"/>
      <c r="K838" s="423"/>
      <c r="L838" s="423"/>
      <c r="M838" s="423"/>
      <c r="N838" s="423"/>
      <c r="O838" s="423"/>
      <c r="P838" s="423"/>
      <c r="Q838" s="423"/>
      <c r="R838" s="423"/>
      <c r="S838" s="423"/>
      <c r="T838" s="423"/>
      <c r="U838" s="423"/>
      <c r="V838" s="423"/>
      <c r="W838" s="423"/>
      <c r="X838" s="423"/>
      <c r="Y838" s="423"/>
      <c r="Z838" s="423"/>
      <c r="AA838" s="423"/>
      <c r="AB838" s="423"/>
      <c r="AC838" s="423"/>
      <c r="AD838" s="423"/>
      <c r="AE838" s="423"/>
      <c r="AF838" s="423"/>
      <c r="AG838" s="423"/>
      <c r="AH838" s="423"/>
      <c r="AI838" s="423"/>
    </row>
    <row r="839">
      <c r="A839" s="419"/>
      <c r="B839" s="419"/>
      <c r="C839" s="419"/>
      <c r="D839" s="419"/>
      <c r="E839" s="387"/>
      <c r="F839" s="387"/>
      <c r="G839" s="423"/>
      <c r="H839" s="423"/>
      <c r="I839" s="423"/>
      <c r="J839" s="423"/>
      <c r="K839" s="423"/>
      <c r="L839" s="423"/>
      <c r="M839" s="423"/>
      <c r="N839" s="423"/>
      <c r="O839" s="423"/>
      <c r="P839" s="423"/>
      <c r="Q839" s="423"/>
      <c r="R839" s="423"/>
      <c r="S839" s="423"/>
      <c r="T839" s="423"/>
      <c r="U839" s="423"/>
      <c r="V839" s="423"/>
      <c r="W839" s="423"/>
      <c r="X839" s="423"/>
      <c r="Y839" s="423"/>
      <c r="Z839" s="423"/>
      <c r="AA839" s="423"/>
      <c r="AB839" s="423"/>
      <c r="AC839" s="423"/>
      <c r="AD839" s="423"/>
      <c r="AE839" s="423"/>
      <c r="AF839" s="423"/>
      <c r="AG839" s="423"/>
      <c r="AH839" s="423"/>
      <c r="AI839" s="423"/>
    </row>
    <row r="840">
      <c r="A840" s="419"/>
      <c r="B840" s="419"/>
      <c r="C840" s="419"/>
      <c r="D840" s="419"/>
      <c r="E840" s="387"/>
      <c r="F840" s="387"/>
      <c r="G840" s="423"/>
      <c r="H840" s="423"/>
      <c r="I840" s="423"/>
      <c r="J840" s="423"/>
      <c r="K840" s="423"/>
      <c r="L840" s="423"/>
      <c r="M840" s="423"/>
      <c r="N840" s="423"/>
      <c r="O840" s="423"/>
      <c r="P840" s="423"/>
      <c r="Q840" s="423"/>
      <c r="R840" s="423"/>
      <c r="S840" s="423"/>
      <c r="T840" s="423"/>
      <c r="U840" s="423"/>
      <c r="V840" s="423"/>
      <c r="W840" s="423"/>
      <c r="X840" s="423"/>
      <c r="Y840" s="423"/>
      <c r="Z840" s="423"/>
      <c r="AA840" s="423"/>
      <c r="AB840" s="423"/>
      <c r="AC840" s="423"/>
      <c r="AD840" s="423"/>
      <c r="AE840" s="423"/>
      <c r="AF840" s="423"/>
      <c r="AG840" s="423"/>
      <c r="AH840" s="423"/>
      <c r="AI840" s="423"/>
    </row>
    <row r="841">
      <c r="A841" s="419"/>
      <c r="B841" s="419"/>
      <c r="C841" s="419"/>
      <c r="D841" s="419"/>
      <c r="E841" s="387"/>
      <c r="F841" s="387"/>
      <c r="G841" s="423"/>
      <c r="H841" s="423"/>
      <c r="I841" s="423"/>
      <c r="J841" s="423"/>
      <c r="K841" s="423"/>
      <c r="L841" s="423"/>
      <c r="M841" s="423"/>
      <c r="N841" s="423"/>
      <c r="O841" s="423"/>
      <c r="P841" s="423"/>
      <c r="Q841" s="423"/>
      <c r="R841" s="423"/>
      <c r="S841" s="423"/>
      <c r="T841" s="423"/>
      <c r="U841" s="423"/>
      <c r="V841" s="423"/>
      <c r="W841" s="423"/>
      <c r="X841" s="423"/>
      <c r="Y841" s="423"/>
      <c r="Z841" s="423"/>
      <c r="AA841" s="423"/>
      <c r="AB841" s="423"/>
      <c r="AC841" s="423"/>
      <c r="AD841" s="423"/>
      <c r="AE841" s="423"/>
      <c r="AF841" s="423"/>
      <c r="AG841" s="423"/>
      <c r="AH841" s="423"/>
      <c r="AI841" s="423"/>
    </row>
    <row r="842">
      <c r="A842" s="419"/>
      <c r="B842" s="419"/>
      <c r="C842" s="419"/>
      <c r="D842" s="419"/>
      <c r="E842" s="387"/>
      <c r="F842" s="387"/>
      <c r="G842" s="423"/>
      <c r="H842" s="423"/>
      <c r="I842" s="423"/>
      <c r="J842" s="423"/>
      <c r="K842" s="423"/>
      <c r="L842" s="423"/>
      <c r="M842" s="423"/>
      <c r="N842" s="423"/>
      <c r="O842" s="423"/>
      <c r="P842" s="423"/>
      <c r="Q842" s="423"/>
      <c r="R842" s="423"/>
      <c r="S842" s="423"/>
      <c r="T842" s="423"/>
      <c r="U842" s="423"/>
      <c r="V842" s="423"/>
      <c r="W842" s="423"/>
      <c r="X842" s="423"/>
      <c r="Y842" s="423"/>
      <c r="Z842" s="423"/>
      <c r="AA842" s="423"/>
      <c r="AB842" s="423"/>
      <c r="AC842" s="423"/>
      <c r="AD842" s="423"/>
      <c r="AE842" s="423"/>
      <c r="AF842" s="423"/>
      <c r="AG842" s="423"/>
      <c r="AH842" s="423"/>
      <c r="AI842" s="423"/>
    </row>
    <row r="843">
      <c r="A843" s="419"/>
      <c r="B843" s="419"/>
      <c r="C843" s="419"/>
      <c r="D843" s="419"/>
      <c r="E843" s="387"/>
      <c r="F843" s="387"/>
      <c r="G843" s="423"/>
      <c r="H843" s="423"/>
      <c r="I843" s="423"/>
      <c r="J843" s="423"/>
      <c r="K843" s="423"/>
      <c r="L843" s="423"/>
      <c r="M843" s="423"/>
      <c r="N843" s="423"/>
      <c r="O843" s="423"/>
      <c r="P843" s="423"/>
      <c r="Q843" s="423"/>
      <c r="R843" s="423"/>
      <c r="S843" s="423"/>
      <c r="T843" s="423"/>
      <c r="U843" s="423"/>
      <c r="V843" s="423"/>
      <c r="W843" s="423"/>
      <c r="X843" s="423"/>
      <c r="Y843" s="423"/>
      <c r="Z843" s="423"/>
      <c r="AA843" s="423"/>
      <c r="AB843" s="423"/>
      <c r="AC843" s="423"/>
      <c r="AD843" s="423"/>
      <c r="AE843" s="423"/>
      <c r="AF843" s="423"/>
      <c r="AG843" s="423"/>
      <c r="AH843" s="423"/>
      <c r="AI843" s="423"/>
    </row>
    <row r="844">
      <c r="A844" s="419"/>
      <c r="B844" s="419"/>
      <c r="C844" s="419"/>
      <c r="D844" s="419"/>
      <c r="E844" s="387"/>
      <c r="F844" s="387"/>
      <c r="G844" s="423"/>
      <c r="H844" s="423"/>
      <c r="I844" s="423"/>
      <c r="J844" s="423"/>
      <c r="K844" s="423"/>
      <c r="L844" s="423"/>
      <c r="M844" s="423"/>
      <c r="N844" s="423"/>
      <c r="O844" s="423"/>
      <c r="P844" s="423"/>
      <c r="Q844" s="423"/>
      <c r="R844" s="423"/>
      <c r="S844" s="423"/>
      <c r="T844" s="423"/>
      <c r="U844" s="423"/>
      <c r="V844" s="423"/>
      <c r="W844" s="423"/>
      <c r="X844" s="423"/>
      <c r="Y844" s="423"/>
      <c r="Z844" s="423"/>
      <c r="AA844" s="423"/>
      <c r="AB844" s="423"/>
      <c r="AC844" s="423"/>
      <c r="AD844" s="423"/>
      <c r="AE844" s="423"/>
      <c r="AF844" s="423"/>
      <c r="AG844" s="423"/>
      <c r="AH844" s="423"/>
      <c r="AI844" s="423"/>
    </row>
    <row r="845">
      <c r="A845" s="419"/>
      <c r="B845" s="419"/>
      <c r="C845" s="419"/>
      <c r="D845" s="419"/>
      <c r="E845" s="387"/>
      <c r="F845" s="387"/>
      <c r="G845" s="423"/>
      <c r="H845" s="423"/>
      <c r="I845" s="423"/>
      <c r="J845" s="423"/>
      <c r="K845" s="423"/>
      <c r="L845" s="423"/>
      <c r="M845" s="423"/>
      <c r="N845" s="423"/>
      <c r="O845" s="423"/>
      <c r="P845" s="423"/>
      <c r="Q845" s="423"/>
      <c r="R845" s="423"/>
      <c r="S845" s="423"/>
      <c r="T845" s="423"/>
      <c r="U845" s="423"/>
      <c r="V845" s="423"/>
      <c r="W845" s="423"/>
      <c r="X845" s="423"/>
      <c r="Y845" s="423"/>
      <c r="Z845" s="423"/>
      <c r="AA845" s="423"/>
      <c r="AB845" s="423"/>
      <c r="AC845" s="423"/>
      <c r="AD845" s="423"/>
      <c r="AE845" s="423"/>
      <c r="AF845" s="423"/>
      <c r="AG845" s="423"/>
      <c r="AH845" s="423"/>
      <c r="AI845" s="423"/>
    </row>
    <row r="846">
      <c r="A846" s="419"/>
      <c r="B846" s="419"/>
      <c r="C846" s="419"/>
      <c r="D846" s="419"/>
      <c r="E846" s="387"/>
      <c r="F846" s="387"/>
      <c r="G846" s="423"/>
      <c r="H846" s="423"/>
      <c r="I846" s="423"/>
      <c r="J846" s="423"/>
      <c r="K846" s="423"/>
      <c r="L846" s="423"/>
      <c r="M846" s="423"/>
      <c r="N846" s="423"/>
      <c r="O846" s="423"/>
      <c r="P846" s="423"/>
      <c r="Q846" s="423"/>
      <c r="R846" s="423"/>
      <c r="S846" s="423"/>
      <c r="T846" s="423"/>
      <c r="U846" s="423"/>
      <c r="V846" s="423"/>
      <c r="W846" s="423"/>
      <c r="X846" s="423"/>
      <c r="Y846" s="423"/>
      <c r="Z846" s="423"/>
      <c r="AA846" s="423"/>
      <c r="AB846" s="423"/>
      <c r="AC846" s="423"/>
      <c r="AD846" s="423"/>
      <c r="AE846" s="423"/>
      <c r="AF846" s="423"/>
      <c r="AG846" s="423"/>
      <c r="AH846" s="423"/>
      <c r="AI846" s="423"/>
    </row>
    <row r="847">
      <c r="A847" s="419"/>
      <c r="B847" s="419"/>
      <c r="C847" s="419"/>
      <c r="D847" s="419"/>
      <c r="E847" s="387"/>
      <c r="F847" s="387"/>
      <c r="G847" s="423"/>
      <c r="H847" s="423"/>
      <c r="I847" s="423"/>
      <c r="J847" s="423"/>
      <c r="K847" s="423"/>
      <c r="L847" s="423"/>
      <c r="M847" s="423"/>
      <c r="N847" s="423"/>
      <c r="O847" s="423"/>
      <c r="P847" s="423"/>
      <c r="Q847" s="423"/>
      <c r="R847" s="423"/>
      <c r="S847" s="423"/>
      <c r="T847" s="423"/>
      <c r="U847" s="423"/>
      <c r="V847" s="423"/>
      <c r="W847" s="423"/>
      <c r="X847" s="423"/>
      <c r="Y847" s="423"/>
      <c r="Z847" s="423"/>
      <c r="AA847" s="423"/>
      <c r="AB847" s="423"/>
      <c r="AC847" s="423"/>
      <c r="AD847" s="423"/>
      <c r="AE847" s="423"/>
      <c r="AF847" s="423"/>
      <c r="AG847" s="423"/>
      <c r="AH847" s="423"/>
      <c r="AI847" s="423"/>
    </row>
    <row r="848">
      <c r="A848" s="419"/>
      <c r="B848" s="419"/>
      <c r="C848" s="419"/>
      <c r="D848" s="419"/>
      <c r="E848" s="387"/>
      <c r="F848" s="387"/>
      <c r="G848" s="423"/>
      <c r="H848" s="423"/>
      <c r="I848" s="423"/>
      <c r="J848" s="423"/>
      <c r="K848" s="423"/>
      <c r="L848" s="423"/>
      <c r="M848" s="423"/>
      <c r="N848" s="423"/>
      <c r="O848" s="423"/>
      <c r="P848" s="423"/>
      <c r="Q848" s="423"/>
      <c r="R848" s="423"/>
      <c r="S848" s="423"/>
      <c r="T848" s="423"/>
      <c r="U848" s="423"/>
      <c r="V848" s="423"/>
      <c r="W848" s="423"/>
      <c r="X848" s="423"/>
      <c r="Y848" s="423"/>
      <c r="Z848" s="423"/>
      <c r="AA848" s="423"/>
      <c r="AB848" s="423"/>
      <c r="AC848" s="423"/>
      <c r="AD848" s="423"/>
      <c r="AE848" s="423"/>
      <c r="AF848" s="423"/>
      <c r="AG848" s="423"/>
      <c r="AH848" s="423"/>
      <c r="AI848" s="423"/>
    </row>
    <row r="849">
      <c r="A849" s="419"/>
      <c r="B849" s="419"/>
      <c r="C849" s="419"/>
      <c r="D849" s="419"/>
      <c r="E849" s="387"/>
      <c r="F849" s="387"/>
      <c r="G849" s="423"/>
      <c r="H849" s="423"/>
      <c r="I849" s="423"/>
      <c r="J849" s="423"/>
      <c r="K849" s="423"/>
      <c r="L849" s="423"/>
      <c r="M849" s="423"/>
      <c r="N849" s="423"/>
      <c r="O849" s="423"/>
      <c r="P849" s="423"/>
      <c r="Q849" s="423"/>
      <c r="R849" s="423"/>
      <c r="S849" s="423"/>
      <c r="T849" s="423"/>
      <c r="U849" s="423"/>
      <c r="V849" s="423"/>
      <c r="W849" s="423"/>
      <c r="X849" s="423"/>
      <c r="Y849" s="423"/>
      <c r="Z849" s="423"/>
      <c r="AA849" s="423"/>
      <c r="AB849" s="423"/>
      <c r="AC849" s="423"/>
      <c r="AD849" s="423"/>
      <c r="AE849" s="423"/>
      <c r="AF849" s="423"/>
      <c r="AG849" s="423"/>
      <c r="AH849" s="423"/>
      <c r="AI849" s="423"/>
    </row>
    <row r="850">
      <c r="A850" s="419"/>
      <c r="B850" s="419"/>
      <c r="C850" s="419"/>
      <c r="D850" s="419"/>
      <c r="E850" s="387"/>
      <c r="F850" s="387"/>
      <c r="G850" s="423"/>
      <c r="H850" s="423"/>
      <c r="I850" s="423"/>
      <c r="J850" s="423"/>
      <c r="K850" s="423"/>
      <c r="L850" s="423"/>
      <c r="M850" s="423"/>
      <c r="N850" s="423"/>
      <c r="O850" s="423"/>
      <c r="P850" s="423"/>
      <c r="Q850" s="423"/>
      <c r="R850" s="423"/>
      <c r="S850" s="423"/>
      <c r="T850" s="423"/>
      <c r="U850" s="423"/>
      <c r="V850" s="423"/>
      <c r="W850" s="423"/>
      <c r="X850" s="423"/>
      <c r="Y850" s="423"/>
      <c r="Z850" s="423"/>
      <c r="AA850" s="423"/>
      <c r="AB850" s="423"/>
      <c r="AC850" s="423"/>
      <c r="AD850" s="423"/>
      <c r="AE850" s="423"/>
      <c r="AF850" s="423"/>
      <c r="AG850" s="423"/>
      <c r="AH850" s="423"/>
      <c r="AI850" s="423"/>
    </row>
    <row r="851">
      <c r="A851" s="419"/>
      <c r="B851" s="419"/>
      <c r="C851" s="419"/>
      <c r="D851" s="419"/>
      <c r="E851" s="387"/>
      <c r="F851" s="387"/>
      <c r="G851" s="423"/>
      <c r="H851" s="423"/>
      <c r="I851" s="423"/>
      <c r="J851" s="423"/>
      <c r="K851" s="423"/>
      <c r="L851" s="423"/>
      <c r="M851" s="423"/>
      <c r="N851" s="423"/>
      <c r="O851" s="423"/>
      <c r="P851" s="423"/>
      <c r="Q851" s="423"/>
      <c r="R851" s="423"/>
      <c r="S851" s="423"/>
      <c r="T851" s="423"/>
      <c r="U851" s="423"/>
      <c r="V851" s="423"/>
      <c r="W851" s="423"/>
      <c r="X851" s="423"/>
      <c r="Y851" s="423"/>
      <c r="Z851" s="423"/>
      <c r="AA851" s="423"/>
      <c r="AB851" s="423"/>
      <c r="AC851" s="423"/>
      <c r="AD851" s="423"/>
      <c r="AE851" s="423"/>
      <c r="AF851" s="423"/>
      <c r="AG851" s="423"/>
      <c r="AH851" s="423"/>
      <c r="AI851" s="423"/>
    </row>
    <row r="852">
      <c r="A852" s="419"/>
      <c r="B852" s="419"/>
      <c r="C852" s="419"/>
      <c r="D852" s="419"/>
      <c r="E852" s="387"/>
      <c r="F852" s="387"/>
      <c r="G852" s="423"/>
      <c r="H852" s="423"/>
      <c r="I852" s="423"/>
      <c r="J852" s="423"/>
      <c r="K852" s="423"/>
      <c r="L852" s="423"/>
      <c r="M852" s="423"/>
      <c r="N852" s="423"/>
      <c r="O852" s="423"/>
      <c r="P852" s="423"/>
      <c r="Q852" s="423"/>
      <c r="R852" s="423"/>
      <c r="S852" s="423"/>
      <c r="T852" s="423"/>
      <c r="U852" s="423"/>
      <c r="V852" s="423"/>
      <c r="W852" s="423"/>
      <c r="X852" s="423"/>
      <c r="Y852" s="423"/>
      <c r="Z852" s="423"/>
      <c r="AA852" s="423"/>
      <c r="AB852" s="423"/>
      <c r="AC852" s="423"/>
      <c r="AD852" s="423"/>
      <c r="AE852" s="423"/>
      <c r="AF852" s="423"/>
      <c r="AG852" s="423"/>
      <c r="AH852" s="423"/>
      <c r="AI852" s="423"/>
    </row>
    <row r="853">
      <c r="A853" s="419"/>
      <c r="B853" s="419"/>
      <c r="C853" s="419"/>
      <c r="D853" s="419"/>
      <c r="E853" s="387"/>
      <c r="F853" s="387"/>
      <c r="G853" s="423"/>
      <c r="H853" s="423"/>
      <c r="I853" s="423"/>
      <c r="J853" s="423"/>
      <c r="K853" s="423"/>
      <c r="L853" s="423"/>
      <c r="M853" s="423"/>
      <c r="N853" s="423"/>
      <c r="O853" s="423"/>
      <c r="P853" s="423"/>
      <c r="Q853" s="423"/>
      <c r="R853" s="423"/>
      <c r="S853" s="423"/>
      <c r="T853" s="423"/>
      <c r="U853" s="423"/>
      <c r="V853" s="423"/>
      <c r="W853" s="423"/>
      <c r="X853" s="423"/>
      <c r="Y853" s="423"/>
      <c r="Z853" s="423"/>
      <c r="AA853" s="423"/>
      <c r="AB853" s="423"/>
      <c r="AC853" s="423"/>
      <c r="AD853" s="423"/>
      <c r="AE853" s="423"/>
      <c r="AF853" s="423"/>
      <c r="AG853" s="423"/>
      <c r="AH853" s="423"/>
      <c r="AI853" s="423"/>
    </row>
    <row r="854">
      <c r="A854" s="419"/>
      <c r="B854" s="419"/>
      <c r="C854" s="419"/>
      <c r="D854" s="419"/>
      <c r="E854" s="387"/>
      <c r="F854" s="387"/>
      <c r="G854" s="423"/>
      <c r="H854" s="423"/>
      <c r="I854" s="423"/>
      <c r="J854" s="423"/>
      <c r="K854" s="423"/>
      <c r="L854" s="423"/>
      <c r="M854" s="423"/>
      <c r="N854" s="423"/>
      <c r="O854" s="423"/>
      <c r="P854" s="423"/>
      <c r="Q854" s="423"/>
      <c r="R854" s="423"/>
      <c r="S854" s="423"/>
      <c r="T854" s="423"/>
      <c r="U854" s="423"/>
      <c r="V854" s="423"/>
      <c r="W854" s="423"/>
      <c r="X854" s="423"/>
      <c r="Y854" s="423"/>
      <c r="Z854" s="423"/>
      <c r="AA854" s="423"/>
      <c r="AB854" s="423"/>
      <c r="AC854" s="423"/>
      <c r="AD854" s="423"/>
      <c r="AE854" s="423"/>
      <c r="AF854" s="423"/>
      <c r="AG854" s="423"/>
      <c r="AH854" s="423"/>
      <c r="AI854" s="423"/>
    </row>
    <row r="855">
      <c r="A855" s="419"/>
      <c r="B855" s="419"/>
      <c r="C855" s="419"/>
      <c r="D855" s="419"/>
      <c r="E855" s="387"/>
      <c r="F855" s="387"/>
      <c r="G855" s="423"/>
      <c r="H855" s="423"/>
      <c r="I855" s="423"/>
      <c r="J855" s="423"/>
      <c r="K855" s="423"/>
      <c r="L855" s="423"/>
      <c r="M855" s="423"/>
      <c r="N855" s="423"/>
      <c r="O855" s="423"/>
      <c r="P855" s="423"/>
      <c r="Q855" s="423"/>
      <c r="R855" s="423"/>
      <c r="S855" s="423"/>
      <c r="T855" s="423"/>
      <c r="U855" s="423"/>
      <c r="V855" s="423"/>
      <c r="W855" s="423"/>
      <c r="X855" s="423"/>
      <c r="Y855" s="423"/>
      <c r="Z855" s="423"/>
      <c r="AA855" s="423"/>
      <c r="AB855" s="423"/>
      <c r="AC855" s="423"/>
      <c r="AD855" s="423"/>
      <c r="AE855" s="423"/>
      <c r="AF855" s="423"/>
      <c r="AG855" s="423"/>
      <c r="AH855" s="423"/>
      <c r="AI855" s="423"/>
    </row>
    <row r="856">
      <c r="A856" s="419"/>
      <c r="B856" s="419"/>
      <c r="C856" s="419"/>
      <c r="D856" s="419"/>
      <c r="E856" s="387"/>
      <c r="F856" s="387"/>
      <c r="G856" s="423"/>
      <c r="H856" s="423"/>
      <c r="I856" s="423"/>
      <c r="J856" s="423"/>
      <c r="K856" s="423"/>
      <c r="L856" s="423"/>
      <c r="M856" s="423"/>
      <c r="N856" s="423"/>
      <c r="O856" s="423"/>
      <c r="P856" s="423"/>
      <c r="Q856" s="423"/>
      <c r="R856" s="423"/>
      <c r="S856" s="423"/>
      <c r="T856" s="423"/>
      <c r="U856" s="423"/>
      <c r="V856" s="423"/>
      <c r="W856" s="423"/>
      <c r="X856" s="423"/>
      <c r="Y856" s="423"/>
      <c r="Z856" s="423"/>
      <c r="AA856" s="423"/>
      <c r="AB856" s="423"/>
      <c r="AC856" s="423"/>
      <c r="AD856" s="423"/>
      <c r="AE856" s="423"/>
      <c r="AF856" s="423"/>
      <c r="AG856" s="423"/>
      <c r="AH856" s="423"/>
      <c r="AI856" s="423"/>
    </row>
    <row r="857">
      <c r="A857" s="419"/>
      <c r="B857" s="419"/>
      <c r="C857" s="419"/>
      <c r="D857" s="419"/>
      <c r="E857" s="387"/>
      <c r="F857" s="387"/>
      <c r="G857" s="423"/>
      <c r="H857" s="423"/>
      <c r="I857" s="423"/>
      <c r="J857" s="423"/>
      <c r="K857" s="423"/>
      <c r="L857" s="423"/>
      <c r="M857" s="423"/>
      <c r="N857" s="423"/>
      <c r="O857" s="423"/>
      <c r="P857" s="423"/>
      <c r="Q857" s="423"/>
      <c r="R857" s="423"/>
      <c r="S857" s="423"/>
      <c r="T857" s="423"/>
      <c r="U857" s="423"/>
      <c r="V857" s="423"/>
      <c r="W857" s="423"/>
      <c r="X857" s="423"/>
      <c r="Y857" s="423"/>
      <c r="Z857" s="423"/>
      <c r="AA857" s="423"/>
      <c r="AB857" s="423"/>
      <c r="AC857" s="423"/>
      <c r="AD857" s="423"/>
      <c r="AE857" s="423"/>
      <c r="AF857" s="423"/>
      <c r="AG857" s="423"/>
      <c r="AH857" s="423"/>
      <c r="AI857" s="423"/>
    </row>
    <row r="858">
      <c r="A858" s="419"/>
      <c r="B858" s="419"/>
      <c r="C858" s="419"/>
      <c r="D858" s="419"/>
      <c r="E858" s="387"/>
      <c r="F858" s="387"/>
      <c r="G858" s="423"/>
      <c r="H858" s="423"/>
      <c r="I858" s="423"/>
      <c r="J858" s="423"/>
      <c r="K858" s="423"/>
      <c r="L858" s="423"/>
      <c r="M858" s="423"/>
      <c r="N858" s="423"/>
      <c r="O858" s="423"/>
      <c r="P858" s="423"/>
      <c r="Q858" s="423"/>
      <c r="R858" s="423"/>
      <c r="S858" s="423"/>
      <c r="T858" s="423"/>
      <c r="U858" s="423"/>
      <c r="V858" s="423"/>
      <c r="W858" s="423"/>
      <c r="X858" s="423"/>
      <c r="Y858" s="423"/>
      <c r="Z858" s="423"/>
      <c r="AA858" s="423"/>
      <c r="AB858" s="423"/>
      <c r="AC858" s="423"/>
      <c r="AD858" s="423"/>
      <c r="AE858" s="423"/>
      <c r="AF858" s="423"/>
      <c r="AG858" s="423"/>
      <c r="AH858" s="423"/>
      <c r="AI858" s="423"/>
    </row>
    <row r="859">
      <c r="A859" s="419"/>
      <c r="B859" s="419"/>
      <c r="C859" s="419"/>
      <c r="D859" s="419"/>
      <c r="E859" s="387"/>
      <c r="F859" s="387"/>
      <c r="G859" s="423"/>
      <c r="H859" s="423"/>
      <c r="I859" s="423"/>
      <c r="J859" s="423"/>
      <c r="K859" s="423"/>
      <c r="L859" s="423"/>
      <c r="M859" s="423"/>
      <c r="N859" s="423"/>
      <c r="O859" s="423"/>
      <c r="P859" s="423"/>
      <c r="Q859" s="423"/>
      <c r="R859" s="423"/>
      <c r="S859" s="423"/>
      <c r="T859" s="423"/>
      <c r="U859" s="423"/>
      <c r="V859" s="423"/>
      <c r="W859" s="423"/>
      <c r="X859" s="423"/>
      <c r="Y859" s="423"/>
      <c r="Z859" s="423"/>
      <c r="AA859" s="423"/>
      <c r="AB859" s="423"/>
      <c r="AC859" s="423"/>
      <c r="AD859" s="423"/>
      <c r="AE859" s="423"/>
      <c r="AF859" s="423"/>
      <c r="AG859" s="423"/>
      <c r="AH859" s="423"/>
      <c r="AI859" s="423"/>
    </row>
    <row r="860">
      <c r="A860" s="419"/>
      <c r="B860" s="419"/>
      <c r="C860" s="419"/>
      <c r="D860" s="419"/>
      <c r="E860" s="387"/>
      <c r="F860" s="387"/>
      <c r="G860" s="423"/>
      <c r="H860" s="423"/>
      <c r="I860" s="423"/>
      <c r="J860" s="423"/>
      <c r="K860" s="423"/>
      <c r="L860" s="423"/>
      <c r="M860" s="423"/>
      <c r="N860" s="423"/>
      <c r="O860" s="423"/>
      <c r="P860" s="423"/>
      <c r="Q860" s="423"/>
      <c r="R860" s="423"/>
      <c r="S860" s="423"/>
      <c r="T860" s="423"/>
      <c r="U860" s="423"/>
      <c r="V860" s="423"/>
      <c r="W860" s="423"/>
      <c r="X860" s="423"/>
      <c r="Y860" s="423"/>
      <c r="Z860" s="423"/>
      <c r="AA860" s="423"/>
      <c r="AB860" s="423"/>
      <c r="AC860" s="423"/>
      <c r="AD860" s="423"/>
      <c r="AE860" s="423"/>
      <c r="AF860" s="423"/>
      <c r="AG860" s="423"/>
      <c r="AH860" s="423"/>
      <c r="AI860" s="423"/>
    </row>
    <row r="861">
      <c r="A861" s="419"/>
      <c r="B861" s="419"/>
      <c r="C861" s="419"/>
      <c r="D861" s="419"/>
      <c r="E861" s="387"/>
      <c r="F861" s="387"/>
      <c r="G861" s="423"/>
      <c r="H861" s="423"/>
      <c r="I861" s="423"/>
      <c r="J861" s="423"/>
      <c r="K861" s="423"/>
      <c r="L861" s="423"/>
      <c r="M861" s="423"/>
      <c r="N861" s="423"/>
      <c r="O861" s="423"/>
      <c r="P861" s="423"/>
      <c r="Q861" s="423"/>
      <c r="R861" s="423"/>
      <c r="S861" s="423"/>
      <c r="T861" s="423"/>
      <c r="U861" s="423"/>
      <c r="V861" s="423"/>
      <c r="W861" s="423"/>
      <c r="X861" s="423"/>
      <c r="Y861" s="423"/>
      <c r="Z861" s="423"/>
      <c r="AA861" s="423"/>
      <c r="AB861" s="423"/>
      <c r="AC861" s="423"/>
      <c r="AD861" s="423"/>
      <c r="AE861" s="423"/>
      <c r="AF861" s="423"/>
      <c r="AG861" s="423"/>
      <c r="AH861" s="423"/>
      <c r="AI861" s="423"/>
    </row>
    <row r="862">
      <c r="A862" s="419"/>
      <c r="B862" s="419"/>
      <c r="C862" s="419"/>
      <c r="D862" s="419"/>
      <c r="E862" s="387"/>
      <c r="F862" s="387"/>
      <c r="G862" s="423"/>
      <c r="H862" s="423"/>
      <c r="I862" s="423"/>
      <c r="J862" s="423"/>
      <c r="K862" s="423"/>
      <c r="L862" s="423"/>
      <c r="M862" s="423"/>
      <c r="N862" s="423"/>
      <c r="O862" s="423"/>
      <c r="P862" s="423"/>
      <c r="Q862" s="423"/>
      <c r="R862" s="423"/>
      <c r="S862" s="423"/>
      <c r="T862" s="423"/>
      <c r="U862" s="423"/>
      <c r="V862" s="423"/>
      <c r="W862" s="423"/>
      <c r="X862" s="423"/>
      <c r="Y862" s="423"/>
      <c r="Z862" s="423"/>
      <c r="AA862" s="423"/>
      <c r="AB862" s="423"/>
      <c r="AC862" s="423"/>
      <c r="AD862" s="423"/>
      <c r="AE862" s="423"/>
      <c r="AF862" s="423"/>
      <c r="AG862" s="423"/>
      <c r="AH862" s="423"/>
      <c r="AI862" s="423"/>
    </row>
    <row r="863">
      <c r="A863" s="419"/>
      <c r="B863" s="419"/>
      <c r="C863" s="419"/>
      <c r="D863" s="419"/>
      <c r="E863" s="387"/>
      <c r="F863" s="387"/>
      <c r="G863" s="423"/>
      <c r="H863" s="423"/>
      <c r="I863" s="423"/>
      <c r="J863" s="423"/>
      <c r="K863" s="423"/>
      <c r="L863" s="423"/>
      <c r="M863" s="423"/>
      <c r="N863" s="423"/>
      <c r="O863" s="423"/>
      <c r="P863" s="423"/>
      <c r="Q863" s="423"/>
      <c r="R863" s="423"/>
      <c r="S863" s="423"/>
      <c r="T863" s="423"/>
      <c r="U863" s="423"/>
      <c r="V863" s="423"/>
      <c r="W863" s="423"/>
      <c r="X863" s="423"/>
      <c r="Y863" s="423"/>
      <c r="Z863" s="423"/>
      <c r="AA863" s="423"/>
      <c r="AB863" s="423"/>
      <c r="AC863" s="423"/>
      <c r="AD863" s="423"/>
      <c r="AE863" s="423"/>
      <c r="AF863" s="423"/>
      <c r="AG863" s="423"/>
      <c r="AH863" s="423"/>
      <c r="AI863" s="423"/>
    </row>
    <row r="864">
      <c r="A864" s="419"/>
      <c r="B864" s="419"/>
      <c r="C864" s="419"/>
      <c r="D864" s="419"/>
      <c r="E864" s="387"/>
      <c r="F864" s="387"/>
      <c r="G864" s="423"/>
      <c r="H864" s="423"/>
      <c r="I864" s="423"/>
      <c r="J864" s="423"/>
      <c r="K864" s="423"/>
      <c r="L864" s="423"/>
      <c r="M864" s="423"/>
      <c r="N864" s="423"/>
      <c r="O864" s="423"/>
      <c r="P864" s="423"/>
      <c r="Q864" s="423"/>
      <c r="R864" s="423"/>
      <c r="S864" s="423"/>
      <c r="T864" s="423"/>
      <c r="U864" s="423"/>
      <c r="V864" s="423"/>
      <c r="W864" s="423"/>
      <c r="X864" s="423"/>
      <c r="Y864" s="423"/>
      <c r="Z864" s="423"/>
      <c r="AA864" s="423"/>
      <c r="AB864" s="423"/>
      <c r="AC864" s="423"/>
      <c r="AD864" s="423"/>
      <c r="AE864" s="423"/>
      <c r="AF864" s="423"/>
      <c r="AG864" s="423"/>
      <c r="AH864" s="423"/>
      <c r="AI864" s="423"/>
    </row>
    <row r="865">
      <c r="A865" s="419"/>
      <c r="B865" s="419"/>
      <c r="C865" s="419"/>
      <c r="D865" s="419"/>
      <c r="E865" s="387"/>
      <c r="F865" s="387"/>
      <c r="G865" s="423"/>
      <c r="H865" s="423"/>
      <c r="I865" s="423"/>
      <c r="J865" s="423"/>
      <c r="K865" s="423"/>
      <c r="L865" s="423"/>
      <c r="M865" s="423"/>
      <c r="N865" s="423"/>
      <c r="O865" s="423"/>
      <c r="P865" s="423"/>
      <c r="Q865" s="423"/>
      <c r="R865" s="423"/>
      <c r="S865" s="423"/>
      <c r="T865" s="423"/>
      <c r="U865" s="423"/>
      <c r="V865" s="423"/>
      <c r="W865" s="423"/>
      <c r="X865" s="423"/>
      <c r="Y865" s="423"/>
      <c r="Z865" s="423"/>
      <c r="AA865" s="423"/>
      <c r="AB865" s="423"/>
      <c r="AC865" s="423"/>
      <c r="AD865" s="423"/>
      <c r="AE865" s="423"/>
      <c r="AF865" s="423"/>
      <c r="AG865" s="423"/>
      <c r="AH865" s="423"/>
      <c r="AI865" s="423"/>
    </row>
    <row r="866">
      <c r="A866" s="419"/>
      <c r="B866" s="419"/>
      <c r="C866" s="419"/>
      <c r="D866" s="419"/>
      <c r="E866" s="387"/>
      <c r="F866" s="387"/>
      <c r="G866" s="423"/>
      <c r="H866" s="423"/>
      <c r="I866" s="423"/>
      <c r="J866" s="423"/>
      <c r="K866" s="423"/>
      <c r="L866" s="423"/>
      <c r="M866" s="423"/>
      <c r="N866" s="423"/>
      <c r="O866" s="423"/>
      <c r="P866" s="423"/>
      <c r="Q866" s="423"/>
      <c r="R866" s="423"/>
      <c r="S866" s="423"/>
      <c r="T866" s="423"/>
      <c r="U866" s="423"/>
      <c r="V866" s="423"/>
      <c r="W866" s="423"/>
      <c r="X866" s="423"/>
      <c r="Y866" s="423"/>
      <c r="Z866" s="423"/>
      <c r="AA866" s="423"/>
      <c r="AB866" s="423"/>
      <c r="AC866" s="423"/>
      <c r="AD866" s="423"/>
      <c r="AE866" s="423"/>
      <c r="AF866" s="423"/>
      <c r="AG866" s="423"/>
      <c r="AH866" s="423"/>
      <c r="AI866" s="423"/>
    </row>
    <row r="867">
      <c r="A867" s="419"/>
      <c r="B867" s="419"/>
      <c r="C867" s="419"/>
      <c r="D867" s="419"/>
      <c r="E867" s="387"/>
      <c r="F867" s="387"/>
      <c r="G867" s="423"/>
      <c r="H867" s="423"/>
      <c r="I867" s="423"/>
      <c r="J867" s="423"/>
      <c r="K867" s="423"/>
      <c r="L867" s="423"/>
      <c r="M867" s="423"/>
      <c r="N867" s="423"/>
      <c r="O867" s="423"/>
      <c r="P867" s="423"/>
      <c r="Q867" s="423"/>
      <c r="R867" s="423"/>
      <c r="S867" s="423"/>
      <c r="T867" s="423"/>
      <c r="U867" s="423"/>
      <c r="V867" s="423"/>
      <c r="W867" s="423"/>
      <c r="X867" s="423"/>
      <c r="Y867" s="423"/>
      <c r="Z867" s="423"/>
      <c r="AA867" s="423"/>
      <c r="AB867" s="423"/>
      <c r="AC867" s="423"/>
      <c r="AD867" s="423"/>
      <c r="AE867" s="423"/>
      <c r="AF867" s="423"/>
      <c r="AG867" s="423"/>
      <c r="AH867" s="423"/>
      <c r="AI867" s="423"/>
    </row>
    <row r="868">
      <c r="A868" s="419"/>
      <c r="B868" s="419"/>
      <c r="C868" s="419"/>
      <c r="D868" s="419"/>
      <c r="E868" s="387"/>
      <c r="F868" s="387"/>
      <c r="G868" s="423"/>
      <c r="H868" s="423"/>
      <c r="I868" s="423"/>
      <c r="J868" s="423"/>
      <c r="K868" s="423"/>
      <c r="L868" s="423"/>
      <c r="M868" s="423"/>
      <c r="N868" s="423"/>
      <c r="O868" s="423"/>
      <c r="P868" s="423"/>
      <c r="Q868" s="423"/>
      <c r="R868" s="423"/>
      <c r="S868" s="423"/>
      <c r="T868" s="423"/>
      <c r="U868" s="423"/>
      <c r="V868" s="423"/>
      <c r="W868" s="423"/>
      <c r="X868" s="423"/>
      <c r="Y868" s="423"/>
      <c r="Z868" s="423"/>
      <c r="AA868" s="423"/>
      <c r="AB868" s="423"/>
      <c r="AC868" s="423"/>
      <c r="AD868" s="423"/>
      <c r="AE868" s="423"/>
      <c r="AF868" s="423"/>
      <c r="AG868" s="423"/>
      <c r="AH868" s="423"/>
      <c r="AI868" s="423"/>
    </row>
    <row r="869">
      <c r="A869" s="419"/>
      <c r="B869" s="419"/>
      <c r="C869" s="419"/>
      <c r="D869" s="419"/>
      <c r="E869" s="387"/>
      <c r="F869" s="387"/>
      <c r="G869" s="423"/>
      <c r="H869" s="423"/>
      <c r="I869" s="423"/>
      <c r="J869" s="423"/>
      <c r="K869" s="423"/>
      <c r="L869" s="423"/>
      <c r="M869" s="423"/>
      <c r="N869" s="423"/>
      <c r="O869" s="423"/>
      <c r="P869" s="423"/>
      <c r="Q869" s="423"/>
      <c r="R869" s="423"/>
      <c r="S869" s="423"/>
      <c r="T869" s="423"/>
      <c r="U869" s="423"/>
      <c r="V869" s="423"/>
      <c r="W869" s="423"/>
      <c r="X869" s="423"/>
      <c r="Y869" s="423"/>
      <c r="Z869" s="423"/>
      <c r="AA869" s="423"/>
      <c r="AB869" s="423"/>
      <c r="AC869" s="423"/>
      <c r="AD869" s="423"/>
      <c r="AE869" s="423"/>
      <c r="AF869" s="423"/>
      <c r="AG869" s="423"/>
      <c r="AH869" s="423"/>
      <c r="AI869" s="423"/>
    </row>
    <row r="870">
      <c r="A870" s="419"/>
      <c r="B870" s="419"/>
      <c r="C870" s="419"/>
      <c r="D870" s="419"/>
      <c r="E870" s="387"/>
      <c r="F870" s="387"/>
      <c r="G870" s="423"/>
      <c r="H870" s="423"/>
      <c r="I870" s="423"/>
      <c r="J870" s="423"/>
      <c r="K870" s="423"/>
      <c r="L870" s="423"/>
      <c r="M870" s="423"/>
      <c r="N870" s="423"/>
      <c r="O870" s="423"/>
      <c r="P870" s="423"/>
      <c r="Q870" s="423"/>
      <c r="R870" s="423"/>
      <c r="S870" s="423"/>
      <c r="T870" s="423"/>
      <c r="U870" s="423"/>
      <c r="V870" s="423"/>
      <c r="W870" s="423"/>
      <c r="X870" s="423"/>
      <c r="Y870" s="423"/>
      <c r="Z870" s="423"/>
      <c r="AA870" s="423"/>
      <c r="AB870" s="423"/>
      <c r="AC870" s="423"/>
      <c r="AD870" s="423"/>
      <c r="AE870" s="423"/>
      <c r="AF870" s="423"/>
      <c r="AG870" s="423"/>
      <c r="AH870" s="423"/>
      <c r="AI870" s="423"/>
    </row>
    <row r="871">
      <c r="A871" s="419"/>
      <c r="B871" s="419"/>
      <c r="C871" s="419"/>
      <c r="D871" s="419"/>
      <c r="E871" s="387"/>
      <c r="F871" s="387"/>
      <c r="G871" s="423"/>
      <c r="H871" s="423"/>
      <c r="I871" s="423"/>
      <c r="J871" s="423"/>
      <c r="K871" s="423"/>
      <c r="L871" s="423"/>
      <c r="M871" s="423"/>
      <c r="N871" s="423"/>
      <c r="O871" s="423"/>
      <c r="P871" s="423"/>
      <c r="Q871" s="423"/>
      <c r="R871" s="423"/>
      <c r="S871" s="423"/>
      <c r="T871" s="423"/>
      <c r="U871" s="423"/>
      <c r="V871" s="423"/>
      <c r="W871" s="423"/>
      <c r="X871" s="423"/>
      <c r="Y871" s="423"/>
      <c r="Z871" s="423"/>
      <c r="AA871" s="423"/>
      <c r="AB871" s="423"/>
      <c r="AC871" s="423"/>
      <c r="AD871" s="423"/>
      <c r="AE871" s="423"/>
      <c r="AF871" s="423"/>
      <c r="AG871" s="423"/>
      <c r="AH871" s="423"/>
      <c r="AI871" s="423"/>
    </row>
    <row r="872">
      <c r="A872" s="419"/>
      <c r="B872" s="419"/>
      <c r="C872" s="419"/>
      <c r="D872" s="419"/>
      <c r="E872" s="387"/>
      <c r="F872" s="387"/>
      <c r="G872" s="423"/>
      <c r="H872" s="423"/>
      <c r="I872" s="423"/>
      <c r="J872" s="423"/>
      <c r="K872" s="423"/>
      <c r="L872" s="423"/>
      <c r="M872" s="423"/>
      <c r="N872" s="423"/>
      <c r="O872" s="423"/>
      <c r="P872" s="423"/>
      <c r="Q872" s="423"/>
      <c r="R872" s="423"/>
      <c r="S872" s="423"/>
      <c r="T872" s="423"/>
      <c r="U872" s="423"/>
      <c r="V872" s="423"/>
      <c r="W872" s="423"/>
      <c r="X872" s="423"/>
      <c r="Y872" s="423"/>
      <c r="Z872" s="423"/>
      <c r="AA872" s="423"/>
      <c r="AB872" s="423"/>
      <c r="AC872" s="423"/>
      <c r="AD872" s="423"/>
      <c r="AE872" s="423"/>
      <c r="AF872" s="423"/>
      <c r="AG872" s="423"/>
      <c r="AH872" s="423"/>
      <c r="AI872" s="423"/>
    </row>
    <row r="873">
      <c r="A873" s="419"/>
      <c r="B873" s="419"/>
      <c r="C873" s="419"/>
      <c r="D873" s="419"/>
      <c r="E873" s="387"/>
      <c r="F873" s="387"/>
      <c r="G873" s="423"/>
      <c r="H873" s="423"/>
      <c r="I873" s="423"/>
      <c r="J873" s="423"/>
      <c r="K873" s="423"/>
      <c r="L873" s="423"/>
      <c r="M873" s="423"/>
      <c r="N873" s="423"/>
      <c r="O873" s="423"/>
      <c r="P873" s="423"/>
      <c r="Q873" s="423"/>
      <c r="R873" s="423"/>
      <c r="S873" s="423"/>
      <c r="T873" s="423"/>
      <c r="U873" s="423"/>
      <c r="V873" s="423"/>
      <c r="W873" s="423"/>
      <c r="X873" s="423"/>
      <c r="Y873" s="423"/>
      <c r="Z873" s="423"/>
      <c r="AA873" s="423"/>
      <c r="AB873" s="423"/>
      <c r="AC873" s="423"/>
      <c r="AD873" s="423"/>
      <c r="AE873" s="423"/>
      <c r="AF873" s="423"/>
      <c r="AG873" s="423"/>
      <c r="AH873" s="423"/>
      <c r="AI873" s="423"/>
    </row>
    <row r="874">
      <c r="A874" s="419"/>
      <c r="B874" s="419"/>
      <c r="C874" s="419"/>
      <c r="D874" s="419"/>
      <c r="E874" s="387"/>
      <c r="F874" s="387"/>
      <c r="G874" s="423"/>
      <c r="H874" s="423"/>
      <c r="I874" s="423"/>
      <c r="J874" s="423"/>
      <c r="K874" s="423"/>
      <c r="L874" s="423"/>
      <c r="M874" s="423"/>
      <c r="N874" s="423"/>
      <c r="O874" s="423"/>
      <c r="P874" s="423"/>
      <c r="Q874" s="423"/>
      <c r="R874" s="423"/>
      <c r="S874" s="423"/>
      <c r="T874" s="423"/>
      <c r="U874" s="423"/>
      <c r="V874" s="423"/>
      <c r="W874" s="423"/>
      <c r="X874" s="423"/>
      <c r="Y874" s="423"/>
      <c r="Z874" s="423"/>
      <c r="AA874" s="423"/>
      <c r="AB874" s="423"/>
      <c r="AC874" s="423"/>
      <c r="AD874" s="423"/>
      <c r="AE874" s="423"/>
      <c r="AF874" s="423"/>
      <c r="AG874" s="423"/>
      <c r="AH874" s="423"/>
      <c r="AI874" s="423"/>
    </row>
    <row r="875">
      <c r="A875" s="419"/>
      <c r="B875" s="419"/>
      <c r="C875" s="419"/>
      <c r="D875" s="419"/>
      <c r="E875" s="387"/>
      <c r="F875" s="387"/>
      <c r="G875" s="423"/>
      <c r="H875" s="423"/>
      <c r="I875" s="423"/>
      <c r="J875" s="423"/>
      <c r="K875" s="423"/>
      <c r="L875" s="423"/>
      <c r="M875" s="423"/>
      <c r="N875" s="423"/>
      <c r="O875" s="423"/>
      <c r="P875" s="423"/>
      <c r="Q875" s="423"/>
      <c r="R875" s="423"/>
      <c r="S875" s="423"/>
      <c r="T875" s="423"/>
      <c r="U875" s="423"/>
      <c r="V875" s="423"/>
      <c r="W875" s="423"/>
      <c r="X875" s="423"/>
      <c r="Y875" s="423"/>
      <c r="Z875" s="423"/>
      <c r="AA875" s="423"/>
      <c r="AB875" s="423"/>
      <c r="AC875" s="423"/>
      <c r="AD875" s="423"/>
      <c r="AE875" s="423"/>
      <c r="AF875" s="423"/>
      <c r="AG875" s="423"/>
      <c r="AH875" s="423"/>
      <c r="AI875" s="423"/>
    </row>
    <row r="876">
      <c r="A876" s="419"/>
      <c r="B876" s="419"/>
      <c r="C876" s="419"/>
      <c r="D876" s="419"/>
      <c r="E876" s="387"/>
      <c r="F876" s="387"/>
      <c r="G876" s="423"/>
      <c r="H876" s="423"/>
      <c r="I876" s="423"/>
      <c r="J876" s="423"/>
      <c r="K876" s="423"/>
      <c r="L876" s="423"/>
      <c r="M876" s="423"/>
      <c r="N876" s="423"/>
      <c r="O876" s="423"/>
      <c r="P876" s="423"/>
      <c r="Q876" s="423"/>
      <c r="R876" s="423"/>
      <c r="S876" s="423"/>
      <c r="T876" s="423"/>
      <c r="U876" s="423"/>
      <c r="V876" s="423"/>
      <c r="W876" s="423"/>
      <c r="X876" s="423"/>
      <c r="Y876" s="423"/>
      <c r="Z876" s="423"/>
      <c r="AA876" s="423"/>
      <c r="AB876" s="423"/>
      <c r="AC876" s="423"/>
      <c r="AD876" s="423"/>
      <c r="AE876" s="423"/>
      <c r="AF876" s="423"/>
      <c r="AG876" s="423"/>
      <c r="AH876" s="423"/>
      <c r="AI876" s="423"/>
    </row>
    <row r="877">
      <c r="A877" s="419"/>
      <c r="B877" s="419"/>
      <c r="C877" s="419"/>
      <c r="D877" s="419"/>
      <c r="E877" s="387"/>
      <c r="F877" s="387"/>
      <c r="G877" s="423"/>
      <c r="H877" s="423"/>
      <c r="I877" s="423"/>
      <c r="J877" s="423"/>
      <c r="K877" s="423"/>
      <c r="L877" s="423"/>
      <c r="M877" s="423"/>
      <c r="N877" s="423"/>
      <c r="O877" s="423"/>
      <c r="P877" s="423"/>
      <c r="Q877" s="423"/>
      <c r="R877" s="423"/>
      <c r="S877" s="423"/>
      <c r="T877" s="423"/>
      <c r="U877" s="423"/>
      <c r="V877" s="423"/>
      <c r="W877" s="423"/>
      <c r="X877" s="423"/>
      <c r="Y877" s="423"/>
      <c r="Z877" s="423"/>
      <c r="AA877" s="423"/>
      <c r="AB877" s="423"/>
      <c r="AC877" s="423"/>
      <c r="AD877" s="423"/>
      <c r="AE877" s="423"/>
      <c r="AF877" s="423"/>
      <c r="AG877" s="423"/>
      <c r="AH877" s="423"/>
      <c r="AI877" s="423"/>
    </row>
    <row r="878">
      <c r="A878" s="419"/>
      <c r="B878" s="419"/>
      <c r="C878" s="419"/>
      <c r="D878" s="419"/>
      <c r="E878" s="387"/>
      <c r="F878" s="387"/>
      <c r="G878" s="423"/>
      <c r="H878" s="423"/>
      <c r="I878" s="423"/>
      <c r="J878" s="423"/>
      <c r="K878" s="423"/>
      <c r="L878" s="423"/>
      <c r="M878" s="423"/>
      <c r="N878" s="423"/>
      <c r="O878" s="423"/>
      <c r="P878" s="423"/>
      <c r="Q878" s="423"/>
      <c r="R878" s="423"/>
      <c r="S878" s="423"/>
      <c r="T878" s="423"/>
      <c r="U878" s="423"/>
      <c r="V878" s="423"/>
      <c r="W878" s="423"/>
      <c r="X878" s="423"/>
      <c r="Y878" s="423"/>
      <c r="Z878" s="423"/>
      <c r="AA878" s="423"/>
      <c r="AB878" s="423"/>
      <c r="AC878" s="423"/>
      <c r="AD878" s="423"/>
      <c r="AE878" s="423"/>
      <c r="AF878" s="423"/>
      <c r="AG878" s="423"/>
      <c r="AH878" s="423"/>
      <c r="AI878" s="423"/>
    </row>
    <row r="879">
      <c r="A879" s="419"/>
      <c r="B879" s="419"/>
      <c r="C879" s="419"/>
      <c r="D879" s="419"/>
      <c r="E879" s="387"/>
      <c r="F879" s="387"/>
      <c r="G879" s="423"/>
      <c r="H879" s="423"/>
      <c r="I879" s="423"/>
      <c r="J879" s="423"/>
      <c r="K879" s="423"/>
      <c r="L879" s="423"/>
      <c r="M879" s="423"/>
      <c r="N879" s="423"/>
      <c r="O879" s="423"/>
      <c r="P879" s="423"/>
      <c r="Q879" s="423"/>
      <c r="R879" s="423"/>
      <c r="S879" s="423"/>
      <c r="T879" s="423"/>
      <c r="U879" s="423"/>
      <c r="V879" s="423"/>
      <c r="W879" s="423"/>
      <c r="X879" s="423"/>
      <c r="Y879" s="423"/>
      <c r="Z879" s="423"/>
      <c r="AA879" s="423"/>
      <c r="AB879" s="423"/>
      <c r="AC879" s="423"/>
      <c r="AD879" s="423"/>
      <c r="AE879" s="423"/>
      <c r="AF879" s="423"/>
      <c r="AG879" s="423"/>
      <c r="AH879" s="423"/>
      <c r="AI879" s="423"/>
    </row>
    <row r="880">
      <c r="A880" s="419"/>
      <c r="B880" s="419"/>
      <c r="C880" s="419"/>
      <c r="D880" s="419"/>
      <c r="E880" s="387"/>
      <c r="F880" s="387"/>
      <c r="G880" s="423"/>
      <c r="H880" s="423"/>
      <c r="I880" s="423"/>
      <c r="J880" s="423"/>
      <c r="K880" s="423"/>
      <c r="L880" s="423"/>
      <c r="M880" s="423"/>
      <c r="N880" s="423"/>
      <c r="O880" s="423"/>
      <c r="P880" s="423"/>
      <c r="Q880" s="423"/>
      <c r="R880" s="423"/>
      <c r="S880" s="423"/>
      <c r="T880" s="423"/>
      <c r="U880" s="423"/>
      <c r="V880" s="423"/>
      <c r="W880" s="423"/>
      <c r="X880" s="423"/>
      <c r="Y880" s="423"/>
      <c r="Z880" s="423"/>
      <c r="AA880" s="423"/>
      <c r="AB880" s="423"/>
      <c r="AC880" s="423"/>
      <c r="AD880" s="423"/>
      <c r="AE880" s="423"/>
      <c r="AF880" s="423"/>
      <c r="AG880" s="423"/>
      <c r="AH880" s="423"/>
      <c r="AI880" s="423"/>
    </row>
    <row r="881">
      <c r="A881" s="419"/>
      <c r="B881" s="419"/>
      <c r="C881" s="419"/>
      <c r="D881" s="419"/>
      <c r="E881" s="387"/>
      <c r="F881" s="387"/>
      <c r="G881" s="423"/>
      <c r="H881" s="423"/>
      <c r="I881" s="423"/>
      <c r="J881" s="423"/>
      <c r="K881" s="423"/>
      <c r="L881" s="423"/>
      <c r="M881" s="423"/>
      <c r="N881" s="423"/>
      <c r="O881" s="423"/>
      <c r="P881" s="423"/>
      <c r="Q881" s="423"/>
      <c r="R881" s="423"/>
      <c r="S881" s="423"/>
      <c r="T881" s="423"/>
      <c r="U881" s="423"/>
      <c r="V881" s="423"/>
      <c r="W881" s="423"/>
      <c r="X881" s="423"/>
      <c r="Y881" s="423"/>
      <c r="Z881" s="423"/>
      <c r="AA881" s="423"/>
      <c r="AB881" s="423"/>
      <c r="AC881" s="423"/>
      <c r="AD881" s="423"/>
      <c r="AE881" s="423"/>
      <c r="AF881" s="423"/>
      <c r="AG881" s="423"/>
      <c r="AH881" s="423"/>
      <c r="AI881" s="423"/>
    </row>
    <row r="882">
      <c r="A882" s="419"/>
      <c r="B882" s="419"/>
      <c r="C882" s="419"/>
      <c r="D882" s="419"/>
      <c r="E882" s="387"/>
      <c r="F882" s="387"/>
      <c r="G882" s="423"/>
      <c r="H882" s="423"/>
      <c r="I882" s="423"/>
      <c r="J882" s="423"/>
      <c r="K882" s="423"/>
      <c r="L882" s="423"/>
      <c r="M882" s="423"/>
      <c r="N882" s="423"/>
      <c r="O882" s="423"/>
      <c r="P882" s="423"/>
      <c r="Q882" s="423"/>
      <c r="R882" s="423"/>
      <c r="S882" s="423"/>
      <c r="T882" s="423"/>
      <c r="U882" s="423"/>
      <c r="V882" s="423"/>
      <c r="W882" s="423"/>
      <c r="X882" s="423"/>
      <c r="Y882" s="423"/>
      <c r="Z882" s="423"/>
      <c r="AA882" s="423"/>
      <c r="AB882" s="423"/>
      <c r="AC882" s="423"/>
      <c r="AD882" s="423"/>
      <c r="AE882" s="423"/>
      <c r="AF882" s="423"/>
      <c r="AG882" s="423"/>
      <c r="AH882" s="423"/>
      <c r="AI882" s="423"/>
    </row>
    <row r="883">
      <c r="A883" s="419"/>
      <c r="B883" s="419"/>
      <c r="C883" s="419"/>
      <c r="D883" s="419"/>
      <c r="E883" s="387"/>
      <c r="F883" s="387"/>
      <c r="G883" s="423"/>
      <c r="H883" s="423"/>
      <c r="I883" s="423"/>
      <c r="J883" s="423"/>
      <c r="K883" s="423"/>
      <c r="L883" s="423"/>
      <c r="M883" s="423"/>
      <c r="N883" s="423"/>
      <c r="O883" s="423"/>
      <c r="P883" s="423"/>
      <c r="Q883" s="423"/>
      <c r="R883" s="423"/>
      <c r="S883" s="423"/>
      <c r="T883" s="423"/>
      <c r="U883" s="423"/>
      <c r="V883" s="423"/>
      <c r="W883" s="423"/>
      <c r="X883" s="423"/>
      <c r="Y883" s="423"/>
      <c r="Z883" s="423"/>
      <c r="AA883" s="423"/>
      <c r="AB883" s="423"/>
      <c r="AC883" s="423"/>
      <c r="AD883" s="423"/>
      <c r="AE883" s="423"/>
      <c r="AF883" s="423"/>
      <c r="AG883" s="423"/>
      <c r="AH883" s="423"/>
      <c r="AI883" s="423"/>
    </row>
    <row r="884">
      <c r="A884" s="419"/>
      <c r="B884" s="419"/>
      <c r="C884" s="419"/>
      <c r="D884" s="419"/>
      <c r="E884" s="387"/>
      <c r="F884" s="387"/>
      <c r="G884" s="423"/>
      <c r="H884" s="423"/>
      <c r="I884" s="423"/>
      <c r="J884" s="423"/>
      <c r="K884" s="423"/>
      <c r="L884" s="423"/>
      <c r="M884" s="423"/>
      <c r="N884" s="423"/>
      <c r="O884" s="423"/>
      <c r="P884" s="423"/>
      <c r="Q884" s="423"/>
      <c r="R884" s="423"/>
      <c r="S884" s="423"/>
      <c r="T884" s="423"/>
      <c r="U884" s="423"/>
      <c r="V884" s="423"/>
      <c r="W884" s="423"/>
      <c r="X884" s="423"/>
      <c r="Y884" s="423"/>
      <c r="Z884" s="423"/>
      <c r="AA884" s="423"/>
      <c r="AB884" s="423"/>
      <c r="AC884" s="423"/>
      <c r="AD884" s="423"/>
      <c r="AE884" s="423"/>
      <c r="AF884" s="423"/>
      <c r="AG884" s="423"/>
      <c r="AH884" s="423"/>
      <c r="AI884" s="423"/>
    </row>
    <row r="885">
      <c r="A885" s="419"/>
      <c r="B885" s="419"/>
      <c r="C885" s="419"/>
      <c r="D885" s="419"/>
      <c r="E885" s="387"/>
      <c r="F885" s="387"/>
      <c r="G885" s="423"/>
      <c r="H885" s="423"/>
      <c r="I885" s="423"/>
      <c r="J885" s="423"/>
      <c r="K885" s="423"/>
      <c r="L885" s="423"/>
      <c r="M885" s="423"/>
      <c r="N885" s="423"/>
      <c r="O885" s="423"/>
      <c r="P885" s="423"/>
      <c r="Q885" s="423"/>
      <c r="R885" s="423"/>
      <c r="S885" s="423"/>
      <c r="T885" s="423"/>
      <c r="U885" s="423"/>
      <c r="V885" s="423"/>
      <c r="W885" s="423"/>
      <c r="X885" s="423"/>
      <c r="Y885" s="423"/>
      <c r="Z885" s="423"/>
      <c r="AA885" s="423"/>
      <c r="AB885" s="423"/>
      <c r="AC885" s="423"/>
      <c r="AD885" s="423"/>
      <c r="AE885" s="423"/>
      <c r="AF885" s="423"/>
      <c r="AG885" s="423"/>
      <c r="AH885" s="423"/>
      <c r="AI885" s="423"/>
    </row>
    <row r="886">
      <c r="A886" s="419"/>
      <c r="B886" s="419"/>
      <c r="C886" s="419"/>
      <c r="D886" s="419"/>
      <c r="E886" s="387"/>
      <c r="F886" s="387"/>
      <c r="G886" s="423"/>
      <c r="H886" s="423"/>
      <c r="I886" s="423"/>
      <c r="J886" s="423"/>
      <c r="K886" s="423"/>
      <c r="L886" s="423"/>
      <c r="M886" s="423"/>
      <c r="N886" s="423"/>
      <c r="O886" s="423"/>
      <c r="P886" s="423"/>
      <c r="Q886" s="423"/>
      <c r="R886" s="423"/>
      <c r="S886" s="423"/>
      <c r="T886" s="423"/>
      <c r="U886" s="423"/>
      <c r="V886" s="423"/>
      <c r="W886" s="423"/>
      <c r="X886" s="423"/>
      <c r="Y886" s="423"/>
      <c r="Z886" s="423"/>
      <c r="AA886" s="423"/>
      <c r="AB886" s="423"/>
      <c r="AC886" s="423"/>
      <c r="AD886" s="423"/>
      <c r="AE886" s="423"/>
      <c r="AF886" s="423"/>
      <c r="AG886" s="423"/>
      <c r="AH886" s="423"/>
      <c r="AI886" s="423"/>
    </row>
    <row r="887">
      <c r="A887" s="419"/>
      <c r="B887" s="419"/>
      <c r="C887" s="419"/>
      <c r="D887" s="419"/>
      <c r="E887" s="387"/>
      <c r="F887" s="387"/>
      <c r="G887" s="423"/>
      <c r="H887" s="423"/>
      <c r="I887" s="423"/>
      <c r="J887" s="423"/>
      <c r="K887" s="423"/>
      <c r="L887" s="423"/>
      <c r="M887" s="423"/>
      <c r="N887" s="423"/>
      <c r="O887" s="423"/>
      <c r="P887" s="423"/>
      <c r="Q887" s="423"/>
      <c r="R887" s="423"/>
      <c r="S887" s="423"/>
      <c r="T887" s="423"/>
      <c r="U887" s="423"/>
      <c r="V887" s="423"/>
      <c r="W887" s="423"/>
      <c r="X887" s="423"/>
      <c r="Y887" s="423"/>
      <c r="Z887" s="423"/>
      <c r="AA887" s="423"/>
      <c r="AB887" s="423"/>
      <c r="AC887" s="423"/>
      <c r="AD887" s="423"/>
      <c r="AE887" s="423"/>
      <c r="AF887" s="423"/>
      <c r="AG887" s="423"/>
      <c r="AH887" s="423"/>
      <c r="AI887" s="423"/>
    </row>
    <row r="888">
      <c r="A888" s="419"/>
      <c r="B888" s="419"/>
      <c r="C888" s="419"/>
      <c r="D888" s="419"/>
      <c r="E888" s="387"/>
      <c r="F888" s="387"/>
      <c r="G888" s="423"/>
      <c r="H888" s="423"/>
      <c r="I888" s="423"/>
      <c r="J888" s="423"/>
      <c r="K888" s="423"/>
      <c r="L888" s="423"/>
      <c r="M888" s="423"/>
      <c r="N888" s="423"/>
      <c r="O888" s="423"/>
      <c r="P888" s="423"/>
      <c r="Q888" s="423"/>
      <c r="R888" s="423"/>
      <c r="S888" s="423"/>
      <c r="T888" s="423"/>
      <c r="U888" s="423"/>
      <c r="V888" s="423"/>
      <c r="W888" s="423"/>
      <c r="X888" s="423"/>
      <c r="Y888" s="423"/>
      <c r="Z888" s="423"/>
      <c r="AA888" s="423"/>
      <c r="AB888" s="423"/>
      <c r="AC888" s="423"/>
      <c r="AD888" s="423"/>
      <c r="AE888" s="423"/>
      <c r="AF888" s="423"/>
      <c r="AG888" s="423"/>
      <c r="AH888" s="423"/>
      <c r="AI888" s="423"/>
    </row>
    <row r="889">
      <c r="A889" s="419"/>
      <c r="B889" s="419"/>
      <c r="C889" s="419"/>
      <c r="D889" s="419"/>
      <c r="E889" s="387"/>
      <c r="F889" s="387"/>
      <c r="G889" s="423"/>
      <c r="H889" s="423"/>
      <c r="I889" s="423"/>
      <c r="J889" s="423"/>
      <c r="K889" s="423"/>
      <c r="L889" s="423"/>
      <c r="M889" s="423"/>
      <c r="N889" s="423"/>
      <c r="O889" s="423"/>
      <c r="P889" s="423"/>
      <c r="Q889" s="423"/>
      <c r="R889" s="423"/>
      <c r="S889" s="423"/>
      <c r="T889" s="423"/>
      <c r="U889" s="423"/>
      <c r="V889" s="423"/>
      <c r="W889" s="423"/>
      <c r="X889" s="423"/>
      <c r="Y889" s="423"/>
      <c r="Z889" s="423"/>
      <c r="AA889" s="423"/>
      <c r="AB889" s="423"/>
      <c r="AC889" s="423"/>
      <c r="AD889" s="423"/>
      <c r="AE889" s="423"/>
      <c r="AF889" s="423"/>
      <c r="AG889" s="423"/>
      <c r="AH889" s="423"/>
      <c r="AI889" s="423"/>
    </row>
    <row r="890">
      <c r="A890" s="419"/>
      <c r="B890" s="419"/>
      <c r="C890" s="419"/>
      <c r="D890" s="419"/>
      <c r="E890" s="387"/>
      <c r="F890" s="387"/>
      <c r="G890" s="423"/>
      <c r="H890" s="423"/>
      <c r="I890" s="423"/>
      <c r="J890" s="423"/>
      <c r="K890" s="423"/>
      <c r="L890" s="423"/>
      <c r="M890" s="423"/>
      <c r="N890" s="423"/>
      <c r="O890" s="423"/>
      <c r="P890" s="423"/>
      <c r="Q890" s="423"/>
      <c r="R890" s="423"/>
      <c r="S890" s="423"/>
      <c r="T890" s="423"/>
      <c r="U890" s="423"/>
      <c r="V890" s="423"/>
      <c r="W890" s="423"/>
      <c r="X890" s="423"/>
      <c r="Y890" s="423"/>
      <c r="Z890" s="423"/>
      <c r="AA890" s="423"/>
      <c r="AB890" s="423"/>
      <c r="AC890" s="423"/>
      <c r="AD890" s="423"/>
      <c r="AE890" s="423"/>
      <c r="AF890" s="423"/>
      <c r="AG890" s="423"/>
      <c r="AH890" s="423"/>
      <c r="AI890" s="423"/>
    </row>
    <row r="891">
      <c r="A891" s="419"/>
      <c r="B891" s="419"/>
      <c r="C891" s="419"/>
      <c r="D891" s="419"/>
      <c r="E891" s="387"/>
      <c r="F891" s="387"/>
      <c r="G891" s="423"/>
      <c r="H891" s="423"/>
      <c r="I891" s="423"/>
      <c r="J891" s="423"/>
      <c r="K891" s="423"/>
      <c r="L891" s="423"/>
      <c r="M891" s="423"/>
      <c r="N891" s="423"/>
      <c r="O891" s="423"/>
      <c r="P891" s="423"/>
      <c r="Q891" s="423"/>
      <c r="R891" s="423"/>
      <c r="S891" s="423"/>
      <c r="T891" s="423"/>
      <c r="U891" s="423"/>
      <c r="V891" s="423"/>
      <c r="W891" s="423"/>
      <c r="X891" s="423"/>
      <c r="Y891" s="423"/>
      <c r="Z891" s="423"/>
      <c r="AA891" s="423"/>
      <c r="AB891" s="423"/>
      <c r="AC891" s="423"/>
      <c r="AD891" s="423"/>
      <c r="AE891" s="423"/>
      <c r="AF891" s="423"/>
      <c r="AG891" s="423"/>
      <c r="AH891" s="423"/>
      <c r="AI891" s="423"/>
    </row>
    <row r="892">
      <c r="A892" s="419"/>
      <c r="B892" s="419"/>
      <c r="C892" s="419"/>
      <c r="D892" s="419"/>
      <c r="E892" s="387"/>
      <c r="F892" s="387"/>
      <c r="G892" s="423"/>
      <c r="H892" s="423"/>
      <c r="I892" s="423"/>
      <c r="J892" s="423"/>
      <c r="K892" s="423"/>
      <c r="L892" s="423"/>
      <c r="M892" s="423"/>
      <c r="N892" s="423"/>
      <c r="O892" s="423"/>
      <c r="P892" s="423"/>
      <c r="Q892" s="423"/>
      <c r="R892" s="423"/>
      <c r="S892" s="423"/>
      <c r="T892" s="423"/>
      <c r="U892" s="423"/>
      <c r="V892" s="423"/>
      <c r="W892" s="423"/>
      <c r="X892" s="423"/>
      <c r="Y892" s="423"/>
      <c r="Z892" s="423"/>
      <c r="AA892" s="423"/>
      <c r="AB892" s="423"/>
      <c r="AC892" s="423"/>
      <c r="AD892" s="423"/>
      <c r="AE892" s="423"/>
      <c r="AF892" s="423"/>
      <c r="AG892" s="423"/>
      <c r="AH892" s="423"/>
      <c r="AI892" s="423"/>
    </row>
    <row r="893">
      <c r="A893" s="419"/>
      <c r="B893" s="419"/>
      <c r="C893" s="419"/>
      <c r="D893" s="419"/>
      <c r="E893" s="387"/>
      <c r="F893" s="387"/>
      <c r="G893" s="423"/>
      <c r="H893" s="423"/>
      <c r="I893" s="423"/>
      <c r="J893" s="423"/>
      <c r="K893" s="423"/>
      <c r="L893" s="423"/>
      <c r="M893" s="423"/>
      <c r="N893" s="423"/>
      <c r="O893" s="423"/>
      <c r="P893" s="423"/>
      <c r="Q893" s="423"/>
      <c r="R893" s="423"/>
      <c r="S893" s="423"/>
      <c r="T893" s="423"/>
      <c r="U893" s="423"/>
      <c r="V893" s="423"/>
      <c r="W893" s="423"/>
      <c r="X893" s="423"/>
      <c r="Y893" s="423"/>
      <c r="Z893" s="423"/>
      <c r="AA893" s="423"/>
      <c r="AB893" s="423"/>
      <c r="AC893" s="423"/>
      <c r="AD893" s="423"/>
      <c r="AE893" s="423"/>
      <c r="AF893" s="423"/>
      <c r="AG893" s="423"/>
      <c r="AH893" s="423"/>
      <c r="AI893" s="423"/>
    </row>
    <row r="894">
      <c r="A894" s="419"/>
      <c r="B894" s="419"/>
      <c r="C894" s="419"/>
      <c r="D894" s="419"/>
      <c r="E894" s="387"/>
      <c r="F894" s="387"/>
      <c r="G894" s="423"/>
      <c r="H894" s="423"/>
      <c r="I894" s="423"/>
      <c r="J894" s="423"/>
      <c r="K894" s="423"/>
      <c r="L894" s="423"/>
      <c r="M894" s="423"/>
      <c r="N894" s="423"/>
      <c r="O894" s="423"/>
      <c r="P894" s="423"/>
      <c r="Q894" s="423"/>
      <c r="R894" s="423"/>
      <c r="S894" s="423"/>
      <c r="T894" s="423"/>
      <c r="U894" s="423"/>
      <c r="V894" s="423"/>
      <c r="W894" s="423"/>
      <c r="X894" s="423"/>
      <c r="Y894" s="423"/>
      <c r="Z894" s="423"/>
      <c r="AA894" s="423"/>
      <c r="AB894" s="423"/>
      <c r="AC894" s="423"/>
      <c r="AD894" s="423"/>
      <c r="AE894" s="423"/>
      <c r="AF894" s="423"/>
      <c r="AG894" s="423"/>
      <c r="AH894" s="423"/>
      <c r="AI894" s="423"/>
    </row>
    <row r="895">
      <c r="A895" s="419"/>
      <c r="B895" s="419"/>
      <c r="C895" s="419"/>
      <c r="D895" s="419"/>
      <c r="E895" s="387"/>
      <c r="F895" s="387"/>
      <c r="G895" s="423"/>
      <c r="H895" s="423"/>
      <c r="I895" s="423"/>
      <c r="J895" s="423"/>
      <c r="K895" s="423"/>
      <c r="L895" s="423"/>
      <c r="M895" s="423"/>
      <c r="N895" s="423"/>
      <c r="O895" s="423"/>
      <c r="P895" s="423"/>
      <c r="Q895" s="423"/>
      <c r="R895" s="423"/>
      <c r="S895" s="423"/>
      <c r="T895" s="423"/>
      <c r="U895" s="423"/>
      <c r="V895" s="423"/>
      <c r="W895" s="423"/>
      <c r="X895" s="423"/>
      <c r="Y895" s="423"/>
      <c r="Z895" s="423"/>
      <c r="AA895" s="423"/>
      <c r="AB895" s="423"/>
      <c r="AC895" s="423"/>
      <c r="AD895" s="423"/>
      <c r="AE895" s="423"/>
      <c r="AF895" s="423"/>
      <c r="AG895" s="423"/>
      <c r="AH895" s="423"/>
      <c r="AI895" s="423"/>
    </row>
    <row r="896">
      <c r="A896" s="419"/>
      <c r="B896" s="419"/>
      <c r="C896" s="419"/>
      <c r="D896" s="419"/>
      <c r="E896" s="387"/>
      <c r="F896" s="387"/>
      <c r="G896" s="423"/>
      <c r="H896" s="423"/>
      <c r="I896" s="423"/>
      <c r="J896" s="423"/>
      <c r="K896" s="423"/>
      <c r="L896" s="423"/>
      <c r="M896" s="423"/>
      <c r="N896" s="423"/>
      <c r="O896" s="423"/>
      <c r="P896" s="423"/>
      <c r="Q896" s="423"/>
      <c r="R896" s="423"/>
      <c r="S896" s="423"/>
      <c r="T896" s="423"/>
      <c r="U896" s="423"/>
      <c r="V896" s="423"/>
      <c r="W896" s="423"/>
      <c r="X896" s="423"/>
      <c r="Y896" s="423"/>
      <c r="Z896" s="423"/>
      <c r="AA896" s="423"/>
      <c r="AB896" s="423"/>
      <c r="AC896" s="423"/>
      <c r="AD896" s="423"/>
      <c r="AE896" s="423"/>
      <c r="AF896" s="423"/>
      <c r="AG896" s="423"/>
      <c r="AH896" s="423"/>
      <c r="AI896" s="423"/>
    </row>
    <row r="897">
      <c r="A897" s="419"/>
      <c r="B897" s="419"/>
      <c r="C897" s="419"/>
      <c r="D897" s="419"/>
      <c r="E897" s="387"/>
      <c r="F897" s="387"/>
      <c r="G897" s="423"/>
      <c r="H897" s="423"/>
      <c r="I897" s="423"/>
      <c r="J897" s="423"/>
      <c r="K897" s="423"/>
      <c r="L897" s="423"/>
      <c r="M897" s="423"/>
      <c r="N897" s="423"/>
      <c r="O897" s="423"/>
      <c r="P897" s="423"/>
      <c r="Q897" s="423"/>
      <c r="R897" s="423"/>
      <c r="S897" s="423"/>
      <c r="T897" s="423"/>
      <c r="U897" s="423"/>
      <c r="V897" s="423"/>
      <c r="W897" s="423"/>
      <c r="X897" s="423"/>
      <c r="Y897" s="423"/>
      <c r="Z897" s="423"/>
      <c r="AA897" s="423"/>
      <c r="AB897" s="423"/>
      <c r="AC897" s="423"/>
      <c r="AD897" s="423"/>
      <c r="AE897" s="423"/>
      <c r="AF897" s="423"/>
      <c r="AG897" s="423"/>
      <c r="AH897" s="423"/>
      <c r="AI897" s="423"/>
    </row>
    <row r="898">
      <c r="A898" s="419"/>
      <c r="B898" s="419"/>
      <c r="C898" s="419"/>
      <c r="D898" s="419"/>
      <c r="E898" s="387"/>
      <c r="F898" s="387"/>
      <c r="G898" s="423"/>
      <c r="H898" s="423"/>
      <c r="I898" s="423"/>
      <c r="J898" s="423"/>
      <c r="K898" s="423"/>
      <c r="L898" s="423"/>
      <c r="M898" s="423"/>
      <c r="N898" s="423"/>
      <c r="O898" s="423"/>
      <c r="P898" s="423"/>
      <c r="Q898" s="423"/>
      <c r="R898" s="423"/>
      <c r="S898" s="423"/>
      <c r="T898" s="423"/>
      <c r="U898" s="423"/>
      <c r="V898" s="423"/>
      <c r="W898" s="423"/>
      <c r="X898" s="423"/>
      <c r="Y898" s="423"/>
      <c r="Z898" s="423"/>
      <c r="AA898" s="423"/>
      <c r="AB898" s="423"/>
      <c r="AC898" s="423"/>
      <c r="AD898" s="423"/>
      <c r="AE898" s="423"/>
      <c r="AF898" s="423"/>
      <c r="AG898" s="423"/>
      <c r="AH898" s="423"/>
      <c r="AI898" s="423"/>
    </row>
    <row r="899">
      <c r="A899" s="419"/>
      <c r="B899" s="419"/>
      <c r="C899" s="419"/>
      <c r="D899" s="419"/>
      <c r="E899" s="387"/>
      <c r="F899" s="387"/>
      <c r="G899" s="423"/>
      <c r="H899" s="423"/>
      <c r="I899" s="423"/>
      <c r="J899" s="423"/>
      <c r="K899" s="423"/>
      <c r="L899" s="423"/>
      <c r="M899" s="423"/>
      <c r="N899" s="423"/>
      <c r="O899" s="423"/>
      <c r="P899" s="423"/>
      <c r="Q899" s="423"/>
      <c r="R899" s="423"/>
      <c r="S899" s="423"/>
      <c r="T899" s="423"/>
      <c r="U899" s="423"/>
      <c r="V899" s="423"/>
      <c r="W899" s="423"/>
      <c r="X899" s="423"/>
      <c r="Y899" s="423"/>
      <c r="Z899" s="423"/>
      <c r="AA899" s="423"/>
      <c r="AB899" s="423"/>
      <c r="AC899" s="423"/>
      <c r="AD899" s="423"/>
      <c r="AE899" s="423"/>
      <c r="AF899" s="423"/>
      <c r="AG899" s="423"/>
      <c r="AH899" s="423"/>
      <c r="AI899" s="423"/>
    </row>
    <row r="900">
      <c r="A900" s="419"/>
      <c r="B900" s="419"/>
      <c r="C900" s="419"/>
      <c r="D900" s="419"/>
      <c r="E900" s="387"/>
      <c r="F900" s="387"/>
      <c r="G900" s="423"/>
      <c r="H900" s="423"/>
      <c r="I900" s="423"/>
      <c r="J900" s="423"/>
      <c r="K900" s="423"/>
      <c r="L900" s="423"/>
      <c r="M900" s="423"/>
      <c r="N900" s="423"/>
      <c r="O900" s="423"/>
      <c r="P900" s="423"/>
      <c r="Q900" s="423"/>
      <c r="R900" s="423"/>
      <c r="S900" s="423"/>
      <c r="T900" s="423"/>
      <c r="U900" s="423"/>
      <c r="V900" s="423"/>
      <c r="W900" s="423"/>
      <c r="X900" s="423"/>
      <c r="Y900" s="423"/>
      <c r="Z900" s="423"/>
      <c r="AA900" s="423"/>
      <c r="AB900" s="423"/>
      <c r="AC900" s="423"/>
      <c r="AD900" s="423"/>
      <c r="AE900" s="423"/>
      <c r="AF900" s="423"/>
      <c r="AG900" s="423"/>
      <c r="AH900" s="423"/>
      <c r="AI900" s="423"/>
    </row>
    <row r="901">
      <c r="A901" s="419"/>
      <c r="B901" s="419"/>
      <c r="C901" s="419"/>
      <c r="D901" s="419"/>
      <c r="E901" s="387"/>
      <c r="F901" s="387"/>
      <c r="G901" s="423"/>
      <c r="H901" s="423"/>
      <c r="I901" s="423"/>
      <c r="J901" s="423"/>
      <c r="K901" s="423"/>
      <c r="L901" s="423"/>
      <c r="M901" s="423"/>
      <c r="N901" s="423"/>
      <c r="O901" s="423"/>
      <c r="P901" s="423"/>
      <c r="Q901" s="423"/>
      <c r="R901" s="423"/>
      <c r="S901" s="423"/>
      <c r="T901" s="423"/>
      <c r="U901" s="423"/>
      <c r="V901" s="423"/>
      <c r="W901" s="423"/>
      <c r="X901" s="423"/>
      <c r="Y901" s="423"/>
      <c r="Z901" s="423"/>
      <c r="AA901" s="423"/>
      <c r="AB901" s="423"/>
      <c r="AC901" s="423"/>
      <c r="AD901" s="423"/>
      <c r="AE901" s="423"/>
      <c r="AF901" s="423"/>
      <c r="AG901" s="423"/>
      <c r="AH901" s="423"/>
      <c r="AI901" s="423"/>
    </row>
    <row r="902">
      <c r="A902" s="419"/>
      <c r="B902" s="419"/>
      <c r="C902" s="419"/>
      <c r="D902" s="419"/>
      <c r="E902" s="387"/>
      <c r="F902" s="387"/>
      <c r="G902" s="423"/>
      <c r="H902" s="423"/>
      <c r="I902" s="423"/>
      <c r="J902" s="423"/>
      <c r="K902" s="423"/>
      <c r="L902" s="423"/>
      <c r="M902" s="423"/>
      <c r="N902" s="423"/>
      <c r="O902" s="423"/>
      <c r="P902" s="423"/>
      <c r="Q902" s="423"/>
      <c r="R902" s="423"/>
      <c r="S902" s="423"/>
      <c r="T902" s="423"/>
      <c r="U902" s="423"/>
      <c r="V902" s="423"/>
      <c r="W902" s="423"/>
      <c r="X902" s="423"/>
      <c r="Y902" s="423"/>
      <c r="Z902" s="423"/>
      <c r="AA902" s="423"/>
      <c r="AB902" s="423"/>
      <c r="AC902" s="423"/>
      <c r="AD902" s="423"/>
      <c r="AE902" s="423"/>
      <c r="AF902" s="423"/>
      <c r="AG902" s="423"/>
      <c r="AH902" s="423"/>
      <c r="AI902" s="423"/>
    </row>
    <row r="903">
      <c r="A903" s="419"/>
      <c r="B903" s="419"/>
      <c r="C903" s="419"/>
      <c r="D903" s="419"/>
      <c r="E903" s="387"/>
      <c r="F903" s="387"/>
      <c r="G903" s="423"/>
      <c r="H903" s="423"/>
      <c r="I903" s="423"/>
      <c r="J903" s="423"/>
      <c r="K903" s="423"/>
      <c r="L903" s="423"/>
      <c r="M903" s="423"/>
      <c r="N903" s="423"/>
      <c r="O903" s="423"/>
      <c r="P903" s="423"/>
      <c r="Q903" s="423"/>
      <c r="R903" s="423"/>
      <c r="S903" s="423"/>
      <c r="T903" s="423"/>
      <c r="U903" s="423"/>
      <c r="V903" s="423"/>
      <c r="W903" s="423"/>
      <c r="X903" s="423"/>
      <c r="Y903" s="423"/>
      <c r="Z903" s="423"/>
      <c r="AA903" s="423"/>
      <c r="AB903" s="423"/>
      <c r="AC903" s="423"/>
      <c r="AD903" s="423"/>
      <c r="AE903" s="423"/>
      <c r="AF903" s="423"/>
      <c r="AG903" s="423"/>
      <c r="AH903" s="423"/>
      <c r="AI903" s="423"/>
    </row>
    <row r="904">
      <c r="A904" s="419"/>
      <c r="B904" s="419"/>
      <c r="C904" s="419"/>
      <c r="D904" s="419"/>
      <c r="E904" s="387"/>
      <c r="F904" s="387"/>
      <c r="G904" s="423"/>
      <c r="H904" s="423"/>
      <c r="I904" s="423"/>
      <c r="J904" s="423"/>
      <c r="K904" s="423"/>
      <c r="L904" s="423"/>
      <c r="M904" s="423"/>
      <c r="N904" s="423"/>
      <c r="O904" s="423"/>
      <c r="P904" s="423"/>
      <c r="Q904" s="423"/>
      <c r="R904" s="423"/>
      <c r="S904" s="423"/>
      <c r="T904" s="423"/>
      <c r="U904" s="423"/>
      <c r="V904" s="423"/>
      <c r="W904" s="423"/>
      <c r="X904" s="423"/>
      <c r="Y904" s="423"/>
      <c r="Z904" s="423"/>
      <c r="AA904" s="423"/>
      <c r="AB904" s="423"/>
      <c r="AC904" s="423"/>
      <c r="AD904" s="423"/>
      <c r="AE904" s="423"/>
      <c r="AF904" s="423"/>
      <c r="AG904" s="423"/>
      <c r="AH904" s="423"/>
      <c r="AI904" s="423"/>
    </row>
    <row r="905">
      <c r="A905" s="419"/>
      <c r="B905" s="419"/>
      <c r="C905" s="419"/>
      <c r="D905" s="419"/>
      <c r="E905" s="387"/>
      <c r="F905" s="387"/>
      <c r="G905" s="423"/>
      <c r="H905" s="423"/>
      <c r="I905" s="423"/>
      <c r="J905" s="423"/>
      <c r="K905" s="423"/>
      <c r="L905" s="423"/>
      <c r="M905" s="423"/>
      <c r="N905" s="423"/>
      <c r="O905" s="423"/>
      <c r="P905" s="423"/>
      <c r="Q905" s="423"/>
      <c r="R905" s="423"/>
      <c r="S905" s="423"/>
      <c r="T905" s="423"/>
      <c r="U905" s="423"/>
      <c r="V905" s="423"/>
      <c r="W905" s="423"/>
      <c r="X905" s="423"/>
      <c r="Y905" s="423"/>
      <c r="Z905" s="423"/>
      <c r="AA905" s="423"/>
      <c r="AB905" s="423"/>
      <c r="AC905" s="423"/>
      <c r="AD905" s="423"/>
      <c r="AE905" s="423"/>
      <c r="AF905" s="423"/>
      <c r="AG905" s="423"/>
      <c r="AH905" s="423"/>
      <c r="AI905" s="423"/>
    </row>
    <row r="906">
      <c r="A906" s="419"/>
      <c r="B906" s="419"/>
      <c r="C906" s="419"/>
      <c r="D906" s="419"/>
      <c r="E906" s="387"/>
      <c r="F906" s="387"/>
      <c r="G906" s="423"/>
      <c r="H906" s="423"/>
      <c r="I906" s="423"/>
      <c r="J906" s="423"/>
      <c r="K906" s="423"/>
      <c r="L906" s="423"/>
      <c r="M906" s="423"/>
      <c r="N906" s="423"/>
      <c r="O906" s="423"/>
      <c r="P906" s="423"/>
      <c r="Q906" s="423"/>
      <c r="R906" s="423"/>
      <c r="S906" s="423"/>
      <c r="T906" s="423"/>
      <c r="U906" s="423"/>
      <c r="V906" s="423"/>
      <c r="W906" s="423"/>
      <c r="X906" s="423"/>
      <c r="Y906" s="423"/>
      <c r="Z906" s="423"/>
      <c r="AA906" s="423"/>
      <c r="AB906" s="423"/>
      <c r="AC906" s="423"/>
      <c r="AD906" s="423"/>
      <c r="AE906" s="423"/>
      <c r="AF906" s="423"/>
      <c r="AG906" s="423"/>
      <c r="AH906" s="423"/>
      <c r="AI906" s="423"/>
    </row>
    <row r="907">
      <c r="A907" s="419"/>
      <c r="B907" s="419"/>
      <c r="C907" s="419"/>
      <c r="D907" s="419"/>
      <c r="E907" s="387"/>
      <c r="F907" s="387"/>
      <c r="G907" s="423"/>
      <c r="H907" s="423"/>
      <c r="I907" s="423"/>
      <c r="J907" s="423"/>
      <c r="K907" s="423"/>
      <c r="L907" s="423"/>
      <c r="M907" s="423"/>
      <c r="N907" s="423"/>
      <c r="O907" s="423"/>
      <c r="P907" s="423"/>
      <c r="Q907" s="423"/>
      <c r="R907" s="423"/>
      <c r="S907" s="423"/>
      <c r="T907" s="423"/>
      <c r="U907" s="423"/>
      <c r="V907" s="423"/>
      <c r="W907" s="423"/>
      <c r="X907" s="423"/>
      <c r="Y907" s="423"/>
      <c r="Z907" s="423"/>
      <c r="AA907" s="423"/>
      <c r="AB907" s="423"/>
      <c r="AC907" s="423"/>
      <c r="AD907" s="423"/>
      <c r="AE907" s="423"/>
      <c r="AF907" s="423"/>
      <c r="AG907" s="423"/>
      <c r="AH907" s="423"/>
      <c r="AI907" s="423"/>
    </row>
    <row r="908">
      <c r="A908" s="419"/>
      <c r="B908" s="419"/>
      <c r="C908" s="419"/>
      <c r="D908" s="419"/>
      <c r="E908" s="387"/>
      <c r="F908" s="387"/>
      <c r="G908" s="423"/>
      <c r="H908" s="423"/>
      <c r="I908" s="423"/>
      <c r="J908" s="423"/>
      <c r="K908" s="423"/>
      <c r="L908" s="423"/>
      <c r="M908" s="423"/>
      <c r="N908" s="423"/>
      <c r="O908" s="423"/>
      <c r="P908" s="423"/>
      <c r="Q908" s="423"/>
      <c r="R908" s="423"/>
      <c r="S908" s="423"/>
      <c r="T908" s="423"/>
      <c r="U908" s="423"/>
      <c r="V908" s="423"/>
      <c r="W908" s="423"/>
      <c r="X908" s="423"/>
      <c r="Y908" s="423"/>
      <c r="Z908" s="423"/>
      <c r="AA908" s="423"/>
      <c r="AB908" s="423"/>
      <c r="AC908" s="423"/>
      <c r="AD908" s="423"/>
      <c r="AE908" s="423"/>
      <c r="AF908" s="423"/>
      <c r="AG908" s="423"/>
      <c r="AH908" s="423"/>
      <c r="AI908" s="423"/>
    </row>
    <row r="909">
      <c r="A909" s="419"/>
      <c r="B909" s="419"/>
      <c r="C909" s="419"/>
      <c r="D909" s="419"/>
      <c r="E909" s="387"/>
      <c r="F909" s="387"/>
      <c r="G909" s="423"/>
      <c r="H909" s="423"/>
      <c r="I909" s="423"/>
      <c r="J909" s="423"/>
      <c r="K909" s="423"/>
      <c r="L909" s="423"/>
      <c r="M909" s="423"/>
      <c r="N909" s="423"/>
      <c r="O909" s="423"/>
      <c r="P909" s="423"/>
      <c r="Q909" s="423"/>
      <c r="R909" s="423"/>
      <c r="S909" s="423"/>
      <c r="T909" s="423"/>
      <c r="U909" s="423"/>
      <c r="V909" s="423"/>
      <c r="W909" s="423"/>
      <c r="X909" s="423"/>
      <c r="Y909" s="423"/>
      <c r="Z909" s="423"/>
      <c r="AA909" s="423"/>
      <c r="AB909" s="423"/>
      <c r="AC909" s="423"/>
      <c r="AD909" s="423"/>
      <c r="AE909" s="423"/>
      <c r="AF909" s="423"/>
      <c r="AG909" s="423"/>
      <c r="AH909" s="423"/>
      <c r="AI909" s="423"/>
    </row>
    <row r="910">
      <c r="A910" s="419"/>
      <c r="B910" s="419"/>
      <c r="C910" s="419"/>
      <c r="D910" s="419"/>
      <c r="E910" s="387"/>
      <c r="F910" s="387"/>
      <c r="G910" s="423"/>
      <c r="H910" s="423"/>
      <c r="I910" s="423"/>
      <c r="J910" s="423"/>
      <c r="K910" s="423"/>
      <c r="L910" s="423"/>
      <c r="M910" s="423"/>
      <c r="N910" s="423"/>
      <c r="O910" s="423"/>
      <c r="P910" s="423"/>
      <c r="Q910" s="423"/>
      <c r="R910" s="423"/>
      <c r="S910" s="423"/>
      <c r="T910" s="423"/>
      <c r="U910" s="423"/>
      <c r="V910" s="423"/>
      <c r="W910" s="423"/>
      <c r="X910" s="423"/>
      <c r="Y910" s="423"/>
      <c r="Z910" s="423"/>
      <c r="AA910" s="423"/>
      <c r="AB910" s="423"/>
      <c r="AC910" s="423"/>
      <c r="AD910" s="423"/>
      <c r="AE910" s="423"/>
      <c r="AF910" s="423"/>
      <c r="AG910" s="423"/>
      <c r="AH910" s="423"/>
      <c r="AI910" s="423"/>
    </row>
    <row r="911">
      <c r="A911" s="419"/>
      <c r="B911" s="419"/>
      <c r="C911" s="419"/>
      <c r="D911" s="419"/>
      <c r="E911" s="387"/>
      <c r="F911" s="387"/>
      <c r="G911" s="423"/>
      <c r="H911" s="423"/>
      <c r="I911" s="423"/>
      <c r="J911" s="423"/>
      <c r="K911" s="423"/>
      <c r="L911" s="423"/>
      <c r="M911" s="423"/>
      <c r="N911" s="423"/>
      <c r="O911" s="423"/>
      <c r="P911" s="423"/>
      <c r="Q911" s="423"/>
      <c r="R911" s="423"/>
      <c r="S911" s="423"/>
      <c r="T911" s="423"/>
      <c r="U911" s="423"/>
      <c r="V911" s="423"/>
      <c r="W911" s="423"/>
      <c r="X911" s="423"/>
      <c r="Y911" s="423"/>
      <c r="Z911" s="423"/>
      <c r="AA911" s="423"/>
      <c r="AB911" s="423"/>
      <c r="AC911" s="423"/>
      <c r="AD911" s="423"/>
      <c r="AE911" s="423"/>
      <c r="AF911" s="423"/>
      <c r="AG911" s="423"/>
      <c r="AH911" s="423"/>
      <c r="AI911" s="423"/>
    </row>
    <row r="912">
      <c r="A912" s="419"/>
      <c r="B912" s="419"/>
      <c r="C912" s="419"/>
      <c r="D912" s="419"/>
      <c r="E912" s="387"/>
      <c r="F912" s="387"/>
      <c r="G912" s="423"/>
      <c r="H912" s="423"/>
      <c r="I912" s="423"/>
      <c r="J912" s="423"/>
      <c r="K912" s="423"/>
      <c r="L912" s="423"/>
      <c r="M912" s="423"/>
      <c r="N912" s="423"/>
      <c r="O912" s="423"/>
      <c r="P912" s="423"/>
      <c r="Q912" s="423"/>
      <c r="R912" s="423"/>
      <c r="S912" s="423"/>
      <c r="T912" s="423"/>
      <c r="U912" s="423"/>
      <c r="V912" s="423"/>
      <c r="W912" s="423"/>
      <c r="X912" s="423"/>
      <c r="Y912" s="423"/>
      <c r="Z912" s="423"/>
      <c r="AA912" s="423"/>
      <c r="AB912" s="423"/>
      <c r="AC912" s="423"/>
      <c r="AD912" s="423"/>
      <c r="AE912" s="423"/>
      <c r="AF912" s="423"/>
      <c r="AG912" s="423"/>
      <c r="AH912" s="423"/>
      <c r="AI912" s="423"/>
    </row>
    <row r="913">
      <c r="A913" s="419"/>
      <c r="B913" s="419"/>
      <c r="C913" s="419"/>
      <c r="D913" s="419"/>
      <c r="E913" s="387"/>
      <c r="F913" s="387"/>
      <c r="G913" s="423"/>
      <c r="H913" s="423"/>
      <c r="I913" s="423"/>
      <c r="J913" s="423"/>
      <c r="K913" s="423"/>
      <c r="L913" s="423"/>
      <c r="M913" s="423"/>
      <c r="N913" s="423"/>
      <c r="O913" s="423"/>
      <c r="P913" s="423"/>
      <c r="Q913" s="423"/>
      <c r="R913" s="423"/>
      <c r="S913" s="423"/>
      <c r="T913" s="423"/>
      <c r="U913" s="423"/>
      <c r="V913" s="423"/>
      <c r="W913" s="423"/>
      <c r="X913" s="423"/>
      <c r="Y913" s="423"/>
      <c r="Z913" s="423"/>
      <c r="AA913" s="423"/>
      <c r="AB913" s="423"/>
      <c r="AC913" s="423"/>
      <c r="AD913" s="423"/>
      <c r="AE913" s="423"/>
      <c r="AF913" s="423"/>
      <c r="AG913" s="423"/>
      <c r="AH913" s="423"/>
      <c r="AI913" s="423"/>
    </row>
    <row r="914">
      <c r="A914" s="419"/>
      <c r="B914" s="419"/>
      <c r="C914" s="419"/>
      <c r="D914" s="419"/>
      <c r="E914" s="387"/>
      <c r="F914" s="387"/>
      <c r="G914" s="423"/>
      <c r="H914" s="423"/>
      <c r="I914" s="423"/>
      <c r="J914" s="423"/>
      <c r="K914" s="423"/>
      <c r="L914" s="423"/>
      <c r="M914" s="423"/>
      <c r="N914" s="423"/>
      <c r="O914" s="423"/>
      <c r="P914" s="423"/>
      <c r="Q914" s="423"/>
      <c r="R914" s="423"/>
      <c r="S914" s="423"/>
      <c r="T914" s="423"/>
      <c r="U914" s="423"/>
      <c r="V914" s="423"/>
      <c r="W914" s="423"/>
      <c r="X914" s="423"/>
      <c r="Y914" s="423"/>
      <c r="Z914" s="423"/>
      <c r="AA914" s="423"/>
      <c r="AB914" s="423"/>
      <c r="AC914" s="423"/>
      <c r="AD914" s="423"/>
      <c r="AE914" s="423"/>
      <c r="AF914" s="423"/>
      <c r="AG914" s="423"/>
      <c r="AH914" s="423"/>
      <c r="AI914" s="423"/>
    </row>
    <row r="915">
      <c r="A915" s="419"/>
      <c r="B915" s="419"/>
      <c r="C915" s="419"/>
      <c r="D915" s="419"/>
      <c r="E915" s="387"/>
      <c r="F915" s="387"/>
      <c r="G915" s="423"/>
      <c r="H915" s="423"/>
      <c r="I915" s="423"/>
      <c r="J915" s="423"/>
      <c r="K915" s="423"/>
      <c r="L915" s="423"/>
      <c r="M915" s="423"/>
      <c r="N915" s="423"/>
      <c r="O915" s="423"/>
      <c r="P915" s="423"/>
      <c r="Q915" s="423"/>
      <c r="R915" s="423"/>
      <c r="S915" s="423"/>
      <c r="T915" s="423"/>
      <c r="U915" s="423"/>
      <c r="V915" s="423"/>
      <c r="W915" s="423"/>
      <c r="X915" s="423"/>
      <c r="Y915" s="423"/>
      <c r="Z915" s="423"/>
      <c r="AA915" s="423"/>
      <c r="AB915" s="423"/>
      <c r="AC915" s="423"/>
      <c r="AD915" s="423"/>
      <c r="AE915" s="423"/>
      <c r="AF915" s="423"/>
      <c r="AG915" s="423"/>
      <c r="AH915" s="423"/>
      <c r="AI915" s="423"/>
    </row>
    <row r="916">
      <c r="A916" s="419"/>
      <c r="B916" s="419"/>
      <c r="C916" s="419"/>
      <c r="D916" s="419"/>
      <c r="E916" s="387"/>
      <c r="F916" s="387"/>
      <c r="G916" s="423"/>
      <c r="H916" s="423"/>
      <c r="I916" s="423"/>
      <c r="J916" s="423"/>
      <c r="K916" s="423"/>
      <c r="L916" s="423"/>
      <c r="M916" s="423"/>
      <c r="N916" s="423"/>
      <c r="O916" s="423"/>
      <c r="P916" s="423"/>
      <c r="Q916" s="423"/>
      <c r="R916" s="423"/>
      <c r="S916" s="423"/>
      <c r="T916" s="423"/>
      <c r="U916" s="423"/>
      <c r="V916" s="423"/>
      <c r="W916" s="423"/>
      <c r="X916" s="423"/>
      <c r="Y916" s="423"/>
      <c r="Z916" s="423"/>
      <c r="AA916" s="423"/>
      <c r="AB916" s="423"/>
      <c r="AC916" s="423"/>
      <c r="AD916" s="423"/>
      <c r="AE916" s="423"/>
      <c r="AF916" s="423"/>
      <c r="AG916" s="423"/>
      <c r="AH916" s="423"/>
      <c r="AI916" s="423"/>
    </row>
    <row r="917">
      <c r="A917" s="419"/>
      <c r="B917" s="419"/>
      <c r="C917" s="419"/>
      <c r="D917" s="419"/>
      <c r="E917" s="387"/>
      <c r="F917" s="387"/>
      <c r="G917" s="423"/>
      <c r="H917" s="423"/>
      <c r="I917" s="423"/>
      <c r="J917" s="423"/>
      <c r="K917" s="423"/>
      <c r="L917" s="423"/>
      <c r="M917" s="423"/>
      <c r="N917" s="423"/>
      <c r="O917" s="423"/>
      <c r="P917" s="423"/>
      <c r="Q917" s="423"/>
      <c r="R917" s="423"/>
      <c r="S917" s="423"/>
      <c r="T917" s="423"/>
      <c r="U917" s="423"/>
      <c r="V917" s="423"/>
      <c r="W917" s="423"/>
      <c r="X917" s="423"/>
      <c r="Y917" s="423"/>
      <c r="Z917" s="423"/>
      <c r="AA917" s="423"/>
      <c r="AB917" s="423"/>
      <c r="AC917" s="423"/>
      <c r="AD917" s="423"/>
      <c r="AE917" s="423"/>
      <c r="AF917" s="423"/>
      <c r="AG917" s="423"/>
      <c r="AH917" s="423"/>
      <c r="AI917" s="423"/>
    </row>
    <row r="918">
      <c r="A918" s="419"/>
      <c r="B918" s="419"/>
      <c r="C918" s="419"/>
      <c r="D918" s="419"/>
      <c r="E918" s="387"/>
      <c r="F918" s="387"/>
      <c r="G918" s="423"/>
      <c r="H918" s="423"/>
      <c r="I918" s="423"/>
      <c r="J918" s="423"/>
      <c r="K918" s="423"/>
      <c r="L918" s="423"/>
      <c r="M918" s="423"/>
      <c r="N918" s="423"/>
      <c r="O918" s="423"/>
      <c r="P918" s="423"/>
      <c r="Q918" s="423"/>
      <c r="R918" s="423"/>
      <c r="S918" s="423"/>
      <c r="T918" s="423"/>
      <c r="U918" s="423"/>
      <c r="V918" s="423"/>
      <c r="W918" s="423"/>
      <c r="X918" s="423"/>
      <c r="Y918" s="423"/>
      <c r="Z918" s="423"/>
      <c r="AA918" s="423"/>
      <c r="AB918" s="423"/>
      <c r="AC918" s="423"/>
      <c r="AD918" s="423"/>
      <c r="AE918" s="423"/>
      <c r="AF918" s="423"/>
      <c r="AG918" s="423"/>
      <c r="AH918" s="423"/>
      <c r="AI918" s="423"/>
    </row>
    <row r="919">
      <c r="A919" s="419"/>
      <c r="B919" s="419"/>
      <c r="C919" s="419"/>
      <c r="D919" s="419"/>
      <c r="E919" s="387"/>
      <c r="F919" s="387"/>
      <c r="G919" s="423"/>
      <c r="H919" s="423"/>
      <c r="I919" s="423"/>
      <c r="J919" s="423"/>
      <c r="K919" s="423"/>
      <c r="L919" s="423"/>
      <c r="M919" s="423"/>
      <c r="N919" s="423"/>
      <c r="O919" s="423"/>
      <c r="P919" s="423"/>
      <c r="Q919" s="423"/>
      <c r="R919" s="423"/>
      <c r="S919" s="423"/>
      <c r="T919" s="423"/>
      <c r="U919" s="423"/>
      <c r="V919" s="423"/>
      <c r="W919" s="423"/>
      <c r="X919" s="423"/>
      <c r="Y919" s="423"/>
      <c r="Z919" s="423"/>
      <c r="AA919" s="423"/>
      <c r="AB919" s="423"/>
      <c r="AC919" s="423"/>
      <c r="AD919" s="423"/>
      <c r="AE919" s="423"/>
      <c r="AF919" s="423"/>
      <c r="AG919" s="423"/>
      <c r="AH919" s="423"/>
      <c r="AI919" s="423"/>
    </row>
    <row r="920">
      <c r="A920" s="419"/>
      <c r="B920" s="419"/>
      <c r="C920" s="419"/>
      <c r="D920" s="419"/>
      <c r="E920" s="387"/>
      <c r="F920" s="387"/>
      <c r="G920" s="423"/>
      <c r="H920" s="423"/>
      <c r="I920" s="423"/>
      <c r="J920" s="423"/>
      <c r="K920" s="423"/>
      <c r="L920" s="423"/>
      <c r="M920" s="423"/>
      <c r="N920" s="423"/>
      <c r="O920" s="423"/>
      <c r="P920" s="423"/>
      <c r="Q920" s="423"/>
      <c r="R920" s="423"/>
      <c r="S920" s="423"/>
      <c r="T920" s="423"/>
      <c r="U920" s="423"/>
      <c r="V920" s="423"/>
      <c r="W920" s="423"/>
      <c r="X920" s="423"/>
      <c r="Y920" s="423"/>
      <c r="Z920" s="423"/>
      <c r="AA920" s="423"/>
      <c r="AB920" s="423"/>
      <c r="AC920" s="423"/>
      <c r="AD920" s="423"/>
      <c r="AE920" s="423"/>
      <c r="AF920" s="423"/>
      <c r="AG920" s="423"/>
      <c r="AH920" s="423"/>
      <c r="AI920" s="423"/>
    </row>
    <row r="921">
      <c r="A921" s="419"/>
      <c r="B921" s="419"/>
      <c r="C921" s="419"/>
      <c r="D921" s="419"/>
      <c r="E921" s="387"/>
      <c r="F921" s="387"/>
      <c r="G921" s="423"/>
      <c r="H921" s="423"/>
      <c r="I921" s="423"/>
      <c r="J921" s="423"/>
      <c r="K921" s="423"/>
      <c r="L921" s="423"/>
      <c r="M921" s="423"/>
      <c r="N921" s="423"/>
      <c r="O921" s="423"/>
      <c r="P921" s="423"/>
      <c r="Q921" s="423"/>
      <c r="R921" s="423"/>
      <c r="S921" s="423"/>
      <c r="T921" s="423"/>
      <c r="U921" s="423"/>
      <c r="V921" s="423"/>
      <c r="W921" s="423"/>
      <c r="X921" s="423"/>
      <c r="Y921" s="423"/>
      <c r="Z921" s="423"/>
      <c r="AA921" s="423"/>
      <c r="AB921" s="423"/>
      <c r="AC921" s="423"/>
      <c r="AD921" s="423"/>
      <c r="AE921" s="423"/>
      <c r="AF921" s="423"/>
      <c r="AG921" s="423"/>
      <c r="AH921" s="423"/>
      <c r="AI921" s="423"/>
    </row>
    <row r="922">
      <c r="A922" s="419"/>
      <c r="B922" s="419"/>
      <c r="C922" s="419"/>
      <c r="D922" s="419"/>
      <c r="E922" s="387"/>
      <c r="F922" s="387"/>
      <c r="G922" s="423"/>
      <c r="H922" s="423"/>
      <c r="I922" s="423"/>
      <c r="J922" s="423"/>
      <c r="K922" s="423"/>
      <c r="L922" s="423"/>
      <c r="M922" s="423"/>
      <c r="N922" s="423"/>
      <c r="O922" s="423"/>
      <c r="P922" s="423"/>
      <c r="Q922" s="423"/>
      <c r="R922" s="423"/>
      <c r="S922" s="423"/>
      <c r="T922" s="423"/>
      <c r="U922" s="423"/>
      <c r="V922" s="423"/>
      <c r="W922" s="423"/>
      <c r="X922" s="423"/>
      <c r="Y922" s="423"/>
      <c r="Z922" s="423"/>
      <c r="AA922" s="423"/>
      <c r="AB922" s="423"/>
      <c r="AC922" s="423"/>
      <c r="AD922" s="423"/>
      <c r="AE922" s="423"/>
      <c r="AF922" s="423"/>
      <c r="AG922" s="423"/>
      <c r="AH922" s="423"/>
      <c r="AI922" s="423"/>
    </row>
    <row r="923">
      <c r="A923" s="419"/>
      <c r="B923" s="419"/>
      <c r="C923" s="419"/>
      <c r="D923" s="419"/>
      <c r="E923" s="387"/>
      <c r="F923" s="387"/>
      <c r="G923" s="423"/>
      <c r="H923" s="423"/>
      <c r="I923" s="423"/>
      <c r="J923" s="423"/>
      <c r="K923" s="423"/>
      <c r="L923" s="423"/>
      <c r="M923" s="423"/>
      <c r="N923" s="423"/>
      <c r="O923" s="423"/>
      <c r="P923" s="423"/>
      <c r="Q923" s="423"/>
      <c r="R923" s="423"/>
      <c r="S923" s="423"/>
      <c r="T923" s="423"/>
      <c r="U923" s="423"/>
      <c r="V923" s="423"/>
      <c r="W923" s="423"/>
      <c r="X923" s="423"/>
      <c r="Y923" s="423"/>
      <c r="Z923" s="423"/>
      <c r="AA923" s="423"/>
      <c r="AB923" s="423"/>
      <c r="AC923" s="423"/>
      <c r="AD923" s="423"/>
      <c r="AE923" s="423"/>
      <c r="AF923" s="423"/>
      <c r="AG923" s="423"/>
      <c r="AH923" s="423"/>
      <c r="AI923" s="423"/>
    </row>
    <row r="924">
      <c r="A924" s="419"/>
      <c r="B924" s="419"/>
      <c r="C924" s="419"/>
      <c r="D924" s="419"/>
      <c r="E924" s="387"/>
      <c r="F924" s="387"/>
      <c r="G924" s="423"/>
      <c r="H924" s="423"/>
      <c r="I924" s="423"/>
      <c r="J924" s="423"/>
      <c r="K924" s="423"/>
      <c r="L924" s="423"/>
      <c r="M924" s="423"/>
      <c r="N924" s="423"/>
      <c r="O924" s="423"/>
      <c r="P924" s="423"/>
      <c r="Q924" s="423"/>
      <c r="R924" s="423"/>
      <c r="S924" s="423"/>
      <c r="T924" s="423"/>
      <c r="U924" s="423"/>
      <c r="V924" s="423"/>
      <c r="W924" s="423"/>
      <c r="X924" s="423"/>
      <c r="Y924" s="423"/>
      <c r="Z924" s="423"/>
      <c r="AA924" s="423"/>
      <c r="AB924" s="423"/>
      <c r="AC924" s="423"/>
      <c r="AD924" s="423"/>
      <c r="AE924" s="423"/>
      <c r="AF924" s="423"/>
      <c r="AG924" s="423"/>
      <c r="AH924" s="423"/>
      <c r="AI924" s="423"/>
    </row>
    <row r="925">
      <c r="A925" s="419"/>
      <c r="B925" s="419"/>
      <c r="C925" s="419"/>
      <c r="D925" s="419"/>
      <c r="E925" s="387"/>
      <c r="F925" s="387"/>
      <c r="G925" s="423"/>
      <c r="H925" s="423"/>
      <c r="I925" s="423"/>
      <c r="J925" s="423"/>
      <c r="K925" s="423"/>
      <c r="L925" s="423"/>
      <c r="M925" s="423"/>
      <c r="N925" s="423"/>
      <c r="O925" s="423"/>
      <c r="P925" s="423"/>
      <c r="Q925" s="423"/>
      <c r="R925" s="423"/>
      <c r="S925" s="423"/>
      <c r="T925" s="423"/>
      <c r="U925" s="423"/>
      <c r="V925" s="423"/>
      <c r="W925" s="423"/>
      <c r="X925" s="423"/>
      <c r="Y925" s="423"/>
      <c r="Z925" s="423"/>
      <c r="AA925" s="423"/>
      <c r="AB925" s="423"/>
      <c r="AC925" s="423"/>
      <c r="AD925" s="423"/>
      <c r="AE925" s="423"/>
      <c r="AF925" s="423"/>
      <c r="AG925" s="423"/>
      <c r="AH925" s="423"/>
      <c r="AI925" s="423"/>
    </row>
    <row r="926">
      <c r="A926" s="419"/>
      <c r="B926" s="419"/>
      <c r="C926" s="419"/>
      <c r="D926" s="419"/>
      <c r="E926" s="387"/>
      <c r="F926" s="387"/>
      <c r="G926" s="423"/>
      <c r="H926" s="423"/>
      <c r="I926" s="423"/>
      <c r="J926" s="423"/>
      <c r="K926" s="423"/>
      <c r="L926" s="423"/>
      <c r="M926" s="423"/>
      <c r="N926" s="423"/>
      <c r="O926" s="423"/>
      <c r="P926" s="423"/>
      <c r="Q926" s="423"/>
      <c r="R926" s="423"/>
      <c r="S926" s="423"/>
      <c r="T926" s="423"/>
      <c r="U926" s="423"/>
      <c r="V926" s="423"/>
      <c r="W926" s="423"/>
      <c r="X926" s="423"/>
      <c r="Y926" s="423"/>
      <c r="Z926" s="423"/>
      <c r="AA926" s="423"/>
      <c r="AB926" s="423"/>
      <c r="AC926" s="423"/>
      <c r="AD926" s="423"/>
      <c r="AE926" s="423"/>
      <c r="AF926" s="423"/>
      <c r="AG926" s="423"/>
      <c r="AH926" s="423"/>
      <c r="AI926" s="423"/>
    </row>
    <row r="927">
      <c r="A927" s="419"/>
      <c r="B927" s="419"/>
      <c r="C927" s="419"/>
      <c r="D927" s="419"/>
      <c r="E927" s="387"/>
      <c r="F927" s="387"/>
      <c r="G927" s="423"/>
      <c r="H927" s="423"/>
      <c r="I927" s="423"/>
      <c r="J927" s="423"/>
      <c r="K927" s="423"/>
      <c r="L927" s="423"/>
      <c r="M927" s="423"/>
      <c r="N927" s="423"/>
      <c r="O927" s="423"/>
      <c r="P927" s="423"/>
      <c r="Q927" s="423"/>
      <c r="R927" s="423"/>
      <c r="S927" s="423"/>
      <c r="T927" s="423"/>
      <c r="U927" s="423"/>
      <c r="V927" s="423"/>
      <c r="W927" s="423"/>
      <c r="X927" s="423"/>
      <c r="Y927" s="423"/>
      <c r="Z927" s="423"/>
      <c r="AA927" s="423"/>
      <c r="AB927" s="423"/>
      <c r="AC927" s="423"/>
      <c r="AD927" s="423"/>
      <c r="AE927" s="423"/>
      <c r="AF927" s="423"/>
      <c r="AG927" s="423"/>
      <c r="AH927" s="423"/>
      <c r="AI927" s="423"/>
    </row>
    <row r="928">
      <c r="A928" s="419"/>
      <c r="B928" s="419"/>
      <c r="C928" s="419"/>
      <c r="D928" s="419"/>
      <c r="E928" s="387"/>
      <c r="F928" s="387"/>
      <c r="G928" s="423"/>
      <c r="H928" s="423"/>
      <c r="I928" s="423"/>
      <c r="J928" s="423"/>
      <c r="K928" s="423"/>
      <c r="L928" s="423"/>
      <c r="M928" s="423"/>
      <c r="N928" s="423"/>
      <c r="O928" s="423"/>
      <c r="P928" s="423"/>
      <c r="Q928" s="423"/>
      <c r="R928" s="423"/>
      <c r="S928" s="423"/>
      <c r="T928" s="423"/>
      <c r="U928" s="423"/>
      <c r="V928" s="423"/>
      <c r="W928" s="423"/>
      <c r="X928" s="423"/>
      <c r="Y928" s="423"/>
      <c r="Z928" s="423"/>
      <c r="AA928" s="423"/>
      <c r="AB928" s="423"/>
      <c r="AC928" s="423"/>
      <c r="AD928" s="423"/>
      <c r="AE928" s="423"/>
      <c r="AF928" s="423"/>
      <c r="AG928" s="423"/>
      <c r="AH928" s="423"/>
      <c r="AI928" s="423"/>
    </row>
    <row r="929">
      <c r="A929" s="419"/>
      <c r="B929" s="419"/>
      <c r="C929" s="419"/>
      <c r="D929" s="419"/>
      <c r="E929" s="387"/>
      <c r="F929" s="387"/>
      <c r="G929" s="423"/>
      <c r="H929" s="423"/>
      <c r="I929" s="423"/>
      <c r="J929" s="423"/>
      <c r="K929" s="423"/>
      <c r="L929" s="423"/>
      <c r="M929" s="423"/>
      <c r="N929" s="423"/>
      <c r="O929" s="423"/>
      <c r="P929" s="423"/>
      <c r="Q929" s="423"/>
      <c r="R929" s="423"/>
      <c r="S929" s="423"/>
      <c r="T929" s="423"/>
      <c r="U929" s="423"/>
      <c r="V929" s="423"/>
      <c r="W929" s="423"/>
      <c r="X929" s="423"/>
      <c r="Y929" s="423"/>
      <c r="Z929" s="423"/>
      <c r="AA929" s="423"/>
      <c r="AB929" s="423"/>
      <c r="AC929" s="423"/>
      <c r="AD929" s="423"/>
      <c r="AE929" s="423"/>
      <c r="AF929" s="423"/>
      <c r="AG929" s="423"/>
      <c r="AH929" s="423"/>
      <c r="AI929" s="423"/>
    </row>
    <row r="930">
      <c r="A930" s="419"/>
      <c r="B930" s="419"/>
      <c r="C930" s="419"/>
      <c r="D930" s="419"/>
      <c r="E930" s="387"/>
      <c r="F930" s="387"/>
      <c r="G930" s="423"/>
      <c r="H930" s="423"/>
      <c r="I930" s="423"/>
      <c r="J930" s="423"/>
      <c r="K930" s="423"/>
      <c r="L930" s="423"/>
      <c r="M930" s="423"/>
      <c r="N930" s="423"/>
      <c r="O930" s="423"/>
      <c r="P930" s="423"/>
      <c r="Q930" s="423"/>
      <c r="R930" s="423"/>
      <c r="S930" s="423"/>
      <c r="T930" s="423"/>
      <c r="U930" s="423"/>
      <c r="V930" s="423"/>
      <c r="W930" s="423"/>
      <c r="X930" s="423"/>
      <c r="Y930" s="423"/>
      <c r="Z930" s="423"/>
      <c r="AA930" s="423"/>
      <c r="AB930" s="423"/>
      <c r="AC930" s="423"/>
      <c r="AD930" s="423"/>
      <c r="AE930" s="423"/>
      <c r="AF930" s="423"/>
      <c r="AG930" s="423"/>
      <c r="AH930" s="423"/>
      <c r="AI930" s="423"/>
    </row>
    <row r="931">
      <c r="A931" s="419"/>
      <c r="B931" s="419"/>
      <c r="C931" s="419"/>
      <c r="D931" s="419"/>
      <c r="E931" s="387"/>
      <c r="F931" s="387"/>
      <c r="G931" s="423"/>
      <c r="H931" s="423"/>
      <c r="I931" s="423"/>
      <c r="J931" s="423"/>
      <c r="K931" s="423"/>
      <c r="L931" s="423"/>
      <c r="M931" s="423"/>
      <c r="N931" s="423"/>
      <c r="O931" s="423"/>
      <c r="P931" s="423"/>
      <c r="Q931" s="423"/>
      <c r="R931" s="423"/>
      <c r="S931" s="423"/>
      <c r="T931" s="423"/>
      <c r="U931" s="423"/>
      <c r="V931" s="423"/>
      <c r="W931" s="423"/>
      <c r="X931" s="423"/>
      <c r="Y931" s="423"/>
      <c r="Z931" s="423"/>
      <c r="AA931" s="423"/>
      <c r="AB931" s="423"/>
      <c r="AC931" s="423"/>
      <c r="AD931" s="423"/>
      <c r="AE931" s="423"/>
      <c r="AF931" s="423"/>
      <c r="AG931" s="423"/>
      <c r="AH931" s="423"/>
      <c r="AI931" s="423"/>
    </row>
    <row r="932">
      <c r="A932" s="419"/>
      <c r="B932" s="419"/>
      <c r="C932" s="419"/>
      <c r="D932" s="419"/>
      <c r="E932" s="387"/>
      <c r="F932" s="387"/>
      <c r="G932" s="423"/>
      <c r="H932" s="423"/>
      <c r="I932" s="423"/>
      <c r="J932" s="423"/>
      <c r="K932" s="423"/>
      <c r="L932" s="423"/>
      <c r="M932" s="423"/>
      <c r="N932" s="423"/>
      <c r="O932" s="423"/>
      <c r="P932" s="423"/>
      <c r="Q932" s="423"/>
      <c r="R932" s="423"/>
      <c r="S932" s="423"/>
      <c r="T932" s="423"/>
      <c r="U932" s="423"/>
      <c r="V932" s="423"/>
      <c r="W932" s="423"/>
      <c r="X932" s="423"/>
      <c r="Y932" s="423"/>
      <c r="Z932" s="423"/>
      <c r="AA932" s="423"/>
      <c r="AB932" s="423"/>
      <c r="AC932" s="423"/>
      <c r="AD932" s="423"/>
      <c r="AE932" s="423"/>
      <c r="AF932" s="423"/>
      <c r="AG932" s="423"/>
      <c r="AH932" s="423"/>
      <c r="AI932" s="423"/>
    </row>
    <row r="933">
      <c r="A933" s="419"/>
      <c r="B933" s="419"/>
      <c r="C933" s="419"/>
      <c r="D933" s="419"/>
      <c r="E933" s="387"/>
      <c r="F933" s="387"/>
      <c r="G933" s="423"/>
      <c r="H933" s="423"/>
      <c r="I933" s="423"/>
      <c r="J933" s="423"/>
      <c r="K933" s="423"/>
      <c r="L933" s="423"/>
      <c r="M933" s="423"/>
      <c r="N933" s="423"/>
      <c r="O933" s="423"/>
      <c r="P933" s="423"/>
      <c r="Q933" s="423"/>
      <c r="R933" s="423"/>
      <c r="S933" s="423"/>
      <c r="T933" s="423"/>
      <c r="U933" s="423"/>
      <c r="V933" s="423"/>
      <c r="W933" s="423"/>
      <c r="X933" s="423"/>
      <c r="Y933" s="423"/>
      <c r="Z933" s="423"/>
      <c r="AA933" s="423"/>
      <c r="AB933" s="423"/>
      <c r="AC933" s="423"/>
      <c r="AD933" s="423"/>
      <c r="AE933" s="423"/>
      <c r="AF933" s="423"/>
      <c r="AG933" s="423"/>
      <c r="AH933" s="423"/>
      <c r="AI933" s="423"/>
    </row>
    <row r="934">
      <c r="A934" s="419"/>
      <c r="B934" s="419"/>
      <c r="C934" s="419"/>
      <c r="D934" s="419"/>
      <c r="E934" s="387"/>
      <c r="F934" s="387"/>
      <c r="G934" s="423"/>
      <c r="H934" s="423"/>
      <c r="I934" s="423"/>
      <c r="J934" s="423"/>
      <c r="K934" s="423"/>
      <c r="L934" s="423"/>
      <c r="M934" s="423"/>
      <c r="N934" s="423"/>
      <c r="O934" s="423"/>
      <c r="P934" s="423"/>
      <c r="Q934" s="423"/>
      <c r="R934" s="423"/>
      <c r="S934" s="423"/>
      <c r="T934" s="423"/>
      <c r="U934" s="423"/>
      <c r="V934" s="423"/>
      <c r="W934" s="423"/>
      <c r="X934" s="423"/>
      <c r="Y934" s="423"/>
      <c r="Z934" s="423"/>
      <c r="AA934" s="423"/>
      <c r="AB934" s="423"/>
      <c r="AC934" s="423"/>
      <c r="AD934" s="423"/>
      <c r="AE934" s="423"/>
      <c r="AF934" s="423"/>
      <c r="AG934" s="423"/>
      <c r="AH934" s="423"/>
      <c r="AI934" s="423"/>
    </row>
    <row r="935">
      <c r="A935" s="419"/>
      <c r="B935" s="419"/>
      <c r="C935" s="419"/>
      <c r="D935" s="419"/>
      <c r="E935" s="387"/>
      <c r="F935" s="387"/>
      <c r="G935" s="423"/>
      <c r="H935" s="423"/>
      <c r="I935" s="423"/>
      <c r="J935" s="423"/>
      <c r="K935" s="423"/>
      <c r="L935" s="423"/>
      <c r="M935" s="423"/>
      <c r="N935" s="423"/>
      <c r="O935" s="423"/>
      <c r="P935" s="423"/>
      <c r="Q935" s="423"/>
      <c r="R935" s="423"/>
      <c r="S935" s="423"/>
      <c r="T935" s="423"/>
      <c r="U935" s="423"/>
      <c r="V935" s="423"/>
      <c r="W935" s="423"/>
      <c r="X935" s="423"/>
      <c r="Y935" s="423"/>
      <c r="Z935" s="423"/>
      <c r="AA935" s="423"/>
      <c r="AB935" s="423"/>
      <c r="AC935" s="423"/>
      <c r="AD935" s="423"/>
      <c r="AE935" s="423"/>
      <c r="AF935" s="423"/>
      <c r="AG935" s="423"/>
      <c r="AH935" s="423"/>
      <c r="AI935" s="423"/>
    </row>
    <row r="936">
      <c r="A936" s="419"/>
      <c r="B936" s="419"/>
      <c r="C936" s="419"/>
      <c r="D936" s="419"/>
      <c r="E936" s="387"/>
      <c r="F936" s="387"/>
      <c r="G936" s="423"/>
      <c r="H936" s="423"/>
      <c r="I936" s="423"/>
      <c r="J936" s="423"/>
      <c r="K936" s="423"/>
      <c r="L936" s="423"/>
      <c r="M936" s="423"/>
      <c r="N936" s="423"/>
      <c r="O936" s="423"/>
      <c r="P936" s="423"/>
      <c r="Q936" s="423"/>
      <c r="R936" s="423"/>
      <c r="S936" s="423"/>
      <c r="T936" s="423"/>
      <c r="U936" s="423"/>
      <c r="V936" s="423"/>
      <c r="W936" s="423"/>
      <c r="X936" s="423"/>
      <c r="Y936" s="423"/>
      <c r="Z936" s="423"/>
      <c r="AA936" s="423"/>
      <c r="AB936" s="423"/>
      <c r="AC936" s="423"/>
      <c r="AD936" s="423"/>
      <c r="AE936" s="423"/>
      <c r="AF936" s="423"/>
      <c r="AG936" s="423"/>
      <c r="AH936" s="423"/>
      <c r="AI936" s="423"/>
    </row>
    <row r="937">
      <c r="A937" s="419"/>
      <c r="B937" s="419"/>
      <c r="C937" s="419"/>
      <c r="D937" s="419"/>
      <c r="E937" s="387"/>
      <c r="F937" s="387"/>
      <c r="G937" s="423"/>
      <c r="H937" s="423"/>
      <c r="I937" s="423"/>
      <c r="J937" s="423"/>
      <c r="K937" s="423"/>
      <c r="L937" s="423"/>
      <c r="M937" s="423"/>
      <c r="N937" s="423"/>
      <c r="O937" s="423"/>
      <c r="P937" s="423"/>
      <c r="Q937" s="423"/>
      <c r="R937" s="423"/>
      <c r="S937" s="423"/>
      <c r="T937" s="423"/>
      <c r="U937" s="423"/>
      <c r="V937" s="423"/>
      <c r="W937" s="423"/>
      <c r="X937" s="423"/>
      <c r="Y937" s="423"/>
      <c r="Z937" s="423"/>
      <c r="AA937" s="423"/>
      <c r="AB937" s="423"/>
      <c r="AC937" s="423"/>
      <c r="AD937" s="423"/>
      <c r="AE937" s="423"/>
      <c r="AF937" s="423"/>
      <c r="AG937" s="423"/>
      <c r="AH937" s="423"/>
      <c r="AI937" s="423"/>
    </row>
    <row r="938">
      <c r="A938" s="419"/>
      <c r="B938" s="419"/>
      <c r="C938" s="419"/>
      <c r="D938" s="419"/>
      <c r="E938" s="387"/>
      <c r="F938" s="387"/>
      <c r="G938" s="423"/>
      <c r="H938" s="423"/>
      <c r="I938" s="423"/>
      <c r="J938" s="423"/>
      <c r="K938" s="423"/>
      <c r="L938" s="423"/>
      <c r="M938" s="423"/>
      <c r="N938" s="423"/>
      <c r="O938" s="423"/>
      <c r="P938" s="423"/>
      <c r="Q938" s="423"/>
      <c r="R938" s="423"/>
      <c r="S938" s="423"/>
      <c r="T938" s="423"/>
      <c r="U938" s="423"/>
      <c r="V938" s="423"/>
      <c r="W938" s="423"/>
      <c r="X938" s="423"/>
      <c r="Y938" s="423"/>
      <c r="Z938" s="423"/>
      <c r="AA938" s="423"/>
      <c r="AB938" s="423"/>
      <c r="AC938" s="423"/>
      <c r="AD938" s="423"/>
      <c r="AE938" s="423"/>
      <c r="AF938" s="423"/>
      <c r="AG938" s="423"/>
      <c r="AH938" s="423"/>
      <c r="AI938" s="423"/>
    </row>
    <row r="939">
      <c r="A939" s="419"/>
      <c r="B939" s="419"/>
      <c r="C939" s="419"/>
      <c r="D939" s="419"/>
      <c r="E939" s="387"/>
      <c r="F939" s="387"/>
      <c r="G939" s="423"/>
      <c r="H939" s="423"/>
      <c r="I939" s="423"/>
      <c r="J939" s="423"/>
      <c r="K939" s="423"/>
      <c r="L939" s="423"/>
      <c r="M939" s="423"/>
      <c r="N939" s="423"/>
      <c r="O939" s="423"/>
      <c r="P939" s="423"/>
      <c r="Q939" s="423"/>
      <c r="R939" s="423"/>
      <c r="S939" s="423"/>
      <c r="T939" s="423"/>
      <c r="U939" s="423"/>
      <c r="V939" s="423"/>
      <c r="W939" s="423"/>
      <c r="X939" s="423"/>
      <c r="Y939" s="423"/>
      <c r="Z939" s="423"/>
      <c r="AA939" s="423"/>
      <c r="AB939" s="423"/>
      <c r="AC939" s="423"/>
      <c r="AD939" s="423"/>
      <c r="AE939" s="423"/>
      <c r="AF939" s="423"/>
      <c r="AG939" s="423"/>
      <c r="AH939" s="423"/>
      <c r="AI939" s="423"/>
    </row>
    <row r="940">
      <c r="A940" s="419"/>
      <c r="B940" s="419"/>
      <c r="C940" s="419"/>
      <c r="D940" s="419"/>
      <c r="E940" s="387"/>
      <c r="F940" s="387"/>
      <c r="G940" s="423"/>
      <c r="H940" s="423"/>
      <c r="I940" s="423"/>
      <c r="J940" s="423"/>
      <c r="K940" s="423"/>
      <c r="L940" s="423"/>
      <c r="M940" s="423"/>
      <c r="N940" s="423"/>
      <c r="O940" s="423"/>
      <c r="P940" s="423"/>
      <c r="Q940" s="423"/>
      <c r="R940" s="423"/>
      <c r="S940" s="423"/>
      <c r="T940" s="423"/>
      <c r="U940" s="423"/>
      <c r="V940" s="423"/>
      <c r="W940" s="423"/>
      <c r="X940" s="423"/>
      <c r="Y940" s="423"/>
      <c r="Z940" s="423"/>
      <c r="AA940" s="423"/>
      <c r="AB940" s="423"/>
      <c r="AC940" s="423"/>
      <c r="AD940" s="423"/>
      <c r="AE940" s="423"/>
      <c r="AF940" s="423"/>
      <c r="AG940" s="423"/>
      <c r="AH940" s="423"/>
      <c r="AI940" s="423"/>
    </row>
    <row r="941">
      <c r="A941" s="419"/>
      <c r="B941" s="419"/>
      <c r="C941" s="419"/>
      <c r="D941" s="419"/>
      <c r="E941" s="387"/>
      <c r="F941" s="387"/>
      <c r="G941" s="423"/>
      <c r="H941" s="423"/>
      <c r="I941" s="423"/>
      <c r="J941" s="423"/>
      <c r="K941" s="423"/>
      <c r="L941" s="423"/>
      <c r="M941" s="423"/>
      <c r="N941" s="423"/>
      <c r="O941" s="423"/>
      <c r="P941" s="423"/>
      <c r="Q941" s="423"/>
      <c r="R941" s="423"/>
      <c r="S941" s="423"/>
      <c r="T941" s="423"/>
      <c r="U941" s="423"/>
      <c r="V941" s="423"/>
      <c r="W941" s="423"/>
      <c r="X941" s="423"/>
      <c r="Y941" s="423"/>
      <c r="Z941" s="423"/>
      <c r="AA941" s="423"/>
      <c r="AB941" s="423"/>
      <c r="AC941" s="423"/>
      <c r="AD941" s="423"/>
      <c r="AE941" s="423"/>
      <c r="AF941" s="423"/>
      <c r="AG941" s="423"/>
      <c r="AH941" s="423"/>
      <c r="AI941" s="423"/>
    </row>
    <row r="942">
      <c r="A942" s="419"/>
      <c r="B942" s="419"/>
      <c r="C942" s="419"/>
      <c r="D942" s="419"/>
      <c r="E942" s="387"/>
      <c r="F942" s="387"/>
      <c r="G942" s="423"/>
      <c r="H942" s="423"/>
      <c r="I942" s="423"/>
      <c r="J942" s="423"/>
      <c r="K942" s="423"/>
      <c r="L942" s="423"/>
      <c r="M942" s="423"/>
      <c r="N942" s="423"/>
      <c r="O942" s="423"/>
      <c r="P942" s="423"/>
      <c r="Q942" s="423"/>
      <c r="R942" s="423"/>
      <c r="S942" s="423"/>
      <c r="T942" s="423"/>
      <c r="U942" s="423"/>
      <c r="V942" s="423"/>
      <c r="W942" s="423"/>
      <c r="X942" s="423"/>
      <c r="Y942" s="423"/>
      <c r="Z942" s="423"/>
      <c r="AA942" s="423"/>
      <c r="AB942" s="423"/>
      <c r="AC942" s="423"/>
      <c r="AD942" s="423"/>
      <c r="AE942" s="423"/>
      <c r="AF942" s="423"/>
      <c r="AG942" s="423"/>
      <c r="AH942" s="423"/>
      <c r="AI942" s="423"/>
    </row>
    <row r="943">
      <c r="A943" s="419"/>
      <c r="B943" s="419"/>
      <c r="C943" s="419"/>
      <c r="D943" s="419"/>
      <c r="E943" s="387"/>
      <c r="F943" s="387"/>
      <c r="G943" s="423"/>
      <c r="H943" s="423"/>
      <c r="I943" s="423"/>
      <c r="J943" s="423"/>
      <c r="K943" s="423"/>
      <c r="L943" s="423"/>
      <c r="M943" s="423"/>
      <c r="N943" s="423"/>
      <c r="O943" s="423"/>
      <c r="P943" s="423"/>
      <c r="Q943" s="423"/>
      <c r="R943" s="423"/>
      <c r="S943" s="423"/>
      <c r="T943" s="423"/>
      <c r="U943" s="423"/>
      <c r="V943" s="423"/>
      <c r="W943" s="423"/>
      <c r="X943" s="423"/>
      <c r="Y943" s="423"/>
      <c r="Z943" s="423"/>
      <c r="AA943" s="423"/>
      <c r="AB943" s="423"/>
      <c r="AC943" s="423"/>
      <c r="AD943" s="423"/>
      <c r="AE943" s="423"/>
      <c r="AF943" s="423"/>
      <c r="AG943" s="423"/>
      <c r="AH943" s="423"/>
      <c r="AI943" s="423"/>
    </row>
    <row r="944">
      <c r="A944" s="419"/>
      <c r="B944" s="419"/>
      <c r="C944" s="419"/>
      <c r="D944" s="419"/>
      <c r="E944" s="387"/>
      <c r="F944" s="387"/>
      <c r="G944" s="423"/>
      <c r="H944" s="423"/>
      <c r="I944" s="423"/>
      <c r="J944" s="423"/>
      <c r="K944" s="423"/>
      <c r="L944" s="423"/>
      <c r="M944" s="423"/>
      <c r="N944" s="423"/>
      <c r="O944" s="423"/>
      <c r="P944" s="423"/>
      <c r="Q944" s="423"/>
      <c r="R944" s="423"/>
      <c r="S944" s="423"/>
      <c r="T944" s="423"/>
      <c r="U944" s="423"/>
      <c r="V944" s="423"/>
      <c r="W944" s="423"/>
      <c r="X944" s="423"/>
      <c r="Y944" s="423"/>
      <c r="Z944" s="423"/>
      <c r="AA944" s="423"/>
      <c r="AB944" s="423"/>
      <c r="AC944" s="423"/>
      <c r="AD944" s="423"/>
      <c r="AE944" s="423"/>
      <c r="AF944" s="423"/>
      <c r="AG944" s="423"/>
      <c r="AH944" s="423"/>
      <c r="AI944" s="423"/>
    </row>
    <row r="945">
      <c r="A945" s="419"/>
      <c r="B945" s="419"/>
      <c r="C945" s="419"/>
      <c r="D945" s="419"/>
      <c r="E945" s="387"/>
      <c r="F945" s="387"/>
      <c r="G945" s="423"/>
      <c r="H945" s="423"/>
      <c r="I945" s="423"/>
      <c r="J945" s="423"/>
      <c r="K945" s="423"/>
      <c r="L945" s="423"/>
      <c r="M945" s="423"/>
      <c r="N945" s="423"/>
      <c r="O945" s="423"/>
      <c r="P945" s="423"/>
      <c r="Q945" s="423"/>
      <c r="R945" s="423"/>
      <c r="S945" s="423"/>
      <c r="T945" s="423"/>
      <c r="U945" s="423"/>
      <c r="V945" s="423"/>
      <c r="W945" s="423"/>
      <c r="X945" s="423"/>
      <c r="Y945" s="423"/>
      <c r="Z945" s="423"/>
      <c r="AA945" s="423"/>
      <c r="AB945" s="423"/>
      <c r="AC945" s="423"/>
      <c r="AD945" s="423"/>
      <c r="AE945" s="423"/>
      <c r="AF945" s="423"/>
      <c r="AG945" s="423"/>
      <c r="AH945" s="423"/>
      <c r="AI945" s="423"/>
    </row>
    <row r="946">
      <c r="A946" s="419"/>
      <c r="B946" s="419"/>
      <c r="C946" s="419"/>
      <c r="D946" s="419"/>
      <c r="E946" s="387"/>
      <c r="F946" s="387"/>
      <c r="G946" s="423"/>
      <c r="H946" s="423"/>
      <c r="I946" s="423"/>
      <c r="J946" s="423"/>
      <c r="K946" s="423"/>
      <c r="L946" s="423"/>
      <c r="M946" s="423"/>
      <c r="N946" s="423"/>
      <c r="O946" s="423"/>
      <c r="P946" s="423"/>
      <c r="Q946" s="423"/>
      <c r="R946" s="423"/>
      <c r="S946" s="423"/>
      <c r="T946" s="423"/>
      <c r="U946" s="423"/>
      <c r="V946" s="423"/>
      <c r="W946" s="423"/>
      <c r="X946" s="423"/>
      <c r="Y946" s="423"/>
      <c r="Z946" s="423"/>
      <c r="AA946" s="423"/>
      <c r="AB946" s="423"/>
      <c r="AC946" s="423"/>
      <c r="AD946" s="423"/>
      <c r="AE946" s="423"/>
      <c r="AF946" s="423"/>
      <c r="AG946" s="423"/>
      <c r="AH946" s="423"/>
      <c r="AI946" s="423"/>
    </row>
    <row r="947">
      <c r="A947" s="419"/>
      <c r="B947" s="419"/>
      <c r="C947" s="419"/>
      <c r="D947" s="419"/>
      <c r="E947" s="387"/>
      <c r="F947" s="387"/>
      <c r="G947" s="423"/>
      <c r="H947" s="423"/>
      <c r="I947" s="423"/>
      <c r="J947" s="423"/>
      <c r="K947" s="423"/>
      <c r="L947" s="423"/>
      <c r="M947" s="423"/>
      <c r="N947" s="423"/>
      <c r="O947" s="423"/>
      <c r="P947" s="423"/>
      <c r="Q947" s="423"/>
      <c r="R947" s="423"/>
      <c r="S947" s="423"/>
      <c r="T947" s="423"/>
      <c r="U947" s="423"/>
      <c r="V947" s="423"/>
      <c r="W947" s="423"/>
      <c r="X947" s="423"/>
      <c r="Y947" s="423"/>
      <c r="Z947" s="423"/>
      <c r="AA947" s="423"/>
      <c r="AB947" s="423"/>
      <c r="AC947" s="423"/>
      <c r="AD947" s="423"/>
      <c r="AE947" s="423"/>
      <c r="AF947" s="423"/>
      <c r="AG947" s="423"/>
      <c r="AH947" s="423"/>
      <c r="AI947" s="423"/>
    </row>
    <row r="948">
      <c r="A948" s="419"/>
      <c r="B948" s="419"/>
      <c r="C948" s="419"/>
      <c r="D948" s="419"/>
      <c r="E948" s="387"/>
      <c r="F948" s="387"/>
      <c r="G948" s="423"/>
      <c r="H948" s="423"/>
      <c r="I948" s="423"/>
      <c r="J948" s="423"/>
      <c r="K948" s="423"/>
      <c r="L948" s="423"/>
      <c r="M948" s="423"/>
      <c r="N948" s="423"/>
      <c r="O948" s="423"/>
      <c r="P948" s="423"/>
      <c r="Q948" s="423"/>
      <c r="R948" s="423"/>
      <c r="S948" s="423"/>
      <c r="T948" s="423"/>
      <c r="U948" s="423"/>
      <c r="V948" s="423"/>
      <c r="W948" s="423"/>
      <c r="X948" s="423"/>
      <c r="Y948" s="423"/>
      <c r="Z948" s="423"/>
      <c r="AA948" s="423"/>
      <c r="AB948" s="423"/>
      <c r="AC948" s="423"/>
      <c r="AD948" s="423"/>
      <c r="AE948" s="423"/>
      <c r="AF948" s="423"/>
      <c r="AG948" s="423"/>
      <c r="AH948" s="423"/>
      <c r="AI948" s="423"/>
    </row>
    <row r="949">
      <c r="A949" s="419"/>
      <c r="B949" s="419"/>
      <c r="C949" s="419"/>
      <c r="D949" s="419"/>
      <c r="E949" s="387"/>
      <c r="F949" s="387"/>
      <c r="G949" s="423"/>
      <c r="H949" s="423"/>
      <c r="I949" s="423"/>
      <c r="J949" s="423"/>
      <c r="K949" s="423"/>
      <c r="L949" s="423"/>
      <c r="M949" s="423"/>
      <c r="N949" s="423"/>
      <c r="O949" s="423"/>
      <c r="P949" s="423"/>
      <c r="Q949" s="423"/>
      <c r="R949" s="423"/>
      <c r="S949" s="423"/>
      <c r="T949" s="423"/>
      <c r="U949" s="423"/>
      <c r="V949" s="423"/>
      <c r="W949" s="423"/>
      <c r="X949" s="423"/>
      <c r="Y949" s="423"/>
      <c r="Z949" s="423"/>
      <c r="AA949" s="423"/>
      <c r="AB949" s="423"/>
      <c r="AC949" s="423"/>
      <c r="AD949" s="423"/>
      <c r="AE949" s="423"/>
      <c r="AF949" s="423"/>
      <c r="AG949" s="423"/>
      <c r="AH949" s="423"/>
      <c r="AI949" s="423"/>
    </row>
    <row r="950">
      <c r="A950" s="419"/>
      <c r="B950" s="419"/>
      <c r="C950" s="419"/>
      <c r="D950" s="419"/>
      <c r="E950" s="387"/>
      <c r="F950" s="387"/>
      <c r="G950" s="423"/>
      <c r="H950" s="423"/>
      <c r="I950" s="423"/>
      <c r="J950" s="423"/>
      <c r="K950" s="423"/>
      <c r="L950" s="423"/>
      <c r="M950" s="423"/>
      <c r="N950" s="423"/>
      <c r="O950" s="423"/>
      <c r="P950" s="423"/>
      <c r="Q950" s="423"/>
      <c r="R950" s="423"/>
      <c r="S950" s="423"/>
      <c r="T950" s="423"/>
      <c r="U950" s="423"/>
      <c r="V950" s="423"/>
      <c r="W950" s="423"/>
      <c r="X950" s="423"/>
      <c r="Y950" s="423"/>
      <c r="Z950" s="423"/>
      <c r="AA950" s="423"/>
      <c r="AB950" s="423"/>
      <c r="AC950" s="423"/>
      <c r="AD950" s="423"/>
      <c r="AE950" s="423"/>
      <c r="AF950" s="423"/>
      <c r="AG950" s="423"/>
      <c r="AH950" s="423"/>
      <c r="AI950" s="423"/>
    </row>
    <row r="951">
      <c r="A951" s="419"/>
      <c r="B951" s="419"/>
      <c r="C951" s="419"/>
      <c r="D951" s="419"/>
      <c r="E951" s="387"/>
      <c r="F951" s="387"/>
      <c r="G951" s="423"/>
      <c r="H951" s="423"/>
      <c r="I951" s="423"/>
      <c r="J951" s="423"/>
      <c r="K951" s="423"/>
      <c r="L951" s="423"/>
      <c r="M951" s="423"/>
      <c r="N951" s="423"/>
      <c r="O951" s="423"/>
      <c r="P951" s="423"/>
      <c r="Q951" s="423"/>
      <c r="R951" s="423"/>
      <c r="S951" s="423"/>
      <c r="T951" s="423"/>
      <c r="U951" s="423"/>
      <c r="V951" s="423"/>
      <c r="W951" s="423"/>
      <c r="X951" s="423"/>
      <c r="Y951" s="423"/>
      <c r="Z951" s="423"/>
      <c r="AA951" s="423"/>
      <c r="AB951" s="423"/>
      <c r="AC951" s="423"/>
      <c r="AD951" s="423"/>
      <c r="AE951" s="423"/>
      <c r="AF951" s="423"/>
      <c r="AG951" s="423"/>
      <c r="AH951" s="423"/>
      <c r="AI951" s="423"/>
    </row>
    <row r="952">
      <c r="A952" s="419"/>
      <c r="B952" s="419"/>
      <c r="C952" s="419"/>
      <c r="D952" s="419"/>
      <c r="E952" s="387"/>
      <c r="F952" s="387"/>
      <c r="G952" s="423"/>
      <c r="H952" s="423"/>
      <c r="I952" s="423"/>
      <c r="J952" s="423"/>
      <c r="K952" s="423"/>
      <c r="L952" s="423"/>
      <c r="M952" s="423"/>
      <c r="N952" s="423"/>
      <c r="O952" s="423"/>
      <c r="P952" s="423"/>
      <c r="Q952" s="423"/>
      <c r="R952" s="423"/>
      <c r="S952" s="423"/>
      <c r="T952" s="423"/>
      <c r="U952" s="423"/>
      <c r="V952" s="423"/>
      <c r="W952" s="423"/>
      <c r="X952" s="423"/>
      <c r="Y952" s="423"/>
      <c r="Z952" s="423"/>
      <c r="AA952" s="423"/>
      <c r="AB952" s="423"/>
      <c r="AC952" s="423"/>
      <c r="AD952" s="423"/>
      <c r="AE952" s="423"/>
      <c r="AF952" s="423"/>
      <c r="AG952" s="423"/>
      <c r="AH952" s="423"/>
      <c r="AI952" s="423"/>
    </row>
    <row r="953">
      <c r="A953" s="419"/>
      <c r="B953" s="419"/>
      <c r="C953" s="419"/>
      <c r="D953" s="419"/>
      <c r="E953" s="387"/>
      <c r="F953" s="387"/>
      <c r="G953" s="423"/>
      <c r="H953" s="423"/>
      <c r="I953" s="423"/>
      <c r="J953" s="423"/>
      <c r="K953" s="423"/>
      <c r="L953" s="423"/>
      <c r="M953" s="423"/>
      <c r="N953" s="423"/>
      <c r="O953" s="423"/>
      <c r="P953" s="423"/>
      <c r="Q953" s="423"/>
      <c r="R953" s="423"/>
      <c r="S953" s="423"/>
      <c r="T953" s="423"/>
      <c r="U953" s="423"/>
      <c r="V953" s="423"/>
      <c r="W953" s="423"/>
      <c r="X953" s="423"/>
      <c r="Y953" s="423"/>
      <c r="Z953" s="423"/>
      <c r="AA953" s="423"/>
      <c r="AB953" s="423"/>
      <c r="AC953" s="423"/>
      <c r="AD953" s="423"/>
      <c r="AE953" s="423"/>
      <c r="AF953" s="423"/>
      <c r="AG953" s="423"/>
      <c r="AH953" s="423"/>
      <c r="AI953" s="423"/>
    </row>
    <row r="954">
      <c r="A954" s="419"/>
      <c r="B954" s="419"/>
      <c r="C954" s="419"/>
      <c r="D954" s="419"/>
      <c r="E954" s="387"/>
      <c r="F954" s="387"/>
      <c r="G954" s="423"/>
      <c r="H954" s="423"/>
      <c r="I954" s="423"/>
      <c r="J954" s="423"/>
      <c r="K954" s="423"/>
      <c r="L954" s="423"/>
      <c r="M954" s="423"/>
      <c r="N954" s="423"/>
      <c r="O954" s="423"/>
      <c r="P954" s="423"/>
      <c r="Q954" s="423"/>
      <c r="R954" s="423"/>
      <c r="S954" s="423"/>
      <c r="T954" s="423"/>
      <c r="U954" s="423"/>
      <c r="V954" s="423"/>
      <c r="W954" s="423"/>
      <c r="X954" s="423"/>
      <c r="Y954" s="423"/>
      <c r="Z954" s="423"/>
      <c r="AA954" s="423"/>
      <c r="AB954" s="423"/>
      <c r="AC954" s="423"/>
      <c r="AD954" s="423"/>
      <c r="AE954" s="423"/>
      <c r="AF954" s="423"/>
      <c r="AG954" s="423"/>
      <c r="AH954" s="423"/>
      <c r="AI954" s="423"/>
    </row>
    <row r="955">
      <c r="A955" s="419"/>
      <c r="B955" s="419"/>
      <c r="C955" s="419"/>
      <c r="D955" s="419"/>
      <c r="E955" s="387"/>
      <c r="F955" s="387"/>
      <c r="G955" s="423"/>
      <c r="H955" s="423"/>
      <c r="I955" s="423"/>
      <c r="J955" s="423"/>
      <c r="K955" s="423"/>
      <c r="L955" s="423"/>
      <c r="M955" s="423"/>
      <c r="N955" s="423"/>
      <c r="O955" s="423"/>
      <c r="P955" s="423"/>
      <c r="Q955" s="423"/>
      <c r="R955" s="423"/>
      <c r="S955" s="423"/>
      <c r="T955" s="423"/>
      <c r="U955" s="423"/>
      <c r="V955" s="423"/>
      <c r="W955" s="423"/>
      <c r="X955" s="423"/>
      <c r="Y955" s="423"/>
      <c r="Z955" s="423"/>
      <c r="AA955" s="423"/>
      <c r="AB955" s="423"/>
      <c r="AC955" s="423"/>
      <c r="AD955" s="423"/>
      <c r="AE955" s="423"/>
      <c r="AF955" s="423"/>
      <c r="AG955" s="423"/>
      <c r="AH955" s="423"/>
      <c r="AI955" s="423"/>
    </row>
    <row r="956">
      <c r="A956" s="419"/>
      <c r="B956" s="419"/>
      <c r="C956" s="419"/>
      <c r="D956" s="419"/>
      <c r="E956" s="387"/>
      <c r="F956" s="387"/>
      <c r="G956" s="423"/>
      <c r="H956" s="423"/>
      <c r="I956" s="423"/>
      <c r="J956" s="423"/>
      <c r="K956" s="423"/>
      <c r="L956" s="423"/>
      <c r="M956" s="423"/>
      <c r="N956" s="423"/>
      <c r="O956" s="423"/>
      <c r="P956" s="423"/>
      <c r="Q956" s="423"/>
      <c r="R956" s="423"/>
      <c r="S956" s="423"/>
      <c r="T956" s="423"/>
      <c r="U956" s="423"/>
      <c r="V956" s="423"/>
      <c r="W956" s="423"/>
      <c r="X956" s="423"/>
      <c r="Y956" s="423"/>
      <c r="Z956" s="423"/>
      <c r="AA956" s="423"/>
      <c r="AB956" s="423"/>
      <c r="AC956" s="423"/>
      <c r="AD956" s="423"/>
      <c r="AE956" s="423"/>
      <c r="AF956" s="423"/>
      <c r="AG956" s="423"/>
      <c r="AH956" s="423"/>
      <c r="AI956" s="423"/>
    </row>
    <row r="957">
      <c r="A957" s="419"/>
      <c r="B957" s="419"/>
      <c r="C957" s="419"/>
      <c r="D957" s="419"/>
      <c r="E957" s="387"/>
      <c r="F957" s="387"/>
      <c r="G957" s="423"/>
      <c r="H957" s="423"/>
      <c r="I957" s="423"/>
      <c r="J957" s="423"/>
      <c r="K957" s="423"/>
      <c r="L957" s="423"/>
      <c r="M957" s="423"/>
      <c r="N957" s="423"/>
      <c r="O957" s="423"/>
      <c r="P957" s="423"/>
      <c r="Q957" s="423"/>
      <c r="R957" s="423"/>
      <c r="S957" s="423"/>
      <c r="T957" s="423"/>
      <c r="U957" s="423"/>
      <c r="V957" s="423"/>
      <c r="W957" s="423"/>
      <c r="X957" s="423"/>
      <c r="Y957" s="423"/>
      <c r="Z957" s="423"/>
      <c r="AA957" s="423"/>
      <c r="AB957" s="423"/>
      <c r="AC957" s="423"/>
      <c r="AD957" s="423"/>
      <c r="AE957" s="423"/>
      <c r="AF957" s="423"/>
      <c r="AG957" s="423"/>
      <c r="AH957" s="423"/>
      <c r="AI957" s="423"/>
    </row>
    <row r="958">
      <c r="A958" s="419"/>
      <c r="B958" s="419"/>
      <c r="C958" s="419"/>
      <c r="D958" s="419"/>
      <c r="E958" s="387"/>
      <c r="F958" s="387"/>
      <c r="G958" s="423"/>
      <c r="H958" s="423"/>
      <c r="I958" s="423"/>
      <c r="J958" s="423"/>
      <c r="K958" s="423"/>
      <c r="L958" s="423"/>
      <c r="M958" s="423"/>
      <c r="N958" s="423"/>
      <c r="O958" s="423"/>
      <c r="P958" s="423"/>
      <c r="Q958" s="423"/>
      <c r="R958" s="423"/>
      <c r="S958" s="423"/>
      <c r="T958" s="423"/>
      <c r="U958" s="423"/>
      <c r="V958" s="423"/>
      <c r="W958" s="423"/>
      <c r="X958" s="423"/>
      <c r="Y958" s="423"/>
      <c r="Z958" s="423"/>
      <c r="AA958" s="423"/>
      <c r="AB958" s="423"/>
      <c r="AC958" s="423"/>
      <c r="AD958" s="423"/>
      <c r="AE958" s="423"/>
      <c r="AF958" s="423"/>
      <c r="AG958" s="423"/>
      <c r="AH958" s="423"/>
      <c r="AI958" s="423"/>
    </row>
    <row r="959">
      <c r="A959" s="419"/>
      <c r="B959" s="419"/>
      <c r="C959" s="419"/>
      <c r="D959" s="419"/>
      <c r="E959" s="387"/>
      <c r="F959" s="387"/>
      <c r="G959" s="423"/>
      <c r="H959" s="423"/>
      <c r="I959" s="423"/>
      <c r="J959" s="423"/>
      <c r="K959" s="423"/>
      <c r="L959" s="423"/>
      <c r="M959" s="423"/>
      <c r="N959" s="423"/>
      <c r="O959" s="423"/>
      <c r="P959" s="423"/>
      <c r="Q959" s="423"/>
      <c r="R959" s="423"/>
      <c r="S959" s="423"/>
      <c r="T959" s="423"/>
      <c r="U959" s="423"/>
      <c r="V959" s="423"/>
      <c r="W959" s="423"/>
      <c r="X959" s="423"/>
      <c r="Y959" s="423"/>
      <c r="Z959" s="423"/>
      <c r="AA959" s="423"/>
      <c r="AB959" s="423"/>
      <c r="AC959" s="423"/>
      <c r="AD959" s="423"/>
      <c r="AE959" s="423"/>
      <c r="AF959" s="423"/>
      <c r="AG959" s="423"/>
      <c r="AH959" s="423"/>
      <c r="AI959" s="423"/>
    </row>
    <row r="960">
      <c r="A960" s="419"/>
      <c r="B960" s="419"/>
      <c r="C960" s="419"/>
      <c r="D960" s="419"/>
      <c r="E960" s="387"/>
      <c r="F960" s="387"/>
      <c r="G960" s="423"/>
      <c r="H960" s="423"/>
      <c r="I960" s="423"/>
      <c r="J960" s="423"/>
      <c r="K960" s="423"/>
      <c r="L960" s="423"/>
      <c r="M960" s="423"/>
      <c r="N960" s="423"/>
      <c r="O960" s="423"/>
      <c r="P960" s="423"/>
      <c r="Q960" s="423"/>
      <c r="R960" s="423"/>
      <c r="S960" s="423"/>
      <c r="T960" s="423"/>
      <c r="U960" s="423"/>
      <c r="V960" s="423"/>
      <c r="W960" s="423"/>
      <c r="X960" s="423"/>
      <c r="Y960" s="423"/>
      <c r="Z960" s="423"/>
      <c r="AA960" s="423"/>
      <c r="AB960" s="423"/>
      <c r="AC960" s="423"/>
      <c r="AD960" s="423"/>
      <c r="AE960" s="423"/>
      <c r="AF960" s="423"/>
      <c r="AG960" s="423"/>
      <c r="AH960" s="423"/>
      <c r="AI960" s="423"/>
    </row>
    <row r="961">
      <c r="A961" s="419"/>
      <c r="B961" s="419"/>
      <c r="C961" s="419"/>
      <c r="D961" s="419"/>
      <c r="E961" s="387"/>
      <c r="F961" s="387"/>
      <c r="G961" s="423"/>
      <c r="H961" s="423"/>
      <c r="I961" s="423"/>
      <c r="J961" s="423"/>
      <c r="K961" s="423"/>
      <c r="L961" s="423"/>
      <c r="M961" s="423"/>
      <c r="N961" s="423"/>
      <c r="O961" s="423"/>
      <c r="P961" s="423"/>
      <c r="Q961" s="423"/>
      <c r="R961" s="423"/>
      <c r="S961" s="423"/>
      <c r="T961" s="423"/>
      <c r="U961" s="423"/>
      <c r="V961" s="423"/>
      <c r="W961" s="423"/>
      <c r="X961" s="423"/>
      <c r="Y961" s="423"/>
      <c r="Z961" s="423"/>
      <c r="AA961" s="423"/>
      <c r="AB961" s="423"/>
      <c r="AC961" s="423"/>
      <c r="AD961" s="423"/>
      <c r="AE961" s="423"/>
      <c r="AF961" s="423"/>
      <c r="AG961" s="423"/>
      <c r="AH961" s="423"/>
      <c r="AI961" s="423"/>
    </row>
    <row r="962">
      <c r="A962" s="419"/>
      <c r="B962" s="419"/>
      <c r="C962" s="419"/>
      <c r="D962" s="419"/>
      <c r="E962" s="387"/>
      <c r="F962" s="387"/>
      <c r="G962" s="423"/>
      <c r="H962" s="423"/>
      <c r="I962" s="423"/>
      <c r="J962" s="423"/>
      <c r="K962" s="423"/>
      <c r="L962" s="423"/>
      <c r="M962" s="423"/>
      <c r="N962" s="423"/>
      <c r="O962" s="423"/>
      <c r="P962" s="423"/>
      <c r="Q962" s="423"/>
      <c r="R962" s="423"/>
      <c r="S962" s="423"/>
      <c r="T962" s="423"/>
      <c r="U962" s="423"/>
      <c r="V962" s="423"/>
      <c r="W962" s="423"/>
      <c r="X962" s="423"/>
      <c r="Y962" s="423"/>
      <c r="Z962" s="423"/>
      <c r="AA962" s="423"/>
      <c r="AB962" s="423"/>
      <c r="AC962" s="423"/>
      <c r="AD962" s="423"/>
      <c r="AE962" s="423"/>
      <c r="AF962" s="423"/>
      <c r="AG962" s="423"/>
      <c r="AH962" s="423"/>
      <c r="AI962" s="423"/>
    </row>
    <row r="963">
      <c r="A963" s="419"/>
      <c r="B963" s="419"/>
      <c r="C963" s="419"/>
      <c r="D963" s="419"/>
      <c r="E963" s="387"/>
      <c r="F963" s="387"/>
      <c r="G963" s="423"/>
      <c r="H963" s="423"/>
      <c r="I963" s="423"/>
      <c r="J963" s="423"/>
      <c r="K963" s="423"/>
      <c r="L963" s="423"/>
      <c r="M963" s="423"/>
      <c r="N963" s="423"/>
      <c r="O963" s="423"/>
      <c r="P963" s="423"/>
      <c r="Q963" s="423"/>
      <c r="R963" s="423"/>
      <c r="S963" s="423"/>
      <c r="T963" s="423"/>
      <c r="U963" s="423"/>
      <c r="V963" s="423"/>
      <c r="W963" s="423"/>
      <c r="X963" s="423"/>
      <c r="Y963" s="423"/>
      <c r="Z963" s="423"/>
      <c r="AA963" s="423"/>
      <c r="AB963" s="423"/>
      <c r="AC963" s="423"/>
      <c r="AD963" s="423"/>
      <c r="AE963" s="423"/>
      <c r="AF963" s="423"/>
      <c r="AG963" s="423"/>
      <c r="AH963" s="423"/>
      <c r="AI963" s="423"/>
    </row>
    <row r="964">
      <c r="A964" s="419"/>
      <c r="B964" s="419"/>
      <c r="C964" s="419"/>
      <c r="D964" s="419"/>
      <c r="E964" s="387"/>
      <c r="F964" s="387"/>
      <c r="G964" s="423"/>
      <c r="H964" s="423"/>
      <c r="I964" s="423"/>
      <c r="J964" s="423"/>
      <c r="K964" s="423"/>
      <c r="L964" s="423"/>
      <c r="M964" s="423"/>
      <c r="N964" s="423"/>
      <c r="O964" s="423"/>
      <c r="P964" s="423"/>
      <c r="Q964" s="423"/>
      <c r="R964" s="423"/>
      <c r="S964" s="423"/>
      <c r="T964" s="423"/>
      <c r="U964" s="423"/>
      <c r="V964" s="423"/>
      <c r="W964" s="423"/>
      <c r="X964" s="423"/>
      <c r="Y964" s="423"/>
      <c r="Z964" s="423"/>
      <c r="AA964" s="423"/>
      <c r="AB964" s="423"/>
      <c r="AC964" s="423"/>
      <c r="AD964" s="423"/>
      <c r="AE964" s="423"/>
      <c r="AF964" s="423"/>
      <c r="AG964" s="423"/>
      <c r="AH964" s="423"/>
      <c r="AI964" s="423"/>
    </row>
    <row r="965">
      <c r="A965" s="419"/>
      <c r="B965" s="419"/>
      <c r="C965" s="419"/>
      <c r="D965" s="419"/>
      <c r="E965" s="387"/>
      <c r="F965" s="387"/>
      <c r="G965" s="423"/>
      <c r="H965" s="423"/>
      <c r="I965" s="423"/>
      <c r="J965" s="423"/>
      <c r="K965" s="423"/>
      <c r="L965" s="423"/>
      <c r="M965" s="423"/>
      <c r="N965" s="423"/>
      <c r="O965" s="423"/>
      <c r="P965" s="423"/>
      <c r="Q965" s="423"/>
      <c r="R965" s="423"/>
      <c r="S965" s="423"/>
      <c r="T965" s="423"/>
      <c r="U965" s="423"/>
      <c r="V965" s="423"/>
      <c r="W965" s="423"/>
      <c r="X965" s="423"/>
      <c r="Y965" s="423"/>
      <c r="Z965" s="423"/>
      <c r="AA965" s="423"/>
      <c r="AB965" s="423"/>
      <c r="AC965" s="423"/>
      <c r="AD965" s="423"/>
      <c r="AE965" s="423"/>
      <c r="AF965" s="423"/>
      <c r="AG965" s="423"/>
      <c r="AH965" s="423"/>
      <c r="AI965" s="423"/>
    </row>
    <row r="966">
      <c r="A966" s="419"/>
      <c r="B966" s="419"/>
      <c r="C966" s="419"/>
      <c r="D966" s="419"/>
      <c r="E966" s="387"/>
      <c r="F966" s="387"/>
      <c r="G966" s="423"/>
      <c r="H966" s="423"/>
      <c r="I966" s="423"/>
      <c r="J966" s="423"/>
      <c r="K966" s="423"/>
      <c r="L966" s="423"/>
      <c r="M966" s="423"/>
      <c r="N966" s="423"/>
      <c r="O966" s="423"/>
      <c r="P966" s="423"/>
      <c r="Q966" s="423"/>
      <c r="R966" s="423"/>
      <c r="S966" s="423"/>
      <c r="T966" s="423"/>
      <c r="U966" s="423"/>
      <c r="V966" s="423"/>
      <c r="W966" s="423"/>
      <c r="X966" s="423"/>
      <c r="Y966" s="423"/>
      <c r="Z966" s="423"/>
      <c r="AA966" s="423"/>
      <c r="AB966" s="423"/>
      <c r="AC966" s="423"/>
      <c r="AD966" s="423"/>
      <c r="AE966" s="423"/>
      <c r="AF966" s="423"/>
      <c r="AG966" s="423"/>
      <c r="AH966" s="423"/>
      <c r="AI966" s="423"/>
    </row>
    <row r="967">
      <c r="A967" s="419"/>
      <c r="B967" s="419"/>
      <c r="C967" s="419"/>
      <c r="D967" s="419"/>
      <c r="E967" s="387"/>
      <c r="F967" s="387"/>
      <c r="G967" s="423"/>
      <c r="H967" s="423"/>
      <c r="I967" s="423"/>
      <c r="J967" s="423"/>
      <c r="K967" s="423"/>
      <c r="L967" s="423"/>
      <c r="M967" s="423"/>
      <c r="N967" s="423"/>
      <c r="O967" s="423"/>
      <c r="P967" s="423"/>
      <c r="Q967" s="423"/>
      <c r="R967" s="423"/>
      <c r="S967" s="423"/>
      <c r="T967" s="423"/>
      <c r="U967" s="423"/>
      <c r="V967" s="423"/>
      <c r="W967" s="423"/>
      <c r="X967" s="423"/>
      <c r="Y967" s="423"/>
      <c r="Z967" s="423"/>
      <c r="AA967" s="423"/>
      <c r="AB967" s="423"/>
      <c r="AC967" s="423"/>
      <c r="AD967" s="423"/>
      <c r="AE967" s="423"/>
      <c r="AF967" s="423"/>
      <c r="AG967" s="423"/>
      <c r="AH967" s="423"/>
      <c r="AI967" s="423"/>
    </row>
    <row r="968">
      <c r="A968" s="419"/>
      <c r="B968" s="419"/>
      <c r="C968" s="419"/>
      <c r="D968" s="419"/>
      <c r="E968" s="387"/>
      <c r="F968" s="387"/>
      <c r="G968" s="423"/>
      <c r="H968" s="423"/>
      <c r="I968" s="423"/>
      <c r="J968" s="423"/>
      <c r="K968" s="423"/>
      <c r="L968" s="423"/>
      <c r="M968" s="423"/>
      <c r="N968" s="423"/>
      <c r="O968" s="423"/>
      <c r="P968" s="423"/>
      <c r="Q968" s="423"/>
      <c r="R968" s="423"/>
      <c r="S968" s="423"/>
      <c r="T968" s="423"/>
      <c r="U968" s="423"/>
      <c r="V968" s="423"/>
      <c r="W968" s="423"/>
      <c r="X968" s="423"/>
      <c r="Y968" s="423"/>
      <c r="Z968" s="423"/>
      <c r="AA968" s="423"/>
      <c r="AB968" s="423"/>
      <c r="AC968" s="423"/>
      <c r="AD968" s="423"/>
      <c r="AE968" s="423"/>
      <c r="AF968" s="423"/>
      <c r="AG968" s="423"/>
      <c r="AH968" s="423"/>
      <c r="AI968" s="423"/>
    </row>
    <row r="969">
      <c r="A969" s="419"/>
      <c r="B969" s="419"/>
      <c r="C969" s="419"/>
      <c r="D969" s="419"/>
      <c r="E969" s="387"/>
      <c r="F969" s="387"/>
      <c r="G969" s="423"/>
      <c r="H969" s="423"/>
      <c r="I969" s="423"/>
      <c r="J969" s="423"/>
      <c r="K969" s="423"/>
      <c r="L969" s="423"/>
      <c r="M969" s="423"/>
      <c r="N969" s="423"/>
      <c r="O969" s="423"/>
      <c r="P969" s="423"/>
      <c r="Q969" s="423"/>
      <c r="R969" s="423"/>
      <c r="S969" s="423"/>
      <c r="T969" s="423"/>
      <c r="U969" s="423"/>
      <c r="V969" s="423"/>
      <c r="W969" s="423"/>
      <c r="X969" s="423"/>
      <c r="Y969" s="423"/>
      <c r="Z969" s="423"/>
      <c r="AA969" s="423"/>
      <c r="AB969" s="423"/>
      <c r="AC969" s="423"/>
      <c r="AD969" s="423"/>
      <c r="AE969" s="423"/>
      <c r="AF969" s="423"/>
      <c r="AG969" s="423"/>
      <c r="AH969" s="423"/>
      <c r="AI969" s="423"/>
    </row>
    <row r="970">
      <c r="A970" s="419"/>
      <c r="B970" s="419"/>
      <c r="C970" s="419"/>
      <c r="D970" s="419"/>
      <c r="E970" s="387"/>
      <c r="F970" s="387"/>
      <c r="G970" s="423"/>
      <c r="H970" s="423"/>
      <c r="I970" s="423"/>
      <c r="J970" s="423"/>
      <c r="K970" s="423"/>
      <c r="L970" s="423"/>
      <c r="M970" s="423"/>
      <c r="N970" s="423"/>
      <c r="O970" s="423"/>
      <c r="P970" s="423"/>
      <c r="Q970" s="423"/>
      <c r="R970" s="423"/>
      <c r="S970" s="423"/>
      <c r="T970" s="423"/>
      <c r="U970" s="423"/>
      <c r="V970" s="423"/>
      <c r="W970" s="423"/>
      <c r="X970" s="423"/>
      <c r="Y970" s="423"/>
      <c r="Z970" s="423"/>
      <c r="AA970" s="423"/>
      <c r="AB970" s="423"/>
      <c r="AC970" s="423"/>
      <c r="AD970" s="423"/>
      <c r="AE970" s="423"/>
      <c r="AF970" s="423"/>
      <c r="AG970" s="423"/>
      <c r="AH970" s="423"/>
      <c r="AI970" s="423"/>
    </row>
    <row r="971">
      <c r="A971" s="419"/>
      <c r="B971" s="419"/>
      <c r="C971" s="419"/>
      <c r="D971" s="419"/>
      <c r="E971" s="387"/>
      <c r="F971" s="387"/>
      <c r="G971" s="423"/>
      <c r="H971" s="423"/>
      <c r="I971" s="423"/>
      <c r="J971" s="423"/>
      <c r="K971" s="423"/>
      <c r="L971" s="423"/>
      <c r="M971" s="423"/>
      <c r="N971" s="423"/>
      <c r="O971" s="423"/>
      <c r="P971" s="423"/>
      <c r="Q971" s="423"/>
      <c r="R971" s="423"/>
      <c r="S971" s="423"/>
      <c r="T971" s="423"/>
      <c r="U971" s="423"/>
      <c r="V971" s="423"/>
      <c r="W971" s="423"/>
      <c r="X971" s="423"/>
      <c r="Y971" s="423"/>
      <c r="Z971" s="423"/>
      <c r="AA971" s="423"/>
      <c r="AB971" s="423"/>
      <c r="AC971" s="423"/>
      <c r="AD971" s="423"/>
      <c r="AE971" s="423"/>
      <c r="AF971" s="423"/>
      <c r="AG971" s="423"/>
      <c r="AH971" s="423"/>
      <c r="AI971" s="423"/>
    </row>
    <row r="972">
      <c r="A972" s="419"/>
      <c r="B972" s="419"/>
      <c r="C972" s="419"/>
      <c r="D972" s="419"/>
      <c r="E972" s="387"/>
      <c r="F972" s="387"/>
      <c r="G972" s="423"/>
      <c r="H972" s="423"/>
      <c r="I972" s="423"/>
      <c r="J972" s="423"/>
      <c r="K972" s="423"/>
      <c r="L972" s="423"/>
      <c r="M972" s="423"/>
      <c r="N972" s="423"/>
      <c r="O972" s="423"/>
      <c r="P972" s="423"/>
      <c r="Q972" s="423"/>
      <c r="R972" s="423"/>
      <c r="S972" s="423"/>
      <c r="T972" s="423"/>
      <c r="U972" s="423"/>
      <c r="V972" s="423"/>
      <c r="W972" s="423"/>
      <c r="X972" s="423"/>
      <c r="Y972" s="423"/>
      <c r="Z972" s="423"/>
      <c r="AA972" s="423"/>
      <c r="AB972" s="423"/>
      <c r="AC972" s="423"/>
      <c r="AD972" s="423"/>
      <c r="AE972" s="423"/>
      <c r="AF972" s="423"/>
      <c r="AG972" s="423"/>
      <c r="AH972" s="423"/>
      <c r="AI972" s="423"/>
    </row>
    <row r="973">
      <c r="A973" s="419"/>
      <c r="B973" s="419"/>
      <c r="C973" s="419"/>
      <c r="D973" s="419"/>
      <c r="E973" s="387"/>
      <c r="F973" s="387"/>
      <c r="G973" s="423"/>
      <c r="H973" s="423"/>
      <c r="I973" s="423"/>
      <c r="J973" s="423"/>
      <c r="K973" s="423"/>
      <c r="L973" s="423"/>
      <c r="M973" s="423"/>
      <c r="N973" s="423"/>
      <c r="O973" s="423"/>
      <c r="P973" s="423"/>
      <c r="Q973" s="423"/>
      <c r="R973" s="423"/>
      <c r="S973" s="423"/>
      <c r="T973" s="423"/>
      <c r="U973" s="423"/>
      <c r="V973" s="423"/>
      <c r="W973" s="423"/>
      <c r="X973" s="423"/>
      <c r="Y973" s="423"/>
      <c r="Z973" s="423"/>
      <c r="AA973" s="423"/>
      <c r="AB973" s="423"/>
      <c r="AC973" s="423"/>
      <c r="AD973" s="423"/>
      <c r="AE973" s="423"/>
      <c r="AF973" s="423"/>
      <c r="AG973" s="423"/>
      <c r="AH973" s="423"/>
      <c r="AI973" s="423"/>
    </row>
    <row r="974">
      <c r="A974" s="419"/>
      <c r="B974" s="419"/>
      <c r="C974" s="419"/>
      <c r="D974" s="419"/>
      <c r="E974" s="387"/>
      <c r="F974" s="387"/>
      <c r="G974" s="423"/>
      <c r="H974" s="423"/>
      <c r="I974" s="423"/>
      <c r="J974" s="423"/>
      <c r="K974" s="423"/>
      <c r="L974" s="423"/>
      <c r="M974" s="423"/>
      <c r="N974" s="423"/>
      <c r="O974" s="423"/>
      <c r="P974" s="423"/>
      <c r="Q974" s="423"/>
      <c r="R974" s="423"/>
      <c r="S974" s="423"/>
      <c r="T974" s="423"/>
      <c r="U974" s="423"/>
      <c r="V974" s="423"/>
      <c r="W974" s="423"/>
      <c r="X974" s="423"/>
      <c r="Y974" s="423"/>
      <c r="Z974" s="423"/>
      <c r="AA974" s="423"/>
      <c r="AB974" s="423"/>
      <c r="AC974" s="423"/>
      <c r="AD974" s="423"/>
      <c r="AE974" s="423"/>
      <c r="AF974" s="423"/>
      <c r="AG974" s="423"/>
      <c r="AH974" s="423"/>
      <c r="AI974" s="423"/>
    </row>
    <row r="975">
      <c r="A975" s="419"/>
      <c r="B975" s="419"/>
      <c r="C975" s="419"/>
      <c r="D975" s="419"/>
      <c r="E975" s="387"/>
      <c r="F975" s="387"/>
      <c r="G975" s="423"/>
      <c r="H975" s="423"/>
      <c r="I975" s="423"/>
      <c r="J975" s="423"/>
      <c r="K975" s="423"/>
      <c r="L975" s="423"/>
      <c r="M975" s="423"/>
      <c r="N975" s="423"/>
      <c r="O975" s="423"/>
      <c r="P975" s="423"/>
      <c r="Q975" s="423"/>
      <c r="R975" s="423"/>
      <c r="S975" s="423"/>
      <c r="T975" s="423"/>
      <c r="U975" s="423"/>
      <c r="V975" s="423"/>
      <c r="W975" s="423"/>
      <c r="X975" s="423"/>
      <c r="Y975" s="423"/>
      <c r="Z975" s="423"/>
      <c r="AA975" s="423"/>
      <c r="AB975" s="423"/>
      <c r="AC975" s="423"/>
      <c r="AD975" s="423"/>
      <c r="AE975" s="423"/>
      <c r="AF975" s="423"/>
      <c r="AG975" s="423"/>
      <c r="AH975" s="423"/>
      <c r="AI975" s="423"/>
    </row>
    <row r="976">
      <c r="A976" s="419"/>
      <c r="B976" s="419"/>
      <c r="C976" s="419"/>
      <c r="D976" s="419"/>
      <c r="E976" s="387"/>
      <c r="F976" s="387"/>
      <c r="G976" s="423"/>
      <c r="H976" s="423"/>
      <c r="I976" s="423"/>
      <c r="J976" s="423"/>
      <c r="K976" s="423"/>
      <c r="L976" s="423"/>
      <c r="M976" s="423"/>
      <c r="N976" s="423"/>
      <c r="O976" s="423"/>
      <c r="P976" s="423"/>
      <c r="Q976" s="423"/>
      <c r="R976" s="423"/>
      <c r="S976" s="423"/>
      <c r="T976" s="423"/>
      <c r="U976" s="423"/>
      <c r="V976" s="423"/>
      <c r="W976" s="423"/>
      <c r="X976" s="423"/>
      <c r="Y976" s="423"/>
      <c r="Z976" s="423"/>
      <c r="AA976" s="423"/>
      <c r="AB976" s="423"/>
      <c r="AC976" s="423"/>
      <c r="AD976" s="423"/>
      <c r="AE976" s="423"/>
      <c r="AF976" s="423"/>
      <c r="AG976" s="423"/>
      <c r="AH976" s="423"/>
      <c r="AI976" s="423"/>
    </row>
    <row r="977">
      <c r="A977" s="419"/>
      <c r="B977" s="419"/>
      <c r="C977" s="419"/>
      <c r="D977" s="419"/>
      <c r="E977" s="387"/>
      <c r="F977" s="387"/>
      <c r="G977" s="423"/>
      <c r="H977" s="423"/>
      <c r="I977" s="423"/>
      <c r="J977" s="423"/>
      <c r="K977" s="423"/>
      <c r="L977" s="423"/>
      <c r="M977" s="423"/>
      <c r="N977" s="423"/>
      <c r="O977" s="423"/>
      <c r="P977" s="423"/>
      <c r="Q977" s="423"/>
      <c r="R977" s="423"/>
      <c r="S977" s="423"/>
      <c r="T977" s="423"/>
      <c r="U977" s="423"/>
      <c r="V977" s="423"/>
      <c r="W977" s="423"/>
      <c r="X977" s="423"/>
      <c r="Y977" s="423"/>
      <c r="Z977" s="423"/>
      <c r="AA977" s="423"/>
      <c r="AB977" s="423"/>
      <c r="AC977" s="423"/>
      <c r="AD977" s="423"/>
      <c r="AE977" s="423"/>
      <c r="AF977" s="423"/>
      <c r="AG977" s="423"/>
      <c r="AH977" s="423"/>
      <c r="AI977" s="423"/>
    </row>
    <row r="978">
      <c r="A978" s="419"/>
      <c r="B978" s="419"/>
      <c r="C978" s="419"/>
      <c r="D978" s="419"/>
      <c r="E978" s="387"/>
      <c r="F978" s="387"/>
      <c r="G978" s="423"/>
      <c r="H978" s="423"/>
      <c r="I978" s="423"/>
      <c r="J978" s="423"/>
      <c r="K978" s="423"/>
      <c r="L978" s="423"/>
      <c r="M978" s="423"/>
      <c r="N978" s="423"/>
      <c r="O978" s="423"/>
      <c r="P978" s="423"/>
      <c r="Q978" s="423"/>
      <c r="R978" s="423"/>
      <c r="S978" s="423"/>
      <c r="T978" s="423"/>
      <c r="U978" s="423"/>
      <c r="V978" s="423"/>
      <c r="W978" s="423"/>
      <c r="X978" s="423"/>
      <c r="Y978" s="423"/>
      <c r="Z978" s="423"/>
      <c r="AA978" s="423"/>
      <c r="AB978" s="423"/>
      <c r="AC978" s="423"/>
      <c r="AD978" s="423"/>
      <c r="AE978" s="423"/>
      <c r="AF978" s="423"/>
      <c r="AG978" s="423"/>
      <c r="AH978" s="423"/>
      <c r="AI978" s="423"/>
    </row>
    <row r="979">
      <c r="A979" s="419"/>
      <c r="B979" s="419"/>
      <c r="C979" s="419"/>
      <c r="D979" s="419"/>
      <c r="E979" s="387"/>
      <c r="F979" s="387"/>
      <c r="G979" s="423"/>
      <c r="H979" s="423"/>
      <c r="I979" s="423"/>
      <c r="J979" s="423"/>
      <c r="K979" s="423"/>
      <c r="L979" s="423"/>
      <c r="M979" s="423"/>
      <c r="N979" s="423"/>
      <c r="O979" s="423"/>
      <c r="P979" s="423"/>
      <c r="Q979" s="423"/>
      <c r="R979" s="423"/>
      <c r="S979" s="423"/>
      <c r="T979" s="423"/>
      <c r="U979" s="423"/>
      <c r="V979" s="423"/>
      <c r="W979" s="423"/>
      <c r="X979" s="423"/>
      <c r="Y979" s="423"/>
      <c r="Z979" s="423"/>
      <c r="AA979" s="423"/>
      <c r="AB979" s="423"/>
      <c r="AC979" s="423"/>
      <c r="AD979" s="423"/>
      <c r="AE979" s="423"/>
      <c r="AF979" s="423"/>
      <c r="AG979" s="423"/>
      <c r="AH979" s="423"/>
      <c r="AI979" s="423"/>
    </row>
    <row r="980">
      <c r="A980" s="419"/>
      <c r="B980" s="419"/>
      <c r="C980" s="419"/>
      <c r="D980" s="419"/>
      <c r="E980" s="387"/>
      <c r="F980" s="387"/>
      <c r="G980" s="423"/>
      <c r="H980" s="423"/>
      <c r="I980" s="423"/>
      <c r="J980" s="423"/>
      <c r="K980" s="423"/>
      <c r="L980" s="423"/>
      <c r="M980" s="423"/>
      <c r="N980" s="423"/>
      <c r="O980" s="423"/>
      <c r="P980" s="423"/>
      <c r="Q980" s="423"/>
      <c r="R980" s="423"/>
      <c r="S980" s="423"/>
      <c r="T980" s="423"/>
      <c r="U980" s="423"/>
      <c r="V980" s="423"/>
      <c r="W980" s="423"/>
      <c r="X980" s="423"/>
      <c r="Y980" s="423"/>
      <c r="Z980" s="423"/>
      <c r="AA980" s="423"/>
      <c r="AB980" s="423"/>
      <c r="AC980" s="423"/>
      <c r="AD980" s="423"/>
      <c r="AE980" s="423"/>
      <c r="AF980" s="423"/>
      <c r="AG980" s="423"/>
      <c r="AH980" s="423"/>
      <c r="AI980" s="423"/>
    </row>
    <row r="981">
      <c r="A981" s="419"/>
      <c r="B981" s="419"/>
      <c r="C981" s="419"/>
      <c r="D981" s="419"/>
      <c r="E981" s="387"/>
      <c r="F981" s="387"/>
      <c r="G981" s="423"/>
      <c r="H981" s="423"/>
      <c r="I981" s="423"/>
      <c r="J981" s="423"/>
      <c r="K981" s="423"/>
      <c r="L981" s="423"/>
      <c r="M981" s="423"/>
      <c r="N981" s="423"/>
      <c r="O981" s="423"/>
      <c r="P981" s="423"/>
      <c r="Q981" s="423"/>
      <c r="R981" s="423"/>
      <c r="S981" s="423"/>
      <c r="T981" s="423"/>
      <c r="U981" s="423"/>
      <c r="V981" s="423"/>
      <c r="W981" s="423"/>
      <c r="X981" s="423"/>
      <c r="Y981" s="423"/>
      <c r="Z981" s="423"/>
      <c r="AA981" s="423"/>
      <c r="AB981" s="423"/>
      <c r="AC981" s="423"/>
      <c r="AD981" s="423"/>
      <c r="AE981" s="423"/>
      <c r="AF981" s="423"/>
      <c r="AG981" s="423"/>
      <c r="AH981" s="423"/>
      <c r="AI981" s="423"/>
    </row>
    <row r="982">
      <c r="A982" s="419"/>
      <c r="B982" s="419"/>
      <c r="C982" s="419"/>
      <c r="D982" s="419"/>
      <c r="E982" s="387"/>
      <c r="F982" s="387"/>
      <c r="G982" s="423"/>
      <c r="H982" s="423"/>
      <c r="I982" s="423"/>
      <c r="J982" s="423"/>
      <c r="K982" s="423"/>
      <c r="L982" s="423"/>
      <c r="M982" s="423"/>
      <c r="N982" s="423"/>
      <c r="O982" s="423"/>
      <c r="P982" s="423"/>
      <c r="Q982" s="423"/>
      <c r="R982" s="423"/>
      <c r="S982" s="423"/>
      <c r="T982" s="423"/>
      <c r="U982" s="423"/>
      <c r="V982" s="423"/>
      <c r="W982" s="423"/>
      <c r="X982" s="423"/>
      <c r="Y982" s="423"/>
      <c r="Z982" s="423"/>
      <c r="AA982" s="423"/>
      <c r="AB982" s="423"/>
      <c r="AC982" s="423"/>
      <c r="AD982" s="423"/>
      <c r="AE982" s="423"/>
      <c r="AF982" s="423"/>
      <c r="AG982" s="423"/>
      <c r="AH982" s="423"/>
      <c r="AI982" s="423"/>
    </row>
    <row r="983">
      <c r="A983" s="419"/>
      <c r="B983" s="419"/>
      <c r="C983" s="419"/>
      <c r="D983" s="419"/>
      <c r="E983" s="387"/>
      <c r="F983" s="387"/>
      <c r="G983" s="423"/>
      <c r="H983" s="423"/>
      <c r="I983" s="423"/>
      <c r="J983" s="423"/>
      <c r="K983" s="423"/>
      <c r="L983" s="423"/>
      <c r="M983" s="423"/>
      <c r="N983" s="423"/>
      <c r="O983" s="423"/>
      <c r="P983" s="423"/>
      <c r="Q983" s="423"/>
      <c r="R983" s="423"/>
      <c r="S983" s="423"/>
      <c r="T983" s="423"/>
      <c r="U983" s="423"/>
      <c r="V983" s="423"/>
      <c r="W983" s="423"/>
      <c r="X983" s="423"/>
      <c r="Y983" s="423"/>
      <c r="Z983" s="423"/>
      <c r="AA983" s="423"/>
      <c r="AB983" s="423"/>
      <c r="AC983" s="423"/>
      <c r="AD983" s="423"/>
      <c r="AE983" s="423"/>
      <c r="AF983" s="423"/>
      <c r="AG983" s="423"/>
      <c r="AH983" s="423"/>
      <c r="AI983" s="423"/>
    </row>
    <row r="984">
      <c r="A984" s="419"/>
      <c r="B984" s="419"/>
      <c r="C984" s="419"/>
      <c r="D984" s="419"/>
      <c r="E984" s="387"/>
      <c r="F984" s="387"/>
      <c r="G984" s="423"/>
      <c r="H984" s="423"/>
      <c r="I984" s="423"/>
      <c r="J984" s="423"/>
      <c r="K984" s="423"/>
      <c r="L984" s="423"/>
      <c r="M984" s="423"/>
      <c r="N984" s="423"/>
      <c r="O984" s="423"/>
      <c r="P984" s="423"/>
      <c r="Q984" s="423"/>
      <c r="R984" s="423"/>
      <c r="S984" s="423"/>
      <c r="T984" s="423"/>
      <c r="U984" s="423"/>
      <c r="V984" s="423"/>
      <c r="W984" s="423"/>
      <c r="X984" s="423"/>
      <c r="Y984" s="423"/>
      <c r="Z984" s="423"/>
      <c r="AA984" s="423"/>
      <c r="AB984" s="423"/>
      <c r="AC984" s="423"/>
      <c r="AD984" s="423"/>
      <c r="AE984" s="423"/>
      <c r="AF984" s="423"/>
      <c r="AG984" s="423"/>
      <c r="AH984" s="423"/>
      <c r="AI984" s="423"/>
    </row>
    <row r="985">
      <c r="A985" s="419"/>
      <c r="B985" s="419"/>
      <c r="C985" s="419"/>
      <c r="D985" s="419"/>
      <c r="E985" s="387"/>
      <c r="F985" s="387"/>
      <c r="G985" s="423"/>
      <c r="H985" s="423"/>
      <c r="I985" s="423"/>
      <c r="J985" s="423"/>
      <c r="K985" s="423"/>
      <c r="L985" s="423"/>
      <c r="M985" s="423"/>
      <c r="N985" s="423"/>
      <c r="O985" s="423"/>
      <c r="P985" s="423"/>
      <c r="Q985" s="423"/>
      <c r="R985" s="423"/>
      <c r="S985" s="423"/>
      <c r="T985" s="423"/>
      <c r="U985" s="423"/>
      <c r="V985" s="423"/>
      <c r="W985" s="423"/>
      <c r="X985" s="423"/>
      <c r="Y985" s="423"/>
      <c r="Z985" s="423"/>
      <c r="AA985" s="423"/>
      <c r="AB985" s="423"/>
      <c r="AC985" s="423"/>
      <c r="AD985" s="423"/>
      <c r="AE985" s="423"/>
      <c r="AF985" s="423"/>
      <c r="AG985" s="423"/>
      <c r="AH985" s="423"/>
      <c r="AI985" s="423"/>
    </row>
    <row r="986">
      <c r="A986" s="419"/>
      <c r="B986" s="419"/>
      <c r="C986" s="419"/>
      <c r="D986" s="419"/>
      <c r="E986" s="387"/>
      <c r="F986" s="387"/>
      <c r="G986" s="423"/>
      <c r="H986" s="423"/>
      <c r="I986" s="423"/>
      <c r="J986" s="423"/>
      <c r="K986" s="423"/>
      <c r="L986" s="423"/>
      <c r="M986" s="423"/>
      <c r="N986" s="423"/>
      <c r="O986" s="423"/>
      <c r="P986" s="423"/>
      <c r="Q986" s="423"/>
      <c r="R986" s="423"/>
      <c r="S986" s="423"/>
      <c r="T986" s="423"/>
      <c r="U986" s="423"/>
      <c r="V986" s="423"/>
      <c r="W986" s="423"/>
      <c r="X986" s="423"/>
      <c r="Y986" s="423"/>
      <c r="Z986" s="423"/>
      <c r="AA986" s="423"/>
      <c r="AB986" s="423"/>
      <c r="AC986" s="423"/>
      <c r="AD986" s="423"/>
      <c r="AE986" s="423"/>
      <c r="AF986" s="423"/>
      <c r="AG986" s="423"/>
      <c r="AH986" s="423"/>
      <c r="AI986" s="423"/>
    </row>
    <row r="987">
      <c r="A987" s="419"/>
      <c r="B987" s="419"/>
      <c r="C987" s="419"/>
      <c r="D987" s="419"/>
      <c r="E987" s="387"/>
      <c r="F987" s="387"/>
      <c r="G987" s="423"/>
      <c r="H987" s="423"/>
      <c r="I987" s="423"/>
      <c r="J987" s="423"/>
      <c r="K987" s="423"/>
      <c r="L987" s="423"/>
      <c r="M987" s="423"/>
      <c r="N987" s="423"/>
      <c r="O987" s="423"/>
      <c r="P987" s="423"/>
      <c r="Q987" s="423"/>
      <c r="R987" s="423"/>
      <c r="S987" s="423"/>
      <c r="T987" s="423"/>
      <c r="U987" s="423"/>
      <c r="V987" s="423"/>
      <c r="W987" s="423"/>
      <c r="X987" s="423"/>
      <c r="Y987" s="423"/>
      <c r="Z987" s="423"/>
      <c r="AA987" s="423"/>
      <c r="AB987" s="423"/>
      <c r="AC987" s="423"/>
      <c r="AD987" s="423"/>
      <c r="AE987" s="423"/>
      <c r="AF987" s="423"/>
      <c r="AG987" s="423"/>
      <c r="AH987" s="423"/>
      <c r="AI987" s="423"/>
    </row>
    <row r="988">
      <c r="A988" s="419"/>
      <c r="B988" s="419"/>
      <c r="C988" s="419"/>
      <c r="D988" s="419"/>
      <c r="E988" s="387"/>
      <c r="F988" s="387"/>
      <c r="G988" s="423"/>
      <c r="H988" s="423"/>
      <c r="I988" s="423"/>
      <c r="J988" s="423"/>
      <c r="K988" s="423"/>
      <c r="L988" s="423"/>
      <c r="M988" s="423"/>
      <c r="N988" s="423"/>
      <c r="O988" s="423"/>
      <c r="P988" s="423"/>
      <c r="Q988" s="423"/>
      <c r="R988" s="423"/>
      <c r="S988" s="423"/>
      <c r="T988" s="423"/>
      <c r="U988" s="423"/>
      <c r="V988" s="423"/>
      <c r="W988" s="423"/>
      <c r="X988" s="423"/>
      <c r="Y988" s="423"/>
      <c r="Z988" s="423"/>
      <c r="AA988" s="423"/>
      <c r="AB988" s="423"/>
      <c r="AC988" s="423"/>
      <c r="AD988" s="423"/>
      <c r="AE988" s="423"/>
      <c r="AF988" s="423"/>
      <c r="AG988" s="423"/>
      <c r="AH988" s="423"/>
      <c r="AI988" s="423"/>
    </row>
    <row r="989">
      <c r="A989" s="419"/>
      <c r="B989" s="419"/>
      <c r="C989" s="419"/>
      <c r="D989" s="419"/>
      <c r="E989" s="387"/>
      <c r="F989" s="387"/>
      <c r="G989" s="423"/>
      <c r="H989" s="423"/>
      <c r="I989" s="423"/>
      <c r="J989" s="423"/>
      <c r="K989" s="423"/>
      <c r="L989" s="423"/>
      <c r="M989" s="423"/>
      <c r="N989" s="423"/>
      <c r="O989" s="423"/>
      <c r="P989" s="423"/>
      <c r="Q989" s="423"/>
      <c r="R989" s="423"/>
      <c r="S989" s="423"/>
      <c r="T989" s="423"/>
      <c r="U989" s="423"/>
      <c r="V989" s="423"/>
      <c r="W989" s="423"/>
      <c r="X989" s="423"/>
      <c r="Y989" s="423"/>
      <c r="Z989" s="423"/>
      <c r="AA989" s="423"/>
      <c r="AB989" s="423"/>
      <c r="AC989" s="423"/>
      <c r="AD989" s="423"/>
      <c r="AE989" s="423"/>
      <c r="AF989" s="423"/>
      <c r="AG989" s="423"/>
      <c r="AH989" s="423"/>
      <c r="AI989" s="423"/>
    </row>
    <row r="990">
      <c r="A990" s="419"/>
      <c r="B990" s="419"/>
      <c r="C990" s="419"/>
      <c r="D990" s="419"/>
      <c r="E990" s="387"/>
      <c r="F990" s="387"/>
      <c r="G990" s="423"/>
      <c r="H990" s="423"/>
      <c r="I990" s="423"/>
      <c r="J990" s="423"/>
      <c r="K990" s="423"/>
      <c r="L990" s="423"/>
      <c r="M990" s="423"/>
      <c r="N990" s="423"/>
      <c r="O990" s="423"/>
      <c r="P990" s="423"/>
      <c r="Q990" s="423"/>
      <c r="R990" s="423"/>
      <c r="S990" s="423"/>
      <c r="T990" s="423"/>
      <c r="U990" s="423"/>
      <c r="V990" s="423"/>
      <c r="W990" s="423"/>
      <c r="X990" s="423"/>
      <c r="Y990" s="423"/>
      <c r="Z990" s="423"/>
      <c r="AA990" s="423"/>
      <c r="AB990" s="423"/>
      <c r="AC990" s="423"/>
      <c r="AD990" s="423"/>
      <c r="AE990" s="423"/>
      <c r="AF990" s="423"/>
      <c r="AG990" s="423"/>
      <c r="AH990" s="423"/>
      <c r="AI990" s="423"/>
    </row>
    <row r="991">
      <c r="A991" s="419"/>
      <c r="B991" s="419"/>
      <c r="C991" s="419"/>
      <c r="D991" s="419"/>
      <c r="E991" s="387"/>
      <c r="F991" s="387"/>
      <c r="G991" s="423"/>
      <c r="H991" s="423"/>
      <c r="I991" s="423"/>
      <c r="J991" s="423"/>
      <c r="K991" s="423"/>
      <c r="L991" s="423"/>
      <c r="M991" s="423"/>
      <c r="N991" s="423"/>
      <c r="O991" s="423"/>
      <c r="P991" s="423"/>
      <c r="Q991" s="423"/>
      <c r="R991" s="423"/>
      <c r="S991" s="423"/>
      <c r="T991" s="423"/>
      <c r="U991" s="423"/>
      <c r="V991" s="423"/>
      <c r="W991" s="423"/>
      <c r="X991" s="423"/>
      <c r="Y991" s="423"/>
      <c r="Z991" s="423"/>
      <c r="AA991" s="423"/>
      <c r="AB991" s="423"/>
      <c r="AC991" s="423"/>
      <c r="AD991" s="423"/>
      <c r="AE991" s="423"/>
      <c r="AF991" s="423"/>
      <c r="AG991" s="423"/>
      <c r="AH991" s="423"/>
      <c r="AI991" s="423"/>
    </row>
    <row r="992">
      <c r="A992" s="419"/>
      <c r="B992" s="419"/>
      <c r="C992" s="419"/>
      <c r="D992" s="419"/>
      <c r="E992" s="387"/>
      <c r="F992" s="387"/>
      <c r="G992" s="423"/>
      <c r="H992" s="423"/>
      <c r="I992" s="423"/>
      <c r="J992" s="423"/>
      <c r="K992" s="423"/>
      <c r="L992" s="423"/>
      <c r="M992" s="423"/>
      <c r="N992" s="423"/>
      <c r="O992" s="423"/>
      <c r="P992" s="423"/>
      <c r="Q992" s="423"/>
      <c r="R992" s="423"/>
      <c r="S992" s="423"/>
      <c r="T992" s="423"/>
      <c r="U992" s="423"/>
      <c r="V992" s="423"/>
      <c r="W992" s="423"/>
      <c r="X992" s="423"/>
      <c r="Y992" s="423"/>
      <c r="Z992" s="423"/>
      <c r="AA992" s="423"/>
      <c r="AB992" s="423"/>
      <c r="AC992" s="423"/>
      <c r="AD992" s="423"/>
      <c r="AE992" s="423"/>
      <c r="AF992" s="423"/>
      <c r="AG992" s="423"/>
      <c r="AH992" s="423"/>
      <c r="AI992" s="423"/>
    </row>
    <row r="993">
      <c r="A993" s="419"/>
      <c r="B993" s="419"/>
      <c r="C993" s="419"/>
      <c r="D993" s="419"/>
      <c r="E993" s="387"/>
      <c r="F993" s="387"/>
      <c r="G993" s="423"/>
      <c r="H993" s="423"/>
      <c r="I993" s="423"/>
      <c r="J993" s="423"/>
      <c r="K993" s="423"/>
      <c r="L993" s="423"/>
      <c r="M993" s="423"/>
      <c r="N993" s="423"/>
      <c r="O993" s="423"/>
      <c r="P993" s="423"/>
      <c r="Q993" s="423"/>
      <c r="R993" s="423"/>
      <c r="S993" s="423"/>
      <c r="T993" s="423"/>
      <c r="U993" s="423"/>
      <c r="V993" s="423"/>
      <c r="W993" s="423"/>
      <c r="X993" s="423"/>
      <c r="Y993" s="423"/>
      <c r="Z993" s="423"/>
      <c r="AA993" s="423"/>
      <c r="AB993" s="423"/>
      <c r="AC993" s="423"/>
      <c r="AD993" s="423"/>
      <c r="AE993" s="423"/>
      <c r="AF993" s="423"/>
      <c r="AG993" s="423"/>
      <c r="AH993" s="423"/>
      <c r="AI993" s="423"/>
    </row>
    <row r="994">
      <c r="A994" s="419"/>
      <c r="B994" s="419"/>
      <c r="C994" s="419"/>
      <c r="D994" s="419"/>
      <c r="E994" s="387"/>
      <c r="F994" s="387"/>
      <c r="G994" s="423"/>
      <c r="H994" s="423"/>
      <c r="I994" s="423"/>
      <c r="J994" s="423"/>
      <c r="K994" s="423"/>
      <c r="L994" s="423"/>
      <c r="M994" s="423"/>
      <c r="N994" s="423"/>
      <c r="O994" s="423"/>
      <c r="P994" s="423"/>
      <c r="Q994" s="423"/>
      <c r="R994" s="423"/>
      <c r="S994" s="423"/>
      <c r="T994" s="423"/>
      <c r="U994" s="423"/>
      <c r="V994" s="423"/>
      <c r="W994" s="423"/>
      <c r="X994" s="423"/>
      <c r="Y994" s="423"/>
      <c r="Z994" s="423"/>
      <c r="AA994" s="423"/>
      <c r="AB994" s="423"/>
      <c r="AC994" s="423"/>
      <c r="AD994" s="423"/>
      <c r="AE994" s="423"/>
      <c r="AF994" s="423"/>
      <c r="AG994" s="423"/>
      <c r="AH994" s="423"/>
      <c r="AI994" s="423"/>
    </row>
    <row r="995">
      <c r="A995" s="419"/>
      <c r="B995" s="419"/>
      <c r="C995" s="419"/>
      <c r="D995" s="419"/>
      <c r="E995" s="387"/>
      <c r="F995" s="387"/>
      <c r="G995" s="423"/>
      <c r="H995" s="423"/>
      <c r="I995" s="423"/>
      <c r="J995" s="423"/>
      <c r="K995" s="423"/>
      <c r="L995" s="423"/>
      <c r="M995" s="423"/>
      <c r="N995" s="423"/>
      <c r="O995" s="423"/>
      <c r="P995" s="423"/>
      <c r="Q995" s="423"/>
      <c r="R995" s="423"/>
      <c r="S995" s="423"/>
      <c r="T995" s="423"/>
      <c r="U995" s="423"/>
      <c r="V995" s="423"/>
      <c r="W995" s="423"/>
      <c r="X995" s="423"/>
      <c r="Y995" s="423"/>
      <c r="Z995" s="423"/>
      <c r="AA995" s="423"/>
      <c r="AB995" s="423"/>
      <c r="AC995" s="423"/>
      <c r="AD995" s="423"/>
      <c r="AE995" s="423"/>
      <c r="AF995" s="423"/>
      <c r="AG995" s="423"/>
      <c r="AH995" s="423"/>
      <c r="AI995" s="423"/>
    </row>
    <row r="996">
      <c r="A996" s="419"/>
      <c r="B996" s="419"/>
      <c r="C996" s="419"/>
      <c r="D996" s="419"/>
      <c r="E996" s="387"/>
      <c r="F996" s="387"/>
      <c r="G996" s="423"/>
      <c r="H996" s="423"/>
      <c r="I996" s="423"/>
      <c r="J996" s="423"/>
      <c r="K996" s="423"/>
      <c r="L996" s="423"/>
      <c r="M996" s="423"/>
      <c r="N996" s="423"/>
      <c r="O996" s="423"/>
      <c r="P996" s="423"/>
      <c r="Q996" s="423"/>
      <c r="R996" s="423"/>
      <c r="S996" s="423"/>
      <c r="T996" s="423"/>
      <c r="U996" s="423"/>
      <c r="V996" s="423"/>
      <c r="W996" s="423"/>
      <c r="X996" s="423"/>
      <c r="Y996" s="423"/>
      <c r="Z996" s="423"/>
      <c r="AA996" s="423"/>
      <c r="AB996" s="423"/>
      <c r="AC996" s="423"/>
      <c r="AD996" s="423"/>
      <c r="AE996" s="423"/>
      <c r="AF996" s="423"/>
      <c r="AG996" s="423"/>
      <c r="AH996" s="423"/>
      <c r="AI996" s="423"/>
    </row>
    <row r="997">
      <c r="A997" s="419"/>
      <c r="B997" s="419"/>
      <c r="C997" s="419"/>
      <c r="D997" s="419"/>
      <c r="E997" s="387"/>
      <c r="F997" s="387"/>
      <c r="G997" s="423"/>
      <c r="H997" s="423"/>
      <c r="I997" s="423"/>
      <c r="J997" s="423"/>
      <c r="K997" s="423"/>
      <c r="L997" s="423"/>
      <c r="M997" s="423"/>
      <c r="N997" s="423"/>
      <c r="O997" s="423"/>
      <c r="P997" s="423"/>
      <c r="Q997" s="423"/>
      <c r="R997" s="423"/>
      <c r="S997" s="423"/>
      <c r="T997" s="423"/>
      <c r="U997" s="423"/>
      <c r="V997" s="423"/>
      <c r="W997" s="423"/>
      <c r="X997" s="423"/>
      <c r="Y997" s="423"/>
      <c r="Z997" s="423"/>
      <c r="AA997" s="423"/>
      <c r="AB997" s="423"/>
      <c r="AC997" s="423"/>
      <c r="AD997" s="423"/>
      <c r="AE997" s="423"/>
      <c r="AF997" s="423"/>
      <c r="AG997" s="423"/>
      <c r="AH997" s="423"/>
      <c r="AI997" s="423"/>
    </row>
    <row r="998">
      <c r="A998" s="419"/>
      <c r="B998" s="419"/>
      <c r="C998" s="419"/>
      <c r="D998" s="419"/>
      <c r="E998" s="387"/>
      <c r="F998" s="387"/>
      <c r="G998" s="423"/>
      <c r="H998" s="423"/>
      <c r="I998" s="423"/>
      <c r="J998" s="423"/>
      <c r="K998" s="423"/>
      <c r="L998" s="423"/>
      <c r="M998" s="423"/>
      <c r="N998" s="423"/>
      <c r="O998" s="423"/>
      <c r="P998" s="423"/>
      <c r="Q998" s="423"/>
      <c r="R998" s="423"/>
      <c r="S998" s="423"/>
      <c r="T998" s="423"/>
      <c r="U998" s="423"/>
      <c r="V998" s="423"/>
      <c r="W998" s="423"/>
      <c r="X998" s="423"/>
      <c r="Y998" s="423"/>
      <c r="Z998" s="423"/>
      <c r="AA998" s="423"/>
      <c r="AB998" s="423"/>
      <c r="AC998" s="423"/>
      <c r="AD998" s="423"/>
      <c r="AE998" s="423"/>
      <c r="AF998" s="423"/>
      <c r="AG998" s="423"/>
      <c r="AH998" s="423"/>
      <c r="AI998" s="423"/>
    </row>
    <row r="999">
      <c r="A999" s="419"/>
      <c r="B999" s="419"/>
      <c r="C999" s="419"/>
      <c r="D999" s="419"/>
      <c r="E999" s="387"/>
      <c r="F999" s="387"/>
      <c r="G999" s="423"/>
      <c r="H999" s="423"/>
      <c r="I999" s="423"/>
      <c r="J999" s="423"/>
      <c r="K999" s="423"/>
      <c r="L999" s="423"/>
      <c r="M999" s="423"/>
      <c r="N999" s="423"/>
      <c r="O999" s="423"/>
      <c r="P999" s="423"/>
      <c r="Q999" s="423"/>
      <c r="R999" s="423"/>
      <c r="S999" s="423"/>
      <c r="T999" s="423"/>
      <c r="U999" s="423"/>
      <c r="V999" s="423"/>
      <c r="W999" s="423"/>
      <c r="X999" s="423"/>
      <c r="Y999" s="423"/>
      <c r="Z999" s="423"/>
      <c r="AA999" s="423"/>
      <c r="AB999" s="423"/>
      <c r="AC999" s="423"/>
      <c r="AD999" s="423"/>
      <c r="AE999" s="423"/>
      <c r="AF999" s="423"/>
      <c r="AG999" s="423"/>
      <c r="AH999" s="423"/>
      <c r="AI999" s="423"/>
    </row>
    <row r="1000">
      <c r="A1000" s="419"/>
      <c r="B1000" s="419"/>
      <c r="C1000" s="419"/>
      <c r="D1000" s="419"/>
      <c r="E1000" s="387"/>
      <c r="F1000" s="387"/>
      <c r="G1000" s="423"/>
      <c r="H1000" s="423"/>
      <c r="I1000" s="423"/>
      <c r="J1000" s="423"/>
      <c r="K1000" s="423"/>
      <c r="L1000" s="423"/>
      <c r="M1000" s="423"/>
      <c r="N1000" s="423"/>
      <c r="O1000" s="423"/>
      <c r="P1000" s="423"/>
      <c r="Q1000" s="423"/>
      <c r="R1000" s="423"/>
      <c r="S1000" s="423"/>
      <c r="T1000" s="423"/>
      <c r="U1000" s="423"/>
      <c r="V1000" s="423"/>
      <c r="W1000" s="423"/>
      <c r="X1000" s="423"/>
      <c r="Y1000" s="423"/>
      <c r="Z1000" s="423"/>
      <c r="AA1000" s="423"/>
      <c r="AB1000" s="423"/>
      <c r="AC1000" s="423"/>
      <c r="AD1000" s="423"/>
      <c r="AE1000" s="423"/>
      <c r="AF1000" s="423"/>
      <c r="AG1000" s="423"/>
      <c r="AH1000" s="423"/>
      <c r="AI1000" s="423"/>
    </row>
    <row r="1001">
      <c r="A1001" s="419"/>
      <c r="B1001" s="419"/>
      <c r="C1001" s="419"/>
      <c r="D1001" s="419"/>
      <c r="E1001" s="387"/>
      <c r="F1001" s="387"/>
      <c r="G1001" s="423"/>
      <c r="H1001" s="423"/>
      <c r="I1001" s="423"/>
      <c r="J1001" s="423"/>
      <c r="K1001" s="423"/>
      <c r="L1001" s="423"/>
      <c r="M1001" s="423"/>
      <c r="N1001" s="423"/>
      <c r="O1001" s="423"/>
      <c r="P1001" s="423"/>
      <c r="Q1001" s="423"/>
      <c r="R1001" s="423"/>
      <c r="S1001" s="423"/>
      <c r="T1001" s="423"/>
      <c r="U1001" s="423"/>
      <c r="V1001" s="423"/>
      <c r="W1001" s="423"/>
      <c r="X1001" s="423"/>
      <c r="Y1001" s="423"/>
      <c r="Z1001" s="423"/>
      <c r="AA1001" s="423"/>
      <c r="AB1001" s="423"/>
      <c r="AC1001" s="423"/>
      <c r="AD1001" s="423"/>
      <c r="AE1001" s="423"/>
      <c r="AF1001" s="423"/>
      <c r="AG1001" s="423"/>
      <c r="AH1001" s="423"/>
      <c r="AI1001" s="423"/>
    </row>
    <row r="1002">
      <c r="A1002" s="419"/>
      <c r="B1002" s="419"/>
      <c r="C1002" s="419"/>
      <c r="D1002" s="419"/>
      <c r="E1002" s="387"/>
      <c r="F1002" s="387"/>
      <c r="G1002" s="423"/>
      <c r="H1002" s="423"/>
      <c r="I1002" s="423"/>
      <c r="J1002" s="423"/>
      <c r="K1002" s="423"/>
      <c r="L1002" s="423"/>
      <c r="M1002" s="423"/>
      <c r="N1002" s="423"/>
      <c r="O1002" s="423"/>
      <c r="P1002" s="423"/>
      <c r="Q1002" s="423"/>
      <c r="R1002" s="423"/>
      <c r="S1002" s="423"/>
      <c r="T1002" s="423"/>
      <c r="U1002" s="423"/>
      <c r="V1002" s="423"/>
      <c r="W1002" s="423"/>
      <c r="X1002" s="423"/>
      <c r="Y1002" s="423"/>
      <c r="Z1002" s="423"/>
      <c r="AA1002" s="423"/>
      <c r="AB1002" s="423"/>
      <c r="AC1002" s="423"/>
      <c r="AD1002" s="423"/>
      <c r="AE1002" s="423"/>
      <c r="AF1002" s="423"/>
      <c r="AG1002" s="423"/>
      <c r="AH1002" s="423"/>
      <c r="AI1002" s="423"/>
    </row>
    <row r="1003">
      <c r="A1003" s="419"/>
      <c r="B1003" s="419"/>
      <c r="C1003" s="419"/>
      <c r="D1003" s="419"/>
      <c r="E1003" s="387"/>
      <c r="F1003" s="387"/>
      <c r="G1003" s="423"/>
      <c r="H1003" s="423"/>
      <c r="I1003" s="423"/>
      <c r="J1003" s="423"/>
      <c r="K1003" s="423"/>
      <c r="L1003" s="423"/>
      <c r="M1003" s="423"/>
      <c r="N1003" s="423"/>
      <c r="O1003" s="423"/>
      <c r="P1003" s="423"/>
      <c r="Q1003" s="423"/>
      <c r="R1003" s="423"/>
      <c r="S1003" s="423"/>
      <c r="T1003" s="423"/>
      <c r="U1003" s="423"/>
      <c r="V1003" s="423"/>
      <c r="W1003" s="423"/>
      <c r="X1003" s="423"/>
      <c r="Y1003" s="423"/>
      <c r="Z1003" s="423"/>
      <c r="AA1003" s="423"/>
      <c r="AB1003" s="423"/>
      <c r="AC1003" s="423"/>
      <c r="AD1003" s="423"/>
      <c r="AE1003" s="423"/>
      <c r="AF1003" s="423"/>
      <c r="AG1003" s="423"/>
      <c r="AH1003" s="423"/>
      <c r="AI1003" s="423"/>
    </row>
    <row r="1004">
      <c r="A1004" s="419"/>
      <c r="B1004" s="419"/>
      <c r="C1004" s="419"/>
      <c r="D1004" s="419"/>
      <c r="E1004" s="387"/>
      <c r="F1004" s="387"/>
      <c r="G1004" s="423"/>
      <c r="H1004" s="423"/>
      <c r="I1004" s="423"/>
      <c r="J1004" s="423"/>
      <c r="K1004" s="423"/>
      <c r="L1004" s="423"/>
      <c r="M1004" s="423"/>
      <c r="N1004" s="423"/>
      <c r="O1004" s="423"/>
      <c r="P1004" s="423"/>
      <c r="Q1004" s="423"/>
      <c r="R1004" s="423"/>
      <c r="S1004" s="423"/>
      <c r="T1004" s="423"/>
      <c r="U1004" s="423"/>
      <c r="V1004" s="423"/>
      <c r="W1004" s="423"/>
      <c r="X1004" s="423"/>
      <c r="Y1004" s="423"/>
      <c r="Z1004" s="423"/>
      <c r="AA1004" s="423"/>
      <c r="AB1004" s="423"/>
      <c r="AC1004" s="423"/>
      <c r="AD1004" s="423"/>
      <c r="AE1004" s="423"/>
      <c r="AF1004" s="423"/>
      <c r="AG1004" s="423"/>
      <c r="AH1004" s="423"/>
      <c r="AI1004" s="423"/>
    </row>
    <row r="1005">
      <c r="A1005" s="419"/>
      <c r="B1005" s="419"/>
      <c r="C1005" s="419"/>
      <c r="D1005" s="419"/>
      <c r="E1005" s="387"/>
      <c r="F1005" s="387"/>
      <c r="G1005" s="423"/>
      <c r="H1005" s="423"/>
      <c r="I1005" s="423"/>
      <c r="J1005" s="423"/>
      <c r="K1005" s="423"/>
      <c r="L1005" s="423"/>
      <c r="M1005" s="423"/>
      <c r="N1005" s="423"/>
      <c r="O1005" s="423"/>
      <c r="P1005" s="423"/>
      <c r="Q1005" s="423"/>
      <c r="R1005" s="423"/>
      <c r="S1005" s="423"/>
      <c r="T1005" s="423"/>
      <c r="U1005" s="423"/>
      <c r="V1005" s="423"/>
      <c r="W1005" s="423"/>
      <c r="X1005" s="423"/>
      <c r="Y1005" s="423"/>
      <c r="Z1005" s="423"/>
      <c r="AA1005" s="423"/>
      <c r="AB1005" s="423"/>
      <c r="AC1005" s="423"/>
      <c r="AD1005" s="423"/>
      <c r="AE1005" s="423"/>
      <c r="AF1005" s="423"/>
      <c r="AG1005" s="423"/>
      <c r="AH1005" s="423"/>
      <c r="AI1005" s="423"/>
    </row>
    <row r="1006">
      <c r="A1006" s="419"/>
      <c r="B1006" s="419"/>
      <c r="C1006" s="419"/>
      <c r="D1006" s="419"/>
      <c r="E1006" s="387"/>
      <c r="F1006" s="387"/>
      <c r="G1006" s="423"/>
      <c r="H1006" s="423"/>
      <c r="I1006" s="423"/>
      <c r="J1006" s="423"/>
      <c r="K1006" s="423"/>
      <c r="L1006" s="423"/>
      <c r="M1006" s="423"/>
      <c r="N1006" s="423"/>
      <c r="O1006" s="423"/>
      <c r="P1006" s="423"/>
      <c r="Q1006" s="423"/>
      <c r="R1006" s="423"/>
      <c r="S1006" s="423"/>
      <c r="T1006" s="423"/>
      <c r="U1006" s="423"/>
      <c r="V1006" s="423"/>
      <c r="W1006" s="423"/>
      <c r="X1006" s="423"/>
      <c r="Y1006" s="423"/>
      <c r="Z1006" s="423"/>
      <c r="AA1006" s="423"/>
      <c r="AB1006" s="423"/>
      <c r="AC1006" s="423"/>
      <c r="AD1006" s="423"/>
      <c r="AE1006" s="423"/>
      <c r="AF1006" s="423"/>
      <c r="AG1006" s="423"/>
      <c r="AH1006" s="423"/>
      <c r="AI1006" s="423"/>
    </row>
    <row r="1007">
      <c r="A1007" s="419"/>
      <c r="B1007" s="419"/>
      <c r="C1007" s="419"/>
      <c r="D1007" s="419"/>
      <c r="E1007" s="387"/>
      <c r="F1007" s="387"/>
      <c r="G1007" s="423"/>
      <c r="H1007" s="423"/>
      <c r="I1007" s="423"/>
      <c r="J1007" s="423"/>
      <c r="K1007" s="423"/>
      <c r="L1007" s="423"/>
      <c r="M1007" s="423"/>
      <c r="N1007" s="423"/>
      <c r="O1007" s="423"/>
      <c r="P1007" s="423"/>
      <c r="Q1007" s="423"/>
      <c r="R1007" s="423"/>
      <c r="S1007" s="423"/>
      <c r="T1007" s="423"/>
      <c r="U1007" s="423"/>
      <c r="V1007" s="423"/>
      <c r="W1007" s="423"/>
      <c r="X1007" s="423"/>
      <c r="Y1007" s="423"/>
      <c r="Z1007" s="423"/>
      <c r="AA1007" s="423"/>
      <c r="AB1007" s="423"/>
      <c r="AC1007" s="423"/>
      <c r="AD1007" s="423"/>
      <c r="AE1007" s="423"/>
      <c r="AF1007" s="423"/>
      <c r="AG1007" s="423"/>
      <c r="AH1007" s="423"/>
      <c r="AI1007" s="423"/>
    </row>
    <row r="1008">
      <c r="A1008" s="419"/>
      <c r="B1008" s="419"/>
      <c r="C1008" s="419"/>
      <c r="D1008" s="419"/>
      <c r="E1008" s="387"/>
      <c r="F1008" s="387"/>
      <c r="G1008" s="423"/>
      <c r="H1008" s="423"/>
      <c r="I1008" s="423"/>
      <c r="J1008" s="423"/>
      <c r="K1008" s="423"/>
      <c r="L1008" s="423"/>
      <c r="M1008" s="423"/>
      <c r="N1008" s="423"/>
      <c r="O1008" s="423"/>
      <c r="P1008" s="423"/>
      <c r="Q1008" s="423"/>
      <c r="R1008" s="423"/>
      <c r="S1008" s="423"/>
      <c r="T1008" s="423"/>
      <c r="U1008" s="423"/>
      <c r="V1008" s="423"/>
      <c r="W1008" s="423"/>
      <c r="X1008" s="423"/>
      <c r="Y1008" s="423"/>
      <c r="Z1008" s="423"/>
      <c r="AA1008" s="423"/>
      <c r="AB1008" s="423"/>
      <c r="AC1008" s="423"/>
      <c r="AD1008" s="423"/>
      <c r="AE1008" s="423"/>
      <c r="AF1008" s="423"/>
      <c r="AG1008" s="423"/>
      <c r="AH1008" s="423"/>
      <c r="AI1008" s="423"/>
    </row>
    <row r="1009">
      <c r="A1009" s="419"/>
      <c r="B1009" s="419"/>
      <c r="C1009" s="419"/>
      <c r="D1009" s="419"/>
      <c r="E1009" s="387"/>
      <c r="F1009" s="387"/>
      <c r="G1009" s="423"/>
      <c r="H1009" s="423"/>
      <c r="I1009" s="423"/>
      <c r="J1009" s="423"/>
      <c r="K1009" s="423"/>
      <c r="L1009" s="423"/>
      <c r="M1009" s="423"/>
      <c r="N1009" s="423"/>
      <c r="O1009" s="423"/>
      <c r="P1009" s="423"/>
      <c r="Q1009" s="423"/>
      <c r="R1009" s="423"/>
      <c r="S1009" s="423"/>
      <c r="T1009" s="423"/>
      <c r="U1009" s="423"/>
      <c r="V1009" s="423"/>
      <c r="W1009" s="423"/>
      <c r="X1009" s="423"/>
      <c r="Y1009" s="423"/>
      <c r="Z1009" s="423"/>
      <c r="AA1009" s="423"/>
      <c r="AB1009" s="423"/>
      <c r="AC1009" s="423"/>
      <c r="AD1009" s="423"/>
      <c r="AE1009" s="423"/>
      <c r="AF1009" s="423"/>
      <c r="AG1009" s="423"/>
      <c r="AH1009" s="423"/>
      <c r="AI1009" s="423"/>
    </row>
    <row r="1010">
      <c r="A1010" s="419"/>
      <c r="B1010" s="419"/>
      <c r="C1010" s="419"/>
      <c r="D1010" s="419"/>
      <c r="E1010" s="387"/>
      <c r="F1010" s="387"/>
      <c r="G1010" s="423"/>
      <c r="H1010" s="423"/>
      <c r="I1010" s="423"/>
      <c r="J1010" s="423"/>
      <c r="K1010" s="423"/>
      <c r="L1010" s="423"/>
      <c r="M1010" s="423"/>
      <c r="N1010" s="423"/>
      <c r="O1010" s="423"/>
      <c r="P1010" s="423"/>
      <c r="Q1010" s="423"/>
      <c r="R1010" s="423"/>
      <c r="S1010" s="423"/>
      <c r="T1010" s="423"/>
      <c r="U1010" s="423"/>
      <c r="V1010" s="423"/>
      <c r="W1010" s="423"/>
      <c r="X1010" s="423"/>
      <c r="Y1010" s="423"/>
      <c r="Z1010" s="423"/>
      <c r="AA1010" s="423"/>
      <c r="AB1010" s="423"/>
      <c r="AC1010" s="423"/>
      <c r="AD1010" s="423"/>
      <c r="AE1010" s="423"/>
      <c r="AF1010" s="423"/>
      <c r="AG1010" s="423"/>
      <c r="AH1010" s="423"/>
      <c r="AI1010" s="423"/>
    </row>
    <row r="1011">
      <c r="A1011" s="419"/>
      <c r="B1011" s="419"/>
      <c r="C1011" s="419"/>
      <c r="D1011" s="419"/>
      <c r="E1011" s="387"/>
      <c r="F1011" s="387"/>
      <c r="G1011" s="423"/>
      <c r="H1011" s="423"/>
      <c r="I1011" s="423"/>
      <c r="J1011" s="423"/>
      <c r="K1011" s="423"/>
      <c r="L1011" s="423"/>
      <c r="M1011" s="423"/>
      <c r="N1011" s="423"/>
      <c r="O1011" s="423"/>
      <c r="P1011" s="423"/>
      <c r="Q1011" s="423"/>
      <c r="R1011" s="423"/>
      <c r="S1011" s="423"/>
      <c r="T1011" s="423"/>
      <c r="U1011" s="423"/>
      <c r="V1011" s="423"/>
      <c r="W1011" s="423"/>
      <c r="X1011" s="423"/>
      <c r="Y1011" s="423"/>
      <c r="Z1011" s="423"/>
      <c r="AA1011" s="423"/>
      <c r="AB1011" s="423"/>
      <c r="AC1011" s="423"/>
      <c r="AD1011" s="423"/>
      <c r="AE1011" s="423"/>
      <c r="AF1011" s="423"/>
      <c r="AG1011" s="423"/>
      <c r="AH1011" s="423"/>
      <c r="AI1011" s="423"/>
    </row>
    <row r="1012">
      <c r="A1012" s="419"/>
      <c r="B1012" s="419"/>
      <c r="C1012" s="419"/>
      <c r="D1012" s="419"/>
      <c r="E1012" s="387"/>
      <c r="F1012" s="387"/>
      <c r="G1012" s="423"/>
      <c r="H1012" s="423"/>
      <c r="I1012" s="423"/>
      <c r="J1012" s="423"/>
      <c r="K1012" s="423"/>
      <c r="L1012" s="423"/>
      <c r="M1012" s="423"/>
      <c r="N1012" s="423"/>
      <c r="O1012" s="423"/>
      <c r="P1012" s="423"/>
      <c r="Q1012" s="423"/>
      <c r="R1012" s="423"/>
      <c r="S1012" s="423"/>
      <c r="T1012" s="423"/>
      <c r="U1012" s="423"/>
      <c r="V1012" s="423"/>
      <c r="W1012" s="423"/>
      <c r="X1012" s="423"/>
      <c r="Y1012" s="423"/>
      <c r="Z1012" s="423"/>
      <c r="AA1012" s="423"/>
      <c r="AB1012" s="423"/>
      <c r="AC1012" s="423"/>
      <c r="AD1012" s="423"/>
      <c r="AE1012" s="423"/>
      <c r="AF1012" s="423"/>
      <c r="AG1012" s="423"/>
      <c r="AH1012" s="423"/>
      <c r="AI1012" s="423"/>
    </row>
    <row r="1013">
      <c r="A1013" s="419"/>
      <c r="B1013" s="419"/>
      <c r="C1013" s="419"/>
      <c r="D1013" s="419"/>
      <c r="E1013" s="387"/>
      <c r="F1013" s="387"/>
      <c r="G1013" s="423"/>
      <c r="H1013" s="423"/>
      <c r="I1013" s="423"/>
      <c r="J1013" s="423"/>
      <c r="K1013" s="423"/>
      <c r="L1013" s="423"/>
      <c r="M1013" s="423"/>
      <c r="N1013" s="423"/>
      <c r="O1013" s="423"/>
      <c r="P1013" s="423"/>
      <c r="Q1013" s="423"/>
      <c r="R1013" s="423"/>
      <c r="S1013" s="423"/>
      <c r="T1013" s="423"/>
      <c r="U1013" s="423"/>
      <c r="V1013" s="423"/>
      <c r="W1013" s="423"/>
      <c r="X1013" s="423"/>
      <c r="Y1013" s="423"/>
      <c r="Z1013" s="423"/>
      <c r="AA1013" s="423"/>
      <c r="AB1013" s="423"/>
      <c r="AC1013" s="423"/>
      <c r="AD1013" s="423"/>
      <c r="AE1013" s="423"/>
      <c r="AF1013" s="423"/>
      <c r="AG1013" s="423"/>
      <c r="AH1013" s="423"/>
      <c r="AI1013" s="423"/>
    </row>
    <row r="1014">
      <c r="A1014" s="419"/>
      <c r="B1014" s="419"/>
      <c r="C1014" s="419"/>
      <c r="D1014" s="419"/>
      <c r="E1014" s="387"/>
      <c r="F1014" s="387"/>
      <c r="G1014" s="423"/>
      <c r="H1014" s="423"/>
      <c r="I1014" s="423"/>
      <c r="J1014" s="423"/>
      <c r="K1014" s="423"/>
      <c r="L1014" s="423"/>
      <c r="M1014" s="423"/>
      <c r="N1014" s="423"/>
      <c r="O1014" s="423"/>
      <c r="P1014" s="423"/>
      <c r="Q1014" s="423"/>
      <c r="R1014" s="423"/>
      <c r="S1014" s="423"/>
      <c r="T1014" s="423"/>
      <c r="U1014" s="423"/>
      <c r="V1014" s="423"/>
      <c r="W1014" s="423"/>
      <c r="X1014" s="423"/>
      <c r="Y1014" s="423"/>
      <c r="Z1014" s="423"/>
      <c r="AA1014" s="423"/>
      <c r="AB1014" s="423"/>
      <c r="AC1014" s="423"/>
      <c r="AD1014" s="423"/>
      <c r="AE1014" s="423"/>
      <c r="AF1014" s="423"/>
      <c r="AG1014" s="423"/>
      <c r="AH1014" s="423"/>
      <c r="AI1014" s="423"/>
    </row>
    <row r="1015">
      <c r="A1015" s="419"/>
      <c r="B1015" s="419"/>
      <c r="C1015" s="419"/>
      <c r="D1015" s="419"/>
      <c r="E1015" s="387"/>
      <c r="F1015" s="387"/>
      <c r="G1015" s="423"/>
      <c r="H1015" s="423"/>
      <c r="I1015" s="423"/>
      <c r="J1015" s="423"/>
      <c r="K1015" s="423"/>
      <c r="L1015" s="423"/>
      <c r="M1015" s="423"/>
      <c r="N1015" s="423"/>
      <c r="O1015" s="423"/>
      <c r="P1015" s="423"/>
      <c r="Q1015" s="423"/>
      <c r="R1015" s="423"/>
      <c r="S1015" s="423"/>
      <c r="T1015" s="423"/>
      <c r="U1015" s="423"/>
      <c r="V1015" s="423"/>
      <c r="W1015" s="423"/>
      <c r="X1015" s="423"/>
      <c r="Y1015" s="423"/>
      <c r="Z1015" s="423"/>
      <c r="AA1015" s="423"/>
      <c r="AB1015" s="423"/>
      <c r="AC1015" s="423"/>
      <c r="AD1015" s="423"/>
      <c r="AE1015" s="423"/>
      <c r="AF1015" s="423"/>
      <c r="AG1015" s="423"/>
      <c r="AH1015" s="423"/>
      <c r="AI1015" s="423"/>
    </row>
    <row r="1016">
      <c r="A1016" s="419"/>
      <c r="B1016" s="419"/>
      <c r="C1016" s="419"/>
      <c r="D1016" s="419"/>
      <c r="E1016" s="387"/>
      <c r="F1016" s="387"/>
      <c r="G1016" s="423"/>
      <c r="H1016" s="423"/>
      <c r="I1016" s="423"/>
      <c r="J1016" s="423"/>
      <c r="K1016" s="423"/>
      <c r="L1016" s="423"/>
      <c r="M1016" s="423"/>
      <c r="N1016" s="423"/>
      <c r="O1016" s="423"/>
      <c r="P1016" s="423"/>
      <c r="Q1016" s="423"/>
      <c r="R1016" s="423"/>
      <c r="S1016" s="423"/>
      <c r="T1016" s="423"/>
      <c r="U1016" s="423"/>
      <c r="V1016" s="423"/>
      <c r="W1016" s="423"/>
      <c r="X1016" s="423"/>
      <c r="Y1016" s="423"/>
      <c r="Z1016" s="423"/>
      <c r="AA1016" s="423"/>
      <c r="AB1016" s="423"/>
      <c r="AC1016" s="423"/>
      <c r="AD1016" s="423"/>
      <c r="AE1016" s="423"/>
      <c r="AF1016" s="423"/>
      <c r="AG1016" s="423"/>
      <c r="AH1016" s="423"/>
      <c r="AI1016" s="423"/>
    </row>
    <row r="1017">
      <c r="A1017" s="419"/>
      <c r="B1017" s="419"/>
      <c r="C1017" s="419"/>
      <c r="D1017" s="419"/>
      <c r="E1017" s="387"/>
      <c r="F1017" s="387"/>
      <c r="G1017" s="423"/>
      <c r="H1017" s="423"/>
      <c r="I1017" s="423"/>
      <c r="J1017" s="423"/>
      <c r="K1017" s="423"/>
      <c r="L1017" s="423"/>
      <c r="M1017" s="423"/>
      <c r="N1017" s="423"/>
      <c r="O1017" s="423"/>
      <c r="P1017" s="423"/>
      <c r="Q1017" s="423"/>
      <c r="R1017" s="423"/>
      <c r="S1017" s="423"/>
      <c r="T1017" s="423"/>
      <c r="U1017" s="423"/>
      <c r="V1017" s="423"/>
      <c r="W1017" s="423"/>
      <c r="X1017" s="423"/>
      <c r="Y1017" s="423"/>
      <c r="Z1017" s="423"/>
      <c r="AA1017" s="423"/>
      <c r="AB1017" s="423"/>
      <c r="AC1017" s="423"/>
      <c r="AD1017" s="423"/>
      <c r="AE1017" s="423"/>
      <c r="AF1017" s="423"/>
      <c r="AG1017" s="423"/>
      <c r="AH1017" s="423"/>
      <c r="AI1017" s="423"/>
    </row>
    <row r="1018">
      <c r="A1018" s="419"/>
      <c r="B1018" s="419"/>
      <c r="C1018" s="419"/>
      <c r="D1018" s="419"/>
      <c r="E1018" s="387"/>
      <c r="F1018" s="387"/>
      <c r="G1018" s="423"/>
      <c r="H1018" s="423"/>
      <c r="I1018" s="423"/>
      <c r="J1018" s="423"/>
      <c r="K1018" s="423"/>
      <c r="L1018" s="423"/>
      <c r="M1018" s="423"/>
      <c r="N1018" s="423"/>
      <c r="O1018" s="423"/>
      <c r="P1018" s="423"/>
      <c r="Q1018" s="423"/>
      <c r="R1018" s="423"/>
      <c r="S1018" s="423"/>
      <c r="T1018" s="423"/>
      <c r="U1018" s="423"/>
      <c r="V1018" s="423"/>
      <c r="W1018" s="423"/>
      <c r="X1018" s="423"/>
      <c r="Y1018" s="423"/>
      <c r="Z1018" s="423"/>
      <c r="AA1018" s="423"/>
      <c r="AB1018" s="423"/>
      <c r="AC1018" s="423"/>
      <c r="AD1018" s="423"/>
      <c r="AE1018" s="423"/>
      <c r="AF1018" s="423"/>
      <c r="AG1018" s="423"/>
      <c r="AH1018" s="423"/>
      <c r="AI1018" s="423"/>
    </row>
    <row r="1019">
      <c r="A1019" s="419"/>
      <c r="B1019" s="419"/>
      <c r="C1019" s="419"/>
      <c r="D1019" s="419"/>
      <c r="E1019" s="387"/>
      <c r="F1019" s="387"/>
      <c r="G1019" s="423"/>
      <c r="H1019" s="423"/>
      <c r="I1019" s="423"/>
      <c r="J1019" s="423"/>
      <c r="K1019" s="423"/>
      <c r="L1019" s="423"/>
      <c r="M1019" s="423"/>
      <c r="N1019" s="423"/>
      <c r="O1019" s="423"/>
      <c r="P1019" s="423"/>
      <c r="Q1019" s="423"/>
      <c r="R1019" s="423"/>
      <c r="S1019" s="423"/>
      <c r="T1019" s="423"/>
      <c r="U1019" s="423"/>
      <c r="V1019" s="423"/>
      <c r="W1019" s="423"/>
      <c r="X1019" s="423"/>
      <c r="Y1019" s="423"/>
      <c r="Z1019" s="423"/>
      <c r="AA1019" s="423"/>
      <c r="AB1019" s="423"/>
      <c r="AC1019" s="423"/>
      <c r="AD1019" s="423"/>
      <c r="AE1019" s="423"/>
      <c r="AF1019" s="423"/>
      <c r="AG1019" s="423"/>
      <c r="AH1019" s="423"/>
      <c r="AI1019" s="423"/>
    </row>
    <row r="1020">
      <c r="A1020" s="419"/>
      <c r="B1020" s="419"/>
      <c r="C1020" s="419"/>
      <c r="D1020" s="419"/>
      <c r="E1020" s="387"/>
      <c r="F1020" s="387"/>
      <c r="G1020" s="423"/>
      <c r="H1020" s="423"/>
      <c r="I1020" s="423"/>
      <c r="J1020" s="423"/>
      <c r="K1020" s="423"/>
      <c r="L1020" s="423"/>
      <c r="M1020" s="423"/>
      <c r="N1020" s="423"/>
      <c r="O1020" s="423"/>
      <c r="P1020" s="423"/>
      <c r="Q1020" s="423"/>
      <c r="R1020" s="423"/>
      <c r="S1020" s="423"/>
      <c r="T1020" s="423"/>
      <c r="U1020" s="423"/>
      <c r="V1020" s="423"/>
      <c r="W1020" s="423"/>
      <c r="X1020" s="423"/>
      <c r="Y1020" s="423"/>
      <c r="Z1020" s="423"/>
      <c r="AA1020" s="423"/>
      <c r="AB1020" s="423"/>
      <c r="AC1020" s="423"/>
      <c r="AD1020" s="423"/>
      <c r="AE1020" s="423"/>
      <c r="AF1020" s="423"/>
      <c r="AG1020" s="423"/>
      <c r="AH1020" s="423"/>
      <c r="AI1020" s="423"/>
    </row>
    <row r="1021">
      <c r="A1021" s="419"/>
      <c r="B1021" s="419"/>
      <c r="C1021" s="419"/>
      <c r="D1021" s="419"/>
      <c r="E1021" s="387"/>
      <c r="F1021" s="387"/>
      <c r="G1021" s="423"/>
      <c r="H1021" s="423"/>
      <c r="I1021" s="423"/>
      <c r="J1021" s="423"/>
      <c r="K1021" s="423"/>
      <c r="L1021" s="423"/>
      <c r="M1021" s="423"/>
      <c r="N1021" s="423"/>
      <c r="O1021" s="423"/>
      <c r="P1021" s="423"/>
      <c r="Q1021" s="423"/>
      <c r="R1021" s="423"/>
      <c r="S1021" s="423"/>
      <c r="T1021" s="423"/>
      <c r="U1021" s="423"/>
      <c r="V1021" s="423"/>
      <c r="W1021" s="423"/>
      <c r="X1021" s="423"/>
      <c r="Y1021" s="423"/>
      <c r="Z1021" s="423"/>
      <c r="AA1021" s="423"/>
      <c r="AB1021" s="423"/>
      <c r="AC1021" s="423"/>
      <c r="AD1021" s="423"/>
      <c r="AE1021" s="423"/>
      <c r="AF1021" s="423"/>
      <c r="AG1021" s="423"/>
      <c r="AH1021" s="423"/>
      <c r="AI1021" s="423"/>
    </row>
    <row r="1022">
      <c r="A1022" s="419"/>
      <c r="B1022" s="419"/>
      <c r="C1022" s="419"/>
      <c r="D1022" s="419"/>
      <c r="E1022" s="387"/>
      <c r="F1022" s="387"/>
      <c r="G1022" s="423"/>
      <c r="H1022" s="423"/>
      <c r="I1022" s="423"/>
      <c r="J1022" s="423"/>
      <c r="K1022" s="423"/>
      <c r="L1022" s="423"/>
      <c r="M1022" s="423"/>
      <c r="N1022" s="423"/>
      <c r="O1022" s="423"/>
      <c r="P1022" s="423"/>
      <c r="Q1022" s="423"/>
      <c r="R1022" s="423"/>
      <c r="S1022" s="423"/>
      <c r="T1022" s="423"/>
      <c r="U1022" s="423"/>
      <c r="V1022" s="423"/>
      <c r="W1022" s="423"/>
      <c r="X1022" s="423"/>
      <c r="Y1022" s="423"/>
      <c r="Z1022" s="423"/>
      <c r="AA1022" s="423"/>
      <c r="AB1022" s="423"/>
      <c r="AC1022" s="423"/>
      <c r="AD1022" s="423"/>
      <c r="AE1022" s="423"/>
      <c r="AF1022" s="423"/>
      <c r="AG1022" s="423"/>
      <c r="AH1022" s="423"/>
      <c r="AI1022" s="423"/>
    </row>
    <row r="1023">
      <c r="A1023" s="419"/>
      <c r="B1023" s="419"/>
      <c r="C1023" s="419"/>
      <c r="D1023" s="419"/>
      <c r="E1023" s="387"/>
      <c r="F1023" s="387"/>
      <c r="G1023" s="423"/>
      <c r="H1023" s="423"/>
      <c r="I1023" s="423"/>
      <c r="J1023" s="423"/>
      <c r="K1023" s="423"/>
      <c r="L1023" s="423"/>
      <c r="M1023" s="423"/>
      <c r="N1023" s="423"/>
      <c r="O1023" s="423"/>
      <c r="P1023" s="423"/>
      <c r="Q1023" s="423"/>
      <c r="R1023" s="423"/>
      <c r="S1023" s="423"/>
      <c r="T1023" s="423"/>
      <c r="U1023" s="423"/>
      <c r="V1023" s="423"/>
      <c r="W1023" s="423"/>
      <c r="X1023" s="423"/>
      <c r="Y1023" s="423"/>
      <c r="Z1023" s="423"/>
      <c r="AA1023" s="423"/>
      <c r="AB1023" s="423"/>
      <c r="AC1023" s="423"/>
      <c r="AD1023" s="423"/>
      <c r="AE1023" s="423"/>
      <c r="AF1023" s="423"/>
      <c r="AG1023" s="423"/>
      <c r="AH1023" s="423"/>
      <c r="AI1023" s="423"/>
    </row>
    <row r="1024">
      <c r="A1024" s="419"/>
      <c r="B1024" s="419"/>
      <c r="C1024" s="419"/>
      <c r="D1024" s="419"/>
      <c r="E1024" s="387"/>
      <c r="F1024" s="387"/>
      <c r="G1024" s="423"/>
      <c r="H1024" s="423"/>
      <c r="I1024" s="423"/>
      <c r="J1024" s="423"/>
      <c r="K1024" s="423"/>
      <c r="L1024" s="423"/>
      <c r="M1024" s="423"/>
      <c r="N1024" s="423"/>
      <c r="O1024" s="423"/>
      <c r="P1024" s="423"/>
      <c r="Q1024" s="423"/>
      <c r="R1024" s="423"/>
      <c r="S1024" s="423"/>
      <c r="T1024" s="423"/>
      <c r="U1024" s="423"/>
      <c r="V1024" s="423"/>
      <c r="W1024" s="423"/>
      <c r="X1024" s="423"/>
      <c r="Y1024" s="423"/>
      <c r="Z1024" s="423"/>
      <c r="AA1024" s="423"/>
      <c r="AB1024" s="423"/>
      <c r="AC1024" s="423"/>
      <c r="AD1024" s="423"/>
      <c r="AE1024" s="423"/>
      <c r="AF1024" s="423"/>
      <c r="AG1024" s="423"/>
      <c r="AH1024" s="423"/>
      <c r="AI1024" s="423"/>
    </row>
    <row r="1025">
      <c r="A1025" s="419"/>
      <c r="B1025" s="419"/>
      <c r="C1025" s="419"/>
      <c r="D1025" s="419"/>
      <c r="E1025" s="387"/>
      <c r="F1025" s="387"/>
      <c r="G1025" s="423"/>
      <c r="H1025" s="423"/>
      <c r="I1025" s="423"/>
      <c r="J1025" s="423"/>
      <c r="K1025" s="423"/>
      <c r="L1025" s="423"/>
      <c r="M1025" s="423"/>
      <c r="N1025" s="423"/>
      <c r="O1025" s="423"/>
      <c r="P1025" s="423"/>
      <c r="Q1025" s="423"/>
      <c r="R1025" s="423"/>
      <c r="S1025" s="423"/>
      <c r="T1025" s="423"/>
      <c r="U1025" s="423"/>
      <c r="V1025" s="423"/>
      <c r="W1025" s="423"/>
      <c r="X1025" s="423"/>
      <c r="Y1025" s="423"/>
      <c r="Z1025" s="423"/>
      <c r="AA1025" s="423"/>
      <c r="AB1025" s="423"/>
      <c r="AC1025" s="423"/>
      <c r="AD1025" s="423"/>
      <c r="AE1025" s="423"/>
      <c r="AF1025" s="423"/>
      <c r="AG1025" s="423"/>
      <c r="AH1025" s="423"/>
      <c r="AI1025" s="423"/>
    </row>
    <row r="1026">
      <c r="A1026" s="419"/>
      <c r="B1026" s="419"/>
      <c r="C1026" s="419"/>
      <c r="D1026" s="419"/>
      <c r="E1026" s="387"/>
      <c r="F1026" s="387"/>
      <c r="G1026" s="423"/>
      <c r="H1026" s="423"/>
      <c r="I1026" s="423"/>
      <c r="J1026" s="423"/>
      <c r="K1026" s="423"/>
      <c r="L1026" s="423"/>
      <c r="M1026" s="423"/>
      <c r="N1026" s="423"/>
      <c r="O1026" s="423"/>
      <c r="P1026" s="423"/>
      <c r="Q1026" s="423"/>
      <c r="R1026" s="423"/>
      <c r="S1026" s="423"/>
      <c r="T1026" s="423"/>
      <c r="U1026" s="423"/>
      <c r="V1026" s="423"/>
      <c r="W1026" s="423"/>
      <c r="X1026" s="423"/>
      <c r="Y1026" s="423"/>
      <c r="Z1026" s="423"/>
      <c r="AA1026" s="423"/>
      <c r="AB1026" s="423"/>
      <c r="AC1026" s="423"/>
      <c r="AD1026" s="423"/>
      <c r="AE1026" s="423"/>
      <c r="AF1026" s="423"/>
      <c r="AG1026" s="423"/>
      <c r="AH1026" s="423"/>
      <c r="AI1026" s="423"/>
    </row>
    <row r="1027">
      <c r="A1027" s="419"/>
      <c r="B1027" s="419"/>
      <c r="C1027" s="419"/>
      <c r="D1027" s="419"/>
      <c r="E1027" s="387"/>
      <c r="F1027" s="387"/>
      <c r="G1027" s="423"/>
      <c r="H1027" s="423"/>
      <c r="I1027" s="423"/>
      <c r="J1027" s="423"/>
      <c r="K1027" s="423"/>
      <c r="L1027" s="423"/>
      <c r="M1027" s="423"/>
      <c r="N1027" s="423"/>
      <c r="O1027" s="423"/>
      <c r="P1027" s="423"/>
      <c r="Q1027" s="423"/>
      <c r="R1027" s="423"/>
      <c r="S1027" s="423"/>
      <c r="T1027" s="423"/>
      <c r="U1027" s="423"/>
      <c r="V1027" s="423"/>
      <c r="W1027" s="423"/>
      <c r="X1027" s="423"/>
      <c r="Y1027" s="423"/>
      <c r="Z1027" s="423"/>
      <c r="AA1027" s="423"/>
      <c r="AB1027" s="423"/>
      <c r="AC1027" s="423"/>
      <c r="AD1027" s="423"/>
      <c r="AE1027" s="423"/>
      <c r="AF1027" s="423"/>
      <c r="AG1027" s="423"/>
      <c r="AH1027" s="423"/>
      <c r="AI1027" s="423"/>
    </row>
    <row r="1028">
      <c r="A1028" s="419"/>
      <c r="B1028" s="419"/>
      <c r="C1028" s="419"/>
      <c r="D1028" s="419"/>
      <c r="E1028" s="387"/>
      <c r="F1028" s="387"/>
      <c r="G1028" s="423"/>
      <c r="H1028" s="423"/>
      <c r="I1028" s="423"/>
      <c r="J1028" s="423"/>
      <c r="K1028" s="423"/>
      <c r="L1028" s="423"/>
      <c r="M1028" s="423"/>
      <c r="N1028" s="423"/>
      <c r="O1028" s="423"/>
      <c r="P1028" s="423"/>
      <c r="Q1028" s="423"/>
      <c r="R1028" s="423"/>
      <c r="S1028" s="423"/>
      <c r="T1028" s="423"/>
      <c r="U1028" s="423"/>
      <c r="V1028" s="423"/>
      <c r="W1028" s="423"/>
      <c r="X1028" s="423"/>
      <c r="Y1028" s="423"/>
      <c r="Z1028" s="423"/>
      <c r="AA1028" s="423"/>
      <c r="AB1028" s="423"/>
      <c r="AC1028" s="423"/>
      <c r="AD1028" s="423"/>
      <c r="AE1028" s="423"/>
      <c r="AF1028" s="423"/>
      <c r="AG1028" s="423"/>
      <c r="AH1028" s="423"/>
      <c r="AI1028" s="423"/>
    </row>
    <row r="1029">
      <c r="A1029" s="419"/>
      <c r="B1029" s="419"/>
      <c r="C1029" s="419"/>
      <c r="D1029" s="419"/>
      <c r="E1029" s="387"/>
      <c r="F1029" s="387"/>
      <c r="G1029" s="423"/>
      <c r="H1029" s="423"/>
      <c r="I1029" s="423"/>
      <c r="J1029" s="423"/>
      <c r="K1029" s="423"/>
      <c r="L1029" s="423"/>
      <c r="M1029" s="423"/>
      <c r="N1029" s="423"/>
      <c r="O1029" s="423"/>
      <c r="P1029" s="423"/>
      <c r="Q1029" s="423"/>
      <c r="R1029" s="423"/>
      <c r="S1029" s="423"/>
      <c r="T1029" s="423"/>
      <c r="U1029" s="423"/>
      <c r="V1029" s="423"/>
      <c r="W1029" s="423"/>
      <c r="X1029" s="423"/>
      <c r="Y1029" s="423"/>
      <c r="Z1029" s="423"/>
      <c r="AA1029" s="423"/>
      <c r="AB1029" s="423"/>
      <c r="AC1029" s="423"/>
      <c r="AD1029" s="423"/>
      <c r="AE1029" s="423"/>
      <c r="AF1029" s="423"/>
      <c r="AG1029" s="423"/>
      <c r="AH1029" s="423"/>
      <c r="AI1029" s="423"/>
    </row>
    <row r="1030">
      <c r="A1030" s="419"/>
      <c r="B1030" s="419"/>
      <c r="C1030" s="419"/>
      <c r="D1030" s="419"/>
      <c r="E1030" s="387"/>
      <c r="F1030" s="387"/>
      <c r="G1030" s="423"/>
      <c r="H1030" s="423"/>
      <c r="I1030" s="423"/>
      <c r="J1030" s="423"/>
      <c r="K1030" s="423"/>
      <c r="L1030" s="423"/>
      <c r="M1030" s="423"/>
      <c r="N1030" s="423"/>
      <c r="O1030" s="423"/>
      <c r="P1030" s="423"/>
      <c r="Q1030" s="423"/>
      <c r="R1030" s="423"/>
      <c r="S1030" s="423"/>
      <c r="T1030" s="423"/>
      <c r="U1030" s="423"/>
      <c r="V1030" s="423"/>
      <c r="W1030" s="423"/>
      <c r="X1030" s="423"/>
      <c r="Y1030" s="423"/>
      <c r="Z1030" s="423"/>
      <c r="AA1030" s="423"/>
      <c r="AB1030" s="423"/>
      <c r="AC1030" s="423"/>
      <c r="AD1030" s="423"/>
      <c r="AE1030" s="423"/>
      <c r="AF1030" s="423"/>
      <c r="AG1030" s="423"/>
      <c r="AH1030" s="423"/>
      <c r="AI1030" s="423"/>
    </row>
    <row r="1031">
      <c r="A1031" s="419"/>
      <c r="B1031" s="419"/>
      <c r="C1031" s="419"/>
      <c r="D1031" s="419"/>
      <c r="E1031" s="387"/>
      <c r="F1031" s="387"/>
      <c r="G1031" s="423"/>
      <c r="H1031" s="423"/>
      <c r="I1031" s="423"/>
      <c r="J1031" s="423"/>
      <c r="K1031" s="423"/>
      <c r="L1031" s="423"/>
      <c r="M1031" s="423"/>
      <c r="N1031" s="423"/>
      <c r="O1031" s="423"/>
      <c r="P1031" s="423"/>
      <c r="Q1031" s="423"/>
      <c r="R1031" s="423"/>
      <c r="S1031" s="423"/>
      <c r="T1031" s="423"/>
      <c r="U1031" s="423"/>
      <c r="V1031" s="423"/>
      <c r="W1031" s="423"/>
      <c r="X1031" s="423"/>
      <c r="Y1031" s="423"/>
      <c r="Z1031" s="423"/>
      <c r="AA1031" s="423"/>
      <c r="AB1031" s="423"/>
      <c r="AC1031" s="423"/>
      <c r="AD1031" s="423"/>
      <c r="AE1031" s="423"/>
      <c r="AF1031" s="423"/>
      <c r="AG1031" s="423"/>
      <c r="AH1031" s="423"/>
      <c r="AI1031" s="423"/>
    </row>
    <row r="1032">
      <c r="A1032" s="419"/>
      <c r="B1032" s="419"/>
      <c r="C1032" s="419"/>
      <c r="D1032" s="419"/>
      <c r="E1032" s="387"/>
      <c r="F1032" s="387"/>
      <c r="G1032" s="423"/>
      <c r="H1032" s="423"/>
      <c r="I1032" s="423"/>
      <c r="J1032" s="423"/>
      <c r="K1032" s="423"/>
      <c r="L1032" s="423"/>
      <c r="M1032" s="423"/>
      <c r="N1032" s="423"/>
      <c r="O1032" s="423"/>
      <c r="P1032" s="423"/>
      <c r="Q1032" s="423"/>
      <c r="R1032" s="423"/>
      <c r="S1032" s="423"/>
      <c r="T1032" s="423"/>
      <c r="U1032" s="423"/>
      <c r="V1032" s="423"/>
      <c r="W1032" s="423"/>
      <c r="X1032" s="423"/>
      <c r="Y1032" s="423"/>
      <c r="Z1032" s="423"/>
      <c r="AA1032" s="423"/>
      <c r="AB1032" s="423"/>
      <c r="AC1032" s="423"/>
      <c r="AD1032" s="423"/>
      <c r="AE1032" s="423"/>
      <c r="AF1032" s="423"/>
      <c r="AG1032" s="423"/>
      <c r="AH1032" s="423"/>
      <c r="AI1032" s="423"/>
    </row>
    <row r="1033">
      <c r="A1033" s="419"/>
      <c r="B1033" s="419"/>
      <c r="C1033" s="419"/>
      <c r="D1033" s="419"/>
      <c r="E1033" s="387"/>
      <c r="F1033" s="387"/>
      <c r="G1033" s="423"/>
      <c r="H1033" s="423"/>
      <c r="I1033" s="423"/>
      <c r="J1033" s="423"/>
      <c r="K1033" s="423"/>
      <c r="L1033" s="423"/>
      <c r="M1033" s="423"/>
      <c r="N1033" s="423"/>
      <c r="O1033" s="423"/>
      <c r="P1033" s="423"/>
      <c r="Q1033" s="423"/>
      <c r="R1033" s="423"/>
      <c r="S1033" s="423"/>
      <c r="T1033" s="423"/>
      <c r="U1033" s="423"/>
      <c r="V1033" s="423"/>
      <c r="W1033" s="423"/>
      <c r="X1033" s="423"/>
      <c r="Y1033" s="423"/>
      <c r="Z1033" s="423"/>
      <c r="AA1033" s="423"/>
      <c r="AB1033" s="423"/>
      <c r="AC1033" s="423"/>
      <c r="AD1033" s="423"/>
      <c r="AE1033" s="423"/>
      <c r="AF1033" s="423"/>
      <c r="AG1033" s="423"/>
      <c r="AH1033" s="423"/>
      <c r="AI1033" s="423"/>
    </row>
    <row r="1034">
      <c r="A1034" s="419"/>
      <c r="B1034" s="419"/>
      <c r="C1034" s="419"/>
      <c r="D1034" s="419"/>
      <c r="E1034" s="387"/>
      <c r="F1034" s="387"/>
      <c r="G1034" s="423"/>
      <c r="H1034" s="423"/>
      <c r="I1034" s="423"/>
      <c r="J1034" s="423"/>
      <c r="K1034" s="423"/>
      <c r="L1034" s="423"/>
      <c r="M1034" s="423"/>
      <c r="N1034" s="423"/>
      <c r="O1034" s="423"/>
      <c r="P1034" s="423"/>
      <c r="Q1034" s="423"/>
      <c r="R1034" s="423"/>
      <c r="S1034" s="423"/>
      <c r="T1034" s="423"/>
      <c r="U1034" s="423"/>
      <c r="V1034" s="423"/>
      <c r="W1034" s="423"/>
      <c r="X1034" s="423"/>
      <c r="Y1034" s="423"/>
      <c r="Z1034" s="423"/>
      <c r="AA1034" s="423"/>
      <c r="AB1034" s="423"/>
      <c r="AC1034" s="423"/>
      <c r="AD1034" s="423"/>
      <c r="AE1034" s="423"/>
      <c r="AF1034" s="423"/>
      <c r="AG1034" s="423"/>
      <c r="AH1034" s="423"/>
      <c r="AI1034" s="423"/>
    </row>
    <row r="1035">
      <c r="A1035" s="419"/>
      <c r="B1035" s="419"/>
      <c r="C1035" s="419"/>
      <c r="D1035" s="419"/>
      <c r="E1035" s="387"/>
      <c r="F1035" s="387"/>
      <c r="G1035" s="423"/>
      <c r="H1035" s="423"/>
      <c r="I1035" s="423"/>
      <c r="J1035" s="423"/>
      <c r="K1035" s="423"/>
      <c r="L1035" s="423"/>
      <c r="M1035" s="423"/>
      <c r="N1035" s="423"/>
      <c r="O1035" s="423"/>
      <c r="P1035" s="423"/>
      <c r="Q1035" s="423"/>
      <c r="R1035" s="423"/>
      <c r="S1035" s="423"/>
      <c r="T1035" s="423"/>
      <c r="U1035" s="423"/>
      <c r="V1035" s="423"/>
      <c r="W1035" s="423"/>
      <c r="X1035" s="423"/>
      <c r="Y1035" s="423"/>
      <c r="Z1035" s="423"/>
      <c r="AA1035" s="423"/>
      <c r="AB1035" s="423"/>
      <c r="AC1035" s="423"/>
      <c r="AD1035" s="423"/>
      <c r="AE1035" s="423"/>
      <c r="AF1035" s="423"/>
      <c r="AG1035" s="423"/>
      <c r="AH1035" s="423"/>
      <c r="AI1035" s="423"/>
    </row>
    <row r="1036">
      <c r="A1036" s="419"/>
      <c r="B1036" s="419"/>
      <c r="C1036" s="419"/>
      <c r="D1036" s="419"/>
      <c r="E1036" s="387"/>
      <c r="F1036" s="387"/>
      <c r="G1036" s="423"/>
      <c r="H1036" s="423"/>
      <c r="I1036" s="423"/>
      <c r="J1036" s="423"/>
      <c r="K1036" s="423"/>
      <c r="L1036" s="423"/>
      <c r="M1036" s="423"/>
      <c r="N1036" s="423"/>
      <c r="O1036" s="423"/>
      <c r="P1036" s="423"/>
      <c r="Q1036" s="423"/>
      <c r="R1036" s="423"/>
      <c r="S1036" s="423"/>
      <c r="T1036" s="423"/>
      <c r="U1036" s="423"/>
      <c r="V1036" s="423"/>
      <c r="W1036" s="423"/>
      <c r="X1036" s="423"/>
      <c r="Y1036" s="423"/>
      <c r="Z1036" s="423"/>
      <c r="AA1036" s="423"/>
      <c r="AB1036" s="423"/>
      <c r="AC1036" s="423"/>
      <c r="AD1036" s="423"/>
      <c r="AE1036" s="423"/>
      <c r="AF1036" s="423"/>
      <c r="AG1036" s="423"/>
      <c r="AH1036" s="423"/>
      <c r="AI1036" s="423"/>
    </row>
    <row r="1037">
      <c r="A1037" s="419"/>
      <c r="B1037" s="419"/>
      <c r="C1037" s="419"/>
      <c r="D1037" s="419"/>
      <c r="E1037" s="387"/>
      <c r="F1037" s="387"/>
      <c r="G1037" s="423"/>
      <c r="H1037" s="423"/>
      <c r="I1037" s="423"/>
      <c r="J1037" s="423"/>
      <c r="K1037" s="423"/>
      <c r="L1037" s="423"/>
      <c r="M1037" s="423"/>
      <c r="N1037" s="423"/>
      <c r="O1037" s="423"/>
      <c r="P1037" s="423"/>
      <c r="Q1037" s="423"/>
      <c r="R1037" s="423"/>
      <c r="S1037" s="423"/>
      <c r="T1037" s="423"/>
      <c r="U1037" s="423"/>
      <c r="V1037" s="423"/>
      <c r="W1037" s="423"/>
      <c r="X1037" s="423"/>
      <c r="Y1037" s="423"/>
      <c r="Z1037" s="423"/>
      <c r="AA1037" s="423"/>
      <c r="AB1037" s="423"/>
      <c r="AC1037" s="423"/>
      <c r="AD1037" s="423"/>
      <c r="AE1037" s="423"/>
      <c r="AF1037" s="423"/>
      <c r="AG1037" s="423"/>
      <c r="AH1037" s="423"/>
      <c r="AI1037" s="423"/>
    </row>
    <row r="1038">
      <c r="A1038" s="419"/>
      <c r="B1038" s="419"/>
      <c r="C1038" s="419"/>
      <c r="D1038" s="419"/>
      <c r="E1038" s="387"/>
      <c r="F1038" s="387"/>
      <c r="G1038" s="423"/>
      <c r="H1038" s="423"/>
      <c r="I1038" s="423"/>
      <c r="J1038" s="423"/>
      <c r="K1038" s="423"/>
      <c r="L1038" s="423"/>
      <c r="M1038" s="423"/>
      <c r="N1038" s="423"/>
      <c r="O1038" s="423"/>
      <c r="P1038" s="423"/>
      <c r="Q1038" s="423"/>
      <c r="R1038" s="423"/>
      <c r="S1038" s="423"/>
      <c r="T1038" s="423"/>
      <c r="U1038" s="423"/>
      <c r="V1038" s="423"/>
      <c r="W1038" s="423"/>
      <c r="X1038" s="423"/>
      <c r="Y1038" s="423"/>
      <c r="Z1038" s="423"/>
      <c r="AA1038" s="423"/>
      <c r="AB1038" s="423"/>
      <c r="AC1038" s="423"/>
      <c r="AD1038" s="423"/>
      <c r="AE1038" s="423"/>
      <c r="AF1038" s="423"/>
      <c r="AG1038" s="423"/>
      <c r="AH1038" s="423"/>
      <c r="AI1038" s="423"/>
    </row>
    <row r="1039">
      <c r="A1039" s="419"/>
      <c r="B1039" s="419"/>
      <c r="C1039" s="419"/>
      <c r="D1039" s="419"/>
      <c r="E1039" s="387"/>
      <c r="F1039" s="387"/>
      <c r="G1039" s="423"/>
      <c r="H1039" s="423"/>
      <c r="I1039" s="423"/>
      <c r="J1039" s="423"/>
      <c r="K1039" s="423"/>
      <c r="L1039" s="423"/>
      <c r="M1039" s="423"/>
      <c r="N1039" s="423"/>
      <c r="O1039" s="423"/>
      <c r="P1039" s="423"/>
      <c r="Q1039" s="423"/>
      <c r="R1039" s="423"/>
      <c r="S1039" s="423"/>
      <c r="T1039" s="423"/>
      <c r="U1039" s="423"/>
      <c r="V1039" s="423"/>
      <c r="W1039" s="423"/>
      <c r="X1039" s="423"/>
      <c r="Y1039" s="423"/>
      <c r="Z1039" s="423"/>
      <c r="AA1039" s="423"/>
      <c r="AB1039" s="423"/>
      <c r="AC1039" s="423"/>
      <c r="AD1039" s="423"/>
      <c r="AE1039" s="423"/>
      <c r="AF1039" s="423"/>
      <c r="AG1039" s="423"/>
      <c r="AH1039" s="423"/>
      <c r="AI1039" s="423"/>
    </row>
    <row r="1040">
      <c r="A1040" s="419"/>
      <c r="B1040" s="419"/>
      <c r="C1040" s="419"/>
      <c r="D1040" s="419"/>
      <c r="E1040" s="387"/>
      <c r="F1040" s="387"/>
      <c r="G1040" s="423"/>
      <c r="H1040" s="423"/>
      <c r="I1040" s="423"/>
      <c r="J1040" s="423"/>
      <c r="K1040" s="423"/>
      <c r="L1040" s="423"/>
      <c r="M1040" s="423"/>
      <c r="N1040" s="423"/>
      <c r="O1040" s="423"/>
      <c r="P1040" s="423"/>
      <c r="Q1040" s="423"/>
      <c r="R1040" s="423"/>
      <c r="S1040" s="423"/>
      <c r="T1040" s="423"/>
      <c r="U1040" s="423"/>
      <c r="V1040" s="423"/>
      <c r="W1040" s="423"/>
      <c r="X1040" s="423"/>
      <c r="Y1040" s="423"/>
      <c r="Z1040" s="423"/>
      <c r="AA1040" s="423"/>
      <c r="AB1040" s="423"/>
      <c r="AC1040" s="423"/>
      <c r="AD1040" s="423"/>
      <c r="AE1040" s="423"/>
      <c r="AF1040" s="423"/>
      <c r="AG1040" s="423"/>
      <c r="AH1040" s="423"/>
      <c r="AI1040" s="423"/>
    </row>
    <row r="1041">
      <c r="A1041" s="419"/>
      <c r="B1041" s="419"/>
      <c r="C1041" s="419"/>
      <c r="D1041" s="419"/>
      <c r="E1041" s="387"/>
      <c r="F1041" s="387"/>
      <c r="G1041" s="423"/>
      <c r="H1041" s="423"/>
      <c r="I1041" s="423"/>
      <c r="J1041" s="423"/>
      <c r="K1041" s="423"/>
      <c r="L1041" s="423"/>
      <c r="M1041" s="423"/>
      <c r="N1041" s="423"/>
      <c r="O1041" s="423"/>
      <c r="P1041" s="423"/>
      <c r="Q1041" s="423"/>
      <c r="R1041" s="423"/>
      <c r="S1041" s="423"/>
      <c r="T1041" s="423"/>
      <c r="U1041" s="423"/>
      <c r="V1041" s="423"/>
      <c r="W1041" s="423"/>
      <c r="X1041" s="423"/>
      <c r="Y1041" s="423"/>
      <c r="Z1041" s="423"/>
      <c r="AA1041" s="423"/>
      <c r="AB1041" s="423"/>
      <c r="AC1041" s="423"/>
      <c r="AD1041" s="423"/>
      <c r="AE1041" s="423"/>
      <c r="AF1041" s="423"/>
      <c r="AG1041" s="423"/>
      <c r="AH1041" s="423"/>
      <c r="AI1041" s="423"/>
    </row>
    <row r="1042">
      <c r="A1042" s="419"/>
      <c r="B1042" s="419"/>
      <c r="C1042" s="419"/>
      <c r="D1042" s="419"/>
      <c r="E1042" s="387"/>
      <c r="F1042" s="387"/>
      <c r="G1042" s="423"/>
      <c r="H1042" s="423"/>
      <c r="I1042" s="423"/>
      <c r="J1042" s="423"/>
      <c r="K1042" s="423"/>
      <c r="L1042" s="423"/>
      <c r="M1042" s="423"/>
      <c r="N1042" s="423"/>
      <c r="O1042" s="423"/>
      <c r="P1042" s="423"/>
      <c r="Q1042" s="423"/>
      <c r="R1042" s="423"/>
      <c r="S1042" s="423"/>
      <c r="T1042" s="423"/>
      <c r="U1042" s="423"/>
      <c r="V1042" s="423"/>
      <c r="W1042" s="423"/>
      <c r="X1042" s="423"/>
      <c r="Y1042" s="423"/>
      <c r="Z1042" s="423"/>
      <c r="AA1042" s="423"/>
      <c r="AB1042" s="423"/>
      <c r="AC1042" s="423"/>
      <c r="AD1042" s="423"/>
      <c r="AE1042" s="423"/>
      <c r="AF1042" s="423"/>
      <c r="AG1042" s="423"/>
      <c r="AH1042" s="423"/>
      <c r="AI1042" s="423"/>
    </row>
    <row r="1043">
      <c r="A1043" s="419"/>
      <c r="B1043" s="419"/>
      <c r="C1043" s="419"/>
      <c r="D1043" s="419"/>
      <c r="E1043" s="387"/>
      <c r="F1043" s="387"/>
      <c r="G1043" s="423"/>
      <c r="H1043" s="423"/>
      <c r="I1043" s="423"/>
      <c r="J1043" s="423"/>
      <c r="K1043" s="423"/>
      <c r="L1043" s="423"/>
      <c r="M1043" s="423"/>
      <c r="N1043" s="423"/>
      <c r="O1043" s="423"/>
      <c r="P1043" s="423"/>
      <c r="Q1043" s="423"/>
      <c r="R1043" s="423"/>
      <c r="S1043" s="423"/>
      <c r="T1043" s="423"/>
      <c r="U1043" s="423"/>
      <c r="V1043" s="423"/>
      <c r="W1043" s="423"/>
      <c r="X1043" s="423"/>
      <c r="Y1043" s="423"/>
      <c r="Z1043" s="423"/>
      <c r="AA1043" s="423"/>
      <c r="AB1043" s="423"/>
      <c r="AC1043" s="423"/>
      <c r="AD1043" s="423"/>
      <c r="AE1043" s="423"/>
      <c r="AF1043" s="423"/>
      <c r="AG1043" s="423"/>
      <c r="AH1043" s="423"/>
      <c r="AI1043" s="423"/>
    </row>
  </sheetData>
  <autoFilter ref="$A$3:$AI$255"/>
  <mergeCells count="6">
    <mergeCell ref="E2:W2"/>
    <mergeCell ref="X2:Z2"/>
    <mergeCell ref="AA2:AD2"/>
    <mergeCell ref="AE2:AI2"/>
    <mergeCell ref="A4:D4"/>
    <mergeCell ref="A24:D2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40.86"/>
    <col customWidth="1" min="3" max="3" width="75.29"/>
    <col customWidth="1" min="4" max="4" width="33.57"/>
    <col customWidth="1" min="5" max="5" width="20.71"/>
    <col customWidth="1" hidden="1" min="6" max="6" width="20.43"/>
    <col customWidth="1" min="7" max="7" width="19.0"/>
  </cols>
  <sheetData>
    <row r="1">
      <c r="A1" s="431"/>
      <c r="B1" s="431"/>
      <c r="C1" s="431"/>
      <c r="D1" s="432"/>
      <c r="E1" s="433"/>
      <c r="F1" s="434"/>
      <c r="G1" s="435"/>
      <c r="H1" s="436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</row>
    <row r="2">
      <c r="A2" s="438" t="s">
        <v>1132</v>
      </c>
      <c r="B2" s="439"/>
      <c r="C2" s="440"/>
      <c r="D2" s="432" t="s">
        <v>1133</v>
      </c>
      <c r="E2" s="433" t="s">
        <v>1134</v>
      </c>
      <c r="F2" s="434" t="s">
        <v>1135</v>
      </c>
      <c r="G2" s="435" t="s">
        <v>1136</v>
      </c>
      <c r="H2" s="435" t="s">
        <v>1137</v>
      </c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</row>
    <row r="3" ht="46.5" customHeight="1">
      <c r="A3" s="441" t="s">
        <v>1138</v>
      </c>
      <c r="B3" s="442" t="s">
        <v>1139</v>
      </c>
      <c r="C3" s="443" t="s">
        <v>119</v>
      </c>
      <c r="D3" s="444" t="s">
        <v>1140</v>
      </c>
      <c r="E3" s="445" t="s">
        <v>1141</v>
      </c>
      <c r="F3" s="446"/>
      <c r="G3" s="447"/>
      <c r="H3" s="447"/>
      <c r="I3" s="448"/>
      <c r="J3" s="448"/>
      <c r="K3" s="448"/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</row>
    <row r="4" hidden="1">
      <c r="A4" s="449">
        <v>45266.0</v>
      </c>
      <c r="B4" s="450" t="s">
        <v>1142</v>
      </c>
      <c r="C4" s="451" t="s">
        <v>1143</v>
      </c>
      <c r="D4" s="452">
        <v>310000.0</v>
      </c>
      <c r="E4" s="453" t="s">
        <v>1144</v>
      </c>
      <c r="F4" s="446" t="s">
        <v>1145</v>
      </c>
      <c r="G4" s="454"/>
      <c r="H4" s="454"/>
    </row>
    <row r="5" hidden="1">
      <c r="A5" s="449">
        <v>45267.0</v>
      </c>
      <c r="B5" s="450" t="s">
        <v>1142</v>
      </c>
      <c r="C5" s="451" t="s">
        <v>1146</v>
      </c>
      <c r="D5" s="452">
        <v>420000.0</v>
      </c>
      <c r="E5" s="453" t="s">
        <v>1144</v>
      </c>
      <c r="F5" s="446" t="s">
        <v>1145</v>
      </c>
      <c r="G5" s="454"/>
      <c r="H5" s="454"/>
      <c r="I5" s="455"/>
    </row>
    <row r="6" hidden="1">
      <c r="A6" s="449">
        <v>45269.0</v>
      </c>
      <c r="B6" s="456" t="s">
        <v>1147</v>
      </c>
      <c r="C6" s="457" t="s">
        <v>1148</v>
      </c>
      <c r="D6" s="458">
        <v>265000.0</v>
      </c>
      <c r="E6" s="453" t="s">
        <v>1144</v>
      </c>
      <c r="F6" s="446" t="s">
        <v>1145</v>
      </c>
      <c r="G6" s="454"/>
      <c r="H6" s="454"/>
    </row>
    <row r="7" hidden="1">
      <c r="A7" s="459">
        <v>45270.0</v>
      </c>
      <c r="B7" s="456" t="s">
        <v>1147</v>
      </c>
      <c r="C7" s="457" t="s">
        <v>1149</v>
      </c>
      <c r="D7" s="452">
        <v>540000.0</v>
      </c>
      <c r="E7" s="453" t="s">
        <v>1144</v>
      </c>
      <c r="F7" s="446" t="s">
        <v>1145</v>
      </c>
      <c r="G7" s="454"/>
      <c r="H7" s="454"/>
    </row>
    <row r="8" hidden="1">
      <c r="A8" s="449">
        <v>45275.0</v>
      </c>
      <c r="B8" s="450" t="s">
        <v>1150</v>
      </c>
      <c r="C8" s="451" t="s">
        <v>1143</v>
      </c>
      <c r="D8" s="452">
        <v>310000.0</v>
      </c>
      <c r="E8" s="453" t="s">
        <v>1144</v>
      </c>
      <c r="F8" s="446" t="s">
        <v>1151</v>
      </c>
      <c r="G8" s="454"/>
      <c r="H8" s="454"/>
    </row>
    <row r="9" hidden="1">
      <c r="A9" s="449">
        <v>45278.0</v>
      </c>
      <c r="B9" s="456" t="s">
        <v>1152</v>
      </c>
      <c r="C9" s="451" t="s">
        <v>1153</v>
      </c>
      <c r="D9" s="460">
        <v>50000.0</v>
      </c>
      <c r="E9" s="453" t="s">
        <v>1144</v>
      </c>
      <c r="F9" s="461" t="s">
        <v>1154</v>
      </c>
      <c r="G9" s="454"/>
      <c r="H9" s="454"/>
    </row>
    <row r="10" hidden="1">
      <c r="A10" s="449">
        <v>45282.0</v>
      </c>
      <c r="B10" s="462" t="s">
        <v>1155</v>
      </c>
      <c r="C10" s="451" t="s">
        <v>1156</v>
      </c>
      <c r="D10" s="452">
        <v>600000.0</v>
      </c>
      <c r="E10" s="453" t="s">
        <v>1144</v>
      </c>
      <c r="F10" s="446" t="s">
        <v>1145</v>
      </c>
      <c r="G10" s="454"/>
      <c r="H10" s="454"/>
    </row>
    <row r="11" hidden="1">
      <c r="A11" s="449">
        <v>45283.0</v>
      </c>
      <c r="B11" s="456" t="s">
        <v>1157</v>
      </c>
      <c r="C11" s="457" t="s">
        <v>1158</v>
      </c>
      <c r="D11" s="452">
        <v>540000.0</v>
      </c>
      <c r="E11" s="453" t="s">
        <v>1144</v>
      </c>
      <c r="F11" s="446" t="s">
        <v>1151</v>
      </c>
      <c r="G11" s="454"/>
      <c r="H11" s="454"/>
    </row>
    <row r="12" hidden="1">
      <c r="A12" s="449">
        <v>45287.0</v>
      </c>
      <c r="B12" s="450"/>
      <c r="C12" s="451" t="s">
        <v>1159</v>
      </c>
      <c r="D12" s="452">
        <v>850000.0</v>
      </c>
      <c r="E12" s="453" t="s">
        <v>1144</v>
      </c>
      <c r="F12" s="446" t="s">
        <v>1160</v>
      </c>
      <c r="G12" s="454"/>
      <c r="H12" s="454"/>
    </row>
    <row r="13" hidden="1">
      <c r="A13" s="449">
        <v>45287.0</v>
      </c>
      <c r="B13" s="462" t="s">
        <v>1161</v>
      </c>
      <c r="C13" s="463" t="s">
        <v>1162</v>
      </c>
      <c r="D13" s="452">
        <v>2850000.0</v>
      </c>
      <c r="E13" s="453" t="s">
        <v>1144</v>
      </c>
      <c r="F13" s="464" t="s">
        <v>1163</v>
      </c>
      <c r="G13" s="454"/>
      <c r="H13" s="454"/>
    </row>
    <row r="14" hidden="1">
      <c r="A14" s="449">
        <v>45289.0</v>
      </c>
      <c r="B14" s="450" t="s">
        <v>1164</v>
      </c>
      <c r="C14" s="451" t="s">
        <v>1165</v>
      </c>
      <c r="D14" s="452">
        <v>40000.0</v>
      </c>
      <c r="E14" s="453" t="s">
        <v>1144</v>
      </c>
      <c r="F14" s="446" t="s">
        <v>1166</v>
      </c>
      <c r="G14" s="454"/>
      <c r="H14" s="454"/>
    </row>
    <row r="15" hidden="1">
      <c r="A15" s="449">
        <v>45294.0</v>
      </c>
      <c r="B15" s="462" t="s">
        <v>1167</v>
      </c>
      <c r="C15" s="463" t="s">
        <v>1168</v>
      </c>
      <c r="D15" s="452">
        <v>400000.0</v>
      </c>
      <c r="E15" s="453" t="s">
        <v>1144</v>
      </c>
      <c r="F15" s="446" t="s">
        <v>1145</v>
      </c>
      <c r="G15" s="454"/>
      <c r="H15" s="454"/>
    </row>
    <row r="16" hidden="1">
      <c r="A16" s="462" t="s">
        <v>1169</v>
      </c>
      <c r="B16" s="462" t="s">
        <v>1170</v>
      </c>
      <c r="C16" s="451" t="s">
        <v>1171</v>
      </c>
      <c r="D16" s="452">
        <v>60000.0</v>
      </c>
      <c r="E16" s="453" t="s">
        <v>1144</v>
      </c>
      <c r="F16" s="461" t="s">
        <v>1172</v>
      </c>
      <c r="G16" s="454"/>
      <c r="H16" s="454"/>
    </row>
    <row r="17" hidden="1">
      <c r="A17" s="462" t="s">
        <v>1173</v>
      </c>
      <c r="B17" s="462" t="s">
        <v>1174</v>
      </c>
      <c r="C17" s="465" t="s">
        <v>1175</v>
      </c>
      <c r="D17" s="452">
        <v>155000.0</v>
      </c>
      <c r="E17" s="453" t="s">
        <v>1144</v>
      </c>
      <c r="F17" s="446" t="s">
        <v>1145</v>
      </c>
      <c r="G17" s="454"/>
      <c r="H17" s="454"/>
    </row>
    <row r="18" hidden="1">
      <c r="A18" s="462" t="s">
        <v>1176</v>
      </c>
      <c r="B18" s="456" t="s">
        <v>1177</v>
      </c>
      <c r="C18" s="466" t="s">
        <v>1178</v>
      </c>
      <c r="D18" s="452">
        <v>620000.0</v>
      </c>
      <c r="E18" s="453" t="s">
        <v>1144</v>
      </c>
      <c r="F18" s="446" t="s">
        <v>1145</v>
      </c>
      <c r="G18" s="454"/>
      <c r="H18" s="454"/>
    </row>
    <row r="19" hidden="1">
      <c r="A19" s="462" t="s">
        <v>1176</v>
      </c>
      <c r="B19" s="462" t="s">
        <v>1179</v>
      </c>
      <c r="C19" s="451" t="s">
        <v>1153</v>
      </c>
      <c r="D19" s="460">
        <v>50000.0</v>
      </c>
      <c r="E19" s="453" t="s">
        <v>1144</v>
      </c>
      <c r="F19" s="461" t="s">
        <v>1154</v>
      </c>
      <c r="G19" s="467"/>
      <c r="H19" s="467"/>
      <c r="I19" s="468"/>
      <c r="J19" s="469"/>
      <c r="K19" s="469"/>
      <c r="L19" s="469"/>
      <c r="M19" s="469"/>
      <c r="N19" s="469"/>
      <c r="O19" s="469"/>
      <c r="P19" s="469"/>
      <c r="Q19" s="469"/>
      <c r="R19" s="469"/>
      <c r="S19" s="469"/>
      <c r="T19" s="469"/>
      <c r="U19" s="469"/>
      <c r="V19" s="469"/>
      <c r="W19" s="469"/>
      <c r="X19" s="469"/>
      <c r="Y19" s="469"/>
    </row>
    <row r="20" hidden="1">
      <c r="A20" s="470" t="s">
        <v>1180</v>
      </c>
      <c r="B20" s="470" t="s">
        <v>1181</v>
      </c>
      <c r="C20" s="471" t="s">
        <v>1182</v>
      </c>
      <c r="D20" s="472">
        <v>520000.0</v>
      </c>
      <c r="E20" s="453" t="s">
        <v>1144</v>
      </c>
      <c r="F20" s="473" t="s">
        <v>1145</v>
      </c>
      <c r="G20" s="467"/>
      <c r="H20" s="467"/>
      <c r="I20" s="468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</row>
    <row r="21" hidden="1">
      <c r="A21" s="470" t="s">
        <v>1183</v>
      </c>
      <c r="B21" s="470" t="s">
        <v>1181</v>
      </c>
      <c r="C21" s="471" t="s">
        <v>1184</v>
      </c>
      <c r="D21" s="472">
        <v>340000.0</v>
      </c>
      <c r="E21" s="453" t="s">
        <v>1144</v>
      </c>
      <c r="F21" s="473" t="s">
        <v>1145</v>
      </c>
      <c r="G21" s="454"/>
      <c r="H21" s="454"/>
    </row>
    <row r="22" hidden="1">
      <c r="A22" s="462" t="s">
        <v>1183</v>
      </c>
      <c r="B22" s="462" t="s">
        <v>1185</v>
      </c>
      <c r="C22" s="451" t="s">
        <v>1186</v>
      </c>
      <c r="D22" s="452" t="s">
        <v>1187</v>
      </c>
      <c r="E22" s="453" t="s">
        <v>1144</v>
      </c>
      <c r="F22" s="446" t="s">
        <v>1151</v>
      </c>
      <c r="G22" s="454"/>
      <c r="H22" s="454"/>
    </row>
    <row r="23" hidden="1">
      <c r="A23" s="449"/>
      <c r="B23" s="462"/>
      <c r="C23" s="451"/>
      <c r="D23" s="452"/>
      <c r="E23" s="474"/>
      <c r="F23" s="461"/>
      <c r="G23" s="454"/>
      <c r="H23" s="454"/>
    </row>
    <row r="24" hidden="1">
      <c r="A24" s="449"/>
      <c r="B24" s="462"/>
      <c r="C24" s="451"/>
      <c r="D24" s="452"/>
      <c r="E24" s="474"/>
      <c r="F24" s="461"/>
      <c r="G24" s="454"/>
      <c r="H24" s="454"/>
    </row>
    <row r="25" hidden="1">
      <c r="A25" s="449"/>
      <c r="B25" s="462"/>
      <c r="C25" s="451"/>
      <c r="D25" s="452"/>
      <c r="E25" s="474"/>
      <c r="F25" s="461"/>
      <c r="G25" s="454"/>
      <c r="H25" s="454"/>
    </row>
    <row r="26" hidden="1">
      <c r="A26" s="449"/>
      <c r="B26" s="462"/>
      <c r="C26" s="451"/>
      <c r="D26" s="452"/>
      <c r="E26" s="474"/>
      <c r="F26" s="461"/>
      <c r="G26" s="454"/>
      <c r="H26" s="454"/>
    </row>
    <row r="27" hidden="1">
      <c r="A27" s="449"/>
      <c r="B27" s="462"/>
      <c r="C27" s="451"/>
      <c r="D27" s="452"/>
      <c r="E27" s="474"/>
      <c r="F27" s="461"/>
      <c r="G27" s="454"/>
      <c r="H27" s="454"/>
    </row>
    <row r="28" hidden="1">
      <c r="A28" s="449"/>
      <c r="B28" s="462"/>
      <c r="C28" s="451"/>
      <c r="D28" s="452"/>
      <c r="E28" s="474"/>
      <c r="F28" s="461"/>
      <c r="G28" s="454"/>
      <c r="H28" s="454"/>
    </row>
    <row r="29" hidden="1">
      <c r="A29" s="449"/>
      <c r="B29" s="462"/>
      <c r="C29" s="451"/>
      <c r="D29" s="452"/>
      <c r="E29" s="474"/>
      <c r="F29" s="461"/>
      <c r="G29" s="454"/>
      <c r="H29" s="454"/>
    </row>
    <row r="30" hidden="1">
      <c r="A30" s="449"/>
      <c r="B30" s="462"/>
      <c r="C30" s="451"/>
      <c r="D30" s="452"/>
      <c r="E30" s="474"/>
      <c r="F30" s="461"/>
      <c r="G30" s="454"/>
      <c r="H30" s="454"/>
    </row>
    <row r="31" hidden="1">
      <c r="A31" s="475" t="s">
        <v>1188</v>
      </c>
      <c r="B31" s="439"/>
      <c r="C31" s="440"/>
      <c r="D31" s="432" t="s">
        <v>1189</v>
      </c>
      <c r="E31" s="433" t="s">
        <v>1134</v>
      </c>
      <c r="F31" s="434" t="s">
        <v>1135</v>
      </c>
      <c r="G31" s="454"/>
      <c r="H31" s="454"/>
    </row>
    <row r="32" hidden="1">
      <c r="A32" s="441" t="s">
        <v>1138</v>
      </c>
      <c r="B32" s="442" t="s">
        <v>1139</v>
      </c>
      <c r="C32" s="476" t="s">
        <v>119</v>
      </c>
      <c r="D32" s="444" t="s">
        <v>1140</v>
      </c>
      <c r="E32" s="445" t="s">
        <v>1141</v>
      </c>
      <c r="F32" s="446"/>
      <c r="G32" s="454"/>
      <c r="H32" s="454"/>
    </row>
    <row r="33" hidden="1">
      <c r="A33" s="477">
        <v>45297.0</v>
      </c>
      <c r="B33" s="456" t="s">
        <v>1190</v>
      </c>
      <c r="C33" s="450" t="s">
        <v>1191</v>
      </c>
      <c r="D33" s="458" t="s">
        <v>1192</v>
      </c>
      <c r="E33" s="453" t="s">
        <v>1144</v>
      </c>
      <c r="F33" s="446" t="s">
        <v>1145</v>
      </c>
      <c r="G33" s="454"/>
      <c r="H33" s="454"/>
    </row>
    <row r="34" hidden="1">
      <c r="A34" s="477">
        <v>45298.0</v>
      </c>
      <c r="B34" s="462" t="s">
        <v>1193</v>
      </c>
      <c r="C34" s="456" t="s">
        <v>1194</v>
      </c>
      <c r="D34" s="458">
        <v>400000.0</v>
      </c>
      <c r="E34" s="453" t="s">
        <v>1144</v>
      </c>
      <c r="F34" s="446" t="s">
        <v>1145</v>
      </c>
      <c r="G34" s="454"/>
      <c r="H34" s="454"/>
    </row>
    <row r="35" hidden="1">
      <c r="A35" s="477">
        <v>45301.0</v>
      </c>
      <c r="B35" s="462" t="s">
        <v>1195</v>
      </c>
      <c r="C35" s="450" t="s">
        <v>1196</v>
      </c>
      <c r="D35" s="458">
        <v>310000.0</v>
      </c>
      <c r="E35" s="453" t="s">
        <v>1144</v>
      </c>
      <c r="F35" s="446" t="s">
        <v>1145</v>
      </c>
      <c r="G35" s="454"/>
      <c r="H35" s="454"/>
    </row>
    <row r="36" hidden="1">
      <c r="A36" s="477">
        <v>45302.0</v>
      </c>
      <c r="B36" s="462" t="s">
        <v>1197</v>
      </c>
      <c r="C36" s="450" t="s">
        <v>1198</v>
      </c>
      <c r="D36" s="458">
        <v>310000.0</v>
      </c>
      <c r="E36" s="453" t="s">
        <v>1144</v>
      </c>
      <c r="F36" s="446" t="s">
        <v>1145</v>
      </c>
      <c r="G36" s="454"/>
      <c r="H36" s="454"/>
    </row>
    <row r="37" hidden="1">
      <c r="A37" s="449">
        <v>45303.0</v>
      </c>
      <c r="B37" s="450" t="s">
        <v>1199</v>
      </c>
      <c r="C37" s="462" t="s">
        <v>1200</v>
      </c>
      <c r="D37" s="452">
        <v>544000.0</v>
      </c>
      <c r="E37" s="453" t="s">
        <v>1144</v>
      </c>
      <c r="F37" s="446" t="s">
        <v>1151</v>
      </c>
      <c r="G37" s="454"/>
      <c r="H37" s="454"/>
    </row>
    <row r="38" hidden="1">
      <c r="A38" s="477">
        <v>45303.0</v>
      </c>
      <c r="B38" s="456" t="s">
        <v>1201</v>
      </c>
      <c r="C38" s="456" t="s">
        <v>1202</v>
      </c>
      <c r="D38" s="458">
        <v>310000.0</v>
      </c>
      <c r="E38" s="453" t="s">
        <v>1144</v>
      </c>
      <c r="F38" s="446" t="s">
        <v>1145</v>
      </c>
      <c r="G38" s="454"/>
      <c r="H38" s="454"/>
    </row>
    <row r="39" hidden="1">
      <c r="A39" s="478">
        <v>45444.0</v>
      </c>
      <c r="B39" s="470" t="s">
        <v>1181</v>
      </c>
      <c r="C39" s="470" t="s">
        <v>1203</v>
      </c>
      <c r="D39" s="472">
        <v>4347000.0</v>
      </c>
      <c r="E39" s="453" t="s">
        <v>1144</v>
      </c>
      <c r="F39" s="473" t="s">
        <v>1204</v>
      </c>
      <c r="G39" s="467"/>
      <c r="H39" s="467"/>
      <c r="I39" s="468"/>
      <c r="J39" s="469"/>
      <c r="K39" s="469"/>
      <c r="L39" s="469"/>
      <c r="M39" s="469"/>
      <c r="N39" s="469"/>
      <c r="O39" s="469"/>
      <c r="P39" s="469"/>
      <c r="Q39" s="469"/>
      <c r="R39" s="469"/>
      <c r="S39" s="469"/>
      <c r="T39" s="469"/>
      <c r="U39" s="469"/>
      <c r="V39" s="469"/>
      <c r="W39" s="469"/>
      <c r="X39" s="469"/>
      <c r="Y39" s="469"/>
    </row>
    <row r="40" hidden="1">
      <c r="A40" s="462" t="s">
        <v>1205</v>
      </c>
      <c r="B40" s="456" t="s">
        <v>1206</v>
      </c>
      <c r="C40" s="456" t="s">
        <v>1207</v>
      </c>
      <c r="D40" s="452">
        <v>1160000.0</v>
      </c>
      <c r="E40" s="453" t="s">
        <v>1144</v>
      </c>
      <c r="F40" s="446" t="s">
        <v>1151</v>
      </c>
      <c r="G40" s="454"/>
      <c r="H40" s="454"/>
    </row>
    <row r="41" hidden="1">
      <c r="A41" s="478">
        <v>45444.0</v>
      </c>
      <c r="B41" s="470" t="s">
        <v>1181</v>
      </c>
      <c r="C41" s="470" t="s">
        <v>1208</v>
      </c>
      <c r="D41" s="472">
        <v>600000.0</v>
      </c>
      <c r="E41" s="453" t="s">
        <v>1144</v>
      </c>
      <c r="F41" s="479" t="s">
        <v>1145</v>
      </c>
      <c r="G41" s="454"/>
      <c r="H41" s="454"/>
    </row>
    <row r="42" hidden="1">
      <c r="A42" s="477">
        <v>45383.0</v>
      </c>
      <c r="B42" s="462" t="s">
        <v>1209</v>
      </c>
      <c r="C42" s="450" t="s">
        <v>1210</v>
      </c>
      <c r="D42" s="452">
        <v>580000.0</v>
      </c>
      <c r="E42" s="453" t="s">
        <v>1144</v>
      </c>
      <c r="F42" s="446" t="s">
        <v>1145</v>
      </c>
      <c r="G42" s="454"/>
      <c r="H42" s="454"/>
    </row>
    <row r="43" hidden="1">
      <c r="A43" s="477">
        <v>45303.0</v>
      </c>
      <c r="B43" s="450" t="s">
        <v>1211</v>
      </c>
      <c r="C43" s="450" t="s">
        <v>1212</v>
      </c>
      <c r="D43" s="452">
        <v>400000.0</v>
      </c>
      <c r="E43" s="453" t="s">
        <v>1144</v>
      </c>
      <c r="F43" s="446" t="s">
        <v>1151</v>
      </c>
      <c r="G43" s="454"/>
      <c r="H43" s="454"/>
    </row>
    <row r="44" hidden="1">
      <c r="A44" s="477">
        <v>45352.0</v>
      </c>
      <c r="B44" s="456" t="s">
        <v>1213</v>
      </c>
      <c r="C44" s="480" t="s">
        <v>1214</v>
      </c>
      <c r="D44" s="458">
        <v>310000.0</v>
      </c>
      <c r="E44" s="453" t="s">
        <v>1144</v>
      </c>
      <c r="F44" s="446" t="s">
        <v>1145</v>
      </c>
      <c r="G44" s="454"/>
      <c r="H44" s="454"/>
    </row>
    <row r="45" hidden="1">
      <c r="A45" s="477">
        <v>45413.0</v>
      </c>
      <c r="B45" s="456" t="s">
        <v>1215</v>
      </c>
      <c r="C45" s="480" t="s">
        <v>1216</v>
      </c>
      <c r="D45" s="458">
        <v>310000.0</v>
      </c>
      <c r="E45" s="453" t="s">
        <v>1144</v>
      </c>
      <c r="F45" s="446" t="s">
        <v>1151</v>
      </c>
      <c r="G45" s="454"/>
      <c r="H45" s="454"/>
    </row>
    <row r="46" hidden="1">
      <c r="A46" s="477">
        <v>45444.0</v>
      </c>
      <c r="B46" s="456" t="s">
        <v>1190</v>
      </c>
      <c r="C46" s="450" t="s">
        <v>1191</v>
      </c>
      <c r="D46" s="458">
        <v>355000.0</v>
      </c>
      <c r="E46" s="453" t="s">
        <v>1144</v>
      </c>
      <c r="F46" s="446" t="s">
        <v>1145</v>
      </c>
      <c r="G46" s="454"/>
      <c r="H46" s="454"/>
    </row>
    <row r="47" hidden="1">
      <c r="A47" s="477">
        <v>45303.0</v>
      </c>
      <c r="B47" s="450" t="s">
        <v>1211</v>
      </c>
      <c r="C47" s="450" t="s">
        <v>1217</v>
      </c>
      <c r="D47" s="452">
        <v>660000.0</v>
      </c>
      <c r="E47" s="453" t="s">
        <v>1144</v>
      </c>
      <c r="F47" s="446" t="s">
        <v>1151</v>
      </c>
      <c r="G47" s="454"/>
      <c r="H47" s="454"/>
    </row>
    <row r="48" hidden="1">
      <c r="A48" s="477">
        <v>45304.0</v>
      </c>
      <c r="B48" s="450" t="s">
        <v>1218</v>
      </c>
      <c r="C48" s="450" t="s">
        <v>1219</v>
      </c>
      <c r="D48" s="458">
        <v>485000.0</v>
      </c>
      <c r="E48" s="453" t="s">
        <v>1144</v>
      </c>
      <c r="F48" s="446" t="s">
        <v>1145</v>
      </c>
      <c r="G48" s="454"/>
      <c r="H48" s="454"/>
    </row>
    <row r="49" hidden="1">
      <c r="A49" s="477">
        <v>45304.0</v>
      </c>
      <c r="B49" s="450" t="s">
        <v>1211</v>
      </c>
      <c r="C49" s="450" t="s">
        <v>1220</v>
      </c>
      <c r="D49" s="452">
        <v>700000.0</v>
      </c>
      <c r="E49" s="453" t="s">
        <v>1144</v>
      </c>
      <c r="F49" s="446" t="s">
        <v>1151</v>
      </c>
      <c r="G49" s="454"/>
      <c r="H49" s="454"/>
    </row>
    <row r="50" hidden="1">
      <c r="A50" s="477">
        <v>45305.0</v>
      </c>
      <c r="B50" s="462" t="s">
        <v>1221</v>
      </c>
      <c r="C50" s="456" t="s">
        <v>1222</v>
      </c>
      <c r="D50" s="458">
        <v>775000.0</v>
      </c>
      <c r="E50" s="453" t="s">
        <v>1144</v>
      </c>
      <c r="F50" s="446" t="s">
        <v>1145</v>
      </c>
      <c r="G50" s="454"/>
      <c r="H50" s="454"/>
    </row>
    <row r="51" hidden="1">
      <c r="A51" s="477">
        <v>45305.0</v>
      </c>
      <c r="B51" s="450" t="s">
        <v>1223</v>
      </c>
      <c r="C51" s="450" t="s">
        <v>1224</v>
      </c>
      <c r="D51" s="458">
        <v>660000.0</v>
      </c>
      <c r="E51" s="453" t="s">
        <v>1144</v>
      </c>
      <c r="F51" s="446" t="s">
        <v>1145</v>
      </c>
      <c r="G51" s="454"/>
      <c r="H51" s="454"/>
    </row>
    <row r="52" hidden="1">
      <c r="A52" s="477">
        <v>45352.0</v>
      </c>
      <c r="B52" s="450" t="s">
        <v>1225</v>
      </c>
      <c r="C52" s="450" t="s">
        <v>1226</v>
      </c>
      <c r="D52" s="458">
        <v>310000.0</v>
      </c>
      <c r="E52" s="453" t="s">
        <v>1144</v>
      </c>
      <c r="F52" s="446" t="s">
        <v>1145</v>
      </c>
      <c r="G52" s="454"/>
      <c r="H52" s="454"/>
    </row>
    <row r="53" hidden="1">
      <c r="A53" s="477">
        <v>45308.0</v>
      </c>
      <c r="B53" s="456" t="s">
        <v>1206</v>
      </c>
      <c r="C53" s="450" t="s">
        <v>1227</v>
      </c>
      <c r="D53" s="458">
        <v>620000.0</v>
      </c>
      <c r="E53" s="453" t="s">
        <v>1144</v>
      </c>
      <c r="F53" s="446" t="s">
        <v>1151</v>
      </c>
      <c r="G53" s="454"/>
      <c r="H53" s="454"/>
    </row>
    <row r="54" hidden="1">
      <c r="A54" s="481">
        <v>45323.0</v>
      </c>
      <c r="B54" s="482" t="s">
        <v>1228</v>
      </c>
      <c r="C54" s="483" t="s">
        <v>1229</v>
      </c>
      <c r="D54" s="484" t="s">
        <v>1230</v>
      </c>
      <c r="E54" s="453" t="s">
        <v>1144</v>
      </c>
      <c r="F54" s="485" t="s">
        <v>1231</v>
      </c>
      <c r="G54" s="454"/>
      <c r="H54" s="454"/>
    </row>
    <row r="55" hidden="1">
      <c r="A55" s="477">
        <v>45444.0</v>
      </c>
      <c r="B55" s="450" t="s">
        <v>1232</v>
      </c>
      <c r="C55" s="486" t="s">
        <v>1233</v>
      </c>
      <c r="D55" s="487" t="s">
        <v>1234</v>
      </c>
      <c r="E55" s="453" t="s">
        <v>1144</v>
      </c>
      <c r="F55" s="446" t="s">
        <v>1145</v>
      </c>
      <c r="G55" s="454"/>
      <c r="H55" s="454"/>
    </row>
    <row r="56" hidden="1">
      <c r="A56" s="477">
        <v>45383.0</v>
      </c>
      <c r="B56" s="462" t="s">
        <v>1235</v>
      </c>
      <c r="C56" s="456" t="s">
        <v>1236</v>
      </c>
      <c r="D56" s="488" t="s">
        <v>1237</v>
      </c>
      <c r="E56" s="453" t="s">
        <v>1144</v>
      </c>
      <c r="F56" s="446" t="s">
        <v>1145</v>
      </c>
      <c r="G56" s="454"/>
      <c r="H56" s="454"/>
    </row>
    <row r="57" hidden="1">
      <c r="A57" s="489">
        <v>45309.0</v>
      </c>
      <c r="B57" s="450" t="s">
        <v>1238</v>
      </c>
      <c r="C57" s="450" t="s">
        <v>1239</v>
      </c>
      <c r="D57" s="458">
        <v>265000.0</v>
      </c>
      <c r="E57" s="453" t="s">
        <v>1144</v>
      </c>
      <c r="F57" s="446" t="s">
        <v>1145</v>
      </c>
      <c r="G57" s="454"/>
      <c r="H57" s="454"/>
    </row>
    <row r="58" hidden="1">
      <c r="A58" s="477">
        <v>45310.0</v>
      </c>
      <c r="B58" s="456" t="s">
        <v>1206</v>
      </c>
      <c r="C58" s="450" t="s">
        <v>1240</v>
      </c>
      <c r="D58" s="458">
        <v>1400000.0</v>
      </c>
      <c r="E58" s="453" t="s">
        <v>1144</v>
      </c>
      <c r="F58" s="446" t="s">
        <v>1151</v>
      </c>
      <c r="G58" s="454"/>
      <c r="H58" s="454"/>
    </row>
    <row r="59" hidden="1">
      <c r="A59" s="449">
        <v>45310.0</v>
      </c>
      <c r="B59" s="450" t="s">
        <v>1238</v>
      </c>
      <c r="C59" s="462" t="s">
        <v>1241</v>
      </c>
      <c r="D59" s="458">
        <v>100000.0</v>
      </c>
      <c r="E59" s="453" t="s">
        <v>1144</v>
      </c>
      <c r="F59" s="446" t="s">
        <v>1145</v>
      </c>
      <c r="G59" s="454"/>
      <c r="H59" s="454"/>
    </row>
    <row r="60" hidden="1">
      <c r="A60" s="477">
        <v>45310.0</v>
      </c>
      <c r="B60" s="450" t="s">
        <v>1242</v>
      </c>
      <c r="C60" s="450" t="s">
        <v>1200</v>
      </c>
      <c r="D60" s="458">
        <v>540000.0</v>
      </c>
      <c r="E60" s="453" t="s">
        <v>1144</v>
      </c>
      <c r="F60" s="446" t="s">
        <v>1151</v>
      </c>
      <c r="G60" s="454"/>
      <c r="H60" s="454"/>
    </row>
    <row r="61" hidden="1">
      <c r="A61" s="477">
        <v>45312.0</v>
      </c>
      <c r="B61" s="462" t="s">
        <v>1243</v>
      </c>
      <c r="C61" s="456" t="s">
        <v>1244</v>
      </c>
      <c r="D61" s="458">
        <v>310000.0</v>
      </c>
      <c r="E61" s="453" t="s">
        <v>1144</v>
      </c>
      <c r="F61" s="446" t="s">
        <v>1145</v>
      </c>
      <c r="G61" s="454"/>
      <c r="H61" s="454"/>
    </row>
    <row r="62" hidden="1">
      <c r="A62" s="449">
        <v>45312.0</v>
      </c>
      <c r="B62" s="450" t="s">
        <v>1238</v>
      </c>
      <c r="C62" s="462" t="s">
        <v>1245</v>
      </c>
      <c r="D62" s="458">
        <v>250000.0</v>
      </c>
      <c r="E62" s="453" t="s">
        <v>1144</v>
      </c>
      <c r="F62" s="446" t="s">
        <v>1145</v>
      </c>
      <c r="G62" s="454"/>
      <c r="H62" s="454"/>
    </row>
    <row r="63" hidden="1">
      <c r="A63" s="449">
        <v>45312.0</v>
      </c>
      <c r="B63" s="450" t="s">
        <v>1238</v>
      </c>
      <c r="C63" s="462" t="s">
        <v>1246</v>
      </c>
      <c r="D63" s="458">
        <v>370000.0</v>
      </c>
      <c r="E63" s="453" t="s">
        <v>1144</v>
      </c>
      <c r="F63" s="446" t="s">
        <v>1145</v>
      </c>
      <c r="G63" s="454"/>
      <c r="H63" s="454"/>
    </row>
    <row r="64" hidden="1">
      <c r="A64" s="478">
        <v>45314.0</v>
      </c>
      <c r="B64" s="470" t="s">
        <v>1247</v>
      </c>
      <c r="C64" s="470" t="s">
        <v>1248</v>
      </c>
      <c r="D64" s="472" t="s">
        <v>1249</v>
      </c>
      <c r="E64" s="453" t="s">
        <v>1144</v>
      </c>
      <c r="F64" s="446" t="s">
        <v>1160</v>
      </c>
      <c r="G64" s="454"/>
      <c r="H64" s="454"/>
    </row>
    <row r="65" hidden="1">
      <c r="A65" s="478">
        <v>45315.0</v>
      </c>
      <c r="B65" s="470" t="s">
        <v>1247</v>
      </c>
      <c r="C65" s="470" t="s">
        <v>1250</v>
      </c>
      <c r="D65" s="472">
        <v>1266000.0</v>
      </c>
      <c r="E65" s="453" t="s">
        <v>1144</v>
      </c>
      <c r="F65" s="446" t="s">
        <v>1160</v>
      </c>
      <c r="G65" s="454"/>
      <c r="H65" s="454"/>
    </row>
    <row r="66" hidden="1">
      <c r="A66" s="478">
        <v>45315.0</v>
      </c>
      <c r="B66" s="470" t="s">
        <v>1247</v>
      </c>
      <c r="C66" s="470" t="s">
        <v>1251</v>
      </c>
      <c r="D66" s="472" t="s">
        <v>1249</v>
      </c>
      <c r="E66" s="453" t="s">
        <v>1144</v>
      </c>
      <c r="F66" s="446" t="s">
        <v>1160</v>
      </c>
      <c r="G66" s="454"/>
      <c r="H66" s="454"/>
    </row>
    <row r="67" hidden="1">
      <c r="A67" s="477">
        <v>45316.0</v>
      </c>
      <c r="B67" s="456" t="s">
        <v>1252</v>
      </c>
      <c r="C67" s="456" t="s">
        <v>1253</v>
      </c>
      <c r="D67" s="452">
        <v>320000.0</v>
      </c>
      <c r="E67" s="453" t="s">
        <v>1144</v>
      </c>
      <c r="F67" s="446" t="s">
        <v>1145</v>
      </c>
      <c r="G67" s="454"/>
      <c r="H67" s="454"/>
    </row>
    <row r="68" hidden="1">
      <c r="A68" s="449">
        <v>45317.0</v>
      </c>
      <c r="B68" s="450" t="s">
        <v>1247</v>
      </c>
      <c r="C68" s="450" t="s">
        <v>1198</v>
      </c>
      <c r="D68" s="452">
        <v>310000.0</v>
      </c>
      <c r="E68" s="453" t="s">
        <v>1144</v>
      </c>
      <c r="F68" s="446" t="s">
        <v>1145</v>
      </c>
      <c r="G68" s="454"/>
      <c r="H68" s="454"/>
    </row>
    <row r="69" hidden="1">
      <c r="A69" s="449">
        <v>45318.0</v>
      </c>
      <c r="B69" s="450" t="s">
        <v>1247</v>
      </c>
      <c r="C69" s="462" t="s">
        <v>1254</v>
      </c>
      <c r="D69" s="452">
        <v>500000.0</v>
      </c>
      <c r="E69" s="453" t="s">
        <v>1144</v>
      </c>
      <c r="F69" s="446" t="s">
        <v>1160</v>
      </c>
      <c r="G69" s="454"/>
      <c r="H69" s="454"/>
    </row>
    <row r="70" hidden="1">
      <c r="A70" s="477">
        <v>45318.0</v>
      </c>
      <c r="B70" s="456" t="s">
        <v>1252</v>
      </c>
      <c r="C70" s="490" t="s">
        <v>1255</v>
      </c>
      <c r="D70" s="452">
        <v>340000.0</v>
      </c>
      <c r="E70" s="453" t="s">
        <v>1144</v>
      </c>
      <c r="F70" s="446" t="s">
        <v>1145</v>
      </c>
      <c r="G70" s="454"/>
      <c r="H70" s="454"/>
    </row>
    <row r="71" hidden="1">
      <c r="A71" s="477"/>
      <c r="B71" s="450"/>
      <c r="C71" s="450"/>
      <c r="D71" s="452"/>
      <c r="E71" s="474"/>
      <c r="F71" s="446"/>
      <c r="G71" s="454"/>
      <c r="H71" s="454"/>
    </row>
    <row r="72" hidden="1">
      <c r="A72" s="477"/>
      <c r="B72" s="450"/>
      <c r="C72" s="466"/>
      <c r="D72" s="452"/>
      <c r="E72" s="474"/>
      <c r="F72" s="434"/>
      <c r="G72" s="454"/>
      <c r="H72" s="454"/>
    </row>
    <row r="73" hidden="1">
      <c r="A73" s="477"/>
      <c r="B73" s="450"/>
      <c r="C73" s="466"/>
      <c r="D73" s="458"/>
      <c r="E73" s="474"/>
      <c r="F73" s="434"/>
      <c r="G73" s="454"/>
      <c r="H73" s="454"/>
    </row>
    <row r="74" ht="25.5" hidden="1" customHeight="1">
      <c r="A74" s="441" t="s">
        <v>1138</v>
      </c>
      <c r="B74" s="442" t="s">
        <v>1139</v>
      </c>
      <c r="C74" s="443" t="s">
        <v>119</v>
      </c>
      <c r="D74" s="432" t="s">
        <v>1256</v>
      </c>
      <c r="E74" s="445" t="s">
        <v>1141</v>
      </c>
      <c r="F74" s="446"/>
      <c r="G74" s="454"/>
      <c r="H74" s="454"/>
    </row>
    <row r="75" hidden="1">
      <c r="A75" s="477">
        <v>45325.0</v>
      </c>
      <c r="B75" s="450" t="s">
        <v>1257</v>
      </c>
      <c r="C75" s="450" t="s">
        <v>1258</v>
      </c>
      <c r="D75" s="452">
        <v>580000.0</v>
      </c>
      <c r="E75" s="453" t="s">
        <v>1144</v>
      </c>
      <c r="F75" s="446" t="s">
        <v>1151</v>
      </c>
      <c r="G75" s="454"/>
      <c r="H75" s="454"/>
    </row>
    <row r="76" hidden="1">
      <c r="A76" s="449">
        <v>45326.0</v>
      </c>
      <c r="B76" s="450" t="s">
        <v>1259</v>
      </c>
      <c r="C76" s="466" t="s">
        <v>1217</v>
      </c>
      <c r="D76" s="452">
        <v>660000.0</v>
      </c>
      <c r="E76" s="453" t="s">
        <v>1144</v>
      </c>
      <c r="F76" s="446" t="s">
        <v>1260</v>
      </c>
      <c r="G76" s="454"/>
      <c r="H76" s="454"/>
    </row>
    <row r="77" hidden="1">
      <c r="A77" s="449">
        <v>45331.0</v>
      </c>
      <c r="B77" s="450" t="s">
        <v>1261</v>
      </c>
      <c r="C77" s="466" t="s">
        <v>1262</v>
      </c>
      <c r="D77" s="458">
        <v>310000.0</v>
      </c>
      <c r="E77" s="453" t="s">
        <v>1144</v>
      </c>
      <c r="F77" s="446" t="s">
        <v>1145</v>
      </c>
      <c r="G77" s="454"/>
      <c r="H77" s="454"/>
    </row>
    <row r="78" hidden="1">
      <c r="A78" s="449">
        <v>45332.0</v>
      </c>
      <c r="B78" s="491" t="s">
        <v>1263</v>
      </c>
      <c r="C78" s="462" t="s">
        <v>1165</v>
      </c>
      <c r="D78" s="460">
        <v>40000.0</v>
      </c>
      <c r="E78" s="453" t="s">
        <v>1144</v>
      </c>
      <c r="F78" s="446" t="s">
        <v>1264</v>
      </c>
      <c r="G78" s="454"/>
      <c r="H78" s="454"/>
    </row>
    <row r="79" hidden="1">
      <c r="A79" s="477">
        <v>45332.0</v>
      </c>
      <c r="B79" s="456" t="s">
        <v>1265</v>
      </c>
      <c r="C79" s="450" t="s">
        <v>1266</v>
      </c>
      <c r="D79" s="458">
        <v>485000.0</v>
      </c>
      <c r="E79" s="453" t="s">
        <v>1144</v>
      </c>
      <c r="F79" s="446" t="s">
        <v>1260</v>
      </c>
      <c r="G79" s="454"/>
      <c r="H79" s="454"/>
    </row>
    <row r="80" hidden="1">
      <c r="A80" s="449">
        <v>45334.0</v>
      </c>
      <c r="B80" s="462" t="s">
        <v>1267</v>
      </c>
      <c r="C80" s="450" t="s">
        <v>1268</v>
      </c>
      <c r="D80" s="452">
        <v>310000.0</v>
      </c>
      <c r="E80" s="453" t="s">
        <v>1144</v>
      </c>
      <c r="F80" s="446" t="s">
        <v>1151</v>
      </c>
      <c r="G80" s="492"/>
      <c r="H80" s="493"/>
      <c r="I80" s="494"/>
      <c r="J80" s="495"/>
      <c r="K80" s="496"/>
      <c r="L80" s="497"/>
      <c r="M80" s="498"/>
      <c r="N80" s="499"/>
      <c r="O80" s="499"/>
      <c r="P80" s="495"/>
      <c r="Q80" s="496"/>
      <c r="R80" s="497"/>
      <c r="S80" s="498"/>
      <c r="T80" s="499"/>
      <c r="U80" s="499"/>
      <c r="V80" s="495"/>
      <c r="W80" s="496"/>
      <c r="X80" s="497"/>
      <c r="Y80" s="469"/>
    </row>
    <row r="81" hidden="1">
      <c r="A81" s="449">
        <v>45334.0</v>
      </c>
      <c r="B81" s="450" t="s">
        <v>1269</v>
      </c>
      <c r="C81" s="466" t="s">
        <v>1270</v>
      </c>
      <c r="D81" s="452">
        <v>2760000.0</v>
      </c>
      <c r="E81" s="453" t="s">
        <v>1144</v>
      </c>
      <c r="F81" s="446" t="s">
        <v>1271</v>
      </c>
      <c r="G81" s="454"/>
      <c r="H81" s="454"/>
    </row>
    <row r="82" hidden="1">
      <c r="A82" s="449">
        <v>45336.0</v>
      </c>
      <c r="B82" s="450" t="s">
        <v>1142</v>
      </c>
      <c r="C82" s="462" t="s">
        <v>1272</v>
      </c>
      <c r="D82" s="452">
        <v>620000.0</v>
      </c>
      <c r="E82" s="453" t="s">
        <v>1144</v>
      </c>
      <c r="F82" s="446" t="s">
        <v>1145</v>
      </c>
      <c r="G82" s="454"/>
      <c r="H82" s="454"/>
    </row>
    <row r="83" hidden="1">
      <c r="A83" s="477">
        <v>45344.0</v>
      </c>
      <c r="B83" s="456" t="s">
        <v>1273</v>
      </c>
      <c r="C83" s="450" t="s">
        <v>1226</v>
      </c>
      <c r="D83" s="458">
        <v>310000.0</v>
      </c>
      <c r="E83" s="453" t="s">
        <v>1144</v>
      </c>
      <c r="F83" s="446" t="s">
        <v>1151</v>
      </c>
      <c r="G83" s="454"/>
      <c r="H83" s="454"/>
    </row>
    <row r="84" hidden="1">
      <c r="A84" s="449">
        <v>45344.0</v>
      </c>
      <c r="B84" s="450" t="s">
        <v>1274</v>
      </c>
      <c r="C84" s="466" t="s">
        <v>1275</v>
      </c>
      <c r="D84" s="452">
        <v>460000.0</v>
      </c>
      <c r="E84" s="453" t="s">
        <v>1144</v>
      </c>
      <c r="F84" s="446" t="s">
        <v>1151</v>
      </c>
      <c r="G84" s="454"/>
      <c r="H84" s="454"/>
    </row>
    <row r="85" hidden="1">
      <c r="A85" s="449">
        <v>45338.0</v>
      </c>
      <c r="B85" s="450" t="s">
        <v>1276</v>
      </c>
      <c r="C85" s="450" t="s">
        <v>1277</v>
      </c>
      <c r="D85" s="500" t="s">
        <v>1278</v>
      </c>
      <c r="E85" s="501" t="s">
        <v>1279</v>
      </c>
      <c r="F85" s="446" t="s">
        <v>1264</v>
      </c>
      <c r="G85" s="454"/>
      <c r="H85" s="454"/>
    </row>
    <row r="86" hidden="1">
      <c r="A86" s="449">
        <v>45345.0</v>
      </c>
      <c r="B86" s="450" t="s">
        <v>1280</v>
      </c>
      <c r="C86" s="450" t="s">
        <v>1226</v>
      </c>
      <c r="D86" s="458">
        <v>310000.0</v>
      </c>
      <c r="E86" s="453" t="s">
        <v>1144</v>
      </c>
      <c r="F86" s="446" t="s">
        <v>1264</v>
      </c>
      <c r="G86" s="454"/>
      <c r="H86" s="454"/>
    </row>
    <row r="87" hidden="1">
      <c r="A87" s="449">
        <v>45345.0</v>
      </c>
      <c r="B87" s="456" t="s">
        <v>1281</v>
      </c>
      <c r="C87" s="491" t="s">
        <v>1282</v>
      </c>
      <c r="D87" s="452" t="s">
        <v>1283</v>
      </c>
      <c r="E87" s="453" t="s">
        <v>1144</v>
      </c>
      <c r="F87" s="446" t="s">
        <v>1284</v>
      </c>
      <c r="G87" s="454"/>
      <c r="H87" s="454"/>
    </row>
    <row r="88" hidden="1">
      <c r="A88" s="449">
        <v>45347.0</v>
      </c>
      <c r="B88" s="456" t="s">
        <v>1281</v>
      </c>
      <c r="C88" s="466" t="s">
        <v>1285</v>
      </c>
      <c r="D88" s="452" t="s">
        <v>1286</v>
      </c>
      <c r="E88" s="453" t="s">
        <v>1144</v>
      </c>
      <c r="F88" s="446" t="s">
        <v>1284</v>
      </c>
      <c r="G88" s="454"/>
      <c r="H88" s="454"/>
    </row>
    <row r="89" hidden="1">
      <c r="A89" s="449"/>
      <c r="B89" s="450"/>
      <c r="C89" s="466"/>
      <c r="D89" s="452"/>
      <c r="E89" s="474"/>
      <c r="F89" s="446"/>
      <c r="G89" s="454"/>
      <c r="H89" s="454"/>
    </row>
    <row r="90" hidden="1">
      <c r="A90" s="449"/>
      <c r="B90" s="450"/>
      <c r="C90" s="466"/>
      <c r="D90" s="452"/>
      <c r="E90" s="474"/>
      <c r="F90" s="446"/>
      <c r="G90" s="454"/>
      <c r="H90" s="454"/>
    </row>
    <row r="91" hidden="1">
      <c r="A91" s="449"/>
      <c r="B91" s="450"/>
      <c r="C91" s="466"/>
      <c r="D91" s="452"/>
      <c r="E91" s="474"/>
      <c r="F91" s="446"/>
      <c r="G91" s="454"/>
      <c r="H91" s="454"/>
    </row>
    <row r="92" hidden="1">
      <c r="A92" s="449"/>
      <c r="B92" s="450"/>
      <c r="C92" s="466"/>
      <c r="D92" s="452"/>
      <c r="E92" s="474"/>
      <c r="F92" s="446"/>
      <c r="G92" s="454"/>
      <c r="H92" s="454"/>
    </row>
    <row r="93" hidden="1">
      <c r="A93" s="449"/>
      <c r="B93" s="450"/>
      <c r="C93" s="466"/>
      <c r="D93" s="452"/>
      <c r="E93" s="474"/>
      <c r="F93" s="446"/>
      <c r="G93" s="454"/>
      <c r="H93" s="454"/>
    </row>
    <row r="94" hidden="1">
      <c r="A94" s="475" t="s">
        <v>1188</v>
      </c>
      <c r="B94" s="439"/>
      <c r="C94" s="440"/>
      <c r="D94" s="432" t="s">
        <v>1287</v>
      </c>
      <c r="E94" s="433" t="s">
        <v>1134</v>
      </c>
      <c r="F94" s="434" t="s">
        <v>1135</v>
      </c>
      <c r="G94" s="454"/>
      <c r="H94" s="454"/>
    </row>
    <row r="95" hidden="1">
      <c r="A95" s="441" t="s">
        <v>1138</v>
      </c>
      <c r="B95" s="442" t="s">
        <v>1139</v>
      </c>
      <c r="C95" s="443" t="s">
        <v>119</v>
      </c>
      <c r="D95" s="444" t="s">
        <v>1140</v>
      </c>
      <c r="E95" s="445" t="s">
        <v>1141</v>
      </c>
      <c r="F95" s="446"/>
      <c r="G95" s="454"/>
      <c r="H95" s="454"/>
    </row>
    <row r="96" hidden="1">
      <c r="A96" s="449">
        <v>45355.0</v>
      </c>
      <c r="B96" s="450" t="s">
        <v>1288</v>
      </c>
      <c r="C96" s="466" t="s">
        <v>1158</v>
      </c>
      <c r="D96" s="452" t="s">
        <v>1289</v>
      </c>
      <c r="E96" s="453" t="s">
        <v>1144</v>
      </c>
      <c r="F96" s="446" t="s">
        <v>1151</v>
      </c>
      <c r="G96" s="454"/>
      <c r="H96" s="454"/>
    </row>
    <row r="97" hidden="1">
      <c r="A97" s="449">
        <v>45359.0</v>
      </c>
      <c r="B97" s="462" t="s">
        <v>1290</v>
      </c>
      <c r="C97" s="502" t="s">
        <v>780</v>
      </c>
      <c r="D97" s="452" t="s">
        <v>1291</v>
      </c>
      <c r="E97" s="453" t="s">
        <v>1144</v>
      </c>
      <c r="F97" s="446" t="s">
        <v>1284</v>
      </c>
      <c r="G97" s="454"/>
      <c r="H97" s="454"/>
    </row>
    <row r="98" hidden="1">
      <c r="A98" s="449">
        <v>45361.0</v>
      </c>
      <c r="B98" s="462" t="s">
        <v>1292</v>
      </c>
      <c r="C98" s="502" t="s">
        <v>1293</v>
      </c>
      <c r="D98" s="452" t="s">
        <v>1294</v>
      </c>
      <c r="E98" s="453" t="s">
        <v>1144</v>
      </c>
      <c r="F98" s="446" t="s">
        <v>1295</v>
      </c>
      <c r="G98" s="454"/>
      <c r="H98" s="454"/>
    </row>
    <row r="99" hidden="1">
      <c r="A99" s="449">
        <v>45362.0</v>
      </c>
      <c r="B99" s="462" t="s">
        <v>1296</v>
      </c>
      <c r="C99" s="462" t="s">
        <v>1297</v>
      </c>
      <c r="D99" s="452" t="s">
        <v>1298</v>
      </c>
      <c r="E99" s="503" t="s">
        <v>1144</v>
      </c>
      <c r="F99" s="446" t="s">
        <v>1151</v>
      </c>
      <c r="G99" s="454"/>
      <c r="H99" s="454"/>
    </row>
    <row r="100" hidden="1">
      <c r="A100" s="449">
        <v>45364.0</v>
      </c>
      <c r="B100" s="462" t="s">
        <v>1292</v>
      </c>
      <c r="C100" s="462" t="s">
        <v>1299</v>
      </c>
      <c r="D100" s="452" t="s">
        <v>1300</v>
      </c>
      <c r="E100" s="453" t="s">
        <v>1144</v>
      </c>
      <c r="F100" s="446" t="s">
        <v>1284</v>
      </c>
      <c r="G100" s="454"/>
      <c r="H100" s="454"/>
    </row>
    <row r="101" hidden="1">
      <c r="A101" s="449">
        <v>45370.0</v>
      </c>
      <c r="B101" s="491" t="s">
        <v>1301</v>
      </c>
      <c r="C101" s="456" t="s">
        <v>1198</v>
      </c>
      <c r="D101" s="452" t="s">
        <v>1298</v>
      </c>
      <c r="E101" s="453" t="s">
        <v>1144</v>
      </c>
      <c r="F101" s="446" t="s">
        <v>1284</v>
      </c>
      <c r="G101" s="454"/>
      <c r="H101" s="454"/>
    </row>
    <row r="102" hidden="1">
      <c r="A102" s="449">
        <v>45371.0</v>
      </c>
      <c r="B102" s="450" t="s">
        <v>1302</v>
      </c>
      <c r="C102" s="456" t="s">
        <v>1303</v>
      </c>
      <c r="D102" s="452" t="s">
        <v>1304</v>
      </c>
      <c r="E102" s="453" t="s">
        <v>1144</v>
      </c>
      <c r="F102" s="446" t="s">
        <v>1284</v>
      </c>
      <c r="G102" s="454"/>
      <c r="H102" s="454"/>
    </row>
    <row r="103" hidden="1">
      <c r="A103" s="449">
        <v>45373.0</v>
      </c>
      <c r="B103" s="450" t="s">
        <v>1305</v>
      </c>
      <c r="C103" s="466" t="s">
        <v>1306</v>
      </c>
      <c r="D103" s="452" t="s">
        <v>1286</v>
      </c>
      <c r="E103" s="453" t="s">
        <v>1144</v>
      </c>
      <c r="F103" s="446" t="s">
        <v>1307</v>
      </c>
      <c r="G103" s="454"/>
      <c r="H103" s="454"/>
    </row>
    <row r="104" hidden="1">
      <c r="A104" s="449">
        <v>45374.0</v>
      </c>
      <c r="B104" s="450" t="s">
        <v>1305</v>
      </c>
      <c r="C104" s="466" t="s">
        <v>1308</v>
      </c>
      <c r="D104" s="452" t="s">
        <v>1309</v>
      </c>
      <c r="E104" s="453" t="s">
        <v>1144</v>
      </c>
      <c r="F104" s="446" t="s">
        <v>1307</v>
      </c>
      <c r="G104" s="454"/>
      <c r="H104" s="454"/>
    </row>
    <row r="105" hidden="1">
      <c r="A105" s="449">
        <v>45380.0</v>
      </c>
      <c r="B105" s="504" t="s">
        <v>1310</v>
      </c>
      <c r="C105" s="466" t="s">
        <v>1200</v>
      </c>
      <c r="D105" s="452" t="s">
        <v>1311</v>
      </c>
      <c r="E105" s="453" t="s">
        <v>1144</v>
      </c>
      <c r="F105" s="446" t="s">
        <v>1284</v>
      </c>
      <c r="G105" s="454"/>
      <c r="H105" s="454"/>
    </row>
    <row r="106" hidden="1">
      <c r="A106" s="449"/>
      <c r="B106" s="450"/>
      <c r="C106" s="466"/>
      <c r="D106" s="452"/>
      <c r="E106" s="474"/>
      <c r="F106" s="446"/>
      <c r="G106" s="454"/>
      <c r="H106" s="454"/>
    </row>
    <row r="107" hidden="1">
      <c r="A107" s="449"/>
      <c r="B107" s="450"/>
      <c r="C107" s="466"/>
      <c r="D107" s="452"/>
      <c r="E107" s="474"/>
      <c r="F107" s="446"/>
      <c r="G107" s="454"/>
      <c r="H107" s="454"/>
    </row>
    <row r="108" hidden="1">
      <c r="A108" s="475" t="s">
        <v>1188</v>
      </c>
      <c r="B108" s="439"/>
      <c r="C108" s="440"/>
      <c r="D108" s="432" t="s">
        <v>1312</v>
      </c>
      <c r="E108" s="433" t="s">
        <v>1134</v>
      </c>
      <c r="F108" s="434" t="s">
        <v>1135</v>
      </c>
      <c r="G108" s="454"/>
      <c r="H108" s="454"/>
    </row>
    <row r="109" hidden="1">
      <c r="A109" s="441" t="s">
        <v>1138</v>
      </c>
      <c r="B109" s="442" t="s">
        <v>1139</v>
      </c>
      <c r="C109" s="443" t="s">
        <v>119</v>
      </c>
      <c r="D109" s="444" t="s">
        <v>1140</v>
      </c>
      <c r="E109" s="445" t="s">
        <v>1141</v>
      </c>
      <c r="F109" s="446"/>
      <c r="G109" s="454"/>
      <c r="H109" s="454"/>
    </row>
    <row r="110" hidden="1">
      <c r="A110" s="449">
        <v>45384.0</v>
      </c>
      <c r="B110" s="450" t="s">
        <v>1313</v>
      </c>
      <c r="C110" s="466" t="s">
        <v>1314</v>
      </c>
      <c r="D110" s="452" t="s">
        <v>1315</v>
      </c>
      <c r="E110" s="453" t="s">
        <v>1144</v>
      </c>
      <c r="F110" s="446" t="s">
        <v>1145</v>
      </c>
      <c r="G110" s="454"/>
      <c r="H110" s="454"/>
    </row>
    <row r="111" hidden="1">
      <c r="A111" s="449">
        <v>45385.0</v>
      </c>
      <c r="B111" s="450" t="s">
        <v>1313</v>
      </c>
      <c r="C111" s="466" t="s">
        <v>1316</v>
      </c>
      <c r="D111" s="452" t="s">
        <v>1317</v>
      </c>
      <c r="E111" s="453" t="s">
        <v>1144</v>
      </c>
      <c r="F111" s="446" t="s">
        <v>1145</v>
      </c>
      <c r="G111" s="454"/>
      <c r="H111" s="454"/>
    </row>
    <row r="112" hidden="1">
      <c r="A112" s="449">
        <v>45355.0</v>
      </c>
      <c r="B112" s="450" t="s">
        <v>1318</v>
      </c>
      <c r="C112" s="466" t="s">
        <v>1319</v>
      </c>
      <c r="D112" s="452" t="s">
        <v>1291</v>
      </c>
      <c r="E112" s="453" t="s">
        <v>1144</v>
      </c>
      <c r="F112" s="446" t="s">
        <v>1145</v>
      </c>
      <c r="G112" s="454"/>
      <c r="H112" s="454"/>
    </row>
    <row r="113" hidden="1">
      <c r="A113" s="449">
        <v>45355.0</v>
      </c>
      <c r="B113" s="450" t="s">
        <v>1320</v>
      </c>
      <c r="C113" s="456" t="s">
        <v>1198</v>
      </c>
      <c r="D113" s="452" t="s">
        <v>1321</v>
      </c>
      <c r="E113" s="453" t="s">
        <v>1144</v>
      </c>
      <c r="F113" s="446" t="s">
        <v>1151</v>
      </c>
      <c r="G113" s="454"/>
      <c r="H113" s="454"/>
    </row>
    <row r="114" hidden="1">
      <c r="A114" s="449">
        <v>45387.0</v>
      </c>
      <c r="B114" s="450" t="s">
        <v>1322</v>
      </c>
      <c r="C114" s="466" t="s">
        <v>1323</v>
      </c>
      <c r="D114" s="452" t="s">
        <v>1324</v>
      </c>
      <c r="E114" s="503" t="s">
        <v>1144</v>
      </c>
      <c r="F114" s="446" t="s">
        <v>1145</v>
      </c>
      <c r="G114" s="454"/>
      <c r="H114" s="454"/>
    </row>
    <row r="115" hidden="1">
      <c r="A115" s="449">
        <v>45387.0</v>
      </c>
      <c r="B115" s="450" t="s">
        <v>1320</v>
      </c>
      <c r="C115" s="456" t="s">
        <v>1325</v>
      </c>
      <c r="D115" s="452" t="s">
        <v>1291</v>
      </c>
      <c r="E115" s="453" t="s">
        <v>1144</v>
      </c>
      <c r="F115" s="446" t="s">
        <v>1151</v>
      </c>
      <c r="G115" s="454"/>
      <c r="H115" s="454"/>
    </row>
    <row r="116" hidden="1">
      <c r="A116" s="449">
        <v>45391.0</v>
      </c>
      <c r="B116" s="450" t="s">
        <v>1326</v>
      </c>
      <c r="C116" s="456" t="s">
        <v>1198</v>
      </c>
      <c r="D116" s="452" t="s">
        <v>1321</v>
      </c>
      <c r="E116" s="453" t="s">
        <v>1144</v>
      </c>
      <c r="F116" s="446" t="s">
        <v>1145</v>
      </c>
      <c r="G116" s="454"/>
      <c r="H116" s="454"/>
    </row>
    <row r="117" hidden="1">
      <c r="A117" s="449">
        <v>45392.0</v>
      </c>
      <c r="B117" s="450" t="s">
        <v>1327</v>
      </c>
      <c r="C117" s="466" t="s">
        <v>1328</v>
      </c>
      <c r="D117" s="452" t="s">
        <v>1309</v>
      </c>
      <c r="E117" s="453" t="s">
        <v>1144</v>
      </c>
      <c r="F117" s="446" t="s">
        <v>1329</v>
      </c>
      <c r="G117" s="454"/>
      <c r="H117" s="454"/>
    </row>
    <row r="118" hidden="1">
      <c r="A118" s="449">
        <v>45394.0</v>
      </c>
      <c r="B118" s="450" t="s">
        <v>1326</v>
      </c>
      <c r="C118" s="466" t="s">
        <v>1330</v>
      </c>
      <c r="D118" s="452" t="s">
        <v>1331</v>
      </c>
      <c r="E118" s="453" t="s">
        <v>1144</v>
      </c>
      <c r="F118" s="446" t="s">
        <v>1145</v>
      </c>
      <c r="G118" s="454"/>
      <c r="H118" s="454"/>
    </row>
    <row r="119" hidden="1">
      <c r="A119" s="449">
        <v>45399.0</v>
      </c>
      <c r="B119" s="450" t="s">
        <v>1332</v>
      </c>
      <c r="C119" s="466" t="s">
        <v>1333</v>
      </c>
      <c r="D119" s="452" t="s">
        <v>1291</v>
      </c>
      <c r="E119" s="453" t="s">
        <v>1144</v>
      </c>
      <c r="F119" s="446" t="s">
        <v>1151</v>
      </c>
      <c r="G119" s="454"/>
      <c r="H119" s="454"/>
    </row>
    <row r="120" hidden="1">
      <c r="A120" s="449">
        <v>45399.0</v>
      </c>
      <c r="B120" s="450" t="s">
        <v>1334</v>
      </c>
      <c r="C120" s="466" t="s">
        <v>1335</v>
      </c>
      <c r="D120" s="458" t="s">
        <v>1309</v>
      </c>
      <c r="E120" s="453" t="s">
        <v>1144</v>
      </c>
      <c r="F120" s="446" t="s">
        <v>1151</v>
      </c>
      <c r="G120" s="454"/>
      <c r="H120" s="454"/>
    </row>
    <row r="121" hidden="1">
      <c r="A121" s="449">
        <v>45401.0</v>
      </c>
      <c r="B121" s="450" t="s">
        <v>1336</v>
      </c>
      <c r="C121" s="466" t="s">
        <v>1268</v>
      </c>
      <c r="D121" s="458" t="s">
        <v>1321</v>
      </c>
      <c r="E121" s="453" t="s">
        <v>1144</v>
      </c>
      <c r="F121" s="446" t="s">
        <v>1145</v>
      </c>
      <c r="G121" s="454"/>
      <c r="H121" s="454"/>
    </row>
    <row r="122" hidden="1">
      <c r="A122" s="449">
        <v>45411.0</v>
      </c>
      <c r="B122" s="450" t="s">
        <v>1337</v>
      </c>
      <c r="C122" s="466" t="s">
        <v>1220</v>
      </c>
      <c r="D122" s="452" t="s">
        <v>1291</v>
      </c>
      <c r="E122" s="453" t="s">
        <v>1144</v>
      </c>
      <c r="F122" s="446" t="s">
        <v>1338</v>
      </c>
      <c r="G122" s="454"/>
      <c r="H122" s="454"/>
    </row>
    <row r="123" hidden="1">
      <c r="A123" s="449">
        <v>45412.0</v>
      </c>
      <c r="B123" s="450" t="s">
        <v>1337</v>
      </c>
      <c r="C123" s="466" t="s">
        <v>1339</v>
      </c>
      <c r="D123" s="452" t="s">
        <v>1340</v>
      </c>
      <c r="E123" s="453" t="s">
        <v>1144</v>
      </c>
      <c r="F123" s="446" t="s">
        <v>1338</v>
      </c>
      <c r="G123" s="454"/>
      <c r="H123" s="454"/>
    </row>
    <row r="124" hidden="1">
      <c r="A124" s="449"/>
      <c r="B124" s="450"/>
      <c r="C124" s="466"/>
      <c r="D124" s="452"/>
      <c r="E124" s="505"/>
      <c r="F124" s="446"/>
      <c r="G124" s="454"/>
      <c r="H124" s="454"/>
    </row>
    <row r="125" hidden="1">
      <c r="A125" s="475" t="s">
        <v>1188</v>
      </c>
      <c r="B125" s="439"/>
      <c r="C125" s="440"/>
      <c r="D125" s="432" t="s">
        <v>1341</v>
      </c>
      <c r="E125" s="433" t="s">
        <v>1134</v>
      </c>
      <c r="F125" s="434" t="s">
        <v>1135</v>
      </c>
      <c r="G125" s="454"/>
      <c r="H125" s="454"/>
    </row>
    <row r="126" hidden="1">
      <c r="A126" s="449">
        <v>45420.0</v>
      </c>
      <c r="B126" s="450" t="s">
        <v>1342</v>
      </c>
      <c r="C126" s="466" t="s">
        <v>1186</v>
      </c>
      <c r="D126" s="452" t="s">
        <v>1291</v>
      </c>
      <c r="E126" s="453" t="s">
        <v>1144</v>
      </c>
      <c r="F126" s="446" t="s">
        <v>1343</v>
      </c>
      <c r="G126" s="454"/>
      <c r="H126" s="454"/>
    </row>
    <row r="127" hidden="1">
      <c r="A127" s="449">
        <v>45436.0</v>
      </c>
      <c r="B127" s="450" t="s">
        <v>1344</v>
      </c>
      <c r="C127" s="466" t="s">
        <v>1345</v>
      </c>
      <c r="D127" s="452" t="s">
        <v>1346</v>
      </c>
      <c r="E127" s="453" t="s">
        <v>1144</v>
      </c>
      <c r="F127" s="446" t="s">
        <v>1145</v>
      </c>
      <c r="G127" s="454"/>
      <c r="H127" s="454"/>
    </row>
    <row r="128" hidden="1">
      <c r="A128" s="462" t="s">
        <v>1347</v>
      </c>
      <c r="B128" s="450" t="s">
        <v>1344</v>
      </c>
      <c r="C128" s="466" t="s">
        <v>1186</v>
      </c>
      <c r="D128" s="452" t="s">
        <v>1291</v>
      </c>
      <c r="E128" s="453" t="s">
        <v>1144</v>
      </c>
      <c r="F128" s="446" t="s">
        <v>1145</v>
      </c>
      <c r="G128" s="454"/>
      <c r="H128" s="454"/>
    </row>
    <row r="129" hidden="1">
      <c r="A129" s="449"/>
      <c r="B129" s="450"/>
      <c r="C129" s="466"/>
      <c r="D129" s="452"/>
      <c r="E129" s="505"/>
      <c r="F129" s="446"/>
      <c r="G129" s="454"/>
      <c r="H129" s="454"/>
    </row>
    <row r="130" hidden="1">
      <c r="A130" s="449"/>
      <c r="B130" s="450"/>
      <c r="C130" s="466"/>
      <c r="D130" s="452"/>
      <c r="E130" s="505"/>
      <c r="F130" s="446"/>
      <c r="G130" s="454"/>
      <c r="H130" s="454"/>
    </row>
    <row r="131" hidden="1">
      <c r="A131" s="449"/>
      <c r="B131" s="450"/>
      <c r="C131" s="466"/>
      <c r="D131" s="452"/>
      <c r="E131" s="505"/>
      <c r="F131" s="446"/>
      <c r="G131" s="454"/>
      <c r="H131" s="454"/>
    </row>
    <row r="132" hidden="1">
      <c r="A132" s="475" t="s">
        <v>1188</v>
      </c>
      <c r="B132" s="439"/>
      <c r="C132" s="440"/>
      <c r="D132" s="432" t="s">
        <v>1348</v>
      </c>
      <c r="E132" s="433" t="s">
        <v>1134</v>
      </c>
      <c r="F132" s="434" t="s">
        <v>1135</v>
      </c>
      <c r="G132" s="454"/>
      <c r="H132" s="454"/>
    </row>
    <row r="133" hidden="1">
      <c r="A133" s="449">
        <v>45444.0</v>
      </c>
      <c r="B133" s="450" t="s">
        <v>1349</v>
      </c>
      <c r="C133" s="466" t="s">
        <v>1350</v>
      </c>
      <c r="D133" s="452" t="s">
        <v>1289</v>
      </c>
      <c r="E133" s="453" t="s">
        <v>1144</v>
      </c>
      <c r="F133" s="446" t="s">
        <v>1338</v>
      </c>
      <c r="G133" s="454"/>
      <c r="H133" s="454"/>
    </row>
    <row r="134" hidden="1">
      <c r="A134" s="449">
        <v>45446.0</v>
      </c>
      <c r="B134" s="450" t="s">
        <v>1349</v>
      </c>
      <c r="C134" s="466" t="s">
        <v>1186</v>
      </c>
      <c r="D134" s="452" t="s">
        <v>1351</v>
      </c>
      <c r="E134" s="453" t="s">
        <v>1144</v>
      </c>
      <c r="F134" s="446" t="s">
        <v>1338</v>
      </c>
      <c r="G134" s="454"/>
      <c r="H134" s="454"/>
    </row>
    <row r="135" hidden="1">
      <c r="A135" s="489">
        <v>45455.0</v>
      </c>
      <c r="B135" s="450" t="s">
        <v>1352</v>
      </c>
      <c r="C135" s="466" t="s">
        <v>1353</v>
      </c>
      <c r="D135" s="452" t="s">
        <v>1354</v>
      </c>
      <c r="E135" s="453" t="s">
        <v>1144</v>
      </c>
      <c r="F135" s="446" t="s">
        <v>1355</v>
      </c>
      <c r="G135" s="467"/>
      <c r="H135" s="467"/>
      <c r="I135" s="468"/>
      <c r="J135" s="469"/>
      <c r="K135" s="469"/>
      <c r="L135" s="469"/>
      <c r="M135" s="469"/>
      <c r="N135" s="469"/>
      <c r="O135" s="469"/>
      <c r="P135" s="469"/>
      <c r="Q135" s="469"/>
      <c r="R135" s="469"/>
      <c r="S135" s="469"/>
      <c r="T135" s="469"/>
      <c r="U135" s="469"/>
      <c r="V135" s="469"/>
      <c r="W135" s="469"/>
      <c r="X135" s="469"/>
      <c r="Y135" s="469"/>
    </row>
    <row r="136" hidden="1">
      <c r="A136" s="489">
        <v>45456.0</v>
      </c>
      <c r="B136" s="450" t="s">
        <v>1352</v>
      </c>
      <c r="C136" s="466" t="s">
        <v>1356</v>
      </c>
      <c r="D136" s="452" t="s">
        <v>1357</v>
      </c>
      <c r="E136" s="453" t="s">
        <v>1144</v>
      </c>
      <c r="F136" s="446" t="s">
        <v>1355</v>
      </c>
      <c r="G136" s="467"/>
      <c r="H136" s="467"/>
      <c r="I136" s="468"/>
      <c r="J136" s="469"/>
      <c r="K136" s="469"/>
      <c r="L136" s="469"/>
      <c r="M136" s="469"/>
      <c r="N136" s="469"/>
      <c r="O136" s="469"/>
      <c r="P136" s="469"/>
      <c r="Q136" s="469"/>
      <c r="R136" s="469"/>
      <c r="S136" s="469"/>
      <c r="T136" s="469"/>
      <c r="U136" s="469"/>
      <c r="V136" s="469"/>
      <c r="W136" s="469"/>
      <c r="X136" s="469"/>
      <c r="Y136" s="469"/>
    </row>
    <row r="137" hidden="1">
      <c r="A137" s="449">
        <v>45459.0</v>
      </c>
      <c r="B137" s="450" t="s">
        <v>1358</v>
      </c>
      <c r="C137" s="466" t="s">
        <v>1359</v>
      </c>
      <c r="D137" s="452" t="s">
        <v>1360</v>
      </c>
      <c r="E137" s="453" t="s">
        <v>1144</v>
      </c>
      <c r="F137" s="446" t="s">
        <v>1338</v>
      </c>
      <c r="G137" s="454"/>
      <c r="H137" s="454"/>
    </row>
    <row r="138" hidden="1">
      <c r="A138" s="449">
        <v>45462.0</v>
      </c>
      <c r="B138" s="450" t="s">
        <v>1361</v>
      </c>
      <c r="C138" s="462" t="s">
        <v>1362</v>
      </c>
      <c r="D138" s="452" t="s">
        <v>1363</v>
      </c>
      <c r="E138" s="453" t="s">
        <v>1144</v>
      </c>
      <c r="F138" s="446" t="s">
        <v>1145</v>
      </c>
      <c r="G138" s="454"/>
      <c r="H138" s="454"/>
    </row>
    <row r="139" hidden="1">
      <c r="A139" s="449">
        <v>45463.0</v>
      </c>
      <c r="B139" s="450" t="s">
        <v>1361</v>
      </c>
      <c r="C139" s="462" t="s">
        <v>1364</v>
      </c>
      <c r="D139" s="452" t="s">
        <v>1365</v>
      </c>
      <c r="E139" s="453" t="s">
        <v>1144</v>
      </c>
      <c r="F139" s="446" t="s">
        <v>1145</v>
      </c>
      <c r="G139" s="454"/>
      <c r="H139" s="454"/>
    </row>
    <row r="140" hidden="1">
      <c r="A140" s="449">
        <v>45464.0</v>
      </c>
      <c r="B140" s="450" t="s">
        <v>1358</v>
      </c>
      <c r="C140" s="462" t="s">
        <v>1198</v>
      </c>
      <c r="D140" s="452" t="s">
        <v>1321</v>
      </c>
      <c r="E140" s="453" t="s">
        <v>1144</v>
      </c>
      <c r="F140" s="506" t="s">
        <v>1366</v>
      </c>
      <c r="G140" s="454"/>
      <c r="H140" s="454"/>
    </row>
    <row r="141" hidden="1">
      <c r="A141" s="449">
        <v>45464.0</v>
      </c>
      <c r="B141" s="450" t="s">
        <v>1358</v>
      </c>
      <c r="C141" s="451" t="s">
        <v>1330</v>
      </c>
      <c r="D141" s="452" t="s">
        <v>1331</v>
      </c>
      <c r="E141" s="453" t="s">
        <v>1144</v>
      </c>
      <c r="F141" s="506" t="s">
        <v>1366</v>
      </c>
      <c r="G141" s="454"/>
      <c r="H141" s="454"/>
    </row>
    <row r="142" hidden="1">
      <c r="A142" s="449">
        <v>45465.0</v>
      </c>
      <c r="B142" s="450" t="s">
        <v>1358</v>
      </c>
      <c r="C142" s="466" t="s">
        <v>1367</v>
      </c>
      <c r="D142" s="452" t="s">
        <v>1291</v>
      </c>
      <c r="E142" s="453" t="s">
        <v>1144</v>
      </c>
      <c r="F142" s="506" t="s">
        <v>1366</v>
      </c>
      <c r="G142" s="454"/>
      <c r="H142" s="454"/>
    </row>
    <row r="143" hidden="1">
      <c r="A143" s="449"/>
      <c r="B143" s="450"/>
      <c r="C143" s="466"/>
      <c r="D143" s="452"/>
      <c r="E143" s="505"/>
      <c r="F143" s="446"/>
      <c r="G143" s="454"/>
      <c r="H143" s="454"/>
    </row>
    <row r="144" hidden="1">
      <c r="A144" s="449"/>
      <c r="B144" s="450"/>
      <c r="C144" s="466"/>
      <c r="D144" s="452"/>
      <c r="E144" s="505"/>
      <c r="F144" s="446"/>
      <c r="G144" s="454"/>
      <c r="H144" s="454"/>
    </row>
    <row r="145" hidden="1">
      <c r="A145" s="449"/>
      <c r="B145" s="450"/>
      <c r="C145" s="466"/>
      <c r="D145" s="452"/>
      <c r="E145" s="505"/>
      <c r="F145" s="446"/>
      <c r="G145" s="454"/>
      <c r="H145" s="454"/>
    </row>
    <row r="146" hidden="1">
      <c r="A146" s="449"/>
      <c r="B146" s="450"/>
      <c r="C146" s="466"/>
      <c r="D146" s="452"/>
      <c r="E146" s="505"/>
      <c r="F146" s="446"/>
      <c r="G146" s="454"/>
      <c r="H146" s="454"/>
    </row>
    <row r="147" hidden="1">
      <c r="A147" s="449"/>
      <c r="B147" s="450"/>
      <c r="C147" s="466"/>
      <c r="D147" s="452"/>
      <c r="E147" s="505"/>
      <c r="F147" s="446"/>
      <c r="G147" s="454"/>
      <c r="H147" s="454"/>
    </row>
    <row r="148" hidden="1">
      <c r="A148" s="475" t="s">
        <v>1188</v>
      </c>
      <c r="B148" s="439"/>
      <c r="C148" s="440"/>
      <c r="D148" s="432" t="s">
        <v>1368</v>
      </c>
      <c r="E148" s="433" t="s">
        <v>1134</v>
      </c>
      <c r="F148" s="434" t="s">
        <v>1135</v>
      </c>
      <c r="G148" s="454"/>
      <c r="H148" s="454"/>
    </row>
    <row r="149" hidden="1">
      <c r="A149" s="449">
        <v>45475.0</v>
      </c>
      <c r="B149" s="450" t="s">
        <v>1369</v>
      </c>
      <c r="C149" s="466" t="s">
        <v>1370</v>
      </c>
      <c r="D149" s="452" t="s">
        <v>1371</v>
      </c>
      <c r="E149" s="453" t="s">
        <v>1144</v>
      </c>
      <c r="F149" s="446" t="s">
        <v>1145</v>
      </c>
      <c r="G149" s="454"/>
      <c r="H149" s="454"/>
    </row>
    <row r="150" hidden="1">
      <c r="A150" s="449">
        <v>45477.0</v>
      </c>
      <c r="B150" s="462" t="s">
        <v>1369</v>
      </c>
      <c r="C150" s="466" t="s">
        <v>1372</v>
      </c>
      <c r="D150" s="452" t="s">
        <v>1373</v>
      </c>
      <c r="E150" s="453" t="s">
        <v>1144</v>
      </c>
      <c r="F150" s="446" t="s">
        <v>1145</v>
      </c>
      <c r="G150" s="454"/>
      <c r="H150" s="454"/>
    </row>
    <row r="151" hidden="1">
      <c r="A151" s="449">
        <v>45486.0</v>
      </c>
      <c r="B151" s="450" t="s">
        <v>1374</v>
      </c>
      <c r="C151" s="466" t="s">
        <v>1375</v>
      </c>
      <c r="D151" s="452" t="s">
        <v>1376</v>
      </c>
      <c r="E151" s="453" t="s">
        <v>1144</v>
      </c>
      <c r="F151" s="446" t="s">
        <v>1145</v>
      </c>
      <c r="G151" s="454"/>
      <c r="H151" s="454"/>
    </row>
    <row r="152" hidden="1">
      <c r="A152" s="449">
        <v>45488.0</v>
      </c>
      <c r="B152" s="450" t="s">
        <v>1377</v>
      </c>
      <c r="C152" s="466" t="s">
        <v>1378</v>
      </c>
      <c r="D152" s="452" t="s">
        <v>1379</v>
      </c>
      <c r="E152" s="453" t="s">
        <v>1144</v>
      </c>
      <c r="F152" s="446" t="s">
        <v>1380</v>
      </c>
      <c r="G152" s="454"/>
      <c r="H152" s="454"/>
    </row>
    <row r="153" hidden="1">
      <c r="A153" s="449">
        <v>45499.0</v>
      </c>
      <c r="B153" s="456" t="s">
        <v>1381</v>
      </c>
      <c r="C153" s="466" t="s">
        <v>1382</v>
      </c>
      <c r="D153" s="452" t="s">
        <v>1383</v>
      </c>
      <c r="E153" s="453" t="s">
        <v>1144</v>
      </c>
      <c r="F153" s="446" t="s">
        <v>1145</v>
      </c>
      <c r="G153" s="454"/>
      <c r="H153" s="454"/>
    </row>
    <row r="154" hidden="1">
      <c r="A154" s="449">
        <v>45500.0</v>
      </c>
      <c r="B154" s="456" t="s">
        <v>1384</v>
      </c>
      <c r="C154" s="466" t="s">
        <v>1385</v>
      </c>
      <c r="D154" s="452" t="s">
        <v>1386</v>
      </c>
      <c r="E154" s="453" t="s">
        <v>1144</v>
      </c>
      <c r="F154" s="446" t="s">
        <v>1145</v>
      </c>
      <c r="G154" s="454"/>
      <c r="H154" s="454"/>
    </row>
    <row r="155" hidden="1">
      <c r="A155" s="449">
        <v>45501.0</v>
      </c>
      <c r="B155" s="456" t="s">
        <v>1384</v>
      </c>
      <c r="C155" s="466" t="s">
        <v>1387</v>
      </c>
      <c r="D155" s="452" t="s">
        <v>1388</v>
      </c>
      <c r="E155" s="453" t="s">
        <v>1144</v>
      </c>
      <c r="F155" s="446" t="s">
        <v>1145</v>
      </c>
      <c r="G155" s="454"/>
      <c r="H155" s="454"/>
    </row>
    <row r="156" hidden="1">
      <c r="A156" s="449">
        <v>45502.0</v>
      </c>
      <c r="B156" s="456" t="s">
        <v>1384</v>
      </c>
      <c r="C156" s="466" t="s">
        <v>1389</v>
      </c>
      <c r="D156" s="452" t="s">
        <v>1373</v>
      </c>
      <c r="E156" s="453" t="s">
        <v>1144</v>
      </c>
      <c r="F156" s="446" t="s">
        <v>1145</v>
      </c>
      <c r="G156" s="454"/>
      <c r="H156" s="454"/>
    </row>
    <row r="157" hidden="1">
      <c r="A157" s="449"/>
      <c r="B157" s="450"/>
      <c r="C157" s="466"/>
      <c r="D157" s="452"/>
      <c r="E157" s="505"/>
      <c r="F157" s="446"/>
      <c r="G157" s="454"/>
      <c r="H157" s="454"/>
    </row>
    <row r="158" hidden="1">
      <c r="A158" s="449"/>
      <c r="B158" s="450"/>
      <c r="C158" s="466"/>
      <c r="D158" s="452"/>
      <c r="E158" s="505"/>
      <c r="F158" s="446"/>
      <c r="G158" s="454"/>
      <c r="H158" s="454"/>
    </row>
    <row r="159" hidden="1">
      <c r="A159" s="475" t="s">
        <v>1188</v>
      </c>
      <c r="B159" s="439"/>
      <c r="C159" s="440"/>
      <c r="D159" s="432" t="s">
        <v>1390</v>
      </c>
      <c r="E159" s="433" t="s">
        <v>1134</v>
      </c>
      <c r="F159" s="434" t="s">
        <v>1135</v>
      </c>
      <c r="G159" s="454"/>
      <c r="H159" s="454"/>
    </row>
    <row r="160" hidden="1">
      <c r="A160" s="449">
        <v>45512.0</v>
      </c>
      <c r="B160" s="507" t="s">
        <v>1391</v>
      </c>
      <c r="C160" s="451" t="s">
        <v>1392</v>
      </c>
      <c r="D160" s="452" t="s">
        <v>1393</v>
      </c>
      <c r="E160" s="453" t="s">
        <v>1144</v>
      </c>
      <c r="F160" s="446" t="s">
        <v>1145</v>
      </c>
      <c r="G160" s="454"/>
      <c r="H160" s="454"/>
    </row>
    <row r="161" hidden="1">
      <c r="A161" s="449">
        <v>45515.0</v>
      </c>
      <c r="B161" s="456" t="s">
        <v>1394</v>
      </c>
      <c r="C161" s="451" t="s">
        <v>1395</v>
      </c>
      <c r="D161" s="452" t="s">
        <v>1321</v>
      </c>
      <c r="E161" s="453" t="s">
        <v>1144</v>
      </c>
      <c r="F161" s="446" t="s">
        <v>1145</v>
      </c>
      <c r="G161" s="454"/>
      <c r="H161" s="454"/>
    </row>
    <row r="162" hidden="1">
      <c r="A162" s="449">
        <v>45515.0</v>
      </c>
      <c r="B162" s="456" t="s">
        <v>1394</v>
      </c>
      <c r="C162" s="451" t="s">
        <v>1396</v>
      </c>
      <c r="D162" s="452" t="s">
        <v>1397</v>
      </c>
      <c r="E162" s="453" t="s">
        <v>1144</v>
      </c>
      <c r="F162" s="446" t="s">
        <v>1145</v>
      </c>
      <c r="G162" s="454"/>
      <c r="H162" s="454"/>
    </row>
    <row r="163" hidden="1">
      <c r="A163" s="449">
        <v>45516.0</v>
      </c>
      <c r="B163" s="456" t="s">
        <v>1394</v>
      </c>
      <c r="C163" s="451" t="s">
        <v>1398</v>
      </c>
      <c r="D163" s="452" t="s">
        <v>1399</v>
      </c>
      <c r="E163" s="453" t="s">
        <v>1144</v>
      </c>
      <c r="F163" s="446" t="s">
        <v>1145</v>
      </c>
      <c r="G163" s="454"/>
      <c r="H163" s="454"/>
    </row>
    <row r="164" hidden="1">
      <c r="A164" s="449">
        <v>45517.0</v>
      </c>
      <c r="B164" s="456" t="s">
        <v>1394</v>
      </c>
      <c r="C164" s="451" t="s">
        <v>1400</v>
      </c>
      <c r="D164" s="452" t="s">
        <v>1309</v>
      </c>
      <c r="E164" s="453" t="s">
        <v>1144</v>
      </c>
      <c r="F164" s="446" t="s">
        <v>1145</v>
      </c>
      <c r="G164" s="454"/>
      <c r="H164" s="454"/>
    </row>
    <row r="165" hidden="1">
      <c r="A165" s="449">
        <v>45518.0</v>
      </c>
      <c r="B165" s="456" t="s">
        <v>1394</v>
      </c>
      <c r="C165" s="451" t="s">
        <v>1401</v>
      </c>
      <c r="D165" s="452" t="s">
        <v>1291</v>
      </c>
      <c r="E165" s="453" t="s">
        <v>1144</v>
      </c>
      <c r="F165" s="446" t="s">
        <v>1145</v>
      </c>
      <c r="G165" s="454"/>
      <c r="H165" s="454"/>
    </row>
    <row r="166" hidden="1">
      <c r="A166" s="449"/>
      <c r="B166" s="456"/>
      <c r="C166" s="451"/>
      <c r="D166" s="452"/>
      <c r="E166" s="505"/>
      <c r="F166" s="446"/>
      <c r="G166" s="454"/>
      <c r="H166" s="454"/>
    </row>
    <row r="167" hidden="1">
      <c r="A167" s="449"/>
      <c r="B167" s="456"/>
      <c r="C167" s="457"/>
      <c r="D167" s="452"/>
      <c r="E167" s="505"/>
      <c r="F167" s="508"/>
      <c r="G167" s="454"/>
      <c r="H167" s="454"/>
    </row>
    <row r="168" hidden="1">
      <c r="A168" s="475" t="s">
        <v>1188</v>
      </c>
      <c r="B168" s="439"/>
      <c r="C168" s="440"/>
      <c r="D168" s="432" t="s">
        <v>1402</v>
      </c>
      <c r="E168" s="433" t="s">
        <v>1134</v>
      </c>
      <c r="F168" s="434" t="s">
        <v>1135</v>
      </c>
      <c r="G168" s="454"/>
      <c r="H168" s="454"/>
    </row>
    <row r="169" hidden="1">
      <c r="A169" s="449"/>
      <c r="B169" s="456"/>
      <c r="C169" s="457"/>
      <c r="D169" s="452"/>
      <c r="E169" s="505"/>
      <c r="F169" s="508"/>
      <c r="G169" s="454"/>
      <c r="H169" s="454"/>
    </row>
    <row r="170" hidden="1">
      <c r="A170" s="509" t="s">
        <v>1403</v>
      </c>
      <c r="B170" s="439"/>
      <c r="C170" s="440"/>
      <c r="D170" s="432" t="s">
        <v>1404</v>
      </c>
      <c r="E170" s="433" t="s">
        <v>1134</v>
      </c>
      <c r="F170" s="434" t="s">
        <v>1135</v>
      </c>
      <c r="G170" s="454"/>
      <c r="H170" s="454"/>
    </row>
    <row r="171" hidden="1">
      <c r="A171" s="449">
        <v>45588.0</v>
      </c>
      <c r="B171" s="510" t="s">
        <v>1405</v>
      </c>
      <c r="C171" s="457" t="s">
        <v>1158</v>
      </c>
      <c r="D171" s="452">
        <v>620000.0</v>
      </c>
      <c r="E171" s="511" t="s">
        <v>1406</v>
      </c>
      <c r="F171" s="450" t="s">
        <v>1145</v>
      </c>
      <c r="G171" s="454"/>
      <c r="H171" s="454"/>
    </row>
    <row r="172" hidden="1">
      <c r="A172" s="449">
        <v>45589.0</v>
      </c>
      <c r="B172" s="512" t="s">
        <v>1405</v>
      </c>
      <c r="C172" s="457" t="s">
        <v>1217</v>
      </c>
      <c r="D172" s="452" t="s">
        <v>1291</v>
      </c>
      <c r="E172" s="511" t="s">
        <v>1144</v>
      </c>
      <c r="F172" s="450" t="s">
        <v>1145</v>
      </c>
      <c r="G172" s="454"/>
      <c r="H172" s="454"/>
    </row>
    <row r="173" hidden="1">
      <c r="A173" s="449"/>
      <c r="B173" s="456" t="s">
        <v>1405</v>
      </c>
      <c r="C173" s="457" t="s">
        <v>1407</v>
      </c>
      <c r="D173" s="452" t="s">
        <v>1300</v>
      </c>
      <c r="E173" s="511" t="s">
        <v>1406</v>
      </c>
      <c r="F173" s="508"/>
      <c r="G173" s="454"/>
      <c r="H173" s="454"/>
    </row>
    <row r="174" hidden="1">
      <c r="A174" s="513">
        <v>45592.0</v>
      </c>
      <c r="B174" s="456" t="s">
        <v>1408</v>
      </c>
      <c r="C174" s="457" t="s">
        <v>1409</v>
      </c>
      <c r="D174" s="452">
        <v>479000.0</v>
      </c>
      <c r="E174" s="511" t="s">
        <v>1406</v>
      </c>
      <c r="F174" s="508"/>
      <c r="G174" s="454"/>
      <c r="H174" s="454"/>
    </row>
    <row r="175" hidden="1">
      <c r="A175" s="449">
        <v>45595.0</v>
      </c>
      <c r="B175" s="456" t="s">
        <v>1410</v>
      </c>
      <c r="C175" s="457" t="s">
        <v>176</v>
      </c>
      <c r="D175" s="452">
        <v>416000.0</v>
      </c>
      <c r="E175" s="511" t="s">
        <v>1406</v>
      </c>
      <c r="F175" s="508"/>
      <c r="G175" s="454"/>
      <c r="H175" s="454"/>
    </row>
    <row r="176" hidden="1">
      <c r="A176" s="449">
        <v>45596.0</v>
      </c>
      <c r="B176" s="456" t="s">
        <v>1411</v>
      </c>
      <c r="C176" s="457" t="s">
        <v>1412</v>
      </c>
      <c r="D176" s="452">
        <v>880000.0</v>
      </c>
      <c r="E176" s="511" t="s">
        <v>1406</v>
      </c>
      <c r="F176" s="508"/>
      <c r="G176" s="454"/>
      <c r="H176" s="454"/>
    </row>
    <row r="177" hidden="1">
      <c r="A177" s="449"/>
      <c r="B177" s="456"/>
      <c r="C177" s="457"/>
      <c r="D177" s="452"/>
      <c r="E177" s="505"/>
      <c r="F177" s="508"/>
      <c r="G177" s="454"/>
      <c r="H177" s="454"/>
    </row>
    <row r="178" hidden="1">
      <c r="A178" s="449"/>
      <c r="B178" s="456"/>
      <c r="C178" s="457"/>
      <c r="D178" s="452"/>
      <c r="E178" s="505"/>
      <c r="F178" s="508"/>
      <c r="G178" s="454"/>
      <c r="H178" s="454"/>
    </row>
    <row r="179" hidden="1">
      <c r="A179" s="514" t="s">
        <v>1413</v>
      </c>
      <c r="B179" s="439"/>
      <c r="C179" s="440"/>
      <c r="D179" s="515" t="s">
        <v>1414</v>
      </c>
      <c r="E179" s="516" t="s">
        <v>1134</v>
      </c>
      <c r="F179" s="517" t="s">
        <v>1135</v>
      </c>
      <c r="G179" s="518"/>
      <c r="H179" s="518"/>
      <c r="I179" s="519"/>
      <c r="J179" s="519"/>
      <c r="K179" s="519"/>
      <c r="L179" s="519"/>
      <c r="M179" s="519"/>
      <c r="N179" s="519"/>
      <c r="O179" s="519"/>
      <c r="P179" s="519"/>
      <c r="Q179" s="519"/>
      <c r="R179" s="519"/>
      <c r="S179" s="519"/>
      <c r="T179" s="519"/>
      <c r="U179" s="519"/>
      <c r="V179" s="519"/>
      <c r="W179" s="519"/>
      <c r="X179" s="519"/>
      <c r="Y179" s="519"/>
      <c r="Z179" s="519"/>
    </row>
    <row r="180" hidden="1">
      <c r="A180" s="449">
        <v>45597.0</v>
      </c>
      <c r="B180" s="456" t="s">
        <v>1411</v>
      </c>
      <c r="C180" s="520" t="s">
        <v>265</v>
      </c>
      <c r="D180" s="521">
        <v>3055500.0</v>
      </c>
      <c r="E180" s="501" t="s">
        <v>1144</v>
      </c>
      <c r="F180" s="522"/>
      <c r="G180" s="454"/>
      <c r="H180" s="454"/>
    </row>
    <row r="181" hidden="1">
      <c r="A181" s="449">
        <v>45599.0</v>
      </c>
      <c r="B181" s="456" t="s">
        <v>1411</v>
      </c>
      <c r="C181" s="520" t="s">
        <v>1415</v>
      </c>
      <c r="D181" s="521">
        <v>2590000.0</v>
      </c>
      <c r="E181" s="501" t="s">
        <v>1144</v>
      </c>
      <c r="F181" s="522"/>
      <c r="G181" s="454"/>
      <c r="H181" s="454"/>
    </row>
    <row r="182" hidden="1">
      <c r="A182" s="449">
        <v>45603.0</v>
      </c>
      <c r="B182" s="456" t="s">
        <v>1416</v>
      </c>
      <c r="C182" s="520" t="s">
        <v>1417</v>
      </c>
      <c r="D182" s="521">
        <v>363000.0</v>
      </c>
      <c r="E182" s="501" t="s">
        <v>1144</v>
      </c>
      <c r="F182" s="522"/>
      <c r="G182" s="454"/>
      <c r="H182" s="454"/>
    </row>
    <row r="183" hidden="1">
      <c r="A183" s="449">
        <v>45604.0</v>
      </c>
      <c r="B183" s="456" t="s">
        <v>1416</v>
      </c>
      <c r="C183" s="520" t="s">
        <v>325</v>
      </c>
      <c r="D183" s="521">
        <v>280000.0</v>
      </c>
      <c r="E183" s="501" t="s">
        <v>1144</v>
      </c>
      <c r="F183" s="522"/>
      <c r="G183" s="454"/>
      <c r="H183" s="523"/>
    </row>
    <row r="184" hidden="1">
      <c r="A184" s="449">
        <v>45604.0</v>
      </c>
      <c r="B184" s="456" t="s">
        <v>1418</v>
      </c>
      <c r="C184" s="520" t="s">
        <v>1419</v>
      </c>
      <c r="D184" s="521">
        <v>1162000.0</v>
      </c>
      <c r="E184" s="501" t="s">
        <v>1144</v>
      </c>
      <c r="F184" s="522"/>
      <c r="G184" s="454"/>
      <c r="H184" s="454"/>
    </row>
    <row r="185" hidden="1">
      <c r="A185" s="449">
        <v>45605.0</v>
      </c>
      <c r="B185" s="456" t="s">
        <v>1416</v>
      </c>
      <c r="C185" s="520" t="s">
        <v>1420</v>
      </c>
      <c r="D185" s="521">
        <v>250000.0</v>
      </c>
      <c r="E185" s="501" t="s">
        <v>1144</v>
      </c>
      <c r="F185" s="522"/>
      <c r="G185" s="454"/>
      <c r="H185" s="454"/>
    </row>
    <row r="186" hidden="1">
      <c r="A186" s="449">
        <v>45605.0</v>
      </c>
      <c r="B186" s="456" t="s">
        <v>1421</v>
      </c>
      <c r="C186" s="520" t="s">
        <v>1422</v>
      </c>
      <c r="D186" s="521">
        <v>1472000.0</v>
      </c>
      <c r="E186" s="501" t="s">
        <v>1144</v>
      </c>
      <c r="F186" s="522"/>
      <c r="G186" s="454"/>
      <c r="H186" s="454"/>
    </row>
    <row r="187" hidden="1">
      <c r="A187" s="449">
        <v>45606.0</v>
      </c>
      <c r="B187" s="456" t="s">
        <v>1416</v>
      </c>
      <c r="C187" s="520" t="s">
        <v>285</v>
      </c>
      <c r="D187" s="521">
        <v>100000.0</v>
      </c>
      <c r="E187" s="501" t="s">
        <v>1144</v>
      </c>
      <c r="F187" s="522"/>
      <c r="G187" s="454"/>
      <c r="H187" s="454"/>
    </row>
    <row r="188" hidden="1">
      <c r="A188" s="449">
        <v>45607.0</v>
      </c>
      <c r="B188" s="456" t="s">
        <v>1423</v>
      </c>
      <c r="C188" s="520" t="s">
        <v>535</v>
      </c>
      <c r="D188" s="521">
        <v>400000.0</v>
      </c>
      <c r="E188" s="501" t="s">
        <v>1144</v>
      </c>
      <c r="F188" s="522"/>
      <c r="G188" s="454"/>
      <c r="H188" s="454"/>
    </row>
    <row r="189" hidden="1">
      <c r="A189" s="449">
        <v>45608.0</v>
      </c>
      <c r="B189" s="456" t="s">
        <v>1423</v>
      </c>
      <c r="C189" s="520" t="s">
        <v>138</v>
      </c>
      <c r="D189" s="521">
        <v>1320000.0</v>
      </c>
      <c r="E189" s="501" t="s">
        <v>1144</v>
      </c>
      <c r="F189" s="522"/>
      <c r="G189" s="454"/>
      <c r="H189" s="454"/>
    </row>
    <row r="190" hidden="1">
      <c r="A190" s="449">
        <v>45611.0</v>
      </c>
      <c r="B190" s="456" t="s">
        <v>1421</v>
      </c>
      <c r="C190" s="520" t="s">
        <v>1424</v>
      </c>
      <c r="D190" s="521">
        <v>436000.0</v>
      </c>
      <c r="E190" s="501" t="s">
        <v>1144</v>
      </c>
      <c r="F190" s="522"/>
      <c r="G190" s="454"/>
      <c r="H190" s="454"/>
    </row>
    <row r="191" hidden="1">
      <c r="A191" s="449">
        <v>45619.0</v>
      </c>
      <c r="B191" s="456" t="s">
        <v>1425</v>
      </c>
      <c r="C191" s="520" t="s">
        <v>1426</v>
      </c>
      <c r="D191" s="521">
        <v>466000.0</v>
      </c>
      <c r="E191" s="501" t="s">
        <v>1144</v>
      </c>
      <c r="F191" s="522" t="s">
        <v>1427</v>
      </c>
      <c r="G191" s="454"/>
      <c r="H191" s="454"/>
    </row>
    <row r="192" hidden="1">
      <c r="A192" s="449">
        <v>45620.0</v>
      </c>
      <c r="B192" s="520" t="s">
        <v>1428</v>
      </c>
      <c r="C192" s="463" t="s">
        <v>1158</v>
      </c>
      <c r="D192" s="452">
        <v>620000.0</v>
      </c>
      <c r="E192" s="501" t="s">
        <v>1144</v>
      </c>
      <c r="F192" s="522" t="s">
        <v>1427</v>
      </c>
      <c r="G192" s="454"/>
      <c r="H192" s="454"/>
    </row>
    <row r="193" hidden="1">
      <c r="A193" s="449">
        <v>45622.0</v>
      </c>
      <c r="B193" s="520" t="s">
        <v>1429</v>
      </c>
      <c r="C193" s="457" t="s">
        <v>1430</v>
      </c>
      <c r="D193" s="452">
        <v>500000.0</v>
      </c>
      <c r="E193" s="501" t="s">
        <v>1144</v>
      </c>
      <c r="F193" s="522" t="s">
        <v>1427</v>
      </c>
      <c r="G193" s="454"/>
      <c r="H193" s="454"/>
    </row>
    <row r="194" hidden="1">
      <c r="A194" s="449">
        <v>45623.0</v>
      </c>
      <c r="B194" s="456" t="s">
        <v>1425</v>
      </c>
      <c r="C194" s="457" t="s">
        <v>1396</v>
      </c>
      <c r="D194" s="452">
        <v>200000.0</v>
      </c>
      <c r="E194" s="501" t="s">
        <v>1144</v>
      </c>
      <c r="F194" s="522" t="s">
        <v>1427</v>
      </c>
      <c r="G194" s="454"/>
      <c r="H194" s="454"/>
    </row>
    <row r="195" hidden="1">
      <c r="A195" s="449">
        <v>45624.0</v>
      </c>
      <c r="B195" s="456" t="s">
        <v>1431</v>
      </c>
      <c r="C195" s="457" t="s">
        <v>1432</v>
      </c>
      <c r="D195" s="452">
        <v>720000.0</v>
      </c>
      <c r="E195" s="501" t="s">
        <v>1144</v>
      </c>
      <c r="F195" s="522" t="s">
        <v>1427</v>
      </c>
      <c r="G195" s="454"/>
      <c r="H195" s="454"/>
    </row>
    <row r="196" hidden="1">
      <c r="A196" s="449"/>
      <c r="B196" s="456"/>
      <c r="C196" s="457"/>
      <c r="D196" s="452"/>
      <c r="E196" s="505"/>
      <c r="F196" s="508"/>
      <c r="G196" s="454"/>
      <c r="H196" s="454"/>
    </row>
    <row r="197" hidden="1">
      <c r="A197" s="524"/>
      <c r="B197" s="524"/>
      <c r="C197" s="524"/>
      <c r="D197" s="432"/>
      <c r="E197" s="433"/>
      <c r="F197" s="434"/>
      <c r="G197" s="454"/>
      <c r="H197" s="454"/>
    </row>
    <row r="198" hidden="1">
      <c r="A198" s="524"/>
      <c r="B198" s="524"/>
      <c r="C198" s="524"/>
      <c r="D198" s="432"/>
      <c r="E198" s="433"/>
      <c r="F198" s="434"/>
      <c r="G198" s="454"/>
      <c r="H198" s="454"/>
    </row>
    <row r="199" hidden="1">
      <c r="A199" s="524"/>
      <c r="B199" s="524"/>
      <c r="C199" s="524"/>
      <c r="D199" s="432"/>
      <c r="E199" s="433"/>
      <c r="F199" s="434"/>
      <c r="G199" s="454"/>
      <c r="H199" s="454"/>
    </row>
    <row r="200" hidden="1">
      <c r="A200" s="509" t="s">
        <v>1433</v>
      </c>
      <c r="B200" s="439"/>
      <c r="C200" s="440"/>
      <c r="D200" s="432" t="s">
        <v>1434</v>
      </c>
      <c r="E200" s="433" t="s">
        <v>1134</v>
      </c>
      <c r="F200" s="434" t="s">
        <v>1135</v>
      </c>
      <c r="G200" s="454"/>
      <c r="H200" s="454"/>
    </row>
    <row r="201" hidden="1">
      <c r="A201" s="525">
        <v>45653.0</v>
      </c>
      <c r="B201" s="526" t="s">
        <v>1435</v>
      </c>
      <c r="C201" s="527" t="s">
        <v>1436</v>
      </c>
      <c r="D201" s="528">
        <v>466000.0</v>
      </c>
      <c r="E201" s="529" t="s">
        <v>1406</v>
      </c>
      <c r="F201" s="530"/>
      <c r="G201" s="454"/>
      <c r="H201" s="454"/>
    </row>
    <row r="202" hidden="1">
      <c r="A202" s="531">
        <v>45653.0</v>
      </c>
      <c r="B202" s="526" t="s">
        <v>1437</v>
      </c>
      <c r="C202" s="527" t="s">
        <v>1438</v>
      </c>
      <c r="D202" s="528">
        <v>210000.0</v>
      </c>
      <c r="E202" s="529" t="s">
        <v>1406</v>
      </c>
      <c r="F202" s="530"/>
      <c r="G202" s="454"/>
      <c r="H202" s="454"/>
    </row>
    <row r="203" hidden="1">
      <c r="A203" s="525">
        <v>45654.0</v>
      </c>
      <c r="B203" s="526" t="s">
        <v>1439</v>
      </c>
      <c r="C203" s="527" t="s">
        <v>1440</v>
      </c>
      <c r="D203" s="528">
        <v>860000.0</v>
      </c>
      <c r="E203" s="529" t="s">
        <v>1406</v>
      </c>
      <c r="F203" s="530"/>
      <c r="G203" s="454"/>
      <c r="H203" s="454"/>
    </row>
    <row r="204" hidden="1">
      <c r="A204" s="525">
        <v>45654.0</v>
      </c>
      <c r="B204" s="526" t="s">
        <v>1441</v>
      </c>
      <c r="C204" s="527" t="s">
        <v>158</v>
      </c>
      <c r="D204" s="528">
        <v>700000.0</v>
      </c>
      <c r="E204" s="529" t="s">
        <v>1406</v>
      </c>
      <c r="F204" s="530"/>
      <c r="G204" s="454"/>
      <c r="H204" s="454"/>
    </row>
    <row r="205" hidden="1">
      <c r="A205" s="525">
        <v>45655.0</v>
      </c>
      <c r="B205" s="526" t="s">
        <v>1437</v>
      </c>
      <c r="C205" s="527" t="s">
        <v>1442</v>
      </c>
      <c r="D205" s="528">
        <v>500000.0</v>
      </c>
      <c r="E205" s="529" t="s">
        <v>1406</v>
      </c>
      <c r="F205" s="530"/>
      <c r="G205" s="454"/>
      <c r="H205" s="454"/>
    </row>
    <row r="206" hidden="1">
      <c r="A206" s="525">
        <v>45656.0</v>
      </c>
      <c r="B206" s="526" t="s">
        <v>1443</v>
      </c>
      <c r="C206" s="527" t="s">
        <v>158</v>
      </c>
      <c r="D206" s="528">
        <v>950000.0</v>
      </c>
      <c r="E206" s="529" t="s">
        <v>1406</v>
      </c>
      <c r="F206" s="530"/>
      <c r="G206" s="454"/>
      <c r="H206" s="454"/>
    </row>
    <row r="207" hidden="1">
      <c r="A207" s="525">
        <v>45656.0</v>
      </c>
      <c r="B207" s="526" t="s">
        <v>1437</v>
      </c>
      <c r="C207" s="527" t="s">
        <v>222</v>
      </c>
      <c r="D207" s="528">
        <v>620000.0</v>
      </c>
      <c r="E207" s="529" t="s">
        <v>1144</v>
      </c>
      <c r="F207" s="530"/>
      <c r="G207" s="454"/>
      <c r="H207" s="454"/>
    </row>
    <row r="208" hidden="1">
      <c r="A208" s="525">
        <v>45653.0</v>
      </c>
      <c r="B208" s="526" t="s">
        <v>1444</v>
      </c>
      <c r="C208" s="527" t="s">
        <v>1445</v>
      </c>
      <c r="D208" s="528">
        <v>660000.0</v>
      </c>
      <c r="E208" s="529" t="s">
        <v>1144</v>
      </c>
      <c r="F208" s="530" t="s">
        <v>1446</v>
      </c>
      <c r="G208" s="454"/>
      <c r="H208" s="454"/>
    </row>
    <row r="209" hidden="1">
      <c r="A209" s="525">
        <v>45654.0</v>
      </c>
      <c r="B209" s="526" t="s">
        <v>1447</v>
      </c>
      <c r="C209" s="527" t="s">
        <v>1448</v>
      </c>
      <c r="D209" s="528">
        <v>1384500.0</v>
      </c>
      <c r="E209" s="529" t="s">
        <v>1144</v>
      </c>
      <c r="F209" s="530" t="s">
        <v>1449</v>
      </c>
      <c r="G209" s="454"/>
      <c r="H209" s="454"/>
    </row>
    <row r="210" hidden="1">
      <c r="A210" s="525">
        <v>45655.0</v>
      </c>
      <c r="B210" s="526" t="s">
        <v>1444</v>
      </c>
      <c r="C210" s="527" t="s">
        <v>1450</v>
      </c>
      <c r="D210" s="528">
        <v>500000.0</v>
      </c>
      <c r="E210" s="529" t="s">
        <v>1144</v>
      </c>
      <c r="F210" s="530" t="s">
        <v>1451</v>
      </c>
      <c r="G210" s="454"/>
      <c r="H210" s="454"/>
    </row>
    <row r="211" hidden="1">
      <c r="A211" s="525">
        <v>45654.0</v>
      </c>
      <c r="B211" s="526" t="s">
        <v>1452</v>
      </c>
      <c r="C211" s="532" t="s">
        <v>1453</v>
      </c>
      <c r="D211" s="528">
        <v>1400000.0</v>
      </c>
      <c r="E211" s="529" t="s">
        <v>1406</v>
      </c>
      <c r="F211" s="533"/>
      <c r="G211" s="454"/>
      <c r="H211" s="454"/>
    </row>
    <row r="212" hidden="1">
      <c r="A212" s="534">
        <v>45655.0</v>
      </c>
      <c r="B212" s="526" t="s">
        <v>1452</v>
      </c>
      <c r="C212" s="535" t="s">
        <v>1454</v>
      </c>
      <c r="D212" s="536">
        <v>1320000.0</v>
      </c>
      <c r="E212" s="529" t="s">
        <v>1406</v>
      </c>
      <c r="F212" s="537"/>
      <c r="G212" s="454"/>
      <c r="H212" s="538"/>
      <c r="I212" s="519"/>
      <c r="J212" s="519"/>
      <c r="K212" s="519"/>
      <c r="L212" s="519"/>
    </row>
    <row r="213" hidden="1">
      <c r="A213" s="539">
        <v>45656.0</v>
      </c>
      <c r="B213" s="526" t="s">
        <v>1452</v>
      </c>
      <c r="C213" s="540" t="s">
        <v>1448</v>
      </c>
      <c r="D213" s="528">
        <v>1720000.0</v>
      </c>
      <c r="E213" s="529" t="s">
        <v>1406</v>
      </c>
      <c r="F213" s="530" t="s">
        <v>1455</v>
      </c>
      <c r="G213" s="454"/>
      <c r="H213" s="454"/>
    </row>
    <row r="214" ht="15.75" hidden="1" customHeight="1">
      <c r="A214" s="459"/>
      <c r="B214" s="456"/>
      <c r="C214" s="457"/>
      <c r="D214" s="452"/>
      <c r="E214" s="505"/>
      <c r="F214" s="446"/>
      <c r="G214" s="454"/>
      <c r="H214" s="454"/>
    </row>
    <row r="215" hidden="1">
      <c r="A215" s="509" t="s">
        <v>1456</v>
      </c>
      <c r="B215" s="439"/>
      <c r="C215" s="440"/>
      <c r="D215" s="432" t="s">
        <v>1457</v>
      </c>
      <c r="E215" s="433" t="s">
        <v>1134</v>
      </c>
      <c r="F215" s="434" t="s">
        <v>1135</v>
      </c>
      <c r="G215" s="454"/>
      <c r="H215" s="454"/>
    </row>
    <row r="216" hidden="1">
      <c r="A216" s="539"/>
      <c r="B216" s="526" t="s">
        <v>1458</v>
      </c>
      <c r="C216" s="540" t="s">
        <v>1459</v>
      </c>
      <c r="D216" s="528">
        <v>220000.0</v>
      </c>
      <c r="E216" s="529" t="s">
        <v>1144</v>
      </c>
      <c r="F216" s="526"/>
      <c r="G216" s="454"/>
      <c r="H216" s="454"/>
    </row>
    <row r="217" hidden="1">
      <c r="A217" s="534">
        <v>45293.0</v>
      </c>
      <c r="B217" s="526" t="s">
        <v>1452</v>
      </c>
      <c r="C217" s="535" t="s">
        <v>1460</v>
      </c>
      <c r="D217" s="536">
        <v>330000.0</v>
      </c>
      <c r="E217" s="529" t="s">
        <v>1144</v>
      </c>
      <c r="F217" s="537"/>
      <c r="G217" s="454"/>
      <c r="H217" s="454"/>
    </row>
    <row r="218" hidden="1">
      <c r="A218" s="525">
        <v>45659.0</v>
      </c>
      <c r="B218" s="526" t="s">
        <v>1461</v>
      </c>
      <c r="C218" s="527" t="s">
        <v>1462</v>
      </c>
      <c r="D218" s="528">
        <v>265000.0</v>
      </c>
      <c r="E218" s="529" t="s">
        <v>1144</v>
      </c>
      <c r="F218" s="526" t="s">
        <v>1145</v>
      </c>
      <c r="G218" s="454"/>
      <c r="H218" s="454"/>
    </row>
    <row r="219" hidden="1">
      <c r="A219" s="541">
        <v>45659.0</v>
      </c>
      <c r="B219" s="526" t="s">
        <v>1463</v>
      </c>
      <c r="C219" s="527" t="s">
        <v>158</v>
      </c>
      <c r="D219" s="528">
        <v>700000.0</v>
      </c>
      <c r="E219" s="529" t="s">
        <v>1144</v>
      </c>
      <c r="F219" s="526"/>
      <c r="G219" s="454"/>
      <c r="H219" s="454"/>
    </row>
    <row r="220" hidden="1">
      <c r="A220" s="531">
        <v>45654.0</v>
      </c>
      <c r="B220" s="526" t="s">
        <v>1464</v>
      </c>
      <c r="C220" s="527" t="s">
        <v>158</v>
      </c>
      <c r="D220" s="528">
        <v>1050000.0</v>
      </c>
      <c r="E220" s="529" t="s">
        <v>1144</v>
      </c>
      <c r="F220" s="526"/>
      <c r="G220" s="454"/>
      <c r="H220" s="454"/>
    </row>
    <row r="221" hidden="1">
      <c r="A221" s="525">
        <v>45661.0</v>
      </c>
      <c r="B221" s="526" t="s">
        <v>1465</v>
      </c>
      <c r="C221" s="527" t="s">
        <v>632</v>
      </c>
      <c r="D221" s="528">
        <v>2100000.0</v>
      </c>
      <c r="E221" s="529" t="s">
        <v>1144</v>
      </c>
      <c r="F221" s="526"/>
      <c r="G221" s="454"/>
      <c r="H221" s="454"/>
    </row>
    <row r="222" hidden="1">
      <c r="A222" s="542">
        <v>45664.0</v>
      </c>
      <c r="B222" s="532" t="s">
        <v>1466</v>
      </c>
      <c r="C222" s="540" t="s">
        <v>1467</v>
      </c>
      <c r="D222" s="528">
        <v>881000.0</v>
      </c>
      <c r="E222" s="529" t="s">
        <v>1144</v>
      </c>
      <c r="F222" s="532"/>
      <c r="G222" s="543"/>
      <c r="H222" s="543"/>
      <c r="I222" s="544"/>
      <c r="J222" s="544"/>
      <c r="K222" s="544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544"/>
      <c r="X222" s="544"/>
      <c r="Y222" s="544"/>
      <c r="Z222" s="544"/>
    </row>
    <row r="223" hidden="1">
      <c r="A223" s="525">
        <v>45664.0</v>
      </c>
      <c r="B223" s="526" t="s">
        <v>1468</v>
      </c>
      <c r="C223" s="527" t="s">
        <v>1469</v>
      </c>
      <c r="D223" s="528">
        <v>560000.0</v>
      </c>
      <c r="E223" s="529" t="s">
        <v>1144</v>
      </c>
      <c r="F223" s="526"/>
      <c r="G223" s="454"/>
      <c r="H223" s="454"/>
    </row>
    <row r="224" hidden="1">
      <c r="A224" s="525">
        <v>45665.0</v>
      </c>
      <c r="B224" s="526" t="s">
        <v>1468</v>
      </c>
      <c r="C224" s="527" t="s">
        <v>1453</v>
      </c>
      <c r="D224" s="528">
        <v>640000.0</v>
      </c>
      <c r="E224" s="529" t="s">
        <v>1144</v>
      </c>
      <c r="F224" s="526"/>
      <c r="G224" s="454"/>
      <c r="H224" s="454"/>
    </row>
    <row r="225" hidden="1">
      <c r="A225" s="525">
        <v>45666.0</v>
      </c>
      <c r="B225" s="526" t="s">
        <v>1470</v>
      </c>
      <c r="C225" s="527" t="s">
        <v>197</v>
      </c>
      <c r="D225" s="528">
        <f>250000*7</f>
        <v>1750000</v>
      </c>
      <c r="E225" s="529" t="s">
        <v>1144</v>
      </c>
      <c r="F225" s="526"/>
      <c r="G225" s="454"/>
      <c r="H225" s="454"/>
    </row>
    <row r="226" hidden="1">
      <c r="A226" s="525">
        <v>45668.0</v>
      </c>
      <c r="B226" s="526" t="s">
        <v>1466</v>
      </c>
      <c r="C226" s="527" t="s">
        <v>791</v>
      </c>
      <c r="D226" s="528">
        <v>1830000.0</v>
      </c>
      <c r="E226" s="529" t="s">
        <v>1144</v>
      </c>
      <c r="F226" s="526"/>
      <c r="G226" s="454"/>
      <c r="H226" s="454"/>
    </row>
    <row r="227" hidden="1">
      <c r="A227" s="525">
        <v>45667.0</v>
      </c>
      <c r="B227" s="526" t="s">
        <v>1471</v>
      </c>
      <c r="C227" s="527" t="s">
        <v>1472</v>
      </c>
      <c r="D227" s="528">
        <v>895000.0</v>
      </c>
      <c r="E227" s="529" t="s">
        <v>1144</v>
      </c>
      <c r="F227" s="526"/>
      <c r="G227" s="454"/>
      <c r="H227" s="454"/>
    </row>
    <row r="228" hidden="1">
      <c r="A228" s="525">
        <v>45671.0</v>
      </c>
      <c r="B228" s="526" t="s">
        <v>1473</v>
      </c>
      <c r="C228" s="527" t="s">
        <v>155</v>
      </c>
      <c r="D228" s="528">
        <f>980000-234000</f>
        <v>746000</v>
      </c>
      <c r="E228" s="529" t="s">
        <v>1144</v>
      </c>
      <c r="F228" s="526"/>
      <c r="G228" s="454"/>
      <c r="H228" s="454"/>
    </row>
    <row r="229" hidden="1">
      <c r="A229" s="525">
        <v>45672.0</v>
      </c>
      <c r="B229" s="526" t="s">
        <v>1474</v>
      </c>
      <c r="C229" s="527" t="s">
        <v>1475</v>
      </c>
      <c r="D229" s="545">
        <v>2655000.0</v>
      </c>
      <c r="E229" s="529" t="s">
        <v>1144</v>
      </c>
      <c r="F229" s="526"/>
      <c r="G229" s="454"/>
      <c r="H229" s="454"/>
    </row>
    <row r="230" hidden="1">
      <c r="A230" s="525">
        <v>45673.0</v>
      </c>
      <c r="B230" s="526" t="s">
        <v>1474</v>
      </c>
      <c r="C230" s="527" t="s">
        <v>222</v>
      </c>
      <c r="D230" s="545">
        <v>2790000.0</v>
      </c>
      <c r="E230" s="529" t="s">
        <v>1144</v>
      </c>
      <c r="F230" s="526"/>
      <c r="G230" s="454"/>
      <c r="H230" s="454"/>
    </row>
    <row r="231" hidden="1">
      <c r="A231" s="525">
        <v>45673.0</v>
      </c>
      <c r="B231" s="526" t="s">
        <v>1476</v>
      </c>
      <c r="C231" s="527" t="s">
        <v>1450</v>
      </c>
      <c r="D231" s="545">
        <v>560000.0</v>
      </c>
      <c r="E231" s="529" t="s">
        <v>1144</v>
      </c>
      <c r="F231" s="526"/>
      <c r="G231" s="454"/>
      <c r="H231" s="454"/>
    </row>
    <row r="232" hidden="1">
      <c r="A232" s="525">
        <v>45674.0</v>
      </c>
      <c r="B232" s="526" t="s">
        <v>1477</v>
      </c>
      <c r="C232" s="527" t="s">
        <v>1478</v>
      </c>
      <c r="D232" s="545">
        <v>449000.0</v>
      </c>
      <c r="E232" s="529" t="s">
        <v>1144</v>
      </c>
      <c r="F232" s="526"/>
      <c r="G232" s="454"/>
      <c r="H232" s="454"/>
    </row>
    <row r="233" hidden="1">
      <c r="A233" s="525">
        <v>45676.0</v>
      </c>
      <c r="B233" s="526" t="s">
        <v>1479</v>
      </c>
      <c r="C233" s="527" t="s">
        <v>1459</v>
      </c>
      <c r="D233" s="545">
        <v>220000.0</v>
      </c>
      <c r="E233" s="529" t="s">
        <v>1144</v>
      </c>
      <c r="F233" s="526"/>
      <c r="G233" s="454"/>
      <c r="H233" s="454"/>
    </row>
    <row r="234" hidden="1">
      <c r="A234" s="525">
        <v>45677.0</v>
      </c>
      <c r="B234" s="526" t="s">
        <v>1480</v>
      </c>
      <c r="C234" s="527" t="s">
        <v>1481</v>
      </c>
      <c r="D234" s="545">
        <v>422000.0</v>
      </c>
      <c r="E234" s="529" t="s">
        <v>1144</v>
      </c>
      <c r="F234" s="526"/>
      <c r="G234" s="454"/>
      <c r="H234" s="454"/>
    </row>
    <row r="235" hidden="1">
      <c r="A235" s="525"/>
      <c r="B235" s="526" t="s">
        <v>1482</v>
      </c>
      <c r="C235" s="527" t="s">
        <v>1483</v>
      </c>
      <c r="D235" s="545">
        <v>402000.0</v>
      </c>
      <c r="E235" s="529" t="s">
        <v>1144</v>
      </c>
      <c r="F235" s="526"/>
      <c r="G235" s="454"/>
      <c r="H235" s="454"/>
    </row>
    <row r="236" hidden="1">
      <c r="A236" s="524"/>
      <c r="B236" s="524"/>
      <c r="C236" s="524"/>
      <c r="D236" s="432"/>
      <c r="E236" s="433"/>
      <c r="F236" s="434"/>
      <c r="G236" s="454"/>
      <c r="H236" s="454"/>
    </row>
    <row r="237" hidden="1">
      <c r="A237" s="509" t="s">
        <v>1484</v>
      </c>
      <c r="B237" s="439"/>
      <c r="C237" s="440"/>
      <c r="D237" s="432">
        <v>45689.0</v>
      </c>
      <c r="E237" s="433" t="s">
        <v>1134</v>
      </c>
      <c r="F237" s="434" t="s">
        <v>1135</v>
      </c>
      <c r="G237" s="454"/>
      <c r="H237" s="454"/>
    </row>
    <row r="238" hidden="1">
      <c r="A238" s="525">
        <v>45690.0</v>
      </c>
      <c r="B238" s="526" t="s">
        <v>1485</v>
      </c>
      <c r="C238" s="527" t="s">
        <v>1486</v>
      </c>
      <c r="D238" s="528">
        <v>458000.0</v>
      </c>
      <c r="E238" s="529" t="s">
        <v>1144</v>
      </c>
      <c r="F238" s="526" t="s">
        <v>1145</v>
      </c>
      <c r="G238" s="454"/>
      <c r="H238" s="454"/>
    </row>
    <row r="239" hidden="1">
      <c r="A239" s="525">
        <v>45325.0</v>
      </c>
      <c r="B239" s="526" t="s">
        <v>1487</v>
      </c>
      <c r="C239" s="527" t="s">
        <v>1488</v>
      </c>
      <c r="D239" s="528">
        <v>990000.0</v>
      </c>
      <c r="E239" s="529" t="s">
        <v>1144</v>
      </c>
      <c r="F239" s="526"/>
      <c r="G239" s="454"/>
      <c r="H239" s="454"/>
    </row>
    <row r="240" hidden="1">
      <c r="A240" s="525">
        <v>45326.0</v>
      </c>
      <c r="B240" s="526" t="s">
        <v>1485</v>
      </c>
      <c r="C240" s="527" t="s">
        <v>170</v>
      </c>
      <c r="D240" s="528">
        <f>230000*3</f>
        <v>690000</v>
      </c>
      <c r="E240" s="529" t="s">
        <v>1144</v>
      </c>
      <c r="F240" s="526"/>
      <c r="G240" s="454"/>
      <c r="H240" s="454"/>
    </row>
    <row r="241" hidden="1">
      <c r="A241" s="525">
        <v>45692.0</v>
      </c>
      <c r="B241" s="526" t="s">
        <v>1489</v>
      </c>
      <c r="C241" s="527" t="s">
        <v>1486</v>
      </c>
      <c r="D241" s="528">
        <v>468000.0</v>
      </c>
      <c r="E241" s="529" t="s">
        <v>1144</v>
      </c>
      <c r="F241" s="526"/>
      <c r="G241" s="454"/>
      <c r="H241" s="454"/>
    </row>
    <row r="242" hidden="1">
      <c r="A242" s="525">
        <v>45694.0</v>
      </c>
      <c r="B242" s="526" t="s">
        <v>1490</v>
      </c>
      <c r="C242" s="527" t="s">
        <v>1486</v>
      </c>
      <c r="D242" s="528">
        <v>452000.0</v>
      </c>
      <c r="E242" s="529" t="s">
        <v>1144</v>
      </c>
      <c r="F242" s="526"/>
      <c r="G242" s="454"/>
      <c r="H242" s="454"/>
    </row>
    <row r="243" hidden="1">
      <c r="A243" s="525">
        <v>45694.0</v>
      </c>
      <c r="B243" s="526" t="s">
        <v>1485</v>
      </c>
      <c r="C243" s="527" t="s">
        <v>791</v>
      </c>
      <c r="D243" s="528">
        <f>265000*3</f>
        <v>795000</v>
      </c>
      <c r="E243" s="529" t="s">
        <v>1144</v>
      </c>
      <c r="F243" s="526"/>
      <c r="G243" s="454"/>
      <c r="H243" s="454"/>
    </row>
    <row r="244" hidden="1">
      <c r="A244" s="525">
        <v>45695.0</v>
      </c>
      <c r="B244" s="526" t="s">
        <v>1491</v>
      </c>
      <c r="C244" s="527" t="s">
        <v>1492</v>
      </c>
      <c r="D244" s="528">
        <f>140000*3</f>
        <v>420000</v>
      </c>
      <c r="E244" s="529" t="s">
        <v>1406</v>
      </c>
      <c r="F244" s="526"/>
      <c r="G244" s="546"/>
      <c r="H244" s="546"/>
      <c r="I244" s="547"/>
      <c r="J244" s="548"/>
      <c r="K244" s="548"/>
      <c r="L244" s="548"/>
      <c r="M244" s="548"/>
      <c r="N244" s="548"/>
      <c r="O244" s="548"/>
      <c r="P244" s="548"/>
      <c r="Q244" s="548"/>
      <c r="R244" s="548"/>
      <c r="S244" s="548"/>
      <c r="T244" s="548"/>
      <c r="U244" s="548"/>
      <c r="V244" s="548"/>
      <c r="W244" s="548"/>
      <c r="X244" s="548"/>
      <c r="Y244" s="548"/>
      <c r="Z244" s="548"/>
    </row>
    <row r="245" hidden="1">
      <c r="A245" s="525">
        <v>45699.0</v>
      </c>
      <c r="B245" s="526" t="s">
        <v>1493</v>
      </c>
      <c r="C245" s="527" t="s">
        <v>674</v>
      </c>
      <c r="D245" s="528">
        <v>544000.0</v>
      </c>
      <c r="E245" s="529" t="s">
        <v>1406</v>
      </c>
      <c r="F245" s="526"/>
      <c r="G245" s="546"/>
      <c r="H245" s="546"/>
      <c r="I245" s="547"/>
      <c r="J245" s="548"/>
      <c r="K245" s="548"/>
      <c r="L245" s="548"/>
      <c r="M245" s="548"/>
      <c r="N245" s="548"/>
      <c r="O245" s="548"/>
      <c r="P245" s="548"/>
      <c r="Q245" s="548"/>
      <c r="R245" s="548"/>
      <c r="S245" s="548"/>
      <c r="T245" s="548"/>
      <c r="U245" s="548"/>
      <c r="V245" s="548"/>
      <c r="W245" s="548"/>
      <c r="X245" s="548"/>
      <c r="Y245" s="548"/>
      <c r="Z245" s="548"/>
    </row>
    <row r="246" hidden="1">
      <c r="A246" s="525">
        <v>45700.0</v>
      </c>
      <c r="B246" s="526" t="s">
        <v>1494</v>
      </c>
      <c r="C246" s="527" t="s">
        <v>554</v>
      </c>
      <c r="D246" s="528">
        <v>1480000.0</v>
      </c>
      <c r="E246" s="529" t="s">
        <v>1406</v>
      </c>
      <c r="F246" s="526"/>
      <c r="G246" s="546"/>
      <c r="H246" s="546"/>
      <c r="I246" s="547"/>
      <c r="J246" s="548"/>
      <c r="K246" s="548"/>
      <c r="L246" s="548"/>
      <c r="M246" s="548"/>
      <c r="N246" s="548"/>
      <c r="O246" s="548"/>
      <c r="P246" s="548"/>
      <c r="Q246" s="548"/>
      <c r="R246" s="548"/>
      <c r="S246" s="548"/>
      <c r="T246" s="548"/>
      <c r="U246" s="548"/>
      <c r="V246" s="548"/>
      <c r="W246" s="548"/>
      <c r="X246" s="548"/>
      <c r="Y246" s="548"/>
      <c r="Z246" s="548"/>
    </row>
    <row r="247" hidden="1">
      <c r="A247" s="525">
        <v>45701.0</v>
      </c>
      <c r="B247" s="526" t="s">
        <v>1494</v>
      </c>
      <c r="C247" s="527" t="s">
        <v>1495</v>
      </c>
      <c r="D247" s="528">
        <v>1120000.0</v>
      </c>
      <c r="E247" s="529" t="s">
        <v>1406</v>
      </c>
      <c r="F247" s="526"/>
      <c r="G247" s="546"/>
      <c r="H247" s="546"/>
      <c r="I247" s="547"/>
      <c r="J247" s="548"/>
      <c r="K247" s="548"/>
      <c r="L247" s="548"/>
      <c r="M247" s="548"/>
      <c r="N247" s="548"/>
      <c r="O247" s="548"/>
      <c r="P247" s="548"/>
      <c r="Q247" s="548"/>
      <c r="R247" s="548"/>
      <c r="S247" s="548"/>
      <c r="T247" s="548"/>
      <c r="U247" s="548"/>
      <c r="V247" s="548"/>
      <c r="W247" s="548"/>
      <c r="X247" s="548"/>
      <c r="Y247" s="548"/>
      <c r="Z247" s="548"/>
    </row>
    <row r="248" hidden="1">
      <c r="A248" s="525">
        <v>45711.0</v>
      </c>
      <c r="B248" s="526" t="s">
        <v>1496</v>
      </c>
      <c r="C248" s="527" t="s">
        <v>1497</v>
      </c>
      <c r="D248" s="528">
        <v>1167900.0</v>
      </c>
      <c r="E248" s="529" t="s">
        <v>1406</v>
      </c>
      <c r="F248" s="526"/>
      <c r="G248" s="546"/>
      <c r="H248" s="546"/>
      <c r="I248" s="547"/>
      <c r="J248" s="548"/>
      <c r="K248" s="548"/>
      <c r="L248" s="548"/>
      <c r="M248" s="548"/>
      <c r="N248" s="548"/>
      <c r="O248" s="548"/>
      <c r="P248" s="548"/>
      <c r="Q248" s="548"/>
      <c r="R248" s="548"/>
      <c r="S248" s="548"/>
      <c r="T248" s="548"/>
      <c r="U248" s="548"/>
      <c r="V248" s="548"/>
      <c r="W248" s="548"/>
      <c r="X248" s="548"/>
      <c r="Y248" s="548"/>
      <c r="Z248" s="548"/>
    </row>
    <row r="249" hidden="1">
      <c r="A249" s="525">
        <v>45711.0</v>
      </c>
      <c r="B249" s="526" t="s">
        <v>1498</v>
      </c>
      <c r="C249" s="527" t="s">
        <v>1499</v>
      </c>
      <c r="D249" s="528">
        <v>402000.0</v>
      </c>
      <c r="E249" s="529" t="s">
        <v>1406</v>
      </c>
      <c r="F249" s="526"/>
      <c r="G249" s="546"/>
      <c r="H249" s="546"/>
      <c r="I249" s="547"/>
      <c r="J249" s="548"/>
      <c r="K249" s="548"/>
      <c r="L249" s="548"/>
      <c r="M249" s="548"/>
      <c r="N249" s="548"/>
      <c r="O249" s="548"/>
      <c r="P249" s="548"/>
      <c r="Q249" s="548"/>
      <c r="R249" s="548"/>
      <c r="S249" s="548"/>
      <c r="T249" s="548"/>
      <c r="U249" s="548"/>
      <c r="V249" s="548"/>
      <c r="W249" s="548"/>
      <c r="X249" s="548"/>
      <c r="Y249" s="548"/>
      <c r="Z249" s="548"/>
    </row>
    <row r="250" hidden="1">
      <c r="A250" s="525">
        <v>45712.0</v>
      </c>
      <c r="B250" s="526" t="s">
        <v>1500</v>
      </c>
      <c r="C250" s="527" t="s">
        <v>1483</v>
      </c>
      <c r="D250" s="528">
        <v>422000.0</v>
      </c>
      <c r="E250" s="529" t="s">
        <v>1406</v>
      </c>
      <c r="F250" s="526"/>
      <c r="G250" s="546"/>
      <c r="H250" s="546"/>
      <c r="I250" s="547"/>
      <c r="J250" s="548"/>
      <c r="K250" s="548"/>
      <c r="L250" s="548"/>
      <c r="M250" s="548"/>
      <c r="N250" s="548"/>
      <c r="O250" s="548"/>
      <c r="P250" s="548"/>
      <c r="Q250" s="548"/>
      <c r="R250" s="548"/>
      <c r="S250" s="548"/>
      <c r="T250" s="548"/>
      <c r="U250" s="548"/>
      <c r="V250" s="548"/>
      <c r="W250" s="548"/>
      <c r="X250" s="548"/>
      <c r="Y250" s="548"/>
      <c r="Z250" s="548"/>
    </row>
    <row r="251" hidden="1">
      <c r="A251" s="525">
        <v>45713.0</v>
      </c>
      <c r="B251" s="526" t="s">
        <v>1501</v>
      </c>
      <c r="C251" s="527" t="s">
        <v>1499</v>
      </c>
      <c r="D251" s="528">
        <v>402000.0</v>
      </c>
      <c r="E251" s="529" t="s">
        <v>1406</v>
      </c>
      <c r="F251" s="526"/>
      <c r="G251" s="546"/>
      <c r="H251" s="546"/>
      <c r="I251" s="547"/>
      <c r="J251" s="548"/>
      <c r="K251" s="548"/>
      <c r="L251" s="548"/>
      <c r="M251" s="548"/>
      <c r="N251" s="548"/>
      <c r="O251" s="548"/>
      <c r="P251" s="548"/>
      <c r="Q251" s="548"/>
      <c r="R251" s="548"/>
      <c r="S251" s="548"/>
      <c r="T251" s="548"/>
      <c r="U251" s="548"/>
      <c r="V251" s="548"/>
      <c r="W251" s="548"/>
      <c r="X251" s="548"/>
      <c r="Y251" s="548"/>
      <c r="Z251" s="548"/>
    </row>
    <row r="252" hidden="1">
      <c r="A252" s="525">
        <v>45712.0</v>
      </c>
      <c r="B252" s="526" t="s">
        <v>1501</v>
      </c>
      <c r="C252" s="527" t="s">
        <v>1502</v>
      </c>
      <c r="D252" s="528">
        <v>520000.0</v>
      </c>
      <c r="E252" s="529" t="s">
        <v>1406</v>
      </c>
      <c r="F252" s="526"/>
      <c r="G252" s="546"/>
      <c r="H252" s="546"/>
      <c r="I252" s="547"/>
      <c r="J252" s="548"/>
      <c r="K252" s="548"/>
      <c r="L252" s="548"/>
      <c r="M252" s="548"/>
      <c r="N252" s="548"/>
      <c r="O252" s="548"/>
      <c r="P252" s="548"/>
      <c r="Q252" s="548"/>
      <c r="R252" s="548"/>
      <c r="S252" s="548"/>
      <c r="T252" s="548"/>
      <c r="U252" s="548"/>
      <c r="V252" s="548"/>
      <c r="W252" s="548"/>
      <c r="X252" s="548"/>
      <c r="Y252" s="548"/>
      <c r="Z252" s="548"/>
    </row>
    <row r="253" hidden="1">
      <c r="A253" s="549">
        <v>45716.0</v>
      </c>
      <c r="B253" s="550" t="s">
        <v>1503</v>
      </c>
      <c r="C253" s="551" t="s">
        <v>1419</v>
      </c>
      <c r="D253" s="552">
        <v>1157600.0</v>
      </c>
      <c r="E253" s="553" t="s">
        <v>1144</v>
      </c>
      <c r="F253" s="550" t="s">
        <v>1145</v>
      </c>
      <c r="G253" s="554"/>
      <c r="H253" s="554"/>
      <c r="I253" s="555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</row>
    <row r="254" hidden="1">
      <c r="A254" s="525">
        <v>45716.0</v>
      </c>
      <c r="B254" s="526" t="s">
        <v>1504</v>
      </c>
      <c r="C254" s="527" t="s">
        <v>1505</v>
      </c>
      <c r="D254" s="528">
        <v>133000.0</v>
      </c>
      <c r="E254" s="529" t="s">
        <v>1406</v>
      </c>
      <c r="F254" s="526"/>
      <c r="G254" s="546"/>
      <c r="H254" s="546"/>
      <c r="I254" s="547"/>
      <c r="J254" s="548"/>
      <c r="K254" s="548"/>
      <c r="L254" s="548"/>
      <c r="M254" s="548"/>
      <c r="N254" s="548"/>
      <c r="O254" s="548"/>
      <c r="P254" s="548"/>
      <c r="Q254" s="548"/>
      <c r="R254" s="548"/>
      <c r="S254" s="548"/>
      <c r="T254" s="548"/>
      <c r="U254" s="548"/>
      <c r="V254" s="548"/>
      <c r="W254" s="548"/>
      <c r="X254" s="548"/>
      <c r="Y254" s="548"/>
      <c r="Z254" s="548"/>
    </row>
    <row r="255" hidden="1">
      <c r="A255" s="525">
        <v>45716.0</v>
      </c>
      <c r="B255" s="526" t="s">
        <v>1506</v>
      </c>
      <c r="C255" s="527" t="s">
        <v>1507</v>
      </c>
      <c r="D255" s="528">
        <v>866000.0</v>
      </c>
      <c r="E255" s="529" t="s">
        <v>1406</v>
      </c>
      <c r="F255" s="526"/>
      <c r="G255" s="546"/>
      <c r="H255" s="546"/>
      <c r="I255" s="547"/>
      <c r="J255" s="548"/>
      <c r="K255" s="548"/>
      <c r="L255" s="548"/>
      <c r="M255" s="548"/>
      <c r="N255" s="548"/>
      <c r="O255" s="548"/>
      <c r="P255" s="548"/>
      <c r="Q255" s="548"/>
      <c r="R255" s="548"/>
      <c r="S255" s="548"/>
      <c r="T255" s="548"/>
      <c r="U255" s="548"/>
      <c r="V255" s="548"/>
      <c r="W255" s="548"/>
      <c r="X255" s="548"/>
      <c r="Y255" s="548"/>
      <c r="Z255" s="548"/>
    </row>
    <row r="256" hidden="1">
      <c r="A256" s="524"/>
      <c r="B256" s="524"/>
      <c r="C256" s="524"/>
      <c r="D256" s="432"/>
      <c r="E256" s="433"/>
      <c r="F256" s="434"/>
      <c r="G256" s="454"/>
      <c r="H256" s="454"/>
    </row>
    <row r="257" hidden="1">
      <c r="A257" s="509" t="s">
        <v>1508</v>
      </c>
      <c r="B257" s="439"/>
      <c r="C257" s="440"/>
      <c r="D257" s="432"/>
      <c r="E257" s="433"/>
      <c r="F257" s="434"/>
      <c r="G257" s="454"/>
      <c r="H257" s="454"/>
    </row>
    <row r="258" hidden="1">
      <c r="A258" s="525">
        <v>45717.0</v>
      </c>
      <c r="B258" s="526" t="s">
        <v>1503</v>
      </c>
      <c r="C258" s="527" t="s">
        <v>1509</v>
      </c>
      <c r="D258" s="528">
        <v>1308800.0</v>
      </c>
      <c r="E258" s="529" t="s">
        <v>1406</v>
      </c>
      <c r="F258" s="530"/>
      <c r="G258" s="546"/>
      <c r="H258" s="546"/>
      <c r="I258" s="547"/>
      <c r="J258" s="548"/>
      <c r="K258" s="548"/>
      <c r="L258" s="548"/>
      <c r="M258" s="548"/>
      <c r="N258" s="548"/>
      <c r="O258" s="548"/>
      <c r="P258" s="548"/>
      <c r="Q258" s="548"/>
      <c r="R258" s="548"/>
      <c r="S258" s="548"/>
      <c r="T258" s="548"/>
      <c r="U258" s="548"/>
      <c r="V258" s="548"/>
      <c r="W258" s="548"/>
      <c r="X258" s="548"/>
      <c r="Y258" s="548"/>
      <c r="Z258" s="548"/>
    </row>
    <row r="259" hidden="1">
      <c r="A259" s="525">
        <v>45717.0</v>
      </c>
      <c r="B259" s="526" t="s">
        <v>1510</v>
      </c>
      <c r="C259" s="527" t="s">
        <v>233</v>
      </c>
      <c r="D259" s="528">
        <v>422000.0</v>
      </c>
      <c r="E259" s="529" t="s">
        <v>1406</v>
      </c>
      <c r="F259" s="530"/>
      <c r="G259" s="546"/>
      <c r="H259" s="546"/>
      <c r="I259" s="547"/>
      <c r="J259" s="548"/>
      <c r="K259" s="548"/>
      <c r="L259" s="548"/>
      <c r="M259" s="548"/>
      <c r="N259" s="548"/>
      <c r="O259" s="548"/>
      <c r="P259" s="548"/>
      <c r="Q259" s="548"/>
      <c r="R259" s="548"/>
      <c r="S259" s="548"/>
      <c r="T259" s="548"/>
      <c r="U259" s="548"/>
      <c r="V259" s="548"/>
      <c r="W259" s="548"/>
      <c r="X259" s="548"/>
      <c r="Y259" s="548"/>
      <c r="Z259" s="548"/>
    </row>
    <row r="260" hidden="1">
      <c r="A260" s="525">
        <v>45718.0</v>
      </c>
      <c r="B260" s="526" t="s">
        <v>1511</v>
      </c>
      <c r="C260" s="527" t="s">
        <v>1512</v>
      </c>
      <c r="D260" s="528">
        <v>422000.0</v>
      </c>
      <c r="E260" s="529" t="s">
        <v>1406</v>
      </c>
      <c r="F260" s="530"/>
      <c r="G260" s="546"/>
      <c r="H260" s="546"/>
      <c r="I260" s="547"/>
      <c r="J260" s="548"/>
      <c r="K260" s="548"/>
      <c r="L260" s="548"/>
      <c r="M260" s="548"/>
      <c r="N260" s="548"/>
      <c r="O260" s="548"/>
      <c r="P260" s="548"/>
      <c r="Q260" s="548"/>
      <c r="R260" s="548"/>
      <c r="S260" s="548"/>
      <c r="T260" s="548"/>
      <c r="U260" s="548"/>
      <c r="V260" s="548"/>
      <c r="W260" s="548"/>
      <c r="X260" s="548"/>
      <c r="Y260" s="548"/>
      <c r="Z260" s="548"/>
    </row>
    <row r="261" hidden="1">
      <c r="A261" s="525">
        <v>45719.0</v>
      </c>
      <c r="B261" s="526" t="s">
        <v>1513</v>
      </c>
      <c r="C261" s="527" t="s">
        <v>1445</v>
      </c>
      <c r="D261" s="528"/>
      <c r="E261" s="529" t="s">
        <v>1406</v>
      </c>
      <c r="F261" s="530"/>
      <c r="G261" s="546"/>
      <c r="H261" s="546"/>
      <c r="I261" s="547"/>
      <c r="J261" s="548"/>
      <c r="K261" s="548"/>
      <c r="L261" s="548"/>
      <c r="M261" s="548"/>
      <c r="N261" s="548"/>
      <c r="O261" s="548"/>
      <c r="P261" s="548"/>
      <c r="Q261" s="548"/>
      <c r="R261" s="548"/>
      <c r="S261" s="548"/>
      <c r="T261" s="548"/>
      <c r="U261" s="548"/>
      <c r="V261" s="548"/>
      <c r="W261" s="548"/>
      <c r="X261" s="548"/>
      <c r="Y261" s="548"/>
      <c r="Z261" s="548"/>
    </row>
    <row r="262" hidden="1">
      <c r="A262" s="525">
        <v>45719.0</v>
      </c>
      <c r="B262" s="526" t="s">
        <v>1514</v>
      </c>
      <c r="C262" s="527" t="s">
        <v>1515</v>
      </c>
      <c r="D262" s="528">
        <v>376000.0</v>
      </c>
      <c r="E262" s="529" t="s">
        <v>1406</v>
      </c>
      <c r="F262" s="530"/>
      <c r="G262" s="546"/>
      <c r="H262" s="546"/>
      <c r="I262" s="547"/>
      <c r="J262" s="548"/>
      <c r="K262" s="548"/>
      <c r="L262" s="548"/>
      <c r="M262" s="548"/>
      <c r="N262" s="548"/>
      <c r="O262" s="548"/>
      <c r="P262" s="548"/>
      <c r="Q262" s="548"/>
      <c r="R262" s="548"/>
      <c r="S262" s="548"/>
      <c r="T262" s="548"/>
      <c r="U262" s="548"/>
      <c r="V262" s="548"/>
      <c r="W262" s="548"/>
      <c r="X262" s="548"/>
      <c r="Y262" s="548"/>
      <c r="Z262" s="548"/>
    </row>
    <row r="263" hidden="1">
      <c r="A263" s="525">
        <v>45719.0</v>
      </c>
      <c r="B263" s="526" t="s">
        <v>1503</v>
      </c>
      <c r="C263" s="527" t="s">
        <v>741</v>
      </c>
      <c r="D263" s="528">
        <v>110000.0</v>
      </c>
      <c r="E263" s="529" t="s">
        <v>1406</v>
      </c>
      <c r="F263" s="530"/>
      <c r="G263" s="546"/>
      <c r="H263" s="546"/>
      <c r="I263" s="547"/>
      <c r="J263" s="548"/>
      <c r="K263" s="548"/>
      <c r="L263" s="548"/>
      <c r="M263" s="548"/>
      <c r="N263" s="548"/>
      <c r="O263" s="548"/>
      <c r="P263" s="548"/>
      <c r="Q263" s="548"/>
      <c r="R263" s="548"/>
      <c r="S263" s="548"/>
      <c r="T263" s="548"/>
      <c r="U263" s="548"/>
      <c r="V263" s="548"/>
      <c r="W263" s="548"/>
      <c r="X263" s="548"/>
      <c r="Y263" s="548"/>
      <c r="Z263" s="548"/>
    </row>
    <row r="264" hidden="1">
      <c r="A264" s="525">
        <v>45719.0</v>
      </c>
      <c r="B264" s="526" t="s">
        <v>1516</v>
      </c>
      <c r="C264" s="527" t="s">
        <v>1483</v>
      </c>
      <c r="D264" s="528">
        <v>794000.0</v>
      </c>
      <c r="E264" s="529" t="s">
        <v>1406</v>
      </c>
      <c r="F264" s="530"/>
      <c r="G264" s="546"/>
      <c r="H264" s="546"/>
      <c r="I264" s="547"/>
      <c r="J264" s="548"/>
      <c r="K264" s="548"/>
      <c r="L264" s="548"/>
      <c r="M264" s="548"/>
      <c r="N264" s="548"/>
      <c r="O264" s="548"/>
      <c r="P264" s="548"/>
      <c r="Q264" s="548"/>
      <c r="R264" s="548"/>
      <c r="S264" s="548"/>
      <c r="T264" s="548"/>
      <c r="U264" s="548"/>
      <c r="V264" s="548"/>
      <c r="W264" s="548"/>
      <c r="X264" s="548"/>
      <c r="Y264" s="548"/>
      <c r="Z264" s="548"/>
    </row>
    <row r="265" hidden="1">
      <c r="A265" s="525">
        <v>45720.0</v>
      </c>
      <c r="B265" s="526" t="s">
        <v>1517</v>
      </c>
      <c r="C265" s="527" t="s">
        <v>1518</v>
      </c>
      <c r="D265" s="545">
        <v>360000.0</v>
      </c>
      <c r="E265" s="529" t="s">
        <v>1406</v>
      </c>
      <c r="F265" s="530"/>
      <c r="G265" s="546"/>
      <c r="H265" s="546"/>
      <c r="I265" s="557"/>
      <c r="J265" s="557"/>
      <c r="K265" s="557"/>
      <c r="L265" s="557"/>
      <c r="M265" s="557"/>
      <c r="N265" s="557"/>
      <c r="O265" s="557"/>
      <c r="P265" s="557"/>
      <c r="Q265" s="557"/>
      <c r="R265" s="557"/>
      <c r="S265" s="557"/>
      <c r="T265" s="557"/>
      <c r="U265" s="557"/>
      <c r="V265" s="557"/>
      <c r="W265" s="557"/>
      <c r="X265" s="557"/>
      <c r="Y265" s="557"/>
      <c r="Z265" s="557"/>
    </row>
    <row r="266" hidden="1">
      <c r="A266" s="525">
        <v>45721.0</v>
      </c>
      <c r="B266" s="526" t="s">
        <v>1519</v>
      </c>
      <c r="C266" s="527" t="s">
        <v>1520</v>
      </c>
      <c r="D266" s="545">
        <v>220000.0</v>
      </c>
      <c r="E266" s="529" t="s">
        <v>1406</v>
      </c>
      <c r="F266" s="530"/>
      <c r="G266" s="546"/>
      <c r="H266" s="546"/>
      <c r="I266" s="547"/>
      <c r="J266" s="548"/>
      <c r="K266" s="548"/>
      <c r="L266" s="548"/>
      <c r="M266" s="548"/>
      <c r="N266" s="548"/>
      <c r="O266" s="548"/>
      <c r="P266" s="548"/>
      <c r="Q266" s="548"/>
      <c r="R266" s="548"/>
      <c r="S266" s="548"/>
      <c r="T266" s="548"/>
      <c r="U266" s="548"/>
      <c r="V266" s="548"/>
      <c r="W266" s="548"/>
      <c r="X266" s="548"/>
      <c r="Y266" s="548"/>
      <c r="Z266" s="548"/>
    </row>
    <row r="267" hidden="1">
      <c r="A267" s="525">
        <v>45721.0</v>
      </c>
      <c r="B267" s="526" t="s">
        <v>1521</v>
      </c>
      <c r="C267" s="527" t="s">
        <v>476</v>
      </c>
      <c r="D267" s="545">
        <v>2680000.0</v>
      </c>
      <c r="E267" s="529" t="s">
        <v>1406</v>
      </c>
      <c r="F267" s="530"/>
      <c r="G267" s="546"/>
      <c r="H267" s="546"/>
      <c r="I267" s="547"/>
      <c r="J267" s="548"/>
      <c r="K267" s="548"/>
      <c r="L267" s="548"/>
      <c r="M267" s="548"/>
      <c r="N267" s="548"/>
      <c r="O267" s="548"/>
      <c r="P267" s="548"/>
      <c r="Q267" s="548"/>
      <c r="R267" s="548"/>
      <c r="S267" s="548"/>
      <c r="T267" s="548"/>
      <c r="U267" s="548"/>
      <c r="V267" s="548"/>
      <c r="W267" s="548"/>
      <c r="X267" s="548"/>
      <c r="Y267" s="548"/>
      <c r="Z267" s="548"/>
    </row>
    <row r="268" hidden="1">
      <c r="A268" s="525">
        <v>45722.0</v>
      </c>
      <c r="B268" s="526" t="s">
        <v>1519</v>
      </c>
      <c r="C268" s="527" t="s">
        <v>1495</v>
      </c>
      <c r="D268" s="545">
        <v>560000.0</v>
      </c>
      <c r="E268" s="529" t="s">
        <v>1406</v>
      </c>
      <c r="F268" s="530"/>
      <c r="G268" s="546"/>
      <c r="H268" s="546"/>
      <c r="I268" s="547"/>
      <c r="J268" s="548"/>
      <c r="K268" s="548"/>
      <c r="L268" s="548"/>
      <c r="M268" s="548"/>
      <c r="N268" s="548"/>
      <c r="O268" s="548"/>
      <c r="P268" s="548"/>
      <c r="Q268" s="548"/>
      <c r="R268" s="548"/>
      <c r="S268" s="548"/>
      <c r="T268" s="548"/>
      <c r="U268" s="548"/>
      <c r="V268" s="548"/>
      <c r="W268" s="548"/>
      <c r="X268" s="548"/>
      <c r="Y268" s="548"/>
      <c r="Z268" s="548"/>
    </row>
    <row r="269" hidden="1">
      <c r="A269" s="525">
        <v>45723.0</v>
      </c>
      <c r="B269" s="526" t="s">
        <v>1522</v>
      </c>
      <c r="C269" s="558" t="s">
        <v>1523</v>
      </c>
      <c r="D269" s="545">
        <v>520000.0</v>
      </c>
      <c r="E269" s="529" t="s">
        <v>1406</v>
      </c>
      <c r="F269" s="530"/>
      <c r="G269" s="546"/>
      <c r="H269" s="546"/>
      <c r="I269" s="547"/>
      <c r="J269" s="548"/>
      <c r="K269" s="548"/>
      <c r="L269" s="548"/>
      <c r="M269" s="548"/>
      <c r="N269" s="548"/>
      <c r="O269" s="548"/>
      <c r="P269" s="548"/>
      <c r="Q269" s="548"/>
      <c r="R269" s="548"/>
      <c r="S269" s="548"/>
      <c r="T269" s="548"/>
      <c r="U269" s="548"/>
      <c r="V269" s="548"/>
      <c r="W269" s="548"/>
      <c r="X269" s="548"/>
      <c r="Y269" s="548"/>
      <c r="Z269" s="548"/>
    </row>
    <row r="270" hidden="1">
      <c r="A270" s="525">
        <v>45725.0</v>
      </c>
      <c r="B270" s="526" t="s">
        <v>1522</v>
      </c>
      <c r="C270" s="558" t="s">
        <v>1524</v>
      </c>
      <c r="D270" s="545">
        <v>600000.0</v>
      </c>
      <c r="E270" s="529" t="s">
        <v>1406</v>
      </c>
      <c r="F270" s="530"/>
      <c r="G270" s="546"/>
      <c r="H270" s="546"/>
      <c r="I270" s="547"/>
      <c r="J270" s="548"/>
      <c r="K270" s="548"/>
      <c r="L270" s="548"/>
      <c r="M270" s="548"/>
      <c r="N270" s="548"/>
      <c r="O270" s="548"/>
      <c r="P270" s="548"/>
      <c r="Q270" s="548"/>
      <c r="R270" s="548"/>
      <c r="S270" s="548"/>
      <c r="T270" s="548"/>
      <c r="U270" s="548"/>
      <c r="V270" s="548"/>
      <c r="W270" s="548"/>
      <c r="X270" s="548"/>
      <c r="Y270" s="548"/>
      <c r="Z270" s="548"/>
    </row>
    <row r="271" hidden="1">
      <c r="A271" s="525">
        <v>45724.0</v>
      </c>
      <c r="B271" s="526" t="s">
        <v>1522</v>
      </c>
      <c r="C271" s="558" t="s">
        <v>120</v>
      </c>
      <c r="D271" s="545">
        <v>928000.0</v>
      </c>
      <c r="E271" s="529" t="s">
        <v>1406</v>
      </c>
      <c r="F271" s="530"/>
      <c r="G271" s="546"/>
      <c r="H271" s="546"/>
      <c r="I271" s="547"/>
      <c r="J271" s="548"/>
      <c r="K271" s="548"/>
      <c r="L271" s="548"/>
      <c r="M271" s="548"/>
      <c r="N271" s="548"/>
      <c r="O271" s="548"/>
      <c r="P271" s="548"/>
      <c r="Q271" s="548"/>
      <c r="R271" s="548"/>
      <c r="S271" s="548"/>
      <c r="T271" s="548"/>
      <c r="U271" s="548"/>
      <c r="V271" s="548"/>
      <c r="W271" s="548"/>
      <c r="X271" s="548"/>
      <c r="Y271" s="548"/>
      <c r="Z271" s="548"/>
    </row>
    <row r="272" hidden="1">
      <c r="A272" s="525">
        <v>45725.0</v>
      </c>
      <c r="B272" s="526" t="s">
        <v>1525</v>
      </c>
      <c r="C272" s="558" t="s">
        <v>1526</v>
      </c>
      <c r="D272" s="545">
        <v>2700000.0</v>
      </c>
      <c r="E272" s="529" t="s">
        <v>1406</v>
      </c>
      <c r="F272" s="530"/>
      <c r="G272" s="546"/>
      <c r="H272" s="546"/>
      <c r="I272" s="547"/>
      <c r="J272" s="548"/>
      <c r="K272" s="548"/>
      <c r="L272" s="548"/>
      <c r="M272" s="548"/>
      <c r="N272" s="548"/>
      <c r="O272" s="548"/>
      <c r="P272" s="548"/>
      <c r="Q272" s="548"/>
      <c r="R272" s="548"/>
      <c r="S272" s="548"/>
      <c r="T272" s="548"/>
      <c r="U272" s="548"/>
      <c r="V272" s="548"/>
      <c r="W272" s="548"/>
      <c r="X272" s="548"/>
      <c r="Y272" s="548"/>
      <c r="Z272" s="548"/>
    </row>
    <row r="273" hidden="1">
      <c r="A273" s="525">
        <v>45728.0</v>
      </c>
      <c r="B273" s="526" t="s">
        <v>1527</v>
      </c>
      <c r="C273" s="527" t="s">
        <v>1528</v>
      </c>
      <c r="D273" s="545">
        <v>2095000.0</v>
      </c>
      <c r="E273" s="529" t="s">
        <v>1144</v>
      </c>
      <c r="F273" s="530"/>
      <c r="G273" s="546"/>
      <c r="H273" s="546"/>
      <c r="I273" s="547"/>
      <c r="J273" s="548"/>
      <c r="K273" s="548"/>
      <c r="L273" s="548"/>
      <c r="M273" s="548"/>
      <c r="N273" s="548"/>
      <c r="O273" s="548"/>
      <c r="P273" s="548"/>
      <c r="Q273" s="548"/>
      <c r="R273" s="548"/>
      <c r="S273" s="548"/>
      <c r="T273" s="548"/>
      <c r="U273" s="548"/>
      <c r="V273" s="548"/>
      <c r="W273" s="548"/>
      <c r="X273" s="548"/>
      <c r="Y273" s="548"/>
      <c r="Z273" s="548"/>
    </row>
    <row r="274" hidden="1">
      <c r="A274" s="525">
        <v>45729.0</v>
      </c>
      <c r="B274" s="526" t="s">
        <v>1529</v>
      </c>
      <c r="C274" s="527" t="s">
        <v>80</v>
      </c>
      <c r="D274" s="545">
        <f>87000+145000+145000</f>
        <v>377000</v>
      </c>
      <c r="E274" s="529" t="s">
        <v>1144</v>
      </c>
      <c r="F274" s="530" t="s">
        <v>1530</v>
      </c>
      <c r="G274" s="546"/>
      <c r="H274" s="546"/>
      <c r="I274" s="547"/>
      <c r="J274" s="548"/>
      <c r="K274" s="548"/>
      <c r="L274" s="548"/>
      <c r="M274" s="548"/>
      <c r="N274" s="548"/>
      <c r="O274" s="548"/>
      <c r="P274" s="548"/>
      <c r="Q274" s="548"/>
      <c r="R274" s="548"/>
      <c r="S274" s="548"/>
      <c r="T274" s="548"/>
      <c r="U274" s="548"/>
      <c r="V274" s="548"/>
      <c r="W274" s="548"/>
      <c r="X274" s="548"/>
      <c r="Y274" s="548"/>
      <c r="Z274" s="548"/>
    </row>
    <row r="275" hidden="1">
      <c r="A275" s="525">
        <v>45730.0</v>
      </c>
      <c r="B275" s="526" t="s">
        <v>1531</v>
      </c>
      <c r="C275" s="527" t="s">
        <v>387</v>
      </c>
      <c r="D275" s="545">
        <v>422000.0</v>
      </c>
      <c r="E275" s="529" t="s">
        <v>1144</v>
      </c>
      <c r="F275" s="530"/>
      <c r="G275" s="546"/>
      <c r="H275" s="546"/>
      <c r="I275" s="547"/>
      <c r="J275" s="548"/>
      <c r="K275" s="548"/>
      <c r="L275" s="548"/>
      <c r="M275" s="548"/>
      <c r="N275" s="548"/>
      <c r="O275" s="548"/>
      <c r="P275" s="548"/>
      <c r="Q275" s="548"/>
      <c r="R275" s="548"/>
      <c r="S275" s="548"/>
      <c r="T275" s="548"/>
      <c r="U275" s="548"/>
      <c r="V275" s="548"/>
      <c r="W275" s="548"/>
      <c r="X275" s="548"/>
      <c r="Y275" s="548"/>
      <c r="Z275" s="548"/>
    </row>
    <row r="276" hidden="1">
      <c r="A276" s="525">
        <v>45731.0</v>
      </c>
      <c r="B276" s="526" t="s">
        <v>1532</v>
      </c>
      <c r="C276" s="527" t="s">
        <v>373</v>
      </c>
      <c r="D276" s="545">
        <v>280000.0</v>
      </c>
      <c r="E276" s="529" t="s">
        <v>1144</v>
      </c>
      <c r="F276" s="530"/>
      <c r="G276" s="546"/>
      <c r="H276" s="546"/>
      <c r="I276" s="547"/>
      <c r="J276" s="548"/>
      <c r="K276" s="548"/>
      <c r="L276" s="548"/>
      <c r="M276" s="548"/>
      <c r="N276" s="548"/>
      <c r="O276" s="548"/>
      <c r="P276" s="548"/>
      <c r="Q276" s="548"/>
      <c r="R276" s="548"/>
      <c r="S276" s="548"/>
      <c r="T276" s="548"/>
      <c r="U276" s="548"/>
      <c r="V276" s="548"/>
      <c r="W276" s="548"/>
      <c r="X276" s="548"/>
      <c r="Y276" s="548"/>
      <c r="Z276" s="548"/>
    </row>
    <row r="277" hidden="1">
      <c r="A277" s="525">
        <v>45731.0</v>
      </c>
      <c r="B277" s="526" t="s">
        <v>1533</v>
      </c>
      <c r="C277" s="527" t="s">
        <v>1534</v>
      </c>
      <c r="D277" s="545">
        <v>372000.0</v>
      </c>
      <c r="E277" s="529" t="s">
        <v>1144</v>
      </c>
      <c r="F277" s="530"/>
      <c r="G277" s="546"/>
      <c r="H277" s="546"/>
      <c r="I277" s="547"/>
      <c r="J277" s="548"/>
      <c r="K277" s="548"/>
      <c r="L277" s="548"/>
      <c r="M277" s="548"/>
      <c r="N277" s="548"/>
      <c r="O277" s="548"/>
      <c r="P277" s="548"/>
      <c r="Q277" s="548"/>
      <c r="R277" s="548"/>
      <c r="S277" s="548"/>
      <c r="T277" s="548"/>
      <c r="U277" s="548"/>
      <c r="V277" s="548"/>
      <c r="W277" s="548"/>
      <c r="X277" s="548"/>
      <c r="Y277" s="548"/>
      <c r="Z277" s="548"/>
    </row>
    <row r="278" hidden="1">
      <c r="A278" s="525">
        <v>45731.0</v>
      </c>
      <c r="B278" s="526" t="s">
        <v>1533</v>
      </c>
      <c r="C278" s="527" t="s">
        <v>1534</v>
      </c>
      <c r="D278" s="545">
        <v>372000.0</v>
      </c>
      <c r="E278" s="529" t="s">
        <v>1144</v>
      </c>
      <c r="F278" s="557"/>
      <c r="G278" s="546"/>
      <c r="H278" s="546"/>
      <c r="I278" s="547"/>
      <c r="J278" s="548"/>
      <c r="K278" s="548"/>
      <c r="L278" s="548"/>
      <c r="M278" s="548"/>
      <c r="N278" s="548"/>
      <c r="O278" s="548"/>
      <c r="P278" s="548"/>
      <c r="Q278" s="548"/>
      <c r="R278" s="548"/>
      <c r="S278" s="548"/>
      <c r="T278" s="548"/>
      <c r="U278" s="548"/>
      <c r="V278" s="548"/>
      <c r="W278" s="548"/>
      <c r="X278" s="548"/>
      <c r="Y278" s="548"/>
      <c r="Z278" s="548"/>
    </row>
    <row r="279" hidden="1">
      <c r="A279" s="525">
        <v>45732.0</v>
      </c>
      <c r="B279" s="526" t="s">
        <v>1535</v>
      </c>
      <c r="C279" s="527" t="s">
        <v>1536</v>
      </c>
      <c r="D279" s="545">
        <v>396000.0</v>
      </c>
      <c r="E279" s="529" t="s">
        <v>1144</v>
      </c>
      <c r="F279" s="530"/>
      <c r="G279" s="546"/>
      <c r="H279" s="546"/>
      <c r="I279" s="547"/>
      <c r="J279" s="548"/>
      <c r="K279" s="548"/>
      <c r="L279" s="548"/>
      <c r="M279" s="548"/>
      <c r="N279" s="548"/>
      <c r="O279" s="548"/>
      <c r="P279" s="548"/>
      <c r="Q279" s="548"/>
      <c r="R279" s="548"/>
      <c r="S279" s="548"/>
      <c r="T279" s="548"/>
      <c r="U279" s="548"/>
      <c r="V279" s="548"/>
      <c r="W279" s="548"/>
      <c r="X279" s="548"/>
      <c r="Y279" s="548"/>
      <c r="Z279" s="548"/>
    </row>
    <row r="280" hidden="1">
      <c r="A280" s="525">
        <v>45743.0</v>
      </c>
      <c r="B280" s="526" t="s">
        <v>1537</v>
      </c>
      <c r="C280" s="527" t="s">
        <v>1538</v>
      </c>
      <c r="D280" s="545">
        <v>560000.0</v>
      </c>
      <c r="E280" s="529" t="s">
        <v>1144</v>
      </c>
      <c r="F280" s="530"/>
      <c r="G280" s="546"/>
      <c r="H280" s="546"/>
      <c r="I280" s="547"/>
      <c r="J280" s="548"/>
      <c r="K280" s="548"/>
      <c r="L280" s="548"/>
      <c r="M280" s="548"/>
      <c r="N280" s="548"/>
      <c r="O280" s="548"/>
      <c r="P280" s="548"/>
      <c r="Q280" s="548"/>
      <c r="R280" s="548"/>
      <c r="S280" s="548"/>
      <c r="T280" s="548"/>
      <c r="U280" s="548"/>
      <c r="V280" s="548"/>
      <c r="W280" s="548"/>
      <c r="X280" s="548"/>
      <c r="Y280" s="548"/>
      <c r="Z280" s="548"/>
    </row>
    <row r="281" hidden="1">
      <c r="A281" s="525">
        <v>45734.0</v>
      </c>
      <c r="B281" s="526" t="s">
        <v>1539</v>
      </c>
      <c r="C281" s="527" t="s">
        <v>1512</v>
      </c>
      <c r="D281" s="545">
        <v>422000.0</v>
      </c>
      <c r="E281" s="529" t="s">
        <v>1144</v>
      </c>
      <c r="F281" s="526"/>
      <c r="G281" s="559"/>
      <c r="H281" s="559"/>
      <c r="I281" s="560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</row>
    <row r="282" hidden="1">
      <c r="A282" s="525">
        <v>45734.0</v>
      </c>
      <c r="B282" s="526" t="s">
        <v>1529</v>
      </c>
      <c r="C282" s="527" t="s">
        <v>88</v>
      </c>
      <c r="D282" s="545">
        <v>72500.0</v>
      </c>
      <c r="E282" s="529" t="s">
        <v>1144</v>
      </c>
      <c r="F282" s="526" t="s">
        <v>1540</v>
      </c>
      <c r="G282" s="559"/>
      <c r="H282" s="559"/>
      <c r="I282" s="560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</row>
    <row r="283" hidden="1">
      <c r="A283" s="541">
        <v>45743.0</v>
      </c>
      <c r="B283" s="526" t="s">
        <v>1541</v>
      </c>
      <c r="C283" s="527" t="s">
        <v>1542</v>
      </c>
      <c r="D283" s="545">
        <v>700000.0</v>
      </c>
      <c r="E283" s="529" t="s">
        <v>1543</v>
      </c>
      <c r="F283" s="530"/>
      <c r="G283" s="546"/>
      <c r="H283" s="546"/>
      <c r="I283" s="547"/>
      <c r="J283" s="548"/>
      <c r="K283" s="548"/>
      <c r="L283" s="548"/>
      <c r="M283" s="548"/>
      <c r="N283" s="548"/>
      <c r="O283" s="548"/>
      <c r="P283" s="548"/>
      <c r="Q283" s="548"/>
      <c r="R283" s="548"/>
      <c r="S283" s="548"/>
      <c r="T283" s="548"/>
      <c r="U283" s="548"/>
      <c r="V283" s="548"/>
      <c r="W283" s="548"/>
      <c r="X283" s="548"/>
      <c r="Y283" s="548"/>
      <c r="Z283" s="548"/>
    </row>
    <row r="284" hidden="1">
      <c r="A284" s="525">
        <v>45743.0</v>
      </c>
      <c r="B284" s="526" t="s">
        <v>1544</v>
      </c>
      <c r="C284" s="527" t="s">
        <v>1545</v>
      </c>
      <c r="D284" s="545">
        <v>560000.0</v>
      </c>
      <c r="E284" s="529" t="s">
        <v>1406</v>
      </c>
      <c r="F284" s="530"/>
      <c r="G284" s="546"/>
      <c r="H284" s="546"/>
      <c r="I284" s="547"/>
      <c r="J284" s="548"/>
      <c r="K284" s="548"/>
      <c r="L284" s="548"/>
      <c r="M284" s="548"/>
      <c r="N284" s="548"/>
      <c r="O284" s="548"/>
      <c r="P284" s="548"/>
      <c r="Q284" s="548"/>
      <c r="R284" s="548"/>
      <c r="S284" s="548"/>
      <c r="T284" s="548"/>
      <c r="U284" s="548"/>
      <c r="V284" s="548"/>
      <c r="W284" s="548"/>
      <c r="X284" s="548"/>
      <c r="Y284" s="548"/>
      <c r="Z284" s="548"/>
    </row>
    <row r="285" hidden="1">
      <c r="A285" s="525">
        <v>45744.0</v>
      </c>
      <c r="B285" s="526" t="s">
        <v>1546</v>
      </c>
      <c r="C285" s="527" t="s">
        <v>860</v>
      </c>
      <c r="D285" s="545">
        <v>530000.0</v>
      </c>
      <c r="E285" s="529" t="s">
        <v>1406</v>
      </c>
      <c r="F285" s="530"/>
      <c r="G285" s="546"/>
      <c r="H285" s="546"/>
      <c r="I285" s="547"/>
      <c r="J285" s="548"/>
      <c r="K285" s="548"/>
      <c r="L285" s="548"/>
      <c r="M285" s="548"/>
      <c r="N285" s="548"/>
      <c r="O285" s="548"/>
      <c r="P285" s="548"/>
      <c r="Q285" s="548"/>
      <c r="R285" s="548"/>
      <c r="S285" s="548"/>
      <c r="T285" s="548"/>
      <c r="U285" s="548"/>
      <c r="V285" s="548"/>
      <c r="W285" s="548"/>
      <c r="X285" s="548"/>
      <c r="Y285" s="548"/>
      <c r="Z285" s="548"/>
    </row>
    <row r="286" hidden="1">
      <c r="A286" s="525">
        <v>45744.0</v>
      </c>
      <c r="B286" s="526" t="s">
        <v>1547</v>
      </c>
      <c r="C286" s="527" t="s">
        <v>1548</v>
      </c>
      <c r="D286" s="545">
        <v>760000.0</v>
      </c>
      <c r="E286" s="529" t="s">
        <v>1406</v>
      </c>
      <c r="F286" s="530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8"/>
      <c r="S286" s="548"/>
      <c r="T286" s="548"/>
      <c r="U286" s="548"/>
      <c r="V286" s="548"/>
      <c r="W286" s="548"/>
      <c r="X286" s="548"/>
      <c r="Y286" s="548"/>
      <c r="Z286" s="548"/>
    </row>
    <row r="287" hidden="1">
      <c r="A287" s="525">
        <v>45744.0</v>
      </c>
      <c r="B287" s="526" t="s">
        <v>1537</v>
      </c>
      <c r="C287" s="527" t="s">
        <v>1549</v>
      </c>
      <c r="D287" s="545">
        <v>422000.0</v>
      </c>
      <c r="E287" s="529" t="s">
        <v>1406</v>
      </c>
      <c r="F287" s="530"/>
      <c r="G287" s="546"/>
      <c r="H287" s="546"/>
      <c r="I287" s="547"/>
      <c r="J287" s="548"/>
      <c r="K287" s="548"/>
      <c r="L287" s="548"/>
      <c r="M287" s="548"/>
      <c r="N287" s="548"/>
      <c r="O287" s="548"/>
      <c r="P287" s="548"/>
      <c r="Q287" s="548"/>
      <c r="R287" s="548"/>
      <c r="S287" s="548"/>
      <c r="T287" s="548"/>
      <c r="U287" s="548"/>
      <c r="V287" s="548"/>
      <c r="W287" s="548"/>
      <c r="X287" s="548"/>
      <c r="Y287" s="548"/>
      <c r="Z287" s="548"/>
    </row>
    <row r="288" hidden="1">
      <c r="A288" s="525">
        <v>45745.0</v>
      </c>
      <c r="B288" s="526" t="s">
        <v>1537</v>
      </c>
      <c r="C288" s="527" t="s">
        <v>1550</v>
      </c>
      <c r="D288" s="545">
        <v>700000.0</v>
      </c>
      <c r="E288" s="529" t="s">
        <v>1144</v>
      </c>
      <c r="F288" s="530"/>
      <c r="G288" s="546"/>
      <c r="H288" s="546"/>
      <c r="I288" s="547"/>
      <c r="J288" s="548"/>
      <c r="K288" s="548"/>
      <c r="L288" s="548"/>
      <c r="M288" s="548"/>
      <c r="N288" s="548"/>
      <c r="O288" s="548"/>
      <c r="P288" s="548"/>
      <c r="Q288" s="548"/>
      <c r="R288" s="548"/>
      <c r="S288" s="548"/>
      <c r="T288" s="548"/>
      <c r="U288" s="548"/>
      <c r="V288" s="548"/>
      <c r="W288" s="548"/>
      <c r="X288" s="548"/>
      <c r="Y288" s="548"/>
      <c r="Z288" s="548"/>
    </row>
    <row r="289" hidden="1">
      <c r="A289" s="562"/>
      <c r="B289" s="456"/>
      <c r="C289" s="457"/>
      <c r="D289" s="563"/>
      <c r="E289" s="505"/>
      <c r="F289" s="446"/>
      <c r="G289" s="454"/>
      <c r="H289" s="454"/>
    </row>
    <row r="290" hidden="1">
      <c r="A290" s="564"/>
      <c r="B290" s="456"/>
      <c r="C290" s="457"/>
      <c r="D290" s="563"/>
      <c r="E290" s="565"/>
      <c r="F290" s="446"/>
      <c r="G290" s="454"/>
      <c r="H290" s="454"/>
    </row>
    <row r="291" hidden="1">
      <c r="A291" s="509" t="s">
        <v>1551</v>
      </c>
      <c r="B291" s="439"/>
      <c r="C291" s="440"/>
      <c r="D291" s="432"/>
      <c r="E291" s="433"/>
      <c r="F291" s="434"/>
      <c r="G291" s="454"/>
      <c r="H291" s="454"/>
    </row>
    <row r="292" hidden="1">
      <c r="A292" s="525">
        <v>45753.0</v>
      </c>
      <c r="B292" s="526" t="s">
        <v>1552</v>
      </c>
      <c r="C292" s="527" t="s">
        <v>222</v>
      </c>
      <c r="D292" s="545">
        <v>700000.0</v>
      </c>
      <c r="E292" s="529" t="s">
        <v>1144</v>
      </c>
      <c r="F292" s="526" t="s">
        <v>1553</v>
      </c>
      <c r="G292" s="559"/>
      <c r="H292" s="559"/>
      <c r="I292" s="566"/>
      <c r="J292" s="566"/>
      <c r="K292" s="566"/>
      <c r="L292" s="566"/>
      <c r="M292" s="566"/>
      <c r="N292" s="566"/>
      <c r="O292" s="566"/>
      <c r="P292" s="566"/>
      <c r="Q292" s="566"/>
      <c r="R292" s="566"/>
      <c r="S292" s="566"/>
      <c r="T292" s="566"/>
      <c r="U292" s="566"/>
      <c r="V292" s="566"/>
      <c r="W292" s="566"/>
      <c r="X292" s="566"/>
      <c r="Y292" s="566"/>
      <c r="Z292" s="566"/>
    </row>
    <row r="293" hidden="1">
      <c r="A293" s="525">
        <v>45754.0</v>
      </c>
      <c r="B293" s="526" t="s">
        <v>1554</v>
      </c>
      <c r="C293" s="527" t="s">
        <v>1555</v>
      </c>
      <c r="D293" s="545">
        <v>422000.0</v>
      </c>
      <c r="E293" s="529" t="s">
        <v>1144</v>
      </c>
      <c r="F293" s="526"/>
      <c r="G293" s="559"/>
      <c r="H293" s="559"/>
      <c r="I293" s="566"/>
      <c r="J293" s="566"/>
      <c r="K293" s="566"/>
      <c r="L293" s="566"/>
      <c r="M293" s="566"/>
      <c r="N293" s="566"/>
      <c r="O293" s="566"/>
      <c r="P293" s="566"/>
      <c r="Q293" s="566"/>
      <c r="R293" s="566"/>
      <c r="S293" s="566"/>
      <c r="T293" s="566"/>
      <c r="U293" s="566"/>
      <c r="V293" s="566"/>
      <c r="W293" s="566"/>
      <c r="X293" s="566"/>
      <c r="Y293" s="566"/>
      <c r="Z293" s="566"/>
    </row>
    <row r="294" hidden="1">
      <c r="A294" s="567">
        <v>45770.0</v>
      </c>
      <c r="B294" s="568" t="s">
        <v>1556</v>
      </c>
      <c r="C294" s="569" t="s">
        <v>1557</v>
      </c>
      <c r="D294" s="570">
        <v>700000.0</v>
      </c>
      <c r="E294" s="571" t="s">
        <v>1558</v>
      </c>
      <c r="F294" s="568"/>
      <c r="G294" s="572"/>
      <c r="H294" s="572"/>
      <c r="I294" s="573"/>
      <c r="J294" s="573"/>
      <c r="K294" s="573"/>
      <c r="L294" s="573"/>
      <c r="M294" s="573"/>
      <c r="N294" s="573"/>
      <c r="O294" s="573"/>
      <c r="P294" s="573"/>
      <c r="Q294" s="573"/>
      <c r="R294" s="573"/>
      <c r="S294" s="573"/>
      <c r="T294" s="573"/>
      <c r="U294" s="573"/>
      <c r="V294" s="573"/>
      <c r="W294" s="573"/>
      <c r="X294" s="573"/>
      <c r="Y294" s="573"/>
      <c r="Z294" s="573"/>
    </row>
    <row r="295" hidden="1">
      <c r="A295" s="574">
        <v>45755.0</v>
      </c>
      <c r="B295" s="575" t="s">
        <v>1559</v>
      </c>
      <c r="C295" s="576" t="s">
        <v>1560</v>
      </c>
      <c r="D295" s="577">
        <v>550000.0</v>
      </c>
      <c r="E295" s="578" t="s">
        <v>1406</v>
      </c>
      <c r="F295" s="575"/>
      <c r="G295" s="579"/>
      <c r="H295" s="579"/>
      <c r="I295" s="580"/>
      <c r="J295" s="580"/>
      <c r="K295" s="580"/>
      <c r="L295" s="580"/>
      <c r="M295" s="580"/>
      <c r="N295" s="580"/>
      <c r="O295" s="580"/>
      <c r="P295" s="580"/>
      <c r="Q295" s="580"/>
      <c r="R295" s="580"/>
      <c r="S295" s="580"/>
      <c r="T295" s="580"/>
      <c r="U295" s="580"/>
      <c r="V295" s="580"/>
      <c r="W295" s="580"/>
      <c r="X295" s="580"/>
      <c r="Y295" s="580"/>
      <c r="Z295" s="580"/>
    </row>
    <row r="296" hidden="1">
      <c r="A296" s="541">
        <v>45756.0</v>
      </c>
      <c r="B296" s="526" t="s">
        <v>1561</v>
      </c>
      <c r="C296" s="527" t="s">
        <v>1515</v>
      </c>
      <c r="D296" s="545">
        <v>902000.0</v>
      </c>
      <c r="E296" s="529" t="s">
        <v>1144</v>
      </c>
      <c r="F296" s="526"/>
      <c r="G296" s="559"/>
      <c r="H296" s="559"/>
      <c r="I296" s="566"/>
      <c r="J296" s="566"/>
      <c r="K296" s="566"/>
      <c r="L296" s="566"/>
      <c r="M296" s="566"/>
      <c r="N296" s="566"/>
      <c r="O296" s="566"/>
      <c r="P296" s="566"/>
      <c r="Q296" s="566"/>
      <c r="R296" s="566"/>
      <c r="S296" s="566"/>
      <c r="T296" s="566"/>
      <c r="U296" s="566"/>
      <c r="V296" s="566"/>
      <c r="W296" s="566"/>
      <c r="X296" s="566"/>
      <c r="Y296" s="566"/>
      <c r="Z296" s="566"/>
    </row>
    <row r="297" hidden="1">
      <c r="A297" s="525">
        <v>45757.0</v>
      </c>
      <c r="B297" s="526" t="s">
        <v>1561</v>
      </c>
      <c r="C297" s="527" t="s">
        <v>476</v>
      </c>
      <c r="D297" s="545">
        <v>2540000.0</v>
      </c>
      <c r="E297" s="529" t="s">
        <v>1144</v>
      </c>
      <c r="F297" s="526"/>
      <c r="G297" s="559"/>
      <c r="H297" s="559"/>
      <c r="I297" s="566"/>
      <c r="J297" s="566"/>
      <c r="K297" s="566"/>
      <c r="L297" s="566"/>
      <c r="M297" s="566"/>
      <c r="N297" s="566"/>
      <c r="O297" s="566"/>
      <c r="P297" s="566"/>
      <c r="Q297" s="566"/>
      <c r="R297" s="566"/>
      <c r="S297" s="566"/>
      <c r="T297" s="566"/>
      <c r="U297" s="566"/>
      <c r="V297" s="566"/>
      <c r="W297" s="566"/>
      <c r="X297" s="566"/>
      <c r="Y297" s="566"/>
      <c r="Z297" s="566"/>
    </row>
    <row r="298" hidden="1">
      <c r="A298" s="525">
        <v>45758.0</v>
      </c>
      <c r="B298" s="526" t="s">
        <v>1561</v>
      </c>
      <c r="C298" s="527" t="s">
        <v>1562</v>
      </c>
      <c r="D298" s="545">
        <v>1295000.0</v>
      </c>
      <c r="E298" s="529" t="s">
        <v>1406</v>
      </c>
      <c r="F298" s="526"/>
      <c r="G298" s="559"/>
      <c r="H298" s="559"/>
      <c r="I298" s="566"/>
      <c r="J298" s="566"/>
      <c r="K298" s="566"/>
      <c r="L298" s="566"/>
      <c r="M298" s="566"/>
      <c r="N298" s="566"/>
      <c r="O298" s="566"/>
      <c r="P298" s="566"/>
      <c r="Q298" s="566"/>
      <c r="R298" s="566"/>
      <c r="S298" s="566"/>
      <c r="T298" s="566"/>
      <c r="U298" s="566"/>
      <c r="V298" s="566"/>
      <c r="W298" s="566"/>
      <c r="X298" s="566"/>
      <c r="Y298" s="566"/>
      <c r="Z298" s="566"/>
    </row>
    <row r="299" hidden="1">
      <c r="A299" s="525">
        <v>45759.0</v>
      </c>
      <c r="B299" s="526" t="s">
        <v>1561</v>
      </c>
      <c r="C299" s="527" t="s">
        <v>1563</v>
      </c>
      <c r="D299" s="545">
        <v>1960000.0</v>
      </c>
      <c r="E299" s="529" t="s">
        <v>1406</v>
      </c>
      <c r="F299" s="526"/>
      <c r="G299" s="559"/>
      <c r="H299" s="559"/>
      <c r="I299" s="566"/>
      <c r="J299" s="566"/>
      <c r="K299" s="566"/>
      <c r="L299" s="566"/>
      <c r="M299" s="566"/>
      <c r="N299" s="566"/>
      <c r="O299" s="566"/>
      <c r="P299" s="566"/>
      <c r="Q299" s="566"/>
      <c r="R299" s="566"/>
      <c r="S299" s="566"/>
      <c r="T299" s="566"/>
      <c r="U299" s="566"/>
      <c r="V299" s="566"/>
      <c r="W299" s="566"/>
      <c r="X299" s="566"/>
      <c r="Y299" s="566"/>
      <c r="Z299" s="566"/>
    </row>
    <row r="300" hidden="1">
      <c r="A300" s="525">
        <v>45760.0</v>
      </c>
      <c r="B300" s="526" t="s">
        <v>1561</v>
      </c>
      <c r="C300" s="527" t="s">
        <v>1459</v>
      </c>
      <c r="D300" s="545">
        <v>770000.0</v>
      </c>
      <c r="E300" s="529" t="s">
        <v>1406</v>
      </c>
      <c r="F300" s="526"/>
      <c r="G300" s="559"/>
      <c r="H300" s="559"/>
      <c r="I300" s="566"/>
      <c r="J300" s="566"/>
      <c r="K300" s="566"/>
      <c r="L300" s="566"/>
      <c r="M300" s="566"/>
      <c r="N300" s="566"/>
      <c r="O300" s="566"/>
      <c r="P300" s="566"/>
      <c r="Q300" s="566"/>
      <c r="R300" s="566"/>
      <c r="S300" s="566"/>
      <c r="T300" s="566"/>
      <c r="U300" s="566"/>
      <c r="V300" s="566"/>
      <c r="W300" s="566"/>
      <c r="X300" s="566"/>
      <c r="Y300" s="566"/>
      <c r="Z300" s="566"/>
    </row>
    <row r="301" hidden="1">
      <c r="A301" s="541">
        <v>45761.0</v>
      </c>
      <c r="B301" s="526" t="s">
        <v>1561</v>
      </c>
      <c r="C301" s="527" t="s">
        <v>1564</v>
      </c>
      <c r="D301" s="545">
        <v>2520000.0</v>
      </c>
      <c r="E301" s="529" t="s">
        <v>1406</v>
      </c>
      <c r="F301" s="526"/>
      <c r="G301" s="559"/>
      <c r="H301" s="559"/>
      <c r="I301" s="566"/>
      <c r="J301" s="566"/>
      <c r="K301" s="566"/>
      <c r="L301" s="566"/>
      <c r="M301" s="566"/>
      <c r="N301" s="566"/>
      <c r="O301" s="566"/>
      <c r="P301" s="566"/>
      <c r="Q301" s="566"/>
      <c r="R301" s="566"/>
      <c r="S301" s="566"/>
      <c r="T301" s="566"/>
      <c r="U301" s="566"/>
      <c r="V301" s="566"/>
      <c r="W301" s="566"/>
      <c r="X301" s="566"/>
      <c r="Y301" s="566"/>
      <c r="Z301" s="566"/>
    </row>
    <row r="302" hidden="1">
      <c r="A302" s="574">
        <v>45755.0</v>
      </c>
      <c r="B302" s="575" t="s">
        <v>1565</v>
      </c>
      <c r="C302" s="576" t="s">
        <v>1566</v>
      </c>
      <c r="D302" s="577">
        <f>560000+110000</f>
        <v>670000</v>
      </c>
      <c r="E302" s="578" t="s">
        <v>1406</v>
      </c>
      <c r="F302" s="575"/>
      <c r="G302" s="579"/>
      <c r="H302" s="579"/>
      <c r="I302" s="580"/>
      <c r="J302" s="580"/>
      <c r="K302" s="580"/>
      <c r="L302" s="580"/>
      <c r="M302" s="580"/>
      <c r="N302" s="580"/>
      <c r="O302" s="580"/>
      <c r="P302" s="580"/>
      <c r="Q302" s="580"/>
      <c r="R302" s="580"/>
      <c r="S302" s="580"/>
      <c r="T302" s="580"/>
      <c r="U302" s="580"/>
      <c r="V302" s="580"/>
      <c r="W302" s="580"/>
      <c r="X302" s="580"/>
      <c r="Y302" s="580"/>
      <c r="Z302" s="580"/>
    </row>
    <row r="303" hidden="1">
      <c r="A303" s="525">
        <v>45755.0</v>
      </c>
      <c r="B303" s="526" t="s">
        <v>1567</v>
      </c>
      <c r="C303" s="527" t="s">
        <v>1568</v>
      </c>
      <c r="D303" s="545">
        <v>73.31</v>
      </c>
      <c r="E303" s="529" t="s">
        <v>1144</v>
      </c>
      <c r="F303" s="526" t="s">
        <v>1569</v>
      </c>
      <c r="G303" s="559"/>
      <c r="H303" s="559"/>
      <c r="I303" s="566"/>
      <c r="J303" s="566"/>
      <c r="K303" s="566"/>
      <c r="L303" s="566"/>
      <c r="M303" s="566"/>
      <c r="N303" s="566"/>
      <c r="O303" s="566"/>
      <c r="P303" s="566"/>
      <c r="Q303" s="566"/>
      <c r="R303" s="566"/>
      <c r="S303" s="566"/>
      <c r="T303" s="566"/>
      <c r="U303" s="566"/>
      <c r="V303" s="566"/>
      <c r="W303" s="566"/>
      <c r="X303" s="566"/>
      <c r="Y303" s="566"/>
      <c r="Z303" s="566"/>
    </row>
    <row r="304" hidden="1">
      <c r="A304" s="581">
        <v>45763.0</v>
      </c>
      <c r="B304" s="582" t="s">
        <v>1570</v>
      </c>
      <c r="C304" s="583" t="s">
        <v>1512</v>
      </c>
      <c r="D304" s="584">
        <v>422000.0</v>
      </c>
      <c r="E304" s="585" t="s">
        <v>1406</v>
      </c>
      <c r="F304" s="582"/>
      <c r="G304" s="586"/>
      <c r="H304" s="586"/>
      <c r="I304" s="587"/>
      <c r="J304" s="587"/>
      <c r="K304" s="587"/>
      <c r="L304" s="587"/>
      <c r="M304" s="587"/>
      <c r="N304" s="587"/>
      <c r="O304" s="587"/>
      <c r="P304" s="587"/>
      <c r="Q304" s="587"/>
      <c r="R304" s="587"/>
      <c r="S304" s="587"/>
      <c r="T304" s="587"/>
      <c r="U304" s="587"/>
      <c r="V304" s="587"/>
      <c r="W304" s="587"/>
      <c r="X304" s="587"/>
      <c r="Y304" s="587"/>
      <c r="Z304" s="587"/>
    </row>
    <row r="305" hidden="1">
      <c r="A305" s="525">
        <v>45765.0</v>
      </c>
      <c r="B305" s="526" t="s">
        <v>1570</v>
      </c>
      <c r="C305" s="527" t="s">
        <v>476</v>
      </c>
      <c r="D305" s="545"/>
      <c r="E305" s="529" t="s">
        <v>1144</v>
      </c>
      <c r="F305" s="526"/>
      <c r="G305" s="559"/>
      <c r="H305" s="559"/>
      <c r="I305" s="566"/>
      <c r="J305" s="566"/>
      <c r="K305" s="566"/>
      <c r="L305" s="566"/>
      <c r="M305" s="566"/>
      <c r="N305" s="566"/>
      <c r="O305" s="566"/>
      <c r="P305" s="566"/>
      <c r="Q305" s="566"/>
      <c r="R305" s="566"/>
      <c r="S305" s="566"/>
      <c r="T305" s="566"/>
      <c r="U305" s="566"/>
      <c r="V305" s="566"/>
      <c r="W305" s="566"/>
      <c r="X305" s="566"/>
      <c r="Y305" s="566"/>
      <c r="Z305" s="566"/>
    </row>
    <row r="306" hidden="1">
      <c r="A306" s="574">
        <v>45764.0</v>
      </c>
      <c r="B306" s="575" t="s">
        <v>1571</v>
      </c>
      <c r="C306" s="576" t="s">
        <v>1572</v>
      </c>
      <c r="D306" s="577">
        <v>110000.0</v>
      </c>
      <c r="E306" s="578" t="s">
        <v>1406</v>
      </c>
      <c r="F306" s="575"/>
      <c r="G306" s="579"/>
      <c r="H306" s="579"/>
      <c r="I306" s="580"/>
      <c r="J306" s="580"/>
      <c r="K306" s="580"/>
      <c r="L306" s="580"/>
      <c r="M306" s="580"/>
      <c r="N306" s="580"/>
      <c r="O306" s="580"/>
      <c r="P306" s="580"/>
      <c r="Q306" s="580"/>
      <c r="R306" s="580"/>
      <c r="S306" s="580"/>
      <c r="T306" s="580"/>
      <c r="U306" s="580"/>
      <c r="V306" s="580"/>
      <c r="W306" s="580"/>
      <c r="X306" s="580"/>
      <c r="Y306" s="580"/>
      <c r="Z306" s="580"/>
    </row>
    <row r="307" hidden="1">
      <c r="A307" s="581">
        <v>45765.0</v>
      </c>
      <c r="B307" s="582" t="s">
        <v>1571</v>
      </c>
      <c r="C307" s="583" t="s">
        <v>1573</v>
      </c>
      <c r="D307" s="584">
        <v>422000.0</v>
      </c>
      <c r="E307" s="585" t="s">
        <v>1406</v>
      </c>
      <c r="F307" s="582"/>
      <c r="G307" s="586"/>
      <c r="H307" s="586"/>
      <c r="I307" s="587"/>
      <c r="J307" s="587"/>
      <c r="K307" s="587"/>
      <c r="L307" s="587"/>
      <c r="M307" s="587"/>
      <c r="N307" s="587"/>
      <c r="O307" s="587"/>
      <c r="P307" s="587"/>
      <c r="Q307" s="587"/>
      <c r="R307" s="587"/>
      <c r="S307" s="587"/>
      <c r="T307" s="587"/>
      <c r="U307" s="587"/>
      <c r="V307" s="587"/>
      <c r="W307" s="587"/>
      <c r="X307" s="587"/>
      <c r="Y307" s="587"/>
      <c r="Z307" s="587"/>
    </row>
    <row r="308" hidden="1">
      <c r="A308" s="525">
        <v>45765.0</v>
      </c>
      <c r="B308" s="526" t="s">
        <v>1574</v>
      </c>
      <c r="C308" s="527" t="s">
        <v>1575</v>
      </c>
      <c r="D308" s="545">
        <v>561000.0</v>
      </c>
      <c r="E308" s="529" t="s">
        <v>1406</v>
      </c>
      <c r="F308" s="526" t="s">
        <v>1576</v>
      </c>
      <c r="G308" s="559"/>
      <c r="H308" s="559"/>
      <c r="I308" s="566"/>
      <c r="J308" s="566"/>
      <c r="K308" s="566"/>
      <c r="L308" s="566"/>
      <c r="M308" s="566"/>
      <c r="N308" s="566"/>
      <c r="O308" s="566"/>
      <c r="P308" s="566"/>
      <c r="Q308" s="566"/>
      <c r="R308" s="566"/>
      <c r="S308" s="566"/>
      <c r="T308" s="566"/>
      <c r="U308" s="566"/>
      <c r="V308" s="566"/>
      <c r="W308" s="566"/>
      <c r="X308" s="566"/>
      <c r="Y308" s="566"/>
      <c r="Z308" s="566"/>
    </row>
    <row r="309" hidden="1">
      <c r="A309" s="525">
        <v>45765.0</v>
      </c>
      <c r="B309" s="526" t="s">
        <v>1577</v>
      </c>
      <c r="C309" s="527" t="s">
        <v>1578</v>
      </c>
      <c r="D309" s="545">
        <v>470000.0</v>
      </c>
      <c r="E309" s="529" t="s">
        <v>1144</v>
      </c>
      <c r="F309" s="526"/>
      <c r="G309" s="559"/>
      <c r="H309" s="559"/>
      <c r="I309" s="566"/>
      <c r="J309" s="566"/>
      <c r="K309" s="566"/>
      <c r="L309" s="566"/>
      <c r="M309" s="566"/>
      <c r="N309" s="566"/>
      <c r="O309" s="566"/>
      <c r="P309" s="566"/>
      <c r="Q309" s="566"/>
      <c r="R309" s="566"/>
      <c r="S309" s="566"/>
      <c r="T309" s="566"/>
      <c r="U309" s="566"/>
      <c r="V309" s="566"/>
      <c r="W309" s="566"/>
      <c r="X309" s="566"/>
      <c r="Y309" s="566"/>
      <c r="Z309" s="566"/>
    </row>
    <row r="310" hidden="1">
      <c r="A310" s="574">
        <v>45765.0</v>
      </c>
      <c r="B310" s="575" t="s">
        <v>1579</v>
      </c>
      <c r="C310" s="576" t="s">
        <v>1580</v>
      </c>
      <c r="D310" s="577">
        <v>530000.0</v>
      </c>
      <c r="E310" s="578" t="s">
        <v>1406</v>
      </c>
      <c r="F310" s="575"/>
      <c r="G310" s="579"/>
      <c r="H310" s="579"/>
      <c r="I310" s="580"/>
      <c r="J310" s="580"/>
      <c r="K310" s="580"/>
      <c r="L310" s="580"/>
      <c r="M310" s="580"/>
      <c r="N310" s="580"/>
      <c r="O310" s="580"/>
      <c r="P310" s="580"/>
      <c r="Q310" s="580"/>
      <c r="R310" s="580"/>
      <c r="S310" s="580"/>
      <c r="T310" s="580"/>
      <c r="U310" s="580"/>
      <c r="V310" s="580"/>
      <c r="W310" s="580"/>
      <c r="X310" s="580"/>
      <c r="Y310" s="580"/>
      <c r="Z310" s="580"/>
    </row>
    <row r="311" hidden="1">
      <c r="A311" s="574">
        <v>45765.0</v>
      </c>
      <c r="B311" s="575" t="s">
        <v>1581</v>
      </c>
      <c r="C311" s="576" t="s">
        <v>95</v>
      </c>
      <c r="D311" s="577">
        <v>110000.0</v>
      </c>
      <c r="E311" s="578" t="s">
        <v>1406</v>
      </c>
      <c r="F311" s="575"/>
      <c r="G311" s="579"/>
      <c r="H311" s="579"/>
      <c r="I311" s="580"/>
      <c r="J311" s="580"/>
      <c r="K311" s="580"/>
      <c r="L311" s="580"/>
      <c r="M311" s="580"/>
      <c r="N311" s="580"/>
      <c r="O311" s="580"/>
      <c r="P311" s="580"/>
      <c r="Q311" s="580"/>
      <c r="R311" s="580"/>
      <c r="S311" s="580"/>
      <c r="T311" s="580"/>
      <c r="U311" s="580"/>
      <c r="V311" s="580"/>
      <c r="W311" s="580"/>
      <c r="X311" s="580"/>
      <c r="Y311" s="580"/>
      <c r="Z311" s="580"/>
    </row>
    <row r="312" hidden="1">
      <c r="A312" s="525">
        <v>45766.0</v>
      </c>
      <c r="B312" s="526" t="s">
        <v>1581</v>
      </c>
      <c r="C312" s="527" t="s">
        <v>1582</v>
      </c>
      <c r="D312" s="545">
        <v>472000.0</v>
      </c>
      <c r="E312" s="529" t="s">
        <v>1406</v>
      </c>
      <c r="F312" s="526" t="s">
        <v>1583</v>
      </c>
      <c r="G312" s="559"/>
      <c r="H312" s="559"/>
      <c r="I312" s="566"/>
      <c r="J312" s="566"/>
      <c r="K312" s="566"/>
      <c r="L312" s="566"/>
      <c r="M312" s="566"/>
      <c r="N312" s="566"/>
      <c r="O312" s="566"/>
      <c r="P312" s="566"/>
      <c r="Q312" s="566"/>
      <c r="R312" s="566"/>
      <c r="S312" s="566"/>
      <c r="T312" s="566"/>
      <c r="U312" s="566"/>
      <c r="V312" s="566"/>
      <c r="W312" s="566"/>
      <c r="X312" s="566"/>
      <c r="Y312" s="566"/>
      <c r="Z312" s="566"/>
    </row>
    <row r="313" hidden="1">
      <c r="A313" s="581">
        <v>45766.0</v>
      </c>
      <c r="B313" s="582" t="s">
        <v>1584</v>
      </c>
      <c r="C313" s="583" t="s">
        <v>1585</v>
      </c>
      <c r="D313" s="584">
        <v>568000.0</v>
      </c>
      <c r="E313" s="585" t="s">
        <v>1406</v>
      </c>
      <c r="F313" s="582"/>
      <c r="G313" s="586"/>
      <c r="H313" s="586"/>
      <c r="I313" s="587"/>
      <c r="J313" s="587"/>
      <c r="K313" s="587"/>
      <c r="L313" s="587"/>
      <c r="M313" s="587"/>
      <c r="N313" s="587"/>
      <c r="O313" s="587"/>
      <c r="P313" s="587"/>
      <c r="Q313" s="587"/>
      <c r="R313" s="587"/>
      <c r="S313" s="587"/>
      <c r="T313" s="587"/>
      <c r="U313" s="587"/>
      <c r="V313" s="587"/>
      <c r="W313" s="587"/>
      <c r="X313" s="587"/>
      <c r="Y313" s="587"/>
      <c r="Z313" s="587"/>
    </row>
    <row r="314" hidden="1">
      <c r="A314" s="525">
        <v>45766.0</v>
      </c>
      <c r="B314" s="526" t="s">
        <v>1579</v>
      </c>
      <c r="C314" s="527" t="s">
        <v>1573</v>
      </c>
      <c r="D314" s="545">
        <v>464000.0</v>
      </c>
      <c r="E314" s="529" t="s">
        <v>1406</v>
      </c>
      <c r="F314" s="526" t="s">
        <v>1586</v>
      </c>
      <c r="G314" s="559"/>
      <c r="H314" s="559"/>
      <c r="I314" s="566"/>
      <c r="J314" s="566"/>
      <c r="K314" s="566"/>
      <c r="L314" s="566"/>
      <c r="M314" s="566"/>
      <c r="N314" s="566"/>
      <c r="O314" s="566"/>
      <c r="P314" s="566"/>
      <c r="Q314" s="566"/>
      <c r="R314" s="566"/>
      <c r="S314" s="566"/>
      <c r="T314" s="566"/>
      <c r="U314" s="566"/>
      <c r="V314" s="566"/>
      <c r="W314" s="566"/>
      <c r="X314" s="566"/>
      <c r="Y314" s="566"/>
      <c r="Z314" s="566"/>
    </row>
    <row r="315" hidden="1">
      <c r="A315" s="525">
        <v>45766.0</v>
      </c>
      <c r="B315" s="526" t="s">
        <v>1579</v>
      </c>
      <c r="C315" s="527" t="s">
        <v>97</v>
      </c>
      <c r="D315" s="545">
        <v>440000.0</v>
      </c>
      <c r="E315" s="529" t="s">
        <v>1406</v>
      </c>
      <c r="F315" s="526"/>
      <c r="G315" s="559"/>
      <c r="H315" s="559"/>
      <c r="I315" s="566"/>
      <c r="J315" s="566"/>
      <c r="K315" s="566"/>
      <c r="L315" s="566"/>
      <c r="M315" s="566"/>
      <c r="N315" s="566"/>
      <c r="O315" s="566"/>
      <c r="P315" s="566"/>
      <c r="Q315" s="566"/>
      <c r="R315" s="566"/>
      <c r="S315" s="566"/>
      <c r="T315" s="566"/>
      <c r="U315" s="566"/>
      <c r="V315" s="566"/>
      <c r="W315" s="566"/>
      <c r="X315" s="566"/>
      <c r="Y315" s="566"/>
      <c r="Z315" s="566"/>
    </row>
    <row r="316" hidden="1">
      <c r="A316" s="525">
        <v>45766.0</v>
      </c>
      <c r="B316" s="526" t="s">
        <v>1587</v>
      </c>
      <c r="C316" s="527" t="s">
        <v>1588</v>
      </c>
      <c r="D316" s="545">
        <v>422000.0</v>
      </c>
      <c r="E316" s="529" t="s">
        <v>1406</v>
      </c>
      <c r="F316" s="526" t="s">
        <v>1589</v>
      </c>
      <c r="G316" s="559"/>
      <c r="H316" s="559"/>
      <c r="I316" s="566"/>
      <c r="J316" s="566"/>
      <c r="K316" s="566"/>
      <c r="L316" s="566"/>
      <c r="M316" s="566"/>
      <c r="N316" s="566"/>
      <c r="O316" s="566"/>
      <c r="P316" s="566"/>
      <c r="Q316" s="566"/>
      <c r="R316" s="566"/>
      <c r="S316" s="566"/>
      <c r="T316" s="566"/>
      <c r="U316" s="566"/>
      <c r="V316" s="566"/>
      <c r="W316" s="566"/>
      <c r="X316" s="566"/>
      <c r="Y316" s="566"/>
      <c r="Z316" s="566"/>
    </row>
    <row r="317" hidden="1">
      <c r="A317" s="525">
        <v>45767.0</v>
      </c>
      <c r="B317" s="526" t="s">
        <v>1590</v>
      </c>
      <c r="C317" s="527" t="s">
        <v>1450</v>
      </c>
      <c r="D317" s="545">
        <v>1120000.0</v>
      </c>
      <c r="E317" s="529" t="s">
        <v>1144</v>
      </c>
      <c r="F317" s="526" t="s">
        <v>1591</v>
      </c>
      <c r="G317" s="559"/>
      <c r="H317" s="559"/>
      <c r="I317" s="566"/>
      <c r="J317" s="566"/>
      <c r="K317" s="566"/>
      <c r="L317" s="566"/>
      <c r="M317" s="566"/>
      <c r="N317" s="566"/>
      <c r="O317" s="566"/>
      <c r="P317" s="566"/>
      <c r="Q317" s="566"/>
      <c r="R317" s="566"/>
      <c r="S317" s="566"/>
      <c r="T317" s="566"/>
      <c r="U317" s="566"/>
      <c r="V317" s="566"/>
      <c r="W317" s="566"/>
      <c r="X317" s="566"/>
      <c r="Y317" s="566"/>
      <c r="Z317" s="566"/>
    </row>
    <row r="318" hidden="1">
      <c r="A318" s="525">
        <v>45767.0</v>
      </c>
      <c r="B318" s="526" t="s">
        <v>1592</v>
      </c>
      <c r="C318" s="527" t="s">
        <v>1593</v>
      </c>
      <c r="D318" s="545">
        <v>840000.0</v>
      </c>
      <c r="E318" s="529" t="s">
        <v>1144</v>
      </c>
      <c r="F318" s="526" t="s">
        <v>1594</v>
      </c>
      <c r="G318" s="559"/>
      <c r="H318" s="559"/>
      <c r="I318" s="566"/>
      <c r="J318" s="566"/>
      <c r="K318" s="566"/>
      <c r="L318" s="566"/>
      <c r="M318" s="566"/>
      <c r="N318" s="566"/>
      <c r="O318" s="566"/>
      <c r="P318" s="566"/>
      <c r="Q318" s="566"/>
      <c r="R318" s="566"/>
      <c r="S318" s="566"/>
      <c r="T318" s="566"/>
      <c r="U318" s="566"/>
      <c r="V318" s="566"/>
      <c r="W318" s="566"/>
      <c r="X318" s="566"/>
      <c r="Y318" s="566"/>
      <c r="Z318" s="566"/>
    </row>
    <row r="319" hidden="1">
      <c r="A319" s="525">
        <v>45768.0</v>
      </c>
      <c r="B319" s="526" t="s">
        <v>1581</v>
      </c>
      <c r="C319" s="527" t="s">
        <v>476</v>
      </c>
      <c r="D319" s="545">
        <v>700000.0</v>
      </c>
      <c r="E319" s="529" t="s">
        <v>1144</v>
      </c>
      <c r="F319" s="526"/>
      <c r="G319" s="559"/>
      <c r="H319" s="559"/>
      <c r="I319" s="566"/>
      <c r="J319" s="566"/>
      <c r="K319" s="566"/>
      <c r="L319" s="566"/>
      <c r="M319" s="566"/>
      <c r="N319" s="566"/>
      <c r="O319" s="566"/>
      <c r="P319" s="566"/>
      <c r="Q319" s="566"/>
      <c r="R319" s="566"/>
      <c r="S319" s="566"/>
      <c r="T319" s="566"/>
      <c r="U319" s="566"/>
      <c r="V319" s="566"/>
      <c r="W319" s="566"/>
      <c r="X319" s="566"/>
      <c r="Y319" s="566"/>
      <c r="Z319" s="566"/>
    </row>
    <row r="320" hidden="1">
      <c r="A320" s="525">
        <v>45768.0</v>
      </c>
      <c r="B320" s="526" t="s">
        <v>1590</v>
      </c>
      <c r="C320" s="527" t="s">
        <v>231</v>
      </c>
      <c r="D320" s="545">
        <v>1440000.0</v>
      </c>
      <c r="E320" s="529" t="s">
        <v>1144</v>
      </c>
      <c r="F320" s="526" t="s">
        <v>1594</v>
      </c>
      <c r="G320" s="559"/>
      <c r="H320" s="559"/>
      <c r="I320" s="566"/>
      <c r="J320" s="566"/>
      <c r="K320" s="566"/>
      <c r="L320" s="566"/>
      <c r="M320" s="566"/>
      <c r="N320" s="566"/>
      <c r="O320" s="566"/>
      <c r="P320" s="566"/>
      <c r="Q320" s="566"/>
      <c r="R320" s="566"/>
      <c r="S320" s="566"/>
      <c r="T320" s="566"/>
      <c r="U320" s="566"/>
      <c r="V320" s="566"/>
      <c r="W320" s="566"/>
      <c r="X320" s="566"/>
      <c r="Y320" s="566"/>
      <c r="Z320" s="566"/>
    </row>
    <row r="321" hidden="1">
      <c r="A321" s="525">
        <v>45769.0</v>
      </c>
      <c r="B321" s="526" t="s">
        <v>1595</v>
      </c>
      <c r="C321" s="527" t="s">
        <v>1596</v>
      </c>
      <c r="D321" s="545">
        <v>594000.0</v>
      </c>
      <c r="E321" s="529" t="s">
        <v>1406</v>
      </c>
      <c r="F321" s="526"/>
      <c r="G321" s="559"/>
      <c r="H321" s="559"/>
      <c r="I321" s="566"/>
      <c r="J321" s="566"/>
      <c r="K321" s="566"/>
      <c r="L321" s="566"/>
      <c r="M321" s="566"/>
      <c r="N321" s="566"/>
      <c r="O321" s="566"/>
      <c r="P321" s="566"/>
      <c r="Q321" s="566"/>
      <c r="R321" s="566"/>
      <c r="S321" s="566"/>
      <c r="T321" s="566"/>
      <c r="U321" s="566"/>
      <c r="V321" s="566"/>
      <c r="W321" s="566"/>
      <c r="X321" s="566"/>
      <c r="Y321" s="566"/>
      <c r="Z321" s="566"/>
    </row>
    <row r="322" hidden="1">
      <c r="A322" s="525">
        <v>45770.0</v>
      </c>
      <c r="B322" s="526" t="s">
        <v>1597</v>
      </c>
      <c r="C322" s="527" t="s">
        <v>1598</v>
      </c>
      <c r="D322" s="545">
        <v>700000.0</v>
      </c>
      <c r="E322" s="529" t="s">
        <v>1144</v>
      </c>
      <c r="F322" s="526"/>
      <c r="G322" s="559"/>
      <c r="H322" s="559"/>
      <c r="I322" s="566"/>
      <c r="J322" s="566"/>
      <c r="K322" s="566"/>
      <c r="L322" s="566"/>
      <c r="M322" s="566"/>
      <c r="N322" s="566"/>
      <c r="O322" s="566"/>
      <c r="P322" s="566"/>
      <c r="Q322" s="566"/>
      <c r="R322" s="566"/>
      <c r="S322" s="566"/>
      <c r="T322" s="566"/>
      <c r="U322" s="566"/>
      <c r="V322" s="566"/>
      <c r="W322" s="566"/>
      <c r="X322" s="566"/>
      <c r="Y322" s="566"/>
      <c r="Z322" s="566"/>
    </row>
    <row r="323" hidden="1">
      <c r="A323" s="525">
        <v>45771.0</v>
      </c>
      <c r="B323" s="526" t="s">
        <v>1599</v>
      </c>
      <c r="C323" s="527" t="s">
        <v>1600</v>
      </c>
      <c r="D323" s="545">
        <v>1502400.0</v>
      </c>
      <c r="E323" s="529" t="s">
        <v>1144</v>
      </c>
      <c r="F323" s="526"/>
      <c r="G323" s="559"/>
      <c r="H323" s="559"/>
      <c r="I323" s="566"/>
      <c r="J323" s="566"/>
      <c r="K323" s="566"/>
      <c r="L323" s="566"/>
      <c r="M323" s="566"/>
      <c r="N323" s="566"/>
      <c r="O323" s="566"/>
      <c r="P323" s="566"/>
      <c r="Q323" s="566"/>
      <c r="R323" s="566"/>
      <c r="S323" s="566"/>
      <c r="T323" s="566"/>
      <c r="U323" s="566"/>
      <c r="V323" s="566"/>
      <c r="W323" s="566"/>
      <c r="X323" s="566"/>
      <c r="Y323" s="566"/>
      <c r="Z323" s="566"/>
    </row>
    <row r="324" hidden="1">
      <c r="A324" s="581">
        <v>45772.0</v>
      </c>
      <c r="B324" s="582" t="s">
        <v>1601</v>
      </c>
      <c r="C324" s="583" t="s">
        <v>1602</v>
      </c>
      <c r="D324" s="584">
        <v>1850000.0</v>
      </c>
      <c r="E324" s="585" t="s">
        <v>1406</v>
      </c>
      <c r="F324" s="582"/>
      <c r="G324" s="586"/>
      <c r="H324" s="586"/>
      <c r="I324" s="587"/>
      <c r="J324" s="587"/>
      <c r="K324" s="587"/>
      <c r="L324" s="587"/>
      <c r="M324" s="587"/>
      <c r="N324" s="587"/>
      <c r="O324" s="587"/>
      <c r="P324" s="587"/>
      <c r="Q324" s="587"/>
      <c r="R324" s="587"/>
      <c r="S324" s="587"/>
      <c r="T324" s="587"/>
      <c r="U324" s="587"/>
      <c r="V324" s="587"/>
      <c r="W324" s="587"/>
      <c r="X324" s="587"/>
      <c r="Y324" s="587"/>
      <c r="Z324" s="587"/>
    </row>
    <row r="325" hidden="1">
      <c r="A325" s="525">
        <v>45773.0</v>
      </c>
      <c r="B325" s="526" t="s">
        <v>1603</v>
      </c>
      <c r="C325" s="527" t="s">
        <v>1604</v>
      </c>
      <c r="D325" s="545">
        <v>5200000.0</v>
      </c>
      <c r="E325" s="529" t="s">
        <v>1406</v>
      </c>
      <c r="F325" s="526"/>
      <c r="G325" s="559"/>
      <c r="H325" s="559"/>
      <c r="I325" s="566"/>
      <c r="J325" s="566"/>
      <c r="K325" s="566"/>
      <c r="L325" s="566"/>
      <c r="M325" s="566"/>
      <c r="N325" s="566"/>
      <c r="O325" s="566"/>
      <c r="P325" s="566"/>
      <c r="Q325" s="566"/>
      <c r="R325" s="566"/>
      <c r="S325" s="566"/>
      <c r="T325" s="566"/>
      <c r="U325" s="566"/>
      <c r="V325" s="566"/>
      <c r="W325" s="566"/>
      <c r="X325" s="566"/>
      <c r="Y325" s="566"/>
      <c r="Z325" s="566"/>
    </row>
    <row r="326" hidden="1">
      <c r="A326" s="525">
        <v>45772.0</v>
      </c>
      <c r="B326" s="526" t="s">
        <v>1605</v>
      </c>
      <c r="C326" s="527" t="s">
        <v>1606</v>
      </c>
      <c r="D326" s="545">
        <v>560000.0</v>
      </c>
      <c r="E326" s="529" t="s">
        <v>1144</v>
      </c>
      <c r="F326" s="526"/>
      <c r="G326" s="559"/>
      <c r="H326" s="559"/>
      <c r="I326" s="566"/>
      <c r="J326" s="566"/>
      <c r="K326" s="566"/>
      <c r="L326" s="566"/>
      <c r="M326" s="566"/>
      <c r="N326" s="566"/>
      <c r="O326" s="566"/>
      <c r="P326" s="566"/>
      <c r="Q326" s="566"/>
      <c r="R326" s="566"/>
      <c r="S326" s="566"/>
      <c r="T326" s="566"/>
      <c r="U326" s="566"/>
      <c r="V326" s="566"/>
      <c r="W326" s="566"/>
      <c r="X326" s="566"/>
      <c r="Y326" s="566"/>
      <c r="Z326" s="566"/>
    </row>
    <row r="327" hidden="1">
      <c r="A327" s="574">
        <v>45773.0</v>
      </c>
      <c r="B327" s="575" t="s">
        <v>1607</v>
      </c>
      <c r="C327" s="576" t="s">
        <v>1515</v>
      </c>
      <c r="D327" s="577">
        <v>422000.0</v>
      </c>
      <c r="E327" s="588" t="s">
        <v>1144</v>
      </c>
      <c r="F327" s="575"/>
      <c r="G327" s="579"/>
      <c r="H327" s="579"/>
      <c r="I327" s="580"/>
      <c r="J327" s="580"/>
      <c r="K327" s="580"/>
      <c r="L327" s="580"/>
      <c r="M327" s="580"/>
      <c r="N327" s="580"/>
      <c r="O327" s="580"/>
      <c r="P327" s="580"/>
      <c r="Q327" s="580"/>
      <c r="R327" s="580"/>
      <c r="S327" s="580"/>
      <c r="T327" s="580"/>
      <c r="U327" s="580"/>
      <c r="V327" s="580"/>
      <c r="W327" s="580"/>
      <c r="X327" s="580"/>
      <c r="Y327" s="580"/>
      <c r="Z327" s="580"/>
    </row>
    <row r="328" hidden="1">
      <c r="A328" s="589">
        <v>45774.0</v>
      </c>
      <c r="B328" s="575" t="s">
        <v>1608</v>
      </c>
      <c r="C328" s="576" t="s">
        <v>1609</v>
      </c>
      <c r="D328" s="577">
        <v>560000.0</v>
      </c>
      <c r="E328" s="588" t="s">
        <v>1406</v>
      </c>
      <c r="F328" s="575"/>
      <c r="G328" s="579"/>
      <c r="H328" s="579"/>
      <c r="I328" s="580"/>
      <c r="J328" s="580"/>
      <c r="K328" s="580"/>
      <c r="L328" s="580"/>
      <c r="M328" s="580"/>
      <c r="N328" s="580"/>
      <c r="O328" s="580"/>
      <c r="P328" s="580"/>
      <c r="Q328" s="580"/>
      <c r="R328" s="580"/>
      <c r="S328" s="580"/>
      <c r="T328" s="580"/>
      <c r="U328" s="580"/>
      <c r="V328" s="580"/>
      <c r="W328" s="580"/>
      <c r="X328" s="580"/>
      <c r="Y328" s="580"/>
      <c r="Z328" s="580"/>
    </row>
    <row r="329" hidden="1">
      <c r="A329" s="574">
        <v>45773.0</v>
      </c>
      <c r="B329" s="575" t="s">
        <v>1610</v>
      </c>
      <c r="C329" s="576" t="s">
        <v>177</v>
      </c>
      <c r="D329" s="577">
        <v>220000.0</v>
      </c>
      <c r="E329" s="588" t="s">
        <v>1144</v>
      </c>
      <c r="F329" s="575"/>
      <c r="G329" s="579"/>
      <c r="H329" s="579"/>
      <c r="I329" s="580"/>
      <c r="J329" s="580"/>
      <c r="K329" s="580"/>
      <c r="L329" s="580"/>
      <c r="M329" s="580"/>
      <c r="N329" s="580"/>
      <c r="O329" s="580"/>
      <c r="P329" s="580"/>
      <c r="Q329" s="580"/>
      <c r="R329" s="580"/>
      <c r="S329" s="580"/>
      <c r="T329" s="580"/>
      <c r="U329" s="580"/>
      <c r="V329" s="580"/>
      <c r="W329" s="580"/>
      <c r="X329" s="580"/>
      <c r="Y329" s="580"/>
      <c r="Z329" s="580"/>
    </row>
    <row r="330" hidden="1">
      <c r="A330" s="589">
        <v>45777.0</v>
      </c>
      <c r="B330" s="575" t="s">
        <v>1611</v>
      </c>
      <c r="C330" s="576" t="s">
        <v>1612</v>
      </c>
      <c r="D330" s="577">
        <v>1768000.0</v>
      </c>
      <c r="E330" s="590" t="s">
        <v>1406</v>
      </c>
      <c r="F330" s="575"/>
      <c r="G330" s="579"/>
      <c r="H330" s="579"/>
      <c r="I330" s="580"/>
      <c r="J330" s="580"/>
      <c r="K330" s="580"/>
      <c r="L330" s="580"/>
      <c r="M330" s="580"/>
      <c r="N330" s="580"/>
      <c r="O330" s="580"/>
      <c r="P330" s="580"/>
      <c r="Q330" s="580"/>
      <c r="R330" s="580"/>
      <c r="S330" s="580"/>
      <c r="T330" s="580"/>
      <c r="U330" s="580"/>
      <c r="V330" s="580"/>
      <c r="W330" s="580"/>
      <c r="X330" s="580"/>
      <c r="Y330" s="580"/>
      <c r="Z330" s="580"/>
    </row>
    <row r="331" hidden="1">
      <c r="A331" s="564"/>
      <c r="B331" s="456"/>
      <c r="C331" s="457"/>
      <c r="D331" s="563"/>
      <c r="E331" s="565"/>
      <c r="F331" s="446"/>
      <c r="G331" s="518"/>
      <c r="H331" s="518"/>
      <c r="I331" s="591"/>
      <c r="J331" s="591"/>
      <c r="K331" s="591"/>
      <c r="L331" s="591"/>
      <c r="M331" s="591"/>
      <c r="N331" s="591"/>
      <c r="O331" s="591"/>
      <c r="P331" s="591"/>
      <c r="Q331" s="591"/>
      <c r="R331" s="591"/>
      <c r="S331" s="591"/>
      <c r="T331" s="591"/>
      <c r="U331" s="591"/>
      <c r="V331" s="591"/>
      <c r="W331" s="591"/>
      <c r="X331" s="591"/>
      <c r="Y331" s="591"/>
      <c r="Z331" s="591"/>
    </row>
    <row r="332" hidden="1">
      <c r="A332" s="509" t="s">
        <v>1613</v>
      </c>
      <c r="B332" s="439"/>
      <c r="C332" s="440"/>
      <c r="D332" s="432"/>
      <c r="E332" s="433"/>
      <c r="F332" s="434"/>
      <c r="G332" s="454"/>
      <c r="H332" s="454"/>
    </row>
    <row r="333" hidden="1">
      <c r="A333" s="592">
        <v>45779.0</v>
      </c>
      <c r="B333" s="575" t="s">
        <v>1614</v>
      </c>
      <c r="C333" s="576" t="s">
        <v>1615</v>
      </c>
      <c r="D333" s="593">
        <v>990000.0</v>
      </c>
      <c r="E333" s="588" t="s">
        <v>1406</v>
      </c>
      <c r="F333" s="580" t="s">
        <v>1616</v>
      </c>
      <c r="G333" s="579"/>
      <c r="H333" s="579"/>
      <c r="I333" s="580"/>
      <c r="J333" s="580"/>
      <c r="K333" s="580"/>
      <c r="L333" s="580"/>
      <c r="M333" s="580"/>
      <c r="N333" s="580"/>
      <c r="O333" s="580"/>
      <c r="P333" s="580"/>
      <c r="Q333" s="580"/>
      <c r="R333" s="580"/>
      <c r="S333" s="580"/>
      <c r="T333" s="580"/>
      <c r="U333" s="580"/>
      <c r="V333" s="580"/>
      <c r="W333" s="580"/>
      <c r="X333" s="580"/>
      <c r="Y333" s="580"/>
      <c r="Z333" s="580"/>
    </row>
    <row r="334" hidden="1">
      <c r="A334" s="592">
        <v>45780.0</v>
      </c>
      <c r="B334" s="575" t="s">
        <v>1614</v>
      </c>
      <c r="C334" s="576" t="s">
        <v>819</v>
      </c>
      <c r="D334" s="593">
        <v>1050000.0</v>
      </c>
      <c r="E334" s="594" t="s">
        <v>1406</v>
      </c>
      <c r="F334" s="580" t="s">
        <v>1617</v>
      </c>
      <c r="G334" s="579"/>
      <c r="H334" s="579"/>
      <c r="I334" s="580"/>
      <c r="J334" s="580"/>
      <c r="K334" s="580"/>
      <c r="L334" s="580"/>
      <c r="M334" s="580"/>
      <c r="N334" s="580"/>
      <c r="O334" s="580"/>
      <c r="P334" s="580"/>
      <c r="Q334" s="580"/>
      <c r="R334" s="580"/>
      <c r="S334" s="580"/>
      <c r="T334" s="580"/>
      <c r="U334" s="580"/>
      <c r="V334" s="580"/>
      <c r="W334" s="580"/>
      <c r="X334" s="580"/>
      <c r="Y334" s="580"/>
      <c r="Z334" s="580"/>
    </row>
    <row r="335" hidden="1">
      <c r="A335" s="574">
        <v>45781.0</v>
      </c>
      <c r="B335" s="575" t="s">
        <v>1618</v>
      </c>
      <c r="C335" s="576" t="s">
        <v>791</v>
      </c>
      <c r="D335" s="577">
        <v>460000.0</v>
      </c>
      <c r="E335" s="578" t="s">
        <v>1406</v>
      </c>
      <c r="F335" s="575" t="s">
        <v>1619</v>
      </c>
      <c r="G335" s="595"/>
      <c r="H335" s="595"/>
      <c r="I335" s="596"/>
      <c r="J335" s="596"/>
      <c r="K335" s="596"/>
      <c r="L335" s="596"/>
      <c r="M335" s="596"/>
      <c r="N335" s="596"/>
      <c r="O335" s="596"/>
      <c r="P335" s="596"/>
      <c r="Q335" s="596"/>
      <c r="R335" s="596"/>
      <c r="S335" s="596"/>
      <c r="T335" s="596"/>
      <c r="U335" s="596"/>
      <c r="V335" s="596"/>
      <c r="W335" s="596"/>
      <c r="X335" s="596"/>
      <c r="Y335" s="596"/>
      <c r="Z335" s="596"/>
    </row>
    <row r="336" hidden="1">
      <c r="A336" s="574">
        <v>45785.0</v>
      </c>
      <c r="B336" s="575" t="s">
        <v>1620</v>
      </c>
      <c r="C336" s="576" t="s">
        <v>1512</v>
      </c>
      <c r="D336" s="577">
        <v>376000.0</v>
      </c>
      <c r="E336" s="578" t="s">
        <v>1406</v>
      </c>
      <c r="F336" s="575" t="s">
        <v>1621</v>
      </c>
      <c r="G336" s="595"/>
      <c r="H336" s="595"/>
      <c r="I336" s="596"/>
      <c r="J336" s="596"/>
      <c r="K336" s="596"/>
      <c r="L336" s="596"/>
      <c r="M336" s="596"/>
      <c r="N336" s="596"/>
      <c r="O336" s="596"/>
      <c r="P336" s="596"/>
      <c r="Q336" s="596"/>
      <c r="R336" s="596"/>
      <c r="S336" s="596"/>
      <c r="T336" s="596"/>
      <c r="U336" s="596"/>
      <c r="V336" s="596"/>
      <c r="W336" s="596"/>
      <c r="X336" s="596"/>
      <c r="Y336" s="596"/>
      <c r="Z336" s="596"/>
    </row>
    <row r="337" hidden="1">
      <c r="A337" s="524"/>
      <c r="B337" s="524"/>
      <c r="C337" s="524"/>
      <c r="D337" s="432"/>
      <c r="E337" s="433"/>
      <c r="F337" s="434"/>
      <c r="G337" s="454"/>
      <c r="H337" s="454"/>
    </row>
    <row r="338" hidden="1">
      <c r="A338" s="509" t="s">
        <v>1622</v>
      </c>
      <c r="B338" s="439"/>
      <c r="C338" s="440"/>
      <c r="D338" s="432"/>
      <c r="E338" s="433"/>
      <c r="F338" s="434"/>
      <c r="G338" s="454"/>
      <c r="H338" s="454"/>
    </row>
    <row r="339" hidden="1">
      <c r="A339" s="597">
        <v>45809.0</v>
      </c>
      <c r="B339" s="598" t="s">
        <v>1623</v>
      </c>
      <c r="C339" s="599" t="s">
        <v>1624</v>
      </c>
      <c r="D339" s="600">
        <v>840000.0</v>
      </c>
      <c r="E339" s="601" t="s">
        <v>1406</v>
      </c>
      <c r="F339" s="602" t="s">
        <v>1625</v>
      </c>
      <c r="G339" s="603"/>
      <c r="H339" s="603"/>
      <c r="I339" s="604"/>
      <c r="J339" s="604"/>
      <c r="K339" s="604"/>
      <c r="L339" s="604"/>
      <c r="M339" s="604"/>
      <c r="N339" s="604"/>
      <c r="O339" s="604"/>
      <c r="P339" s="604"/>
      <c r="Q339" s="604"/>
      <c r="R339" s="604"/>
      <c r="S339" s="604"/>
      <c r="T339" s="604"/>
      <c r="U339" s="604"/>
      <c r="V339" s="604"/>
      <c r="W339" s="604"/>
      <c r="X339" s="604"/>
      <c r="Y339" s="604"/>
      <c r="Z339" s="604"/>
    </row>
    <row r="340" hidden="1">
      <c r="A340" s="597">
        <v>45816.0</v>
      </c>
      <c r="B340" s="598" t="s">
        <v>1626</v>
      </c>
      <c r="C340" s="599" t="s">
        <v>222</v>
      </c>
      <c r="D340" s="600">
        <v>700000.0</v>
      </c>
      <c r="E340" s="601" t="s">
        <v>1406</v>
      </c>
      <c r="F340" s="602"/>
      <c r="G340" s="603"/>
      <c r="H340" s="603"/>
      <c r="I340" s="604"/>
      <c r="J340" s="604"/>
      <c r="K340" s="604"/>
      <c r="L340" s="604"/>
      <c r="M340" s="604"/>
      <c r="N340" s="604"/>
      <c r="O340" s="604"/>
      <c r="P340" s="604"/>
      <c r="Q340" s="604"/>
      <c r="R340" s="604"/>
      <c r="S340" s="604"/>
      <c r="T340" s="604"/>
      <c r="U340" s="604"/>
      <c r="V340" s="604"/>
      <c r="W340" s="604"/>
      <c r="X340" s="604"/>
      <c r="Y340" s="604"/>
      <c r="Z340" s="604"/>
    </row>
    <row r="341" hidden="1">
      <c r="A341" s="597">
        <v>45821.0</v>
      </c>
      <c r="B341" s="598" t="s">
        <v>1627</v>
      </c>
      <c r="C341" s="599" t="s">
        <v>1628</v>
      </c>
      <c r="D341" s="600">
        <v>990000.0</v>
      </c>
      <c r="E341" s="601" t="s">
        <v>1406</v>
      </c>
      <c r="F341" s="602" t="s">
        <v>1629</v>
      </c>
      <c r="G341" s="603"/>
      <c r="H341" s="603"/>
      <c r="I341" s="604"/>
      <c r="J341" s="604"/>
      <c r="K341" s="604"/>
      <c r="L341" s="604"/>
      <c r="M341" s="604"/>
      <c r="N341" s="604"/>
      <c r="O341" s="604"/>
      <c r="P341" s="604"/>
      <c r="Q341" s="604"/>
      <c r="R341" s="604"/>
      <c r="S341" s="604"/>
      <c r="T341" s="604"/>
      <c r="U341" s="604"/>
      <c r="V341" s="604"/>
      <c r="W341" s="604"/>
      <c r="X341" s="604"/>
      <c r="Y341" s="604"/>
      <c r="Z341" s="604"/>
    </row>
    <row r="342" hidden="1">
      <c r="A342" s="605">
        <v>45822.0</v>
      </c>
      <c r="B342" s="526" t="s">
        <v>1630</v>
      </c>
      <c r="C342" s="527" t="s">
        <v>1631</v>
      </c>
      <c r="D342" s="606">
        <v>1120000.0</v>
      </c>
      <c r="E342" s="607" t="s">
        <v>1406</v>
      </c>
      <c r="F342" s="608" t="s">
        <v>1632</v>
      </c>
      <c r="G342" s="609"/>
      <c r="H342" s="609"/>
      <c r="I342" s="610"/>
      <c r="J342" s="610"/>
      <c r="K342" s="610"/>
      <c r="L342" s="610"/>
      <c r="M342" s="610"/>
      <c r="N342" s="610"/>
      <c r="O342" s="610"/>
      <c r="P342" s="610"/>
      <c r="Q342" s="610"/>
      <c r="R342" s="610"/>
      <c r="S342" s="610"/>
      <c r="T342" s="610"/>
      <c r="U342" s="610"/>
      <c r="V342" s="610"/>
      <c r="W342" s="610"/>
      <c r="X342" s="610"/>
      <c r="Y342" s="610"/>
      <c r="Z342" s="610"/>
    </row>
    <row r="343" hidden="1">
      <c r="A343" s="611">
        <v>45823.0</v>
      </c>
      <c r="B343" s="612" t="s">
        <v>1627</v>
      </c>
      <c r="C343" s="613" t="s">
        <v>529</v>
      </c>
      <c r="D343" s="614">
        <v>1050000.0</v>
      </c>
      <c r="E343" s="615" t="s">
        <v>1406</v>
      </c>
      <c r="F343" s="616" t="s">
        <v>1633</v>
      </c>
      <c r="G343" s="595"/>
      <c r="H343" s="595"/>
      <c r="I343" s="617"/>
      <c r="J343" s="617"/>
      <c r="K343" s="617"/>
      <c r="L343" s="617"/>
      <c r="M343" s="617"/>
      <c r="N343" s="617"/>
      <c r="O343" s="617"/>
      <c r="P343" s="617"/>
      <c r="Q343" s="617"/>
      <c r="R343" s="617"/>
      <c r="S343" s="617"/>
      <c r="T343" s="617"/>
      <c r="U343" s="617"/>
      <c r="V343" s="617"/>
      <c r="W343" s="617"/>
      <c r="X343" s="617"/>
      <c r="Y343" s="617"/>
      <c r="Z343" s="617"/>
    </row>
    <row r="344" hidden="1">
      <c r="A344" s="597">
        <v>45824.0</v>
      </c>
      <c r="B344" s="598" t="s">
        <v>1634</v>
      </c>
      <c r="C344" s="599" t="s">
        <v>1635</v>
      </c>
      <c r="D344" s="600">
        <v>1116000.0</v>
      </c>
      <c r="E344" s="601" t="s">
        <v>1406</v>
      </c>
      <c r="F344" s="602" t="s">
        <v>1632</v>
      </c>
      <c r="G344" s="603"/>
      <c r="H344" s="603"/>
      <c r="I344" s="604"/>
      <c r="J344" s="604"/>
      <c r="K344" s="604"/>
      <c r="L344" s="604"/>
      <c r="M344" s="604"/>
      <c r="N344" s="604"/>
      <c r="O344" s="604"/>
      <c r="P344" s="604"/>
      <c r="Q344" s="604"/>
      <c r="R344" s="604"/>
      <c r="S344" s="604"/>
      <c r="T344" s="604"/>
      <c r="U344" s="604"/>
      <c r="V344" s="604"/>
      <c r="W344" s="604"/>
      <c r="X344" s="604"/>
      <c r="Y344" s="604"/>
      <c r="Z344" s="604"/>
    </row>
    <row r="345" hidden="1">
      <c r="A345" s="597">
        <v>45825.0</v>
      </c>
      <c r="B345" s="598" t="s">
        <v>1636</v>
      </c>
      <c r="C345" s="599" t="s">
        <v>1637</v>
      </c>
      <c r="D345" s="618">
        <v>1087200.0</v>
      </c>
      <c r="E345" s="601" t="s">
        <v>1406</v>
      </c>
      <c r="F345" s="602" t="s">
        <v>1638</v>
      </c>
      <c r="G345" s="603"/>
      <c r="H345" s="603"/>
      <c r="I345" s="619"/>
      <c r="J345" s="619"/>
      <c r="K345" s="619"/>
      <c r="L345" s="619"/>
      <c r="M345" s="619"/>
      <c r="N345" s="619"/>
      <c r="O345" s="619"/>
      <c r="P345" s="619"/>
      <c r="Q345" s="619"/>
      <c r="R345" s="619"/>
      <c r="S345" s="619"/>
      <c r="T345" s="619"/>
      <c r="U345" s="619"/>
      <c r="V345" s="619"/>
      <c r="W345" s="619"/>
      <c r="X345" s="619"/>
      <c r="Y345" s="619"/>
      <c r="Z345" s="619"/>
    </row>
    <row r="346" hidden="1">
      <c r="A346" s="611">
        <v>45826.0</v>
      </c>
      <c r="B346" s="575" t="s">
        <v>1639</v>
      </c>
      <c r="C346" s="613" t="s">
        <v>1640</v>
      </c>
      <c r="D346" s="614">
        <v>464000.0</v>
      </c>
      <c r="E346" s="615" t="s">
        <v>1406</v>
      </c>
      <c r="F346" s="616" t="s">
        <v>1629</v>
      </c>
      <c r="G346" s="595"/>
      <c r="H346" s="595"/>
      <c r="I346" s="596"/>
      <c r="J346" s="596"/>
      <c r="K346" s="596"/>
      <c r="L346" s="596"/>
      <c r="M346" s="596"/>
      <c r="N346" s="596"/>
      <c r="O346" s="596"/>
      <c r="P346" s="596"/>
      <c r="Q346" s="596"/>
      <c r="R346" s="596"/>
      <c r="S346" s="596"/>
      <c r="T346" s="596"/>
      <c r="U346" s="596"/>
      <c r="V346" s="596"/>
      <c r="W346" s="596"/>
      <c r="X346" s="596"/>
      <c r="Y346" s="596"/>
      <c r="Z346" s="596"/>
    </row>
    <row r="347" hidden="1">
      <c r="A347" s="611">
        <v>45461.0</v>
      </c>
      <c r="B347" s="612" t="s">
        <v>1641</v>
      </c>
      <c r="C347" s="613" t="s">
        <v>1642</v>
      </c>
      <c r="D347" s="614">
        <v>360000.0</v>
      </c>
      <c r="E347" s="615" t="s">
        <v>1406</v>
      </c>
      <c r="F347" s="616" t="s">
        <v>1629</v>
      </c>
      <c r="G347" s="595"/>
      <c r="H347" s="595"/>
      <c r="I347" s="596"/>
      <c r="J347" s="596"/>
      <c r="K347" s="596"/>
      <c r="L347" s="596"/>
      <c r="M347" s="596"/>
      <c r="N347" s="596"/>
      <c r="O347" s="596"/>
      <c r="P347" s="596"/>
      <c r="Q347" s="596"/>
      <c r="R347" s="596"/>
      <c r="S347" s="596"/>
      <c r="T347" s="596"/>
      <c r="U347" s="596"/>
      <c r="V347" s="596"/>
      <c r="W347" s="596"/>
      <c r="X347" s="596"/>
      <c r="Y347" s="596"/>
      <c r="Z347" s="596"/>
    </row>
    <row r="348" hidden="1">
      <c r="A348" s="597">
        <v>45826.0</v>
      </c>
      <c r="B348" s="598" t="s">
        <v>1636</v>
      </c>
      <c r="C348" s="599" t="s">
        <v>1643</v>
      </c>
      <c r="D348" s="618">
        <v>508300.0</v>
      </c>
      <c r="E348" s="601" t="s">
        <v>1406</v>
      </c>
      <c r="F348" s="602" t="s">
        <v>1638</v>
      </c>
      <c r="G348" s="603"/>
      <c r="H348" s="603"/>
      <c r="I348" s="619"/>
      <c r="J348" s="619"/>
      <c r="K348" s="619"/>
      <c r="L348" s="619"/>
      <c r="M348" s="619"/>
      <c r="N348" s="619"/>
      <c r="O348" s="619"/>
      <c r="P348" s="619"/>
      <c r="Q348" s="619"/>
      <c r="R348" s="619"/>
      <c r="S348" s="619"/>
      <c r="T348" s="619"/>
      <c r="U348" s="619"/>
      <c r="V348" s="619"/>
      <c r="W348" s="619"/>
      <c r="X348" s="619"/>
      <c r="Y348" s="619"/>
      <c r="Z348" s="619"/>
    </row>
    <row r="349" hidden="1">
      <c r="A349" s="597">
        <v>45826.0</v>
      </c>
      <c r="B349" s="598" t="s">
        <v>1636</v>
      </c>
      <c r="C349" s="599" t="s">
        <v>1644</v>
      </c>
      <c r="D349" s="618">
        <v>160000.0</v>
      </c>
      <c r="E349" s="601" t="s">
        <v>1406</v>
      </c>
      <c r="F349" s="602" t="s">
        <v>1645</v>
      </c>
      <c r="G349" s="603"/>
      <c r="H349" s="603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</row>
    <row r="350" hidden="1">
      <c r="A350" s="605">
        <v>45827.0</v>
      </c>
      <c r="B350" s="526" t="s">
        <v>1639</v>
      </c>
      <c r="C350" s="527" t="s">
        <v>1631</v>
      </c>
      <c r="D350" s="606">
        <v>1120000.0</v>
      </c>
      <c r="E350" s="607" t="s">
        <v>1406</v>
      </c>
      <c r="F350" s="608" t="s">
        <v>1646</v>
      </c>
      <c r="G350" s="609"/>
      <c r="H350" s="609"/>
      <c r="I350" s="610"/>
      <c r="J350" s="610"/>
      <c r="K350" s="610"/>
      <c r="L350" s="610"/>
      <c r="M350" s="610"/>
      <c r="N350" s="610"/>
      <c r="O350" s="610"/>
      <c r="P350" s="610"/>
      <c r="Q350" s="610"/>
      <c r="R350" s="610"/>
      <c r="S350" s="610"/>
      <c r="T350" s="610"/>
      <c r="U350" s="610"/>
      <c r="V350" s="610"/>
      <c r="W350" s="610"/>
      <c r="X350" s="610"/>
      <c r="Y350" s="610"/>
      <c r="Z350" s="610"/>
    </row>
    <row r="351" hidden="1">
      <c r="A351" s="611">
        <v>45828.0</v>
      </c>
      <c r="B351" s="575" t="s">
        <v>1639</v>
      </c>
      <c r="C351" s="613" t="s">
        <v>1647</v>
      </c>
      <c r="D351" s="620">
        <v>740000.0</v>
      </c>
      <c r="E351" s="615" t="s">
        <v>1648</v>
      </c>
      <c r="F351" s="616" t="s">
        <v>1646</v>
      </c>
      <c r="G351" s="595"/>
      <c r="H351" s="595"/>
      <c r="I351" s="596"/>
      <c r="J351" s="596"/>
      <c r="K351" s="596"/>
      <c r="L351" s="596"/>
      <c r="M351" s="596"/>
      <c r="N351" s="596"/>
      <c r="O351" s="596"/>
      <c r="P351" s="596"/>
      <c r="Q351" s="596"/>
      <c r="R351" s="596"/>
      <c r="S351" s="596"/>
      <c r="T351" s="596"/>
      <c r="U351" s="596"/>
      <c r="V351" s="596"/>
      <c r="W351" s="596"/>
      <c r="X351" s="596"/>
      <c r="Y351" s="596"/>
      <c r="Z351" s="596"/>
    </row>
    <row r="352" hidden="1">
      <c r="A352" s="611">
        <v>45828.0</v>
      </c>
      <c r="B352" s="612" t="s">
        <v>1649</v>
      </c>
      <c r="C352" s="613" t="s">
        <v>1499</v>
      </c>
      <c r="D352" s="620">
        <v>488000.0</v>
      </c>
      <c r="E352" s="615" t="s">
        <v>1650</v>
      </c>
      <c r="F352" s="616" t="s">
        <v>1638</v>
      </c>
      <c r="G352" s="595"/>
      <c r="H352" s="595"/>
      <c r="I352" s="596"/>
      <c r="J352" s="596"/>
      <c r="K352" s="596"/>
      <c r="L352" s="596"/>
      <c r="M352" s="596"/>
      <c r="N352" s="596"/>
      <c r="O352" s="596"/>
      <c r="P352" s="596"/>
      <c r="Q352" s="596"/>
      <c r="R352" s="596"/>
      <c r="S352" s="596"/>
      <c r="T352" s="596"/>
      <c r="U352" s="596"/>
      <c r="V352" s="596"/>
      <c r="W352" s="596"/>
      <c r="X352" s="596"/>
      <c r="Y352" s="596"/>
      <c r="Z352" s="596"/>
    </row>
    <row r="353" hidden="1">
      <c r="A353" s="611">
        <v>45828.0</v>
      </c>
      <c r="B353" s="575" t="s">
        <v>1639</v>
      </c>
      <c r="C353" s="613" t="s">
        <v>819</v>
      </c>
      <c r="D353" s="620">
        <v>1400000.0</v>
      </c>
      <c r="E353" s="615" t="s">
        <v>1648</v>
      </c>
      <c r="F353" s="616" t="s">
        <v>1646</v>
      </c>
      <c r="G353" s="595"/>
      <c r="H353" s="595"/>
      <c r="I353" s="596"/>
      <c r="J353" s="596"/>
      <c r="K353" s="596"/>
      <c r="L353" s="596"/>
      <c r="M353" s="596"/>
      <c r="N353" s="596"/>
      <c r="O353" s="596"/>
      <c r="P353" s="596"/>
      <c r="Q353" s="596"/>
      <c r="R353" s="596"/>
      <c r="S353" s="596"/>
      <c r="T353" s="596"/>
      <c r="U353" s="596"/>
      <c r="V353" s="596"/>
      <c r="W353" s="596"/>
      <c r="X353" s="596"/>
      <c r="Y353" s="596"/>
      <c r="Z353" s="596"/>
    </row>
    <row r="354" hidden="1">
      <c r="A354" s="611">
        <v>45829.0</v>
      </c>
      <c r="B354" s="612" t="s">
        <v>1649</v>
      </c>
      <c r="C354" s="613" t="s">
        <v>1651</v>
      </c>
      <c r="D354" s="620">
        <v>150000.0</v>
      </c>
      <c r="E354" s="615" t="s">
        <v>1652</v>
      </c>
      <c r="F354" s="616" t="s">
        <v>1638</v>
      </c>
      <c r="G354" s="595"/>
      <c r="H354" s="595"/>
      <c r="I354" s="596"/>
      <c r="J354" s="596"/>
      <c r="K354" s="596"/>
      <c r="L354" s="596"/>
      <c r="M354" s="596"/>
      <c r="N354" s="596"/>
      <c r="O354" s="596"/>
      <c r="P354" s="596"/>
      <c r="Q354" s="596"/>
      <c r="R354" s="596"/>
      <c r="S354" s="596"/>
      <c r="T354" s="596"/>
      <c r="U354" s="596"/>
      <c r="V354" s="596"/>
      <c r="W354" s="596"/>
      <c r="X354" s="596"/>
      <c r="Y354" s="596"/>
      <c r="Z354" s="596"/>
    </row>
    <row r="355" hidden="1">
      <c r="A355" s="611">
        <v>45829.0</v>
      </c>
      <c r="B355" s="612" t="s">
        <v>1649</v>
      </c>
      <c r="C355" s="613" t="s">
        <v>1653</v>
      </c>
      <c r="D355" s="620">
        <v>2850000.0</v>
      </c>
      <c r="E355" s="615" t="s">
        <v>1650</v>
      </c>
      <c r="F355" s="616" t="s">
        <v>1638</v>
      </c>
      <c r="G355" s="595"/>
      <c r="H355" s="595"/>
      <c r="I355" s="596"/>
      <c r="J355" s="596"/>
      <c r="K355" s="596"/>
      <c r="L355" s="596"/>
      <c r="M355" s="596"/>
      <c r="N355" s="596"/>
      <c r="O355" s="596"/>
      <c r="P355" s="596"/>
      <c r="Q355" s="596"/>
      <c r="R355" s="596"/>
      <c r="S355" s="596"/>
      <c r="T355" s="596"/>
      <c r="U355" s="596"/>
      <c r="V355" s="596"/>
      <c r="W355" s="596"/>
      <c r="X355" s="596"/>
      <c r="Y355" s="596"/>
      <c r="Z355" s="596"/>
    </row>
    <row r="356" hidden="1">
      <c r="A356" s="621">
        <v>45829.0</v>
      </c>
      <c r="B356" s="612" t="s">
        <v>1654</v>
      </c>
      <c r="C356" s="613" t="s">
        <v>265</v>
      </c>
      <c r="D356" s="620">
        <v>860000.0</v>
      </c>
      <c r="E356" s="615" t="s">
        <v>1406</v>
      </c>
      <c r="F356" s="616" t="s">
        <v>1655</v>
      </c>
      <c r="G356" s="595"/>
      <c r="H356" s="595"/>
      <c r="I356" s="596"/>
      <c r="J356" s="596"/>
      <c r="K356" s="596"/>
      <c r="L356" s="596"/>
      <c r="M356" s="596"/>
      <c r="N356" s="596"/>
      <c r="O356" s="596"/>
      <c r="P356" s="596"/>
      <c r="Q356" s="596"/>
      <c r="R356" s="596"/>
      <c r="S356" s="596"/>
      <c r="T356" s="596"/>
      <c r="U356" s="596"/>
      <c r="V356" s="596"/>
      <c r="W356" s="596"/>
      <c r="X356" s="596"/>
      <c r="Y356" s="596"/>
      <c r="Z356" s="596"/>
    </row>
    <row r="357" hidden="1">
      <c r="A357" s="611">
        <v>45830.0</v>
      </c>
      <c r="B357" s="612" t="s">
        <v>1656</v>
      </c>
      <c r="C357" s="613" t="s">
        <v>158</v>
      </c>
      <c r="D357" s="620">
        <v>700000.0</v>
      </c>
      <c r="E357" s="615" t="s">
        <v>1406</v>
      </c>
      <c r="F357" s="616" t="s">
        <v>1657</v>
      </c>
      <c r="G357" s="595"/>
      <c r="H357" s="595"/>
      <c r="I357" s="596"/>
      <c r="J357" s="596"/>
      <c r="K357" s="596"/>
      <c r="L357" s="596"/>
      <c r="M357" s="596"/>
      <c r="N357" s="596"/>
      <c r="O357" s="596"/>
      <c r="P357" s="596"/>
      <c r="Q357" s="596"/>
      <c r="R357" s="596"/>
      <c r="S357" s="596"/>
      <c r="T357" s="596"/>
      <c r="U357" s="596"/>
      <c r="V357" s="596"/>
      <c r="W357" s="596"/>
      <c r="X357" s="596"/>
      <c r="Y357" s="596"/>
      <c r="Z357" s="596"/>
    </row>
    <row r="358" hidden="1">
      <c r="A358" s="597">
        <v>45832.0</v>
      </c>
      <c r="B358" s="598" t="s">
        <v>1658</v>
      </c>
      <c r="C358" s="599" t="s">
        <v>1450</v>
      </c>
      <c r="D358" s="618">
        <v>280000.0</v>
      </c>
      <c r="E358" s="601" t="s">
        <v>1406</v>
      </c>
      <c r="F358" s="602" t="s">
        <v>1659</v>
      </c>
      <c r="G358" s="603"/>
      <c r="H358" s="603"/>
      <c r="I358" s="619"/>
      <c r="J358" s="619"/>
      <c r="K358" s="619"/>
      <c r="L358" s="619"/>
      <c r="M358" s="619"/>
      <c r="N358" s="619"/>
      <c r="O358" s="619"/>
      <c r="P358" s="619"/>
      <c r="Q358" s="619"/>
      <c r="R358" s="619"/>
      <c r="S358" s="619"/>
      <c r="T358" s="619"/>
      <c r="U358" s="619"/>
      <c r="V358" s="619"/>
      <c r="W358" s="619"/>
      <c r="X358" s="619"/>
      <c r="Y358" s="619"/>
      <c r="Z358" s="619"/>
    </row>
    <row r="359" hidden="1">
      <c r="A359" s="597">
        <v>45832.0</v>
      </c>
      <c r="B359" s="598" t="s">
        <v>1658</v>
      </c>
      <c r="C359" s="599" t="s">
        <v>1631</v>
      </c>
      <c r="D359" s="618">
        <v>280000.0</v>
      </c>
      <c r="E359" s="601" t="s">
        <v>1406</v>
      </c>
      <c r="F359" s="602" t="s">
        <v>1659</v>
      </c>
      <c r="G359" s="603"/>
      <c r="H359" s="603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</row>
    <row r="360" hidden="1">
      <c r="A360" s="622">
        <v>45833.0</v>
      </c>
      <c r="B360" s="623" t="s">
        <v>1660</v>
      </c>
      <c r="C360" s="624" t="s">
        <v>1515</v>
      </c>
      <c r="D360" s="625">
        <v>1050000.0</v>
      </c>
      <c r="E360" s="626" t="s">
        <v>1406</v>
      </c>
      <c r="F360" s="627" t="s">
        <v>1661</v>
      </c>
      <c r="G360" s="628"/>
      <c r="H360" s="628"/>
      <c r="I360" s="629"/>
      <c r="J360" s="629"/>
      <c r="K360" s="629"/>
      <c r="L360" s="629"/>
      <c r="M360" s="629"/>
      <c r="N360" s="629"/>
      <c r="O360" s="629"/>
      <c r="P360" s="629"/>
      <c r="Q360" s="629"/>
      <c r="R360" s="629"/>
      <c r="S360" s="629"/>
      <c r="T360" s="629"/>
      <c r="U360" s="629"/>
      <c r="V360" s="629"/>
      <c r="W360" s="629"/>
      <c r="X360" s="629"/>
      <c r="Y360" s="629"/>
      <c r="Z360" s="629"/>
    </row>
    <row r="361" hidden="1">
      <c r="A361" s="611">
        <v>45833.0</v>
      </c>
      <c r="B361" s="612" t="s">
        <v>1662</v>
      </c>
      <c r="C361" s="613" t="s">
        <v>1663</v>
      </c>
      <c r="D361" s="620">
        <v>360000.0</v>
      </c>
      <c r="E361" s="615" t="s">
        <v>1406</v>
      </c>
      <c r="F361" s="616" t="s">
        <v>1664</v>
      </c>
      <c r="G361" s="595"/>
      <c r="H361" s="595"/>
      <c r="I361" s="596"/>
      <c r="J361" s="596"/>
      <c r="K361" s="596"/>
      <c r="L361" s="596"/>
      <c r="M361" s="596"/>
      <c r="N361" s="596"/>
      <c r="O361" s="596"/>
      <c r="P361" s="596"/>
      <c r="Q361" s="596"/>
      <c r="R361" s="596"/>
      <c r="S361" s="596"/>
      <c r="T361" s="596"/>
      <c r="U361" s="596"/>
      <c r="V361" s="596"/>
      <c r="W361" s="596"/>
      <c r="X361" s="596"/>
      <c r="Y361" s="596"/>
      <c r="Z361" s="596"/>
    </row>
    <row r="362" hidden="1">
      <c r="A362" s="611">
        <v>45836.0</v>
      </c>
      <c r="B362" s="612" t="s">
        <v>1665</v>
      </c>
      <c r="C362" s="613" t="s">
        <v>1666</v>
      </c>
      <c r="D362" s="620">
        <v>120000.0</v>
      </c>
      <c r="E362" s="615" t="s">
        <v>1406</v>
      </c>
      <c r="F362" s="616" t="s">
        <v>1667</v>
      </c>
      <c r="G362" s="595"/>
      <c r="H362" s="595"/>
      <c r="I362" s="596"/>
      <c r="J362" s="596"/>
      <c r="K362" s="596"/>
      <c r="L362" s="596"/>
      <c r="M362" s="596"/>
      <c r="N362" s="596"/>
      <c r="O362" s="596"/>
      <c r="P362" s="596"/>
      <c r="Q362" s="596"/>
      <c r="R362" s="596"/>
      <c r="S362" s="596"/>
      <c r="T362" s="596"/>
      <c r="U362" s="596"/>
      <c r="V362" s="596"/>
      <c r="W362" s="596"/>
      <c r="X362" s="596"/>
      <c r="Y362" s="596"/>
      <c r="Z362" s="596"/>
    </row>
    <row r="363" hidden="1">
      <c r="A363" s="611">
        <v>45838.0</v>
      </c>
      <c r="B363" s="612" t="s">
        <v>1668</v>
      </c>
      <c r="C363" s="613" t="s">
        <v>1515</v>
      </c>
      <c r="D363" s="620">
        <f>320000+36000*3+30000</f>
        <v>458000</v>
      </c>
      <c r="E363" s="615" t="s">
        <v>1406</v>
      </c>
      <c r="F363" s="616" t="s">
        <v>1669</v>
      </c>
      <c r="G363" s="595"/>
      <c r="H363" s="595"/>
      <c r="I363" s="596"/>
      <c r="J363" s="596"/>
      <c r="K363" s="596"/>
      <c r="L363" s="596"/>
      <c r="M363" s="596"/>
      <c r="N363" s="596"/>
      <c r="O363" s="596"/>
      <c r="P363" s="596"/>
      <c r="Q363" s="596"/>
      <c r="R363" s="596"/>
      <c r="S363" s="596"/>
      <c r="T363" s="596"/>
      <c r="U363" s="596"/>
      <c r="V363" s="596"/>
      <c r="W363" s="596"/>
      <c r="X363" s="596"/>
      <c r="Y363" s="596"/>
      <c r="Z363" s="596"/>
    </row>
    <row r="364" hidden="1">
      <c r="A364" s="524"/>
      <c r="B364" s="524"/>
      <c r="C364" s="524"/>
      <c r="D364" s="432"/>
      <c r="E364" s="433"/>
      <c r="F364" s="434"/>
      <c r="G364" s="454"/>
      <c r="H364" s="454"/>
      <c r="I364" s="630"/>
      <c r="J364" s="630"/>
      <c r="K364" s="630"/>
      <c r="L364" s="630"/>
      <c r="M364" s="630"/>
      <c r="N364" s="630"/>
      <c r="O364" s="630"/>
      <c r="P364" s="630"/>
      <c r="Q364" s="630"/>
      <c r="R364" s="630"/>
      <c r="S364" s="630"/>
      <c r="T364" s="630"/>
      <c r="U364" s="630"/>
      <c r="V364" s="630"/>
      <c r="W364" s="630"/>
      <c r="X364" s="630"/>
      <c r="Y364" s="630"/>
      <c r="Z364" s="630"/>
    </row>
    <row r="365" hidden="1">
      <c r="A365" s="509" t="s">
        <v>1670</v>
      </c>
      <c r="B365" s="439"/>
      <c r="C365" s="439"/>
      <c r="D365" s="439"/>
      <c r="E365" s="440"/>
      <c r="F365" s="434"/>
      <c r="G365" s="454"/>
      <c r="H365" s="454"/>
      <c r="I365" s="630"/>
      <c r="J365" s="630"/>
      <c r="K365" s="630"/>
      <c r="L365" s="630"/>
      <c r="M365" s="630"/>
      <c r="N365" s="630"/>
      <c r="O365" s="630"/>
      <c r="P365" s="630"/>
      <c r="Q365" s="630"/>
      <c r="R365" s="630"/>
      <c r="S365" s="630"/>
      <c r="T365" s="630"/>
      <c r="U365" s="630"/>
      <c r="V365" s="630"/>
      <c r="W365" s="630"/>
      <c r="X365" s="630"/>
      <c r="Y365" s="630"/>
      <c r="Z365" s="630"/>
    </row>
    <row r="366" hidden="1">
      <c r="A366" s="564"/>
      <c r="B366" s="456"/>
      <c r="C366" s="457"/>
      <c r="D366" s="563"/>
      <c r="E366" s="631"/>
      <c r="F366" s="632"/>
      <c r="G366" s="454"/>
      <c r="H366" s="454"/>
      <c r="I366" s="630"/>
      <c r="J366" s="630"/>
      <c r="K366" s="630"/>
      <c r="L366" s="630"/>
      <c r="M366" s="630"/>
      <c r="N366" s="630"/>
      <c r="O366" s="630"/>
      <c r="P366" s="630"/>
      <c r="Q366" s="630"/>
      <c r="R366" s="630"/>
      <c r="S366" s="630"/>
      <c r="T366" s="630"/>
      <c r="U366" s="630"/>
      <c r="V366" s="630"/>
      <c r="W366" s="630"/>
      <c r="X366" s="630"/>
      <c r="Y366" s="630"/>
      <c r="Z366" s="630"/>
    </row>
    <row r="367" hidden="1">
      <c r="A367" s="633">
        <v>45841.0</v>
      </c>
      <c r="B367" s="575" t="s">
        <v>1671</v>
      </c>
      <c r="C367" s="576" t="s">
        <v>1534</v>
      </c>
      <c r="D367" s="634">
        <f>320000+72000</f>
        <v>392000</v>
      </c>
      <c r="E367" s="615" t="s">
        <v>1406</v>
      </c>
      <c r="F367" s="616" t="s">
        <v>1672</v>
      </c>
      <c r="G367" s="595"/>
      <c r="H367" s="595"/>
      <c r="I367" s="596"/>
      <c r="J367" s="596"/>
      <c r="K367" s="596"/>
      <c r="L367" s="596"/>
      <c r="M367" s="596"/>
      <c r="N367" s="596"/>
      <c r="O367" s="596"/>
      <c r="P367" s="596"/>
      <c r="Q367" s="596"/>
      <c r="R367" s="596"/>
      <c r="S367" s="596"/>
      <c r="T367" s="596"/>
      <c r="U367" s="596"/>
      <c r="V367" s="596"/>
      <c r="W367" s="596"/>
      <c r="X367" s="596"/>
      <c r="Y367" s="596"/>
      <c r="Z367" s="596"/>
    </row>
    <row r="368" hidden="1">
      <c r="A368" s="635">
        <v>45841.0</v>
      </c>
      <c r="B368" s="598" t="s">
        <v>1673</v>
      </c>
      <c r="C368" s="599" t="s">
        <v>1674</v>
      </c>
      <c r="D368" s="618">
        <v>740000.0</v>
      </c>
      <c r="E368" s="601" t="s">
        <v>1144</v>
      </c>
      <c r="F368" s="602" t="s">
        <v>1675</v>
      </c>
      <c r="G368" s="603"/>
      <c r="H368" s="603"/>
      <c r="I368" s="619"/>
      <c r="J368" s="619"/>
      <c r="K368" s="619"/>
      <c r="L368" s="619"/>
      <c r="M368" s="619"/>
      <c r="N368" s="619"/>
      <c r="O368" s="619"/>
      <c r="P368" s="619"/>
      <c r="Q368" s="619"/>
      <c r="R368" s="619"/>
      <c r="S368" s="619"/>
      <c r="T368" s="619"/>
      <c r="U368" s="619"/>
      <c r="V368" s="619"/>
      <c r="W368" s="619"/>
      <c r="X368" s="619"/>
      <c r="Y368" s="619"/>
      <c r="Z368" s="619"/>
    </row>
    <row r="369" hidden="1">
      <c r="A369" s="611">
        <v>45840.0</v>
      </c>
      <c r="B369" s="612" t="s">
        <v>1673</v>
      </c>
      <c r="C369" s="613" t="s">
        <v>674</v>
      </c>
      <c r="D369" s="620">
        <v>402000.0</v>
      </c>
      <c r="E369" s="615" t="s">
        <v>1406</v>
      </c>
      <c r="F369" s="616" t="s">
        <v>1675</v>
      </c>
      <c r="G369" s="595"/>
      <c r="H369" s="595"/>
      <c r="I369" s="596"/>
      <c r="J369" s="596"/>
      <c r="K369" s="596"/>
      <c r="L369" s="596"/>
      <c r="M369" s="596"/>
      <c r="N369" s="596"/>
      <c r="O369" s="596"/>
      <c r="P369" s="596"/>
      <c r="Q369" s="596"/>
      <c r="R369" s="596"/>
      <c r="S369" s="596"/>
      <c r="T369" s="596"/>
      <c r="U369" s="596"/>
      <c r="V369" s="596"/>
      <c r="W369" s="596"/>
      <c r="X369" s="596"/>
      <c r="Y369" s="596"/>
      <c r="Z369" s="596"/>
    </row>
    <row r="370" hidden="1">
      <c r="A370" s="611">
        <v>45840.0</v>
      </c>
      <c r="B370" s="612" t="s">
        <v>1673</v>
      </c>
      <c r="C370" s="613" t="s">
        <v>1460</v>
      </c>
      <c r="D370" s="620">
        <v>220000.0</v>
      </c>
      <c r="E370" s="615" t="s">
        <v>1406</v>
      </c>
      <c r="F370" s="616" t="s">
        <v>1675</v>
      </c>
      <c r="G370" s="595"/>
      <c r="H370" s="595"/>
      <c r="I370" s="596"/>
      <c r="J370" s="596"/>
      <c r="K370" s="596"/>
      <c r="L370" s="596"/>
      <c r="M370" s="596"/>
      <c r="N370" s="596"/>
      <c r="O370" s="596"/>
      <c r="P370" s="596"/>
      <c r="Q370" s="596"/>
      <c r="R370" s="596"/>
      <c r="S370" s="596"/>
      <c r="T370" s="596"/>
      <c r="U370" s="596"/>
      <c r="V370" s="596"/>
      <c r="W370" s="596"/>
      <c r="X370" s="596"/>
      <c r="Y370" s="596"/>
      <c r="Z370" s="596"/>
    </row>
    <row r="371" hidden="1">
      <c r="A371" s="611">
        <v>45841.0</v>
      </c>
      <c r="B371" s="612" t="s">
        <v>1676</v>
      </c>
      <c r="C371" s="613" t="s">
        <v>222</v>
      </c>
      <c r="D371" s="620">
        <f>350000*3</f>
        <v>1050000</v>
      </c>
      <c r="E371" s="615" t="s">
        <v>1406</v>
      </c>
      <c r="F371" s="616"/>
      <c r="G371" s="595"/>
      <c r="H371" s="595"/>
      <c r="I371" s="596"/>
      <c r="J371" s="596"/>
      <c r="K371" s="596"/>
      <c r="L371" s="596"/>
      <c r="M371" s="596"/>
      <c r="N371" s="596"/>
      <c r="O371" s="596"/>
      <c r="P371" s="596"/>
      <c r="Q371" s="596"/>
      <c r="R371" s="596"/>
      <c r="S371" s="596"/>
      <c r="T371" s="596"/>
      <c r="U371" s="596"/>
      <c r="V371" s="596"/>
      <c r="W371" s="596"/>
      <c r="X371" s="596"/>
      <c r="Y371" s="596"/>
      <c r="Z371" s="596"/>
    </row>
    <row r="372" hidden="1">
      <c r="A372" s="611">
        <v>45842.0</v>
      </c>
      <c r="B372" s="612" t="s">
        <v>1673</v>
      </c>
      <c r="C372" s="613" t="s">
        <v>476</v>
      </c>
      <c r="D372" s="620">
        <v>700000.0</v>
      </c>
      <c r="E372" s="615" t="s">
        <v>1406</v>
      </c>
      <c r="F372" s="616" t="s">
        <v>1675</v>
      </c>
      <c r="G372" s="595"/>
      <c r="H372" s="595"/>
      <c r="I372" s="596"/>
      <c r="J372" s="596"/>
      <c r="K372" s="596"/>
      <c r="L372" s="596"/>
      <c r="M372" s="596"/>
      <c r="N372" s="596"/>
      <c r="O372" s="596"/>
      <c r="P372" s="596"/>
      <c r="Q372" s="596"/>
      <c r="R372" s="596"/>
      <c r="S372" s="596"/>
      <c r="T372" s="596"/>
      <c r="U372" s="596"/>
      <c r="V372" s="596"/>
      <c r="W372" s="596"/>
      <c r="X372" s="596"/>
      <c r="Y372" s="596"/>
      <c r="Z372" s="596"/>
    </row>
    <row r="373" hidden="1">
      <c r="A373" s="621">
        <v>45843.0</v>
      </c>
      <c r="B373" s="612" t="s">
        <v>1677</v>
      </c>
      <c r="C373" s="636" t="s">
        <v>1678</v>
      </c>
      <c r="D373" s="620">
        <v>1342000.0</v>
      </c>
      <c r="E373" s="615" t="s">
        <v>1406</v>
      </c>
      <c r="F373" s="616" t="s">
        <v>1675</v>
      </c>
      <c r="G373" s="595"/>
      <c r="H373" s="595"/>
      <c r="I373" s="596"/>
      <c r="J373" s="596"/>
      <c r="K373" s="596"/>
      <c r="L373" s="596"/>
      <c r="M373" s="596"/>
      <c r="N373" s="596"/>
      <c r="O373" s="596"/>
      <c r="P373" s="596"/>
      <c r="Q373" s="596"/>
      <c r="R373" s="596"/>
      <c r="S373" s="596"/>
      <c r="T373" s="596"/>
      <c r="U373" s="596"/>
      <c r="V373" s="596"/>
      <c r="W373" s="596"/>
      <c r="X373" s="596"/>
      <c r="Y373" s="596"/>
      <c r="Z373" s="596"/>
    </row>
    <row r="374" hidden="1">
      <c r="A374" s="621">
        <v>45845.0</v>
      </c>
      <c r="B374" s="612" t="s">
        <v>1679</v>
      </c>
      <c r="C374" s="599" t="s">
        <v>1680</v>
      </c>
      <c r="D374" s="634">
        <f>270000*4</f>
        <v>1080000</v>
      </c>
      <c r="E374" s="615" t="s">
        <v>1406</v>
      </c>
      <c r="F374" s="616" t="s">
        <v>1681</v>
      </c>
      <c r="G374" s="595"/>
      <c r="H374" s="595"/>
      <c r="I374" s="596"/>
      <c r="J374" s="596"/>
      <c r="K374" s="596"/>
      <c r="L374" s="596"/>
      <c r="M374" s="596"/>
      <c r="N374" s="596"/>
      <c r="O374" s="596"/>
      <c r="P374" s="596"/>
      <c r="Q374" s="596"/>
      <c r="R374" s="596"/>
      <c r="S374" s="596"/>
      <c r="T374" s="596"/>
      <c r="U374" s="596"/>
      <c r="V374" s="596"/>
      <c r="W374" s="596"/>
      <c r="X374" s="596"/>
      <c r="Y374" s="596"/>
      <c r="Z374" s="596"/>
    </row>
    <row r="375" hidden="1">
      <c r="A375" s="611">
        <v>45845.0</v>
      </c>
      <c r="B375" s="612" t="s">
        <v>1682</v>
      </c>
      <c r="C375" s="613" t="s">
        <v>1683</v>
      </c>
      <c r="D375" s="620">
        <v>508300.0</v>
      </c>
      <c r="E375" s="615" t="s">
        <v>1406</v>
      </c>
      <c r="F375" s="616" t="s">
        <v>1646</v>
      </c>
      <c r="G375" s="595"/>
      <c r="H375" s="595"/>
      <c r="I375" s="596"/>
      <c r="J375" s="596"/>
      <c r="K375" s="596"/>
      <c r="L375" s="596"/>
      <c r="M375" s="596"/>
      <c r="N375" s="596"/>
      <c r="O375" s="596"/>
      <c r="P375" s="596"/>
      <c r="Q375" s="596"/>
      <c r="R375" s="596"/>
      <c r="S375" s="596"/>
      <c r="T375" s="596"/>
      <c r="U375" s="596"/>
      <c r="V375" s="596"/>
      <c r="W375" s="596"/>
      <c r="X375" s="596"/>
      <c r="Y375" s="596"/>
      <c r="Z375" s="596"/>
    </row>
    <row r="376" hidden="1">
      <c r="A376" s="611">
        <v>45847.0</v>
      </c>
      <c r="B376" s="612" t="s">
        <v>1684</v>
      </c>
      <c r="C376" s="613" t="s">
        <v>222</v>
      </c>
      <c r="D376" s="634">
        <f>350000*4</f>
        <v>1400000</v>
      </c>
      <c r="E376" s="615" t="s">
        <v>1406</v>
      </c>
      <c r="F376" s="616" t="s">
        <v>1681</v>
      </c>
      <c r="G376" s="595"/>
      <c r="H376" s="595"/>
      <c r="I376" s="596"/>
      <c r="J376" s="596"/>
      <c r="K376" s="596"/>
      <c r="L376" s="596"/>
      <c r="M376" s="596"/>
      <c r="N376" s="596"/>
      <c r="O376" s="596"/>
      <c r="P376" s="596"/>
      <c r="Q376" s="596"/>
      <c r="R376" s="596"/>
      <c r="S376" s="596"/>
      <c r="T376" s="596"/>
      <c r="U376" s="596"/>
      <c r="V376" s="596"/>
      <c r="W376" s="596"/>
      <c r="X376" s="596"/>
      <c r="Y376" s="596"/>
      <c r="Z376" s="596"/>
    </row>
    <row r="377" hidden="1">
      <c r="A377" s="611">
        <v>45849.0</v>
      </c>
      <c r="B377" s="612" t="s">
        <v>1684</v>
      </c>
      <c r="C377" s="613" t="s">
        <v>169</v>
      </c>
      <c r="D377" s="634">
        <f>370000*4</f>
        <v>1480000</v>
      </c>
      <c r="E377" s="615" t="s">
        <v>1406</v>
      </c>
      <c r="F377" s="616" t="s">
        <v>1681</v>
      </c>
      <c r="G377" s="595"/>
      <c r="H377" s="595"/>
      <c r="I377" s="596"/>
      <c r="J377" s="596"/>
      <c r="K377" s="596"/>
      <c r="L377" s="596"/>
      <c r="M377" s="596"/>
      <c r="N377" s="596"/>
      <c r="O377" s="596"/>
      <c r="P377" s="596"/>
      <c r="Q377" s="596"/>
      <c r="R377" s="596"/>
      <c r="S377" s="596"/>
      <c r="T377" s="596"/>
      <c r="U377" s="596"/>
      <c r="V377" s="596"/>
      <c r="W377" s="596"/>
      <c r="X377" s="596"/>
      <c r="Y377" s="596"/>
      <c r="Z377" s="596"/>
    </row>
    <row r="378" hidden="1">
      <c r="A378" s="611">
        <v>45852.0</v>
      </c>
      <c r="B378" s="612" t="s">
        <v>1685</v>
      </c>
      <c r="C378" s="613" t="s">
        <v>1631</v>
      </c>
      <c r="D378" s="634">
        <f>280000*3</f>
        <v>840000</v>
      </c>
      <c r="E378" s="615" t="s">
        <v>1406</v>
      </c>
      <c r="F378" s="616" t="s">
        <v>1675</v>
      </c>
      <c r="G378" s="595"/>
      <c r="H378" s="595"/>
      <c r="I378" s="596"/>
      <c r="J378" s="596"/>
      <c r="K378" s="596"/>
      <c r="L378" s="596"/>
      <c r="M378" s="596"/>
      <c r="N378" s="596"/>
      <c r="O378" s="596"/>
      <c r="P378" s="596"/>
      <c r="Q378" s="596"/>
      <c r="R378" s="596"/>
      <c r="S378" s="596"/>
      <c r="T378" s="596"/>
      <c r="U378" s="596"/>
      <c r="V378" s="596"/>
      <c r="W378" s="596"/>
      <c r="X378" s="596"/>
      <c r="Y378" s="596"/>
      <c r="Z378" s="596"/>
    </row>
    <row r="379" hidden="1">
      <c r="A379" s="633">
        <v>45855.0</v>
      </c>
      <c r="B379" s="575" t="s">
        <v>1686</v>
      </c>
      <c r="C379" s="576" t="s">
        <v>373</v>
      </c>
      <c r="D379" s="620">
        <v>560000.0</v>
      </c>
      <c r="E379" s="615" t="s">
        <v>1406</v>
      </c>
      <c r="F379" s="616" t="s">
        <v>1681</v>
      </c>
      <c r="G379" s="595"/>
      <c r="H379" s="595"/>
      <c r="I379" s="596"/>
      <c r="J379" s="596"/>
      <c r="K379" s="596"/>
      <c r="L379" s="596"/>
      <c r="M379" s="596"/>
      <c r="N379" s="596"/>
      <c r="O379" s="596"/>
      <c r="P379" s="596"/>
      <c r="Q379" s="596"/>
      <c r="R379" s="596"/>
      <c r="S379" s="596"/>
      <c r="T379" s="596"/>
      <c r="U379" s="596"/>
      <c r="V379" s="596"/>
      <c r="W379" s="596"/>
      <c r="X379" s="596"/>
      <c r="Y379" s="596"/>
      <c r="Z379" s="596"/>
    </row>
    <row r="380" hidden="1">
      <c r="A380" s="611">
        <v>45856.0</v>
      </c>
      <c r="B380" s="612" t="s">
        <v>1687</v>
      </c>
      <c r="C380" s="613" t="s">
        <v>1688</v>
      </c>
      <c r="D380" s="620">
        <v>3908500.0</v>
      </c>
      <c r="E380" s="615" t="s">
        <v>1406</v>
      </c>
      <c r="F380" s="616" t="s">
        <v>1689</v>
      </c>
      <c r="G380" s="595"/>
      <c r="H380" s="595"/>
      <c r="I380" s="596"/>
      <c r="J380" s="596"/>
      <c r="K380" s="596"/>
      <c r="L380" s="596"/>
      <c r="M380" s="596"/>
      <c r="N380" s="596"/>
      <c r="O380" s="596"/>
      <c r="P380" s="596"/>
      <c r="Q380" s="596"/>
      <c r="R380" s="596"/>
      <c r="S380" s="596"/>
      <c r="T380" s="596"/>
      <c r="U380" s="596"/>
      <c r="V380" s="596"/>
      <c r="W380" s="596"/>
      <c r="X380" s="596"/>
      <c r="Y380" s="596"/>
      <c r="Z380" s="596"/>
    </row>
    <row r="381" hidden="1">
      <c r="A381" s="611">
        <v>45856.0</v>
      </c>
      <c r="B381" s="612" t="s">
        <v>1690</v>
      </c>
      <c r="C381" s="613" t="s">
        <v>1691</v>
      </c>
      <c r="D381" s="620">
        <v>1624300.0</v>
      </c>
      <c r="E381" s="615" t="s">
        <v>1406</v>
      </c>
      <c r="F381" s="616" t="s">
        <v>1689</v>
      </c>
      <c r="G381" s="595"/>
      <c r="H381" s="595"/>
      <c r="I381" s="596"/>
      <c r="J381" s="596"/>
      <c r="K381" s="596"/>
      <c r="L381" s="596"/>
      <c r="M381" s="596"/>
      <c r="N381" s="596"/>
      <c r="O381" s="596"/>
      <c r="P381" s="596"/>
      <c r="Q381" s="596"/>
      <c r="R381" s="596"/>
      <c r="S381" s="596"/>
      <c r="T381" s="596"/>
      <c r="U381" s="596"/>
      <c r="V381" s="596"/>
      <c r="W381" s="596"/>
      <c r="X381" s="596"/>
      <c r="Y381" s="596"/>
      <c r="Z381" s="596"/>
    </row>
    <row r="382" hidden="1">
      <c r="A382" s="602"/>
      <c r="B382" s="582" t="s">
        <v>1686</v>
      </c>
      <c r="C382" s="583" t="s">
        <v>1692</v>
      </c>
      <c r="D382" s="637">
        <v>660000.0</v>
      </c>
      <c r="E382" s="601" t="s">
        <v>1144</v>
      </c>
      <c r="F382" s="602" t="s">
        <v>1675</v>
      </c>
      <c r="G382" s="603"/>
      <c r="H382" s="603"/>
      <c r="I382" s="619"/>
      <c r="J382" s="619"/>
      <c r="K382" s="619"/>
      <c r="L382" s="619"/>
      <c r="M382" s="619"/>
      <c r="N382" s="619"/>
      <c r="O382" s="619"/>
      <c r="P382" s="619"/>
      <c r="Q382" s="619"/>
      <c r="R382" s="619"/>
      <c r="S382" s="619"/>
      <c r="T382" s="619"/>
      <c r="U382" s="619"/>
      <c r="V382" s="619"/>
      <c r="W382" s="619"/>
      <c r="X382" s="619"/>
      <c r="Y382" s="619"/>
      <c r="Z382" s="619"/>
    </row>
    <row r="383" hidden="1">
      <c r="A383" s="611">
        <v>45857.0</v>
      </c>
      <c r="B383" s="612" t="s">
        <v>1693</v>
      </c>
      <c r="C383" s="613" t="s">
        <v>1534</v>
      </c>
      <c r="D383" s="620">
        <v>422000.0</v>
      </c>
      <c r="E383" s="615" t="s">
        <v>1406</v>
      </c>
      <c r="F383" s="616" t="s">
        <v>1694</v>
      </c>
      <c r="G383" s="595"/>
      <c r="H383" s="595"/>
      <c r="I383" s="596"/>
      <c r="J383" s="596"/>
      <c r="K383" s="596"/>
      <c r="L383" s="596"/>
      <c r="M383" s="596"/>
      <c r="N383" s="596"/>
      <c r="O383" s="596"/>
      <c r="P383" s="596"/>
      <c r="Q383" s="596"/>
      <c r="R383" s="596"/>
      <c r="S383" s="596"/>
      <c r="T383" s="596"/>
      <c r="U383" s="596"/>
      <c r="V383" s="596"/>
      <c r="W383" s="596"/>
      <c r="X383" s="596"/>
      <c r="Y383" s="596"/>
      <c r="Z383" s="596"/>
    </row>
    <row r="384" hidden="1">
      <c r="A384" s="611">
        <v>45860.0</v>
      </c>
      <c r="B384" s="612" t="s">
        <v>1687</v>
      </c>
      <c r="C384" s="613" t="s">
        <v>1695</v>
      </c>
      <c r="D384" s="620">
        <v>55000.0</v>
      </c>
      <c r="E384" s="615" t="s">
        <v>1558</v>
      </c>
      <c r="F384" s="616"/>
      <c r="G384" s="595"/>
      <c r="H384" s="595"/>
      <c r="I384" s="596"/>
      <c r="J384" s="596"/>
      <c r="K384" s="596"/>
      <c r="L384" s="596"/>
      <c r="M384" s="596"/>
      <c r="N384" s="596"/>
      <c r="O384" s="596"/>
      <c r="P384" s="596"/>
      <c r="Q384" s="596"/>
      <c r="R384" s="596"/>
      <c r="S384" s="596"/>
      <c r="T384" s="596"/>
      <c r="U384" s="596"/>
      <c r="V384" s="596"/>
      <c r="W384" s="596"/>
      <c r="X384" s="596"/>
      <c r="Y384" s="596"/>
      <c r="Z384" s="596"/>
    </row>
    <row r="385" hidden="1">
      <c r="A385" s="611">
        <v>45860.0</v>
      </c>
      <c r="B385" s="612" t="s">
        <v>1696</v>
      </c>
      <c r="C385" s="613" t="s">
        <v>1697</v>
      </c>
      <c r="D385" s="620">
        <f>72000+30000+70000</f>
        <v>172000</v>
      </c>
      <c r="E385" s="615" t="s">
        <v>1406</v>
      </c>
      <c r="F385" s="616"/>
      <c r="G385" s="595"/>
      <c r="H385" s="595"/>
      <c r="I385" s="596"/>
      <c r="J385" s="596"/>
      <c r="K385" s="596"/>
      <c r="L385" s="596"/>
      <c r="M385" s="596"/>
      <c r="N385" s="596"/>
      <c r="O385" s="596"/>
      <c r="P385" s="596"/>
      <c r="Q385" s="596"/>
      <c r="R385" s="596"/>
      <c r="S385" s="596"/>
      <c r="T385" s="596"/>
      <c r="U385" s="596"/>
      <c r="V385" s="596"/>
      <c r="W385" s="596"/>
      <c r="X385" s="596"/>
      <c r="Y385" s="596"/>
      <c r="Z385" s="596"/>
    </row>
    <row r="386" hidden="1">
      <c r="A386" s="611">
        <v>45861.0</v>
      </c>
      <c r="B386" s="612" t="s">
        <v>1687</v>
      </c>
      <c r="C386" s="613" t="s">
        <v>1515</v>
      </c>
      <c r="D386" s="634">
        <f>320000+36000+36000+30000</f>
        <v>422000</v>
      </c>
      <c r="E386" s="615" t="s">
        <v>1406</v>
      </c>
      <c r="F386" s="616"/>
      <c r="G386" s="595"/>
      <c r="H386" s="595"/>
      <c r="I386" s="596"/>
      <c r="J386" s="596"/>
      <c r="K386" s="596"/>
      <c r="L386" s="596"/>
      <c r="M386" s="596"/>
      <c r="N386" s="596"/>
      <c r="O386" s="596"/>
      <c r="P386" s="596"/>
      <c r="Q386" s="596"/>
      <c r="R386" s="596"/>
      <c r="S386" s="596"/>
      <c r="T386" s="596"/>
      <c r="U386" s="596"/>
      <c r="V386" s="596"/>
      <c r="W386" s="596"/>
      <c r="X386" s="596"/>
      <c r="Y386" s="596"/>
      <c r="Z386" s="596"/>
    </row>
    <row r="387" hidden="1">
      <c r="A387" s="611">
        <v>45861.0</v>
      </c>
      <c r="B387" s="612" t="s">
        <v>1698</v>
      </c>
      <c r="C387" s="613" t="s">
        <v>1495</v>
      </c>
      <c r="D387" s="620">
        <v>840000.0</v>
      </c>
      <c r="E387" s="615" t="s">
        <v>1406</v>
      </c>
      <c r="F387" s="616" t="s">
        <v>1675</v>
      </c>
      <c r="G387" s="595"/>
      <c r="H387" s="595"/>
      <c r="I387" s="596"/>
      <c r="J387" s="596"/>
      <c r="K387" s="596"/>
      <c r="L387" s="596"/>
      <c r="M387" s="596"/>
      <c r="N387" s="596"/>
      <c r="O387" s="596"/>
      <c r="P387" s="596"/>
      <c r="Q387" s="596"/>
      <c r="R387" s="596"/>
      <c r="S387" s="596"/>
      <c r="T387" s="596"/>
      <c r="U387" s="596"/>
      <c r="V387" s="596"/>
      <c r="W387" s="596"/>
      <c r="X387" s="596"/>
      <c r="Y387" s="596"/>
      <c r="Z387" s="596"/>
    </row>
    <row r="388" hidden="1">
      <c r="A388" s="611">
        <v>45862.0</v>
      </c>
      <c r="B388" s="612" t="s">
        <v>1687</v>
      </c>
      <c r="C388" s="613" t="s">
        <v>1699</v>
      </c>
      <c r="D388" s="620">
        <v>180000.0</v>
      </c>
      <c r="E388" s="615" t="s">
        <v>1406</v>
      </c>
      <c r="F388" s="616"/>
      <c r="G388" s="595"/>
      <c r="H388" s="595"/>
      <c r="I388" s="596"/>
      <c r="J388" s="596"/>
      <c r="K388" s="596"/>
      <c r="L388" s="596"/>
      <c r="M388" s="596"/>
      <c r="N388" s="596"/>
      <c r="O388" s="596"/>
      <c r="P388" s="596"/>
      <c r="Q388" s="596"/>
      <c r="R388" s="596"/>
      <c r="S388" s="596"/>
      <c r="T388" s="596"/>
      <c r="U388" s="596"/>
      <c r="V388" s="596"/>
      <c r="W388" s="596"/>
      <c r="X388" s="596"/>
      <c r="Y388" s="596"/>
      <c r="Z388" s="596"/>
    </row>
    <row r="389" hidden="1">
      <c r="A389" s="611">
        <v>45862.0</v>
      </c>
      <c r="B389" s="612" t="s">
        <v>1687</v>
      </c>
      <c r="C389" s="613" t="s">
        <v>1700</v>
      </c>
      <c r="D389" s="620">
        <v>330000.0</v>
      </c>
      <c r="E389" s="615" t="s">
        <v>1406</v>
      </c>
      <c r="F389" s="616"/>
      <c r="G389" s="595"/>
      <c r="H389" s="595"/>
      <c r="I389" s="596"/>
      <c r="J389" s="596"/>
      <c r="K389" s="596"/>
      <c r="L389" s="596"/>
      <c r="M389" s="596"/>
      <c r="N389" s="596"/>
      <c r="O389" s="596"/>
      <c r="P389" s="596"/>
      <c r="Q389" s="596"/>
      <c r="R389" s="596"/>
      <c r="S389" s="596"/>
      <c r="T389" s="596"/>
      <c r="U389" s="596"/>
      <c r="V389" s="596"/>
      <c r="W389" s="596"/>
      <c r="X389" s="596"/>
      <c r="Y389" s="596"/>
      <c r="Z389" s="596"/>
    </row>
    <row r="390" hidden="1">
      <c r="A390" s="611">
        <v>45862.0</v>
      </c>
      <c r="B390" s="612" t="s">
        <v>1698</v>
      </c>
      <c r="C390" s="613" t="s">
        <v>819</v>
      </c>
      <c r="D390" s="620">
        <v>1050000.0</v>
      </c>
      <c r="E390" s="615" t="s">
        <v>1406</v>
      </c>
      <c r="F390" s="616" t="s">
        <v>1675</v>
      </c>
      <c r="G390" s="595"/>
      <c r="H390" s="595"/>
      <c r="I390" s="596"/>
      <c r="J390" s="596"/>
      <c r="K390" s="596"/>
      <c r="L390" s="596"/>
      <c r="M390" s="596"/>
      <c r="N390" s="596"/>
      <c r="O390" s="596"/>
      <c r="P390" s="596"/>
      <c r="Q390" s="596"/>
      <c r="R390" s="596"/>
      <c r="S390" s="596"/>
      <c r="T390" s="596"/>
      <c r="U390" s="596"/>
      <c r="V390" s="596"/>
      <c r="W390" s="596"/>
      <c r="X390" s="596"/>
      <c r="Y390" s="596"/>
      <c r="Z390" s="596"/>
    </row>
    <row r="391" hidden="1">
      <c r="A391" s="611">
        <v>45863.0</v>
      </c>
      <c r="B391" s="612" t="s">
        <v>1701</v>
      </c>
      <c r="C391" s="613" t="s">
        <v>156</v>
      </c>
      <c r="D391" s="620">
        <v>700000.0</v>
      </c>
      <c r="E391" s="615" t="s">
        <v>1406</v>
      </c>
      <c r="F391" s="616"/>
      <c r="G391" s="595"/>
      <c r="H391" s="595"/>
      <c r="I391" s="596"/>
      <c r="J391" s="596"/>
      <c r="K391" s="596"/>
      <c r="L391" s="596"/>
      <c r="M391" s="596"/>
      <c r="N391" s="596"/>
      <c r="O391" s="596"/>
      <c r="P391" s="596"/>
      <c r="Q391" s="596"/>
      <c r="R391" s="596"/>
      <c r="S391" s="596"/>
      <c r="T391" s="596"/>
      <c r="U391" s="596"/>
      <c r="V391" s="596"/>
      <c r="W391" s="596"/>
      <c r="X391" s="596"/>
      <c r="Y391" s="596"/>
      <c r="Z391" s="596"/>
    </row>
    <row r="392" hidden="1">
      <c r="A392" s="611">
        <v>45863.0</v>
      </c>
      <c r="B392" s="612" t="s">
        <v>1702</v>
      </c>
      <c r="C392" s="613" t="s">
        <v>1703</v>
      </c>
      <c r="D392" s="620">
        <v>1856000.0</v>
      </c>
      <c r="E392" s="615" t="s">
        <v>1406</v>
      </c>
      <c r="F392" s="616" t="s">
        <v>1704</v>
      </c>
      <c r="G392" s="595"/>
      <c r="H392" s="595"/>
      <c r="I392" s="596"/>
      <c r="J392" s="596"/>
      <c r="K392" s="596"/>
      <c r="L392" s="596"/>
      <c r="M392" s="596"/>
      <c r="N392" s="596"/>
      <c r="O392" s="596"/>
      <c r="P392" s="596"/>
      <c r="Q392" s="596"/>
      <c r="R392" s="596"/>
      <c r="S392" s="596"/>
      <c r="T392" s="596"/>
      <c r="U392" s="596"/>
      <c r="V392" s="596"/>
      <c r="W392" s="596"/>
      <c r="X392" s="596"/>
      <c r="Y392" s="596"/>
      <c r="Z392" s="596"/>
    </row>
    <row r="393" hidden="1">
      <c r="A393" s="611">
        <v>45864.0</v>
      </c>
      <c r="B393" s="612" t="s">
        <v>1705</v>
      </c>
      <c r="C393" s="613" t="s">
        <v>197</v>
      </c>
      <c r="D393" s="620">
        <v>1400000.0</v>
      </c>
      <c r="E393" s="615" t="s">
        <v>1406</v>
      </c>
      <c r="F393" s="616" t="s">
        <v>1706</v>
      </c>
      <c r="G393" s="595"/>
      <c r="H393" s="595"/>
      <c r="I393" s="596"/>
      <c r="J393" s="596"/>
      <c r="K393" s="596"/>
      <c r="L393" s="596"/>
      <c r="M393" s="596"/>
      <c r="N393" s="596"/>
      <c r="O393" s="596"/>
      <c r="P393" s="596"/>
      <c r="Q393" s="596"/>
      <c r="R393" s="596"/>
      <c r="S393" s="596"/>
      <c r="T393" s="596"/>
      <c r="U393" s="596"/>
      <c r="V393" s="596"/>
      <c r="W393" s="596"/>
      <c r="X393" s="596"/>
      <c r="Y393" s="596"/>
      <c r="Z393" s="596"/>
    </row>
    <row r="394" hidden="1">
      <c r="A394" s="611">
        <v>45867.0</v>
      </c>
      <c r="B394" s="612" t="s">
        <v>1702</v>
      </c>
      <c r="C394" s="613" t="s">
        <v>819</v>
      </c>
      <c r="D394" s="620">
        <v>1480000.0</v>
      </c>
      <c r="E394" s="615" t="s">
        <v>1406</v>
      </c>
      <c r="F394" s="615" t="s">
        <v>1707</v>
      </c>
      <c r="G394" s="595"/>
      <c r="H394" s="595"/>
      <c r="I394" s="596"/>
      <c r="J394" s="596"/>
      <c r="K394" s="596"/>
      <c r="L394" s="596"/>
      <c r="M394" s="596"/>
      <c r="N394" s="596"/>
      <c r="O394" s="596"/>
      <c r="P394" s="596"/>
      <c r="Q394" s="596"/>
      <c r="R394" s="596"/>
      <c r="S394" s="596"/>
      <c r="T394" s="596"/>
      <c r="U394" s="596"/>
      <c r="V394" s="596"/>
      <c r="W394" s="596"/>
      <c r="X394" s="596"/>
      <c r="Y394" s="596"/>
      <c r="Z394" s="596"/>
    </row>
    <row r="395" hidden="1">
      <c r="A395" s="605">
        <v>45867.0</v>
      </c>
      <c r="B395" s="638" t="s">
        <v>1702</v>
      </c>
      <c r="C395" s="639" t="s">
        <v>1692</v>
      </c>
      <c r="D395" s="640">
        <v>1320000.0</v>
      </c>
      <c r="E395" s="607" t="s">
        <v>1406</v>
      </c>
      <c r="F395" s="608" t="s">
        <v>1704</v>
      </c>
      <c r="G395" s="609"/>
      <c r="H395" s="609"/>
      <c r="I395" s="610"/>
      <c r="J395" s="610"/>
      <c r="K395" s="610"/>
      <c r="L395" s="610"/>
      <c r="M395" s="610"/>
      <c r="N395" s="610"/>
      <c r="O395" s="610"/>
      <c r="P395" s="610"/>
      <c r="Q395" s="610"/>
      <c r="R395" s="610"/>
      <c r="S395" s="610"/>
      <c r="T395" s="610"/>
      <c r="U395" s="610"/>
      <c r="V395" s="610"/>
      <c r="W395" s="610"/>
      <c r="X395" s="610"/>
      <c r="Y395" s="610"/>
      <c r="Z395" s="610"/>
    </row>
    <row r="396" hidden="1">
      <c r="A396" s="611">
        <v>46221.0</v>
      </c>
      <c r="B396" s="612" t="s">
        <v>1708</v>
      </c>
      <c r="C396" s="613" t="s">
        <v>95</v>
      </c>
      <c r="D396" s="620">
        <v>110000.0</v>
      </c>
      <c r="E396" s="615" t="s">
        <v>1707</v>
      </c>
      <c r="F396" s="641"/>
      <c r="G396" s="595"/>
      <c r="H396" s="595"/>
      <c r="I396" s="596"/>
      <c r="J396" s="596"/>
      <c r="K396" s="596"/>
      <c r="L396" s="596"/>
      <c r="M396" s="596"/>
      <c r="N396" s="596"/>
      <c r="O396" s="596"/>
      <c r="P396" s="596"/>
      <c r="Q396" s="596"/>
      <c r="R396" s="596"/>
      <c r="S396" s="596"/>
      <c r="T396" s="596"/>
      <c r="U396" s="596"/>
      <c r="V396" s="596"/>
      <c r="W396" s="596"/>
      <c r="X396" s="596"/>
      <c r="Y396" s="596"/>
      <c r="Z396" s="596"/>
    </row>
    <row r="397">
      <c r="A397" s="564"/>
      <c r="B397" s="456"/>
      <c r="C397" s="457"/>
      <c r="D397" s="563"/>
      <c r="E397" s="565"/>
      <c r="F397" s="446"/>
      <c r="G397" s="454"/>
      <c r="H397" s="454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</row>
    <row r="398">
      <c r="A398" s="509" t="s">
        <v>1709</v>
      </c>
      <c r="B398" s="439"/>
      <c r="C398" s="440"/>
      <c r="D398" s="432"/>
      <c r="E398" s="433"/>
      <c r="F398" s="434"/>
      <c r="G398" s="454"/>
      <c r="H398" s="454"/>
      <c r="I398" s="630"/>
      <c r="J398" s="630"/>
      <c r="K398" s="630"/>
      <c r="L398" s="630"/>
      <c r="M398" s="630"/>
      <c r="N398" s="630"/>
      <c r="O398" s="630"/>
      <c r="P398" s="630"/>
      <c r="Q398" s="630"/>
      <c r="R398" s="630"/>
      <c r="S398" s="630"/>
      <c r="T398" s="630"/>
      <c r="U398" s="630"/>
      <c r="V398" s="630"/>
      <c r="W398" s="630"/>
      <c r="X398" s="630"/>
      <c r="Y398" s="630"/>
      <c r="Z398" s="630"/>
    </row>
    <row r="399">
      <c r="A399" s="611">
        <v>45879.0</v>
      </c>
      <c r="B399" s="612" t="s">
        <v>1710</v>
      </c>
      <c r="C399" s="613" t="s">
        <v>80</v>
      </c>
      <c r="D399" s="620">
        <v>55000.0</v>
      </c>
      <c r="E399" s="615" t="s">
        <v>1543</v>
      </c>
      <c r="F399" s="616" t="s">
        <v>1711</v>
      </c>
      <c r="G399" s="595"/>
      <c r="H399" s="595"/>
      <c r="I399" s="596"/>
      <c r="J399" s="596"/>
      <c r="K399" s="596"/>
      <c r="L399" s="596"/>
      <c r="M399" s="596"/>
      <c r="N399" s="596"/>
      <c r="O399" s="596"/>
      <c r="P399" s="596"/>
      <c r="Q399" s="596"/>
      <c r="R399" s="596"/>
      <c r="S399" s="596"/>
      <c r="T399" s="596"/>
      <c r="U399" s="596"/>
      <c r="V399" s="596"/>
      <c r="W399" s="596"/>
      <c r="X399" s="596"/>
      <c r="Y399" s="596"/>
      <c r="Z399" s="596"/>
    </row>
    <row r="400">
      <c r="A400" s="611">
        <v>45881.0</v>
      </c>
      <c r="B400" s="612" t="s">
        <v>1710</v>
      </c>
      <c r="C400" s="613" t="s">
        <v>1631</v>
      </c>
      <c r="D400" s="620">
        <v>560000.0</v>
      </c>
      <c r="E400" s="615" t="s">
        <v>1406</v>
      </c>
      <c r="F400" s="616" t="s">
        <v>1711</v>
      </c>
      <c r="G400" s="595"/>
      <c r="H400" s="595"/>
      <c r="I400" s="596"/>
      <c r="J400" s="596"/>
      <c r="K400" s="596"/>
      <c r="L400" s="596"/>
      <c r="M400" s="596"/>
      <c r="N400" s="596"/>
      <c r="O400" s="596"/>
      <c r="P400" s="596"/>
      <c r="Q400" s="596"/>
      <c r="R400" s="596"/>
      <c r="S400" s="596"/>
      <c r="T400" s="596"/>
      <c r="U400" s="596"/>
      <c r="V400" s="596"/>
      <c r="W400" s="596"/>
      <c r="X400" s="596"/>
      <c r="Y400" s="596"/>
      <c r="Z400" s="596"/>
    </row>
    <row r="401">
      <c r="A401" s="611">
        <v>45883.0</v>
      </c>
      <c r="B401" s="612" t="s">
        <v>1712</v>
      </c>
      <c r="C401" s="613" t="s">
        <v>476</v>
      </c>
      <c r="D401" s="620">
        <v>1750000.0</v>
      </c>
      <c r="E401" s="615" t="s">
        <v>1406</v>
      </c>
      <c r="F401" s="616" t="s">
        <v>1713</v>
      </c>
      <c r="G401" s="595"/>
      <c r="H401" s="595"/>
      <c r="I401" s="596"/>
      <c r="J401" s="596"/>
      <c r="K401" s="596"/>
      <c r="L401" s="596"/>
      <c r="M401" s="596"/>
      <c r="N401" s="596"/>
      <c r="O401" s="596"/>
      <c r="P401" s="596"/>
      <c r="Q401" s="596"/>
      <c r="R401" s="596"/>
      <c r="S401" s="596"/>
      <c r="T401" s="596"/>
      <c r="U401" s="596"/>
      <c r="V401" s="596"/>
      <c r="W401" s="596"/>
      <c r="X401" s="596"/>
      <c r="Y401" s="596"/>
      <c r="Z401" s="596"/>
    </row>
    <row r="402">
      <c r="A402" s="611">
        <v>45884.0</v>
      </c>
      <c r="B402" s="612" t="s">
        <v>1712</v>
      </c>
      <c r="C402" s="613" t="s">
        <v>139</v>
      </c>
      <c r="D402" s="620">
        <f>309000*5       </f>
        <v>1545000</v>
      </c>
      <c r="E402" s="615" t="s">
        <v>1558</v>
      </c>
      <c r="F402" s="616"/>
      <c r="G402" s="595"/>
      <c r="H402" s="595"/>
      <c r="I402" s="596"/>
      <c r="J402" s="596"/>
      <c r="K402" s="596"/>
      <c r="L402" s="596"/>
      <c r="M402" s="596"/>
      <c r="N402" s="596"/>
      <c r="O402" s="596"/>
      <c r="P402" s="596"/>
      <c r="Q402" s="596"/>
      <c r="R402" s="596"/>
      <c r="S402" s="596"/>
      <c r="T402" s="596"/>
      <c r="U402" s="596"/>
      <c r="V402" s="596"/>
      <c r="W402" s="596"/>
      <c r="X402" s="596"/>
      <c r="Y402" s="596"/>
      <c r="Z402" s="596"/>
    </row>
    <row r="403">
      <c r="A403" s="611">
        <v>45885.0</v>
      </c>
      <c r="B403" s="612" t="s">
        <v>1712</v>
      </c>
      <c r="C403" s="613" t="s">
        <v>1615</v>
      </c>
      <c r="D403" s="620">
        <f>280000*5</f>
        <v>1400000</v>
      </c>
      <c r="E403" s="615" t="s">
        <v>1406</v>
      </c>
      <c r="F403" s="616"/>
      <c r="G403" s="595"/>
      <c r="H403" s="595"/>
      <c r="I403" s="596"/>
      <c r="J403" s="596"/>
      <c r="K403" s="596"/>
      <c r="L403" s="596"/>
      <c r="M403" s="596"/>
      <c r="N403" s="596"/>
      <c r="O403" s="596"/>
      <c r="P403" s="596"/>
      <c r="Q403" s="596"/>
      <c r="R403" s="596"/>
      <c r="S403" s="596"/>
      <c r="T403" s="596"/>
      <c r="U403" s="596"/>
      <c r="V403" s="596"/>
      <c r="W403" s="596"/>
      <c r="X403" s="596"/>
      <c r="Y403" s="596"/>
      <c r="Z403" s="596"/>
    </row>
    <row r="404" hidden="1">
      <c r="A404" s="611">
        <v>45895.0</v>
      </c>
      <c r="B404" s="612" t="s">
        <v>1714</v>
      </c>
      <c r="C404" s="613" t="s">
        <v>139</v>
      </c>
      <c r="D404" s="620">
        <v>598000.0</v>
      </c>
      <c r="E404" s="615" t="s">
        <v>1406</v>
      </c>
      <c r="F404" s="616" t="s">
        <v>1715</v>
      </c>
      <c r="G404" s="595"/>
      <c r="H404" s="595"/>
      <c r="I404" s="596"/>
      <c r="J404" s="596"/>
      <c r="K404" s="596"/>
      <c r="L404" s="596"/>
      <c r="M404" s="596"/>
      <c r="N404" s="596"/>
      <c r="O404" s="596"/>
      <c r="P404" s="596"/>
      <c r="Q404" s="596"/>
      <c r="R404" s="596"/>
      <c r="S404" s="596"/>
      <c r="T404" s="596"/>
      <c r="U404" s="596"/>
      <c r="V404" s="596"/>
      <c r="W404" s="596"/>
      <c r="X404" s="596"/>
      <c r="Y404" s="596"/>
      <c r="Z404" s="596"/>
    </row>
    <row r="405">
      <c r="A405" s="611">
        <v>45886.0</v>
      </c>
      <c r="B405" s="612" t="s">
        <v>1716</v>
      </c>
      <c r="C405" s="613" t="s">
        <v>1717</v>
      </c>
      <c r="D405" s="620">
        <v>55000.0</v>
      </c>
      <c r="E405" s="615" t="s">
        <v>1707</v>
      </c>
      <c r="F405" s="616"/>
      <c r="G405" s="595"/>
      <c r="H405" s="595"/>
      <c r="I405" s="596"/>
      <c r="J405" s="596"/>
      <c r="K405" s="596"/>
      <c r="L405" s="596"/>
      <c r="M405" s="596"/>
      <c r="N405" s="596"/>
      <c r="O405" s="596"/>
      <c r="P405" s="596"/>
      <c r="Q405" s="596"/>
      <c r="R405" s="596"/>
      <c r="S405" s="596"/>
      <c r="T405" s="596"/>
      <c r="U405" s="596"/>
      <c r="V405" s="596"/>
      <c r="W405" s="596"/>
      <c r="X405" s="596"/>
      <c r="Y405" s="596"/>
      <c r="Z405" s="596"/>
    </row>
    <row r="406">
      <c r="A406" s="621">
        <v>45886.0</v>
      </c>
      <c r="B406" s="612" t="s">
        <v>1718</v>
      </c>
      <c r="C406" s="613" t="s">
        <v>1717</v>
      </c>
      <c r="D406" s="620">
        <v>55000.0</v>
      </c>
      <c r="E406" s="615" t="s">
        <v>1719</v>
      </c>
      <c r="F406" s="616"/>
      <c r="G406" s="595"/>
      <c r="H406" s="595"/>
      <c r="I406" s="596"/>
      <c r="J406" s="596"/>
      <c r="K406" s="596"/>
      <c r="L406" s="596"/>
      <c r="M406" s="596"/>
      <c r="N406" s="596"/>
      <c r="O406" s="596"/>
      <c r="P406" s="596"/>
      <c r="Q406" s="596"/>
      <c r="R406" s="596"/>
      <c r="S406" s="596"/>
      <c r="T406" s="596"/>
      <c r="U406" s="596"/>
      <c r="V406" s="596"/>
      <c r="W406" s="596"/>
      <c r="X406" s="596"/>
      <c r="Y406" s="596"/>
      <c r="Z406" s="596"/>
    </row>
    <row r="407">
      <c r="A407" s="621">
        <v>45893.0</v>
      </c>
      <c r="B407" s="612" t="s">
        <v>1720</v>
      </c>
      <c r="C407" s="613" t="s">
        <v>1721</v>
      </c>
      <c r="D407" s="620">
        <v>240000.0</v>
      </c>
      <c r="E407" s="615" t="s">
        <v>1707</v>
      </c>
      <c r="F407" s="616"/>
      <c r="G407" s="595"/>
      <c r="H407" s="595"/>
      <c r="I407" s="596"/>
      <c r="J407" s="596"/>
      <c r="K407" s="596"/>
      <c r="L407" s="596"/>
      <c r="M407" s="596"/>
      <c r="N407" s="596"/>
      <c r="O407" s="596"/>
      <c r="P407" s="596"/>
      <c r="Q407" s="596"/>
      <c r="R407" s="596"/>
      <c r="S407" s="596"/>
      <c r="T407" s="596"/>
      <c r="U407" s="596"/>
      <c r="V407" s="596"/>
      <c r="W407" s="596"/>
      <c r="X407" s="596"/>
      <c r="Y407" s="596"/>
      <c r="Z407" s="596"/>
    </row>
    <row r="408">
      <c r="A408" s="611">
        <v>45887.0</v>
      </c>
      <c r="B408" s="612" t="s">
        <v>1720</v>
      </c>
      <c r="C408" s="613" t="s">
        <v>1722</v>
      </c>
      <c r="D408" s="620">
        <v>680000.0</v>
      </c>
      <c r="E408" s="615" t="s">
        <v>1406</v>
      </c>
      <c r="F408" s="616"/>
      <c r="G408" s="595"/>
      <c r="H408" s="595"/>
      <c r="I408" s="596"/>
      <c r="J408" s="596"/>
      <c r="K408" s="596"/>
      <c r="L408" s="596"/>
      <c r="M408" s="596"/>
      <c r="N408" s="596"/>
      <c r="O408" s="596"/>
      <c r="P408" s="596"/>
      <c r="Q408" s="596"/>
      <c r="R408" s="596"/>
      <c r="S408" s="596"/>
      <c r="T408" s="596"/>
      <c r="U408" s="596"/>
      <c r="V408" s="596"/>
      <c r="W408" s="596"/>
      <c r="X408" s="596"/>
      <c r="Y408" s="596"/>
      <c r="Z408" s="596"/>
    </row>
    <row r="409">
      <c r="A409" s="611">
        <v>45893.0</v>
      </c>
      <c r="B409" s="612" t="s">
        <v>1716</v>
      </c>
      <c r="C409" s="613" t="s">
        <v>1717</v>
      </c>
      <c r="D409" s="620">
        <v>55000.0</v>
      </c>
      <c r="E409" s="615" t="s">
        <v>1707</v>
      </c>
      <c r="F409" s="616"/>
      <c r="G409" s="595"/>
      <c r="H409" s="595"/>
      <c r="I409" s="596"/>
      <c r="J409" s="596"/>
      <c r="K409" s="596"/>
      <c r="L409" s="596"/>
      <c r="M409" s="596"/>
      <c r="N409" s="596"/>
      <c r="O409" s="596"/>
      <c r="P409" s="596"/>
      <c r="Q409" s="596"/>
      <c r="R409" s="596"/>
      <c r="S409" s="596"/>
      <c r="T409" s="596"/>
      <c r="U409" s="596"/>
      <c r="V409" s="596"/>
      <c r="W409" s="596"/>
      <c r="X409" s="596"/>
      <c r="Y409" s="596"/>
      <c r="Z409" s="596"/>
    </row>
    <row r="410">
      <c r="A410" s="621">
        <v>45893.0</v>
      </c>
      <c r="B410" s="612" t="s">
        <v>1718</v>
      </c>
      <c r="C410" s="613" t="s">
        <v>1717</v>
      </c>
      <c r="D410" s="620">
        <v>55000.0</v>
      </c>
      <c r="E410" s="615" t="s">
        <v>1719</v>
      </c>
      <c r="F410" s="616"/>
      <c r="G410" s="595"/>
      <c r="H410" s="595"/>
      <c r="I410" s="596"/>
      <c r="J410" s="596"/>
      <c r="K410" s="596"/>
      <c r="L410" s="596"/>
      <c r="M410" s="596"/>
      <c r="N410" s="596"/>
      <c r="O410" s="596"/>
      <c r="P410" s="596"/>
      <c r="Q410" s="596"/>
      <c r="R410" s="596"/>
      <c r="S410" s="596"/>
      <c r="T410" s="596"/>
      <c r="U410" s="596"/>
      <c r="V410" s="596"/>
      <c r="W410" s="596"/>
      <c r="X410" s="596"/>
      <c r="Y410" s="596"/>
      <c r="Z410" s="596"/>
    </row>
    <row r="411">
      <c r="A411" s="611">
        <v>45892.0</v>
      </c>
      <c r="B411" s="612" t="s">
        <v>1723</v>
      </c>
      <c r="C411" s="613" t="s">
        <v>222</v>
      </c>
      <c r="D411" s="620">
        <f>350000*3</f>
        <v>1050000</v>
      </c>
      <c r="E411" s="615" t="s">
        <v>1406</v>
      </c>
      <c r="F411" s="616"/>
      <c r="G411" s="595"/>
      <c r="H411" s="595"/>
      <c r="I411" s="596"/>
      <c r="J411" s="596"/>
      <c r="K411" s="596"/>
      <c r="L411" s="596"/>
      <c r="M411" s="596"/>
      <c r="N411" s="596"/>
      <c r="O411" s="596"/>
      <c r="P411" s="596"/>
      <c r="Q411" s="596"/>
      <c r="R411" s="596"/>
      <c r="S411" s="596"/>
      <c r="T411" s="596"/>
      <c r="U411" s="596"/>
      <c r="V411" s="596"/>
      <c r="W411" s="596"/>
      <c r="X411" s="596"/>
      <c r="Y411" s="596"/>
      <c r="Z411" s="596"/>
    </row>
    <row r="412">
      <c r="A412" s="611">
        <v>45893.0</v>
      </c>
      <c r="B412" s="612" t="s">
        <v>1724</v>
      </c>
      <c r="C412" s="613" t="s">
        <v>1725</v>
      </c>
      <c r="D412" s="620">
        <f>320000+36000*3+30000</f>
        <v>458000</v>
      </c>
      <c r="E412" s="615" t="s">
        <v>1406</v>
      </c>
      <c r="F412" s="616"/>
      <c r="G412" s="595"/>
      <c r="H412" s="595"/>
      <c r="I412" s="596"/>
      <c r="J412" s="596"/>
      <c r="K412" s="596"/>
      <c r="L412" s="596"/>
      <c r="M412" s="596"/>
      <c r="N412" s="596"/>
      <c r="O412" s="596"/>
      <c r="P412" s="596"/>
      <c r="Q412" s="596"/>
      <c r="R412" s="596"/>
      <c r="S412" s="596"/>
      <c r="T412" s="596"/>
      <c r="U412" s="596"/>
      <c r="V412" s="596"/>
      <c r="W412" s="596"/>
      <c r="X412" s="596"/>
      <c r="Y412" s="596"/>
      <c r="Z412" s="596"/>
    </row>
    <row r="413">
      <c r="A413" s="611">
        <v>45894.0</v>
      </c>
      <c r="B413" s="612" t="s">
        <v>1726</v>
      </c>
      <c r="C413" s="613" t="s">
        <v>1450</v>
      </c>
      <c r="D413" s="620">
        <f>260000*3</f>
        <v>780000</v>
      </c>
      <c r="E413" s="615" t="s">
        <v>1406</v>
      </c>
      <c r="F413" s="616"/>
      <c r="G413" s="595"/>
      <c r="H413" s="595"/>
      <c r="I413" s="596"/>
      <c r="J413" s="596"/>
      <c r="K413" s="596"/>
      <c r="L413" s="596"/>
      <c r="M413" s="596"/>
      <c r="N413" s="596"/>
      <c r="O413" s="596"/>
      <c r="P413" s="596"/>
      <c r="Q413" s="596"/>
      <c r="R413" s="596"/>
      <c r="S413" s="596"/>
      <c r="T413" s="596"/>
      <c r="U413" s="596"/>
      <c r="V413" s="596"/>
      <c r="W413" s="596"/>
      <c r="X413" s="596"/>
      <c r="Y413" s="596"/>
      <c r="Z413" s="596"/>
    </row>
    <row r="414">
      <c r="A414" s="611">
        <v>45894.0</v>
      </c>
      <c r="B414" s="612" t="s">
        <v>1714</v>
      </c>
      <c r="C414" s="613" t="s">
        <v>91</v>
      </c>
      <c r="D414" s="620">
        <f>660000-40000</f>
        <v>620000</v>
      </c>
      <c r="E414" s="615" t="s">
        <v>1406</v>
      </c>
      <c r="F414" s="616" t="s">
        <v>1727</v>
      </c>
      <c r="G414" s="595"/>
      <c r="H414" s="595"/>
      <c r="I414" s="596"/>
      <c r="J414" s="596"/>
      <c r="K414" s="596"/>
      <c r="L414" s="596"/>
      <c r="M414" s="596"/>
      <c r="N414" s="596"/>
      <c r="O414" s="596"/>
      <c r="P414" s="596"/>
      <c r="Q414" s="596"/>
      <c r="R414" s="596"/>
      <c r="S414" s="596"/>
      <c r="T414" s="596"/>
      <c r="U414" s="596"/>
      <c r="V414" s="596"/>
      <c r="W414" s="596"/>
      <c r="X414" s="596"/>
      <c r="Y414" s="596"/>
      <c r="Z414" s="596"/>
    </row>
    <row r="415">
      <c r="A415" s="642">
        <v>45897.0</v>
      </c>
      <c r="B415" s="612" t="s">
        <v>1728</v>
      </c>
      <c r="C415" s="613" t="s">
        <v>156</v>
      </c>
      <c r="D415" s="620">
        <v>660000.0</v>
      </c>
      <c r="E415" s="615" t="s">
        <v>1406</v>
      </c>
      <c r="F415" s="641"/>
      <c r="G415" s="595"/>
      <c r="H415" s="595"/>
      <c r="I415" s="596"/>
      <c r="J415" s="596"/>
      <c r="K415" s="596"/>
      <c r="L415" s="596"/>
      <c r="M415" s="596"/>
      <c r="N415" s="596"/>
      <c r="O415" s="596"/>
      <c r="P415" s="596"/>
      <c r="Q415" s="596"/>
      <c r="R415" s="596"/>
      <c r="S415" s="596"/>
      <c r="T415" s="596"/>
      <c r="U415" s="596"/>
      <c r="V415" s="596"/>
      <c r="W415" s="596"/>
      <c r="X415" s="596"/>
      <c r="Y415" s="596"/>
      <c r="Z415" s="596"/>
    </row>
    <row r="416">
      <c r="A416" s="611">
        <v>45898.0</v>
      </c>
      <c r="B416" s="612" t="s">
        <v>1729</v>
      </c>
      <c r="C416" s="613" t="s">
        <v>1442</v>
      </c>
      <c r="D416" s="634">
        <f>280000+280000</f>
        <v>560000</v>
      </c>
      <c r="E416" s="615" t="s">
        <v>1406</v>
      </c>
      <c r="F416" s="641"/>
      <c r="G416" s="595"/>
      <c r="H416" s="595"/>
      <c r="I416" s="596"/>
      <c r="J416" s="596"/>
      <c r="K416" s="596"/>
      <c r="L416" s="596"/>
      <c r="M416" s="596"/>
      <c r="N416" s="596"/>
      <c r="O416" s="596"/>
      <c r="P416" s="596"/>
      <c r="Q416" s="596"/>
      <c r="R416" s="596"/>
      <c r="S416" s="596"/>
      <c r="T416" s="596"/>
      <c r="U416" s="596"/>
      <c r="V416" s="596"/>
      <c r="W416" s="596"/>
      <c r="X416" s="596"/>
      <c r="Y416" s="596"/>
      <c r="Z416" s="596"/>
    </row>
    <row r="417">
      <c r="A417" s="611">
        <v>45900.0</v>
      </c>
      <c r="B417" s="612" t="s">
        <v>1730</v>
      </c>
      <c r="C417" s="613" t="s">
        <v>197</v>
      </c>
      <c r="D417" s="620">
        <v>260000.0</v>
      </c>
      <c r="E417" s="615" t="s">
        <v>1406</v>
      </c>
      <c r="F417" s="615" t="s">
        <v>1731</v>
      </c>
      <c r="G417" s="595"/>
      <c r="H417" s="595"/>
      <c r="I417" s="596"/>
      <c r="J417" s="596"/>
      <c r="K417" s="596"/>
      <c r="L417" s="596"/>
      <c r="M417" s="596"/>
      <c r="N417" s="596"/>
      <c r="O417" s="596"/>
      <c r="P417" s="596"/>
      <c r="Q417" s="596"/>
      <c r="R417" s="596"/>
      <c r="S417" s="596"/>
      <c r="T417" s="596"/>
      <c r="U417" s="596"/>
      <c r="V417" s="596"/>
      <c r="W417" s="596"/>
      <c r="X417" s="596"/>
      <c r="Y417" s="596"/>
      <c r="Z417" s="596"/>
    </row>
    <row r="418">
      <c r="A418" s="564"/>
      <c r="B418" s="456"/>
      <c r="C418" s="457"/>
      <c r="D418" s="563"/>
      <c r="E418" s="565"/>
      <c r="F418" s="446"/>
      <c r="G418" s="454"/>
      <c r="H418" s="454"/>
      <c r="I418" s="630"/>
      <c r="J418" s="630"/>
      <c r="K418" s="630"/>
      <c r="L418" s="630"/>
      <c r="M418" s="630"/>
      <c r="N418" s="630"/>
      <c r="O418" s="630"/>
      <c r="P418" s="630"/>
      <c r="Q418" s="630"/>
      <c r="R418" s="630"/>
      <c r="S418" s="630"/>
      <c r="T418" s="630"/>
      <c r="U418" s="630"/>
      <c r="V418" s="630"/>
      <c r="W418" s="630"/>
      <c r="X418" s="630"/>
      <c r="Y418" s="630"/>
      <c r="Z418" s="630"/>
    </row>
    <row r="419">
      <c r="A419" s="643">
        <v>45925.0</v>
      </c>
      <c r="B419" s="439"/>
      <c r="C419" s="440"/>
      <c r="D419" s="432"/>
      <c r="E419" s="433"/>
      <c r="F419" s="434"/>
      <c r="G419" s="454"/>
      <c r="H419" s="454"/>
      <c r="I419" s="630"/>
      <c r="J419" s="630"/>
      <c r="K419" s="630"/>
      <c r="L419" s="630"/>
      <c r="M419" s="630"/>
      <c r="N419" s="630"/>
      <c r="O419" s="630"/>
      <c r="P419" s="630"/>
      <c r="Q419" s="630"/>
      <c r="R419" s="630"/>
      <c r="S419" s="630"/>
      <c r="T419" s="630"/>
      <c r="U419" s="630"/>
      <c r="V419" s="630"/>
      <c r="W419" s="630"/>
      <c r="X419" s="630"/>
      <c r="Y419" s="630"/>
      <c r="Z419" s="630"/>
    </row>
    <row r="420">
      <c r="A420" s="611">
        <v>45910.0</v>
      </c>
      <c r="B420" s="612" t="s">
        <v>1732</v>
      </c>
      <c r="C420" s="613" t="s">
        <v>156</v>
      </c>
      <c r="D420" s="620">
        <v>330000.0</v>
      </c>
      <c r="E420" s="615" t="s">
        <v>1406</v>
      </c>
      <c r="F420" s="616" t="s">
        <v>1713</v>
      </c>
      <c r="G420" s="644">
        <v>483.46</v>
      </c>
      <c r="H420" s="595"/>
      <c r="I420" s="596"/>
      <c r="J420" s="596"/>
      <c r="K420" s="596"/>
      <c r="L420" s="596"/>
      <c r="M420" s="596"/>
      <c r="N420" s="596"/>
      <c r="O420" s="596"/>
      <c r="P420" s="596"/>
      <c r="Q420" s="596"/>
      <c r="R420" s="596"/>
      <c r="S420" s="596"/>
      <c r="T420" s="596"/>
      <c r="U420" s="596"/>
      <c r="V420" s="596"/>
      <c r="W420" s="596"/>
      <c r="X420" s="596"/>
      <c r="Y420" s="596"/>
      <c r="Z420" s="596"/>
    </row>
    <row r="421">
      <c r="A421" s="611">
        <v>45912.0</v>
      </c>
      <c r="B421" s="612" t="s">
        <v>1733</v>
      </c>
      <c r="C421" s="613" t="s">
        <v>1555</v>
      </c>
      <c r="D421" s="620">
        <v>422000.0</v>
      </c>
      <c r="E421" s="615" t="s">
        <v>1406</v>
      </c>
      <c r="F421" s="616" t="s">
        <v>1694</v>
      </c>
      <c r="G421" s="644">
        <v>619.76</v>
      </c>
      <c r="H421" s="595"/>
      <c r="I421" s="596"/>
      <c r="J421" s="596"/>
      <c r="K421" s="596"/>
      <c r="L421" s="596"/>
      <c r="M421" s="596"/>
      <c r="N421" s="596"/>
      <c r="O421" s="596"/>
      <c r="P421" s="596"/>
      <c r="Q421" s="596"/>
      <c r="R421" s="596"/>
      <c r="S421" s="596"/>
      <c r="T421" s="596"/>
      <c r="U421" s="596"/>
      <c r="V421" s="596"/>
      <c r="W421" s="596"/>
      <c r="X421" s="596"/>
      <c r="Y421" s="596"/>
      <c r="Z421" s="596"/>
    </row>
    <row r="422">
      <c r="A422" s="611">
        <v>45912.0</v>
      </c>
      <c r="B422" s="612" t="s">
        <v>1733</v>
      </c>
      <c r="C422" s="613" t="s">
        <v>424</v>
      </c>
      <c r="D422" s="620">
        <v>220000.0</v>
      </c>
      <c r="E422" s="615" t="s">
        <v>1406</v>
      </c>
      <c r="F422" s="616" t="s">
        <v>1694</v>
      </c>
      <c r="G422" s="645"/>
      <c r="H422" s="595"/>
      <c r="I422" s="596"/>
      <c r="J422" s="596"/>
      <c r="K422" s="596"/>
      <c r="L422" s="596"/>
      <c r="M422" s="596"/>
      <c r="N422" s="596"/>
      <c r="O422" s="596"/>
      <c r="P422" s="596"/>
      <c r="Q422" s="596"/>
      <c r="R422" s="596"/>
      <c r="S422" s="596"/>
      <c r="T422" s="596"/>
      <c r="U422" s="596"/>
      <c r="V422" s="596"/>
      <c r="W422" s="596"/>
      <c r="X422" s="596"/>
      <c r="Y422" s="596"/>
      <c r="Z422" s="596"/>
    </row>
    <row r="423">
      <c r="A423" s="611">
        <v>45913.0</v>
      </c>
      <c r="B423" s="612" t="s">
        <v>1733</v>
      </c>
      <c r="C423" s="613" t="s">
        <v>1450</v>
      </c>
      <c r="D423" s="620">
        <v>500000.0</v>
      </c>
      <c r="E423" s="615" t="s">
        <v>1543</v>
      </c>
      <c r="F423" s="616" t="s">
        <v>1694</v>
      </c>
      <c r="G423" s="645">
        <v>734.31</v>
      </c>
      <c r="H423" s="644" t="s">
        <v>1734</v>
      </c>
      <c r="I423" s="596"/>
      <c r="J423" s="596"/>
      <c r="K423" s="596"/>
      <c r="L423" s="596"/>
      <c r="M423" s="596"/>
      <c r="N423" s="596"/>
      <c r="O423" s="596"/>
      <c r="P423" s="596"/>
      <c r="Q423" s="596"/>
      <c r="R423" s="596"/>
      <c r="S423" s="596"/>
      <c r="T423" s="596"/>
      <c r="U423" s="596"/>
      <c r="V423" s="596"/>
      <c r="W423" s="596"/>
      <c r="X423" s="596"/>
      <c r="Y423" s="596"/>
      <c r="Z423" s="596"/>
    </row>
    <row r="424">
      <c r="A424" s="611">
        <v>45913.0</v>
      </c>
      <c r="B424" s="612" t="s">
        <v>1735</v>
      </c>
      <c r="C424" s="613" t="s">
        <v>1628</v>
      </c>
      <c r="D424" s="620">
        <v>660000.0</v>
      </c>
      <c r="E424" s="615" t="s">
        <v>1406</v>
      </c>
      <c r="F424" s="616" t="s">
        <v>1736</v>
      </c>
      <c r="G424" s="595"/>
      <c r="H424" s="595"/>
      <c r="I424" s="596"/>
      <c r="J424" s="596"/>
      <c r="K424" s="596"/>
      <c r="L424" s="596"/>
      <c r="M424" s="596"/>
      <c r="N424" s="596"/>
      <c r="O424" s="596"/>
      <c r="P424" s="596"/>
      <c r="Q424" s="596"/>
      <c r="R424" s="596"/>
      <c r="S424" s="596"/>
      <c r="T424" s="596"/>
      <c r="U424" s="596"/>
      <c r="V424" s="596"/>
      <c r="W424" s="596"/>
      <c r="X424" s="596"/>
      <c r="Y424" s="596"/>
      <c r="Z424" s="596"/>
    </row>
    <row r="425">
      <c r="A425" s="611">
        <v>45919.0</v>
      </c>
      <c r="B425" s="612" t="s">
        <v>1737</v>
      </c>
      <c r="C425" s="613" t="s">
        <v>476</v>
      </c>
      <c r="D425" s="620">
        <v>350000.0</v>
      </c>
      <c r="E425" s="615" t="s">
        <v>1406</v>
      </c>
      <c r="F425" s="616" t="s">
        <v>1629</v>
      </c>
      <c r="G425" s="595"/>
      <c r="H425" s="595"/>
      <c r="I425" s="596"/>
      <c r="J425" s="596"/>
      <c r="K425" s="596"/>
      <c r="L425" s="596"/>
      <c r="M425" s="596"/>
      <c r="N425" s="596"/>
      <c r="O425" s="596"/>
      <c r="P425" s="596"/>
      <c r="Q425" s="596"/>
      <c r="R425" s="596"/>
      <c r="S425" s="596"/>
      <c r="T425" s="596"/>
      <c r="U425" s="596"/>
      <c r="V425" s="596"/>
      <c r="W425" s="596"/>
      <c r="X425" s="596"/>
      <c r="Y425" s="596"/>
      <c r="Z425" s="596"/>
    </row>
    <row r="426">
      <c r="A426" s="646">
        <v>45921.0</v>
      </c>
      <c r="B426" s="647" t="s">
        <v>1737</v>
      </c>
      <c r="C426" s="648" t="s">
        <v>1738</v>
      </c>
      <c r="D426" s="649">
        <v>370000.0</v>
      </c>
      <c r="E426" s="650" t="s">
        <v>1406</v>
      </c>
      <c r="F426" s="651" t="s">
        <v>1629</v>
      </c>
      <c r="G426" s="652"/>
      <c r="H426" s="652"/>
      <c r="I426" s="653"/>
      <c r="J426" s="653"/>
      <c r="K426" s="653"/>
      <c r="L426" s="653"/>
      <c r="M426" s="653"/>
      <c r="N426" s="653"/>
      <c r="O426" s="653"/>
      <c r="P426" s="653"/>
      <c r="Q426" s="653"/>
      <c r="R426" s="653"/>
      <c r="S426" s="653"/>
      <c r="T426" s="653"/>
      <c r="U426" s="653"/>
      <c r="V426" s="653"/>
      <c r="W426" s="653"/>
      <c r="X426" s="653"/>
      <c r="Y426" s="653"/>
      <c r="Z426" s="653"/>
    </row>
    <row r="427">
      <c r="A427" s="611">
        <v>45924.0</v>
      </c>
      <c r="B427" s="612" t="s">
        <v>1739</v>
      </c>
      <c r="C427" s="613" t="s">
        <v>1692</v>
      </c>
      <c r="D427" s="620">
        <v>660000.0</v>
      </c>
      <c r="E427" s="615" t="s">
        <v>1406</v>
      </c>
      <c r="F427" s="616" t="s">
        <v>1694</v>
      </c>
      <c r="G427" s="595"/>
      <c r="H427" s="595"/>
      <c r="I427" s="596"/>
      <c r="J427" s="596"/>
      <c r="K427" s="596"/>
      <c r="L427" s="596"/>
      <c r="M427" s="596"/>
      <c r="N427" s="596"/>
      <c r="O427" s="596"/>
      <c r="P427" s="596"/>
      <c r="Q427" s="596"/>
      <c r="R427" s="596"/>
      <c r="S427" s="596"/>
      <c r="T427" s="596"/>
      <c r="U427" s="596"/>
      <c r="V427" s="596"/>
      <c r="W427" s="596"/>
      <c r="X427" s="596"/>
      <c r="Y427" s="596"/>
      <c r="Z427" s="596"/>
    </row>
    <row r="428">
      <c r="A428" s="621">
        <v>45925.0</v>
      </c>
      <c r="B428" s="612" t="s">
        <v>1739</v>
      </c>
      <c r="C428" s="613" t="s">
        <v>156</v>
      </c>
      <c r="D428" s="620">
        <v>660000.0</v>
      </c>
      <c r="E428" s="615" t="s">
        <v>1406</v>
      </c>
      <c r="F428" s="616" t="s">
        <v>1740</v>
      </c>
      <c r="G428" s="644">
        <v>969.3</v>
      </c>
      <c r="H428" s="595"/>
      <c r="I428" s="596"/>
      <c r="J428" s="596"/>
      <c r="K428" s="596"/>
      <c r="L428" s="596"/>
      <c r="M428" s="596"/>
      <c r="N428" s="596"/>
      <c r="O428" s="596"/>
      <c r="P428" s="596"/>
      <c r="Q428" s="596"/>
      <c r="R428" s="596"/>
      <c r="S428" s="596"/>
      <c r="T428" s="596"/>
      <c r="U428" s="596"/>
      <c r="V428" s="596"/>
      <c r="W428" s="596"/>
      <c r="X428" s="596"/>
      <c r="Y428" s="596"/>
      <c r="Z428" s="596"/>
    </row>
    <row r="429">
      <c r="A429" s="564"/>
      <c r="B429" s="456"/>
      <c r="C429" s="457"/>
      <c r="D429" s="563"/>
      <c r="E429" s="565"/>
      <c r="F429" s="446"/>
      <c r="G429" s="454"/>
      <c r="H429" s="454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</row>
    <row r="430">
      <c r="A430" s="564"/>
      <c r="B430" s="456"/>
      <c r="C430" s="457"/>
      <c r="D430" s="563"/>
      <c r="E430" s="565"/>
      <c r="F430" s="446"/>
      <c r="G430" s="454"/>
      <c r="H430" s="454"/>
      <c r="I430" s="630"/>
      <c r="J430" s="630"/>
      <c r="K430" s="630"/>
      <c r="L430" s="630"/>
      <c r="M430" s="630"/>
      <c r="N430" s="630"/>
      <c r="O430" s="630"/>
      <c r="P430" s="630"/>
      <c r="Q430" s="630"/>
      <c r="R430" s="630"/>
      <c r="S430" s="630"/>
      <c r="T430" s="630"/>
      <c r="U430" s="630"/>
      <c r="V430" s="630"/>
      <c r="W430" s="630"/>
      <c r="X430" s="630"/>
      <c r="Y430" s="630"/>
      <c r="Z430" s="630"/>
    </row>
    <row r="431">
      <c r="A431" s="643">
        <v>45955.0</v>
      </c>
      <c r="B431" s="439"/>
      <c r="C431" s="440"/>
      <c r="D431" s="432"/>
      <c r="E431" s="433"/>
      <c r="F431" s="434"/>
      <c r="G431" s="454"/>
      <c r="H431" s="454"/>
      <c r="I431" s="630"/>
      <c r="J431" s="630"/>
      <c r="K431" s="630"/>
      <c r="L431" s="630"/>
      <c r="M431" s="630"/>
      <c r="N431" s="630"/>
      <c r="O431" s="630"/>
      <c r="P431" s="630"/>
      <c r="Q431" s="630"/>
      <c r="R431" s="630"/>
      <c r="S431" s="630"/>
      <c r="T431" s="630"/>
      <c r="U431" s="630"/>
      <c r="V431" s="630"/>
      <c r="W431" s="630"/>
      <c r="X431" s="630"/>
      <c r="Y431" s="630"/>
      <c r="Z431" s="630"/>
    </row>
    <row r="432">
      <c r="A432" s="611">
        <v>45941.0</v>
      </c>
      <c r="B432" s="612" t="s">
        <v>1741</v>
      </c>
      <c r="C432" s="613" t="s">
        <v>1742</v>
      </c>
      <c r="D432" s="620">
        <f>320000+36000+10000+30000</f>
        <v>396000</v>
      </c>
      <c r="E432" s="615" t="s">
        <v>1406</v>
      </c>
      <c r="F432" s="616" t="s">
        <v>1743</v>
      </c>
      <c r="G432" s="644">
        <v>577.98</v>
      </c>
      <c r="H432" s="644" t="s">
        <v>1744</v>
      </c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</row>
    <row r="433">
      <c r="A433" s="611">
        <v>45942.0</v>
      </c>
      <c r="B433" s="612" t="s">
        <v>1745</v>
      </c>
      <c r="C433" s="613" t="s">
        <v>1746</v>
      </c>
      <c r="D433" s="620">
        <v>1332000.0</v>
      </c>
      <c r="E433" s="615" t="s">
        <v>1406</v>
      </c>
      <c r="F433" s="616" t="s">
        <v>1694</v>
      </c>
      <c r="G433" s="644" t="s">
        <v>1747</v>
      </c>
      <c r="H433" s="595"/>
      <c r="I433" s="617"/>
      <c r="J433" s="617"/>
      <c r="K433" s="617"/>
      <c r="L433" s="617"/>
      <c r="M433" s="617"/>
      <c r="N433" s="617"/>
      <c r="O433" s="617"/>
      <c r="P433" s="617"/>
      <c r="Q433" s="617"/>
      <c r="R433" s="617"/>
      <c r="S433" s="617"/>
      <c r="T433" s="617"/>
      <c r="U433" s="617"/>
      <c r="V433" s="617"/>
      <c r="W433" s="617"/>
      <c r="X433" s="617"/>
      <c r="Y433" s="617"/>
      <c r="Z433" s="617"/>
    </row>
    <row r="434">
      <c r="A434" s="611">
        <v>45579.0</v>
      </c>
      <c r="B434" s="612" t="s">
        <v>1745</v>
      </c>
      <c r="C434" s="613" t="s">
        <v>554</v>
      </c>
      <c r="D434" s="620">
        <v>740000.0</v>
      </c>
      <c r="E434" s="615" t="s">
        <v>1406</v>
      </c>
      <c r="F434" s="616" t="s">
        <v>1694</v>
      </c>
      <c r="G434" s="595"/>
      <c r="H434" s="595"/>
      <c r="I434" s="617"/>
      <c r="J434" s="617"/>
      <c r="K434" s="617"/>
      <c r="L434" s="617"/>
      <c r="M434" s="617"/>
      <c r="N434" s="617"/>
      <c r="O434" s="617"/>
      <c r="P434" s="617"/>
      <c r="Q434" s="617"/>
      <c r="R434" s="617"/>
      <c r="S434" s="617"/>
      <c r="T434" s="617"/>
      <c r="U434" s="617"/>
      <c r="V434" s="617"/>
      <c r="W434" s="617"/>
      <c r="X434" s="617"/>
      <c r="Y434" s="617"/>
      <c r="Z434" s="617"/>
    </row>
    <row r="435">
      <c r="A435" s="611">
        <v>45945.0</v>
      </c>
      <c r="B435" s="612" t="s">
        <v>1748</v>
      </c>
      <c r="C435" s="613" t="s">
        <v>1507</v>
      </c>
      <c r="D435" s="620">
        <f>320000+(36000*3)+30000+30000</f>
        <v>488000</v>
      </c>
      <c r="E435" s="615" t="s">
        <v>1406</v>
      </c>
      <c r="F435" s="616" t="s">
        <v>1743</v>
      </c>
      <c r="G435" s="644">
        <v>720.56</v>
      </c>
      <c r="H435" s="595"/>
      <c r="I435" s="617"/>
      <c r="J435" s="617"/>
      <c r="K435" s="617"/>
      <c r="L435" s="617"/>
      <c r="M435" s="617"/>
      <c r="N435" s="617"/>
      <c r="O435" s="617"/>
      <c r="P435" s="617"/>
      <c r="Q435" s="617"/>
      <c r="R435" s="617"/>
      <c r="S435" s="617"/>
      <c r="T435" s="617"/>
      <c r="U435" s="617"/>
      <c r="V435" s="617"/>
      <c r="W435" s="617"/>
      <c r="X435" s="617"/>
      <c r="Y435" s="617"/>
      <c r="Z435" s="617"/>
    </row>
    <row r="436">
      <c r="A436" s="654">
        <v>45955.0</v>
      </c>
      <c r="B436" s="655" t="s">
        <v>1749</v>
      </c>
      <c r="C436" s="656" t="s">
        <v>1750</v>
      </c>
      <c r="D436" s="563"/>
      <c r="E436" s="631" t="s">
        <v>1543</v>
      </c>
      <c r="F436" s="632" t="s">
        <v>1694</v>
      </c>
      <c r="G436" s="454"/>
      <c r="H436" s="454"/>
    </row>
    <row r="437">
      <c r="A437" s="611">
        <v>45955.0</v>
      </c>
      <c r="B437" s="612" t="s">
        <v>1749</v>
      </c>
      <c r="C437" s="613" t="s">
        <v>1751</v>
      </c>
      <c r="D437" s="634">
        <f>110000*10</f>
        <v>1100000</v>
      </c>
      <c r="E437" s="615" t="s">
        <v>1406</v>
      </c>
      <c r="F437" s="616" t="s">
        <v>1694</v>
      </c>
      <c r="G437" s="595"/>
      <c r="H437" s="595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</row>
    <row r="438">
      <c r="A438" s="657">
        <v>45956.0</v>
      </c>
      <c r="B438" s="658" t="s">
        <v>1749</v>
      </c>
      <c r="C438" s="659" t="s">
        <v>1534</v>
      </c>
      <c r="D438" s="660">
        <f>600000+(36000*11)+110000</f>
        <v>1106000</v>
      </c>
      <c r="E438" s="661" t="s">
        <v>1406</v>
      </c>
      <c r="F438" s="662" t="s">
        <v>1694</v>
      </c>
      <c r="G438" s="663"/>
      <c r="H438" s="663"/>
      <c r="I438" s="664"/>
      <c r="J438" s="664"/>
      <c r="K438" s="664"/>
      <c r="L438" s="664"/>
      <c r="M438" s="664"/>
      <c r="N438" s="664"/>
      <c r="O438" s="664"/>
      <c r="P438" s="664"/>
      <c r="Q438" s="664"/>
      <c r="R438" s="664"/>
      <c r="S438" s="664"/>
      <c r="T438" s="664"/>
      <c r="U438" s="664"/>
      <c r="V438" s="664"/>
      <c r="W438" s="664"/>
      <c r="X438" s="664"/>
      <c r="Y438" s="664"/>
      <c r="Z438" s="664"/>
    </row>
    <row r="439">
      <c r="A439" s="611">
        <v>45957.0</v>
      </c>
      <c r="B439" s="612" t="s">
        <v>1749</v>
      </c>
      <c r="C439" s="613" t="s">
        <v>554</v>
      </c>
      <c r="D439" s="634">
        <f>370000*10</f>
        <v>3700000</v>
      </c>
      <c r="E439" s="615" t="s">
        <v>1406</v>
      </c>
      <c r="F439" s="616" t="s">
        <v>1694</v>
      </c>
      <c r="G439" s="595"/>
      <c r="H439" s="595"/>
      <c r="I439" s="617"/>
      <c r="J439" s="617"/>
      <c r="K439" s="617"/>
      <c r="L439" s="617"/>
      <c r="M439" s="617"/>
      <c r="N439" s="617"/>
      <c r="O439" s="617"/>
      <c r="P439" s="617"/>
      <c r="Q439" s="617"/>
      <c r="R439" s="617"/>
      <c r="S439" s="617"/>
      <c r="T439" s="617"/>
      <c r="U439" s="617"/>
      <c r="V439" s="617"/>
      <c r="W439" s="617"/>
      <c r="X439" s="617"/>
      <c r="Y439" s="617"/>
      <c r="Z439" s="617"/>
    </row>
    <row r="440">
      <c r="A440" s="564"/>
      <c r="B440" s="456"/>
      <c r="C440" s="457"/>
      <c r="D440" s="563"/>
      <c r="E440" s="631" t="s">
        <v>1543</v>
      </c>
      <c r="F440" s="632" t="s">
        <v>1694</v>
      </c>
      <c r="G440" s="454"/>
      <c r="H440" s="454"/>
    </row>
    <row r="441">
      <c r="A441" s="564"/>
      <c r="B441" s="456"/>
      <c r="C441" s="457"/>
      <c r="D441" s="563"/>
      <c r="E441" s="565"/>
      <c r="F441" s="446"/>
      <c r="G441" s="454"/>
      <c r="H441" s="454"/>
    </row>
    <row r="442">
      <c r="A442" s="564"/>
      <c r="B442" s="456"/>
      <c r="C442" s="457"/>
      <c r="D442" s="563"/>
      <c r="E442" s="565"/>
      <c r="F442" s="446"/>
      <c r="G442" s="454"/>
      <c r="H442" s="454"/>
    </row>
    <row r="443">
      <c r="A443" s="643">
        <v>45986.0</v>
      </c>
      <c r="B443" s="439"/>
      <c r="C443" s="440"/>
      <c r="D443" s="432"/>
      <c r="E443" s="433"/>
      <c r="F443" s="434"/>
      <c r="G443" s="454"/>
      <c r="H443" s="454"/>
      <c r="I443" s="630"/>
      <c r="J443" s="630"/>
      <c r="K443" s="630"/>
      <c r="L443" s="630"/>
      <c r="M443" s="630"/>
      <c r="N443" s="630"/>
      <c r="O443" s="630"/>
      <c r="P443" s="630"/>
      <c r="Q443" s="630"/>
      <c r="R443" s="630"/>
      <c r="S443" s="630"/>
      <c r="T443" s="630"/>
      <c r="U443" s="630"/>
      <c r="V443" s="630"/>
      <c r="W443" s="630"/>
      <c r="X443" s="630"/>
      <c r="Y443" s="630"/>
      <c r="Z443" s="630"/>
    </row>
    <row r="444">
      <c r="A444" s="611">
        <v>45964.0</v>
      </c>
      <c r="B444" s="612" t="s">
        <v>1752</v>
      </c>
      <c r="C444" s="636" t="s">
        <v>1753</v>
      </c>
      <c r="D444" s="620">
        <f>'Precificação Simples Nacional'!E529</f>
        <v>442000</v>
      </c>
      <c r="E444" s="615" t="s">
        <v>1406</v>
      </c>
      <c r="F444" s="616" t="s">
        <v>1754</v>
      </c>
      <c r="G444" s="644">
        <v>621.68</v>
      </c>
      <c r="H444" s="595"/>
      <c r="I444" s="617"/>
      <c r="J444" s="617"/>
      <c r="K444" s="617"/>
      <c r="L444" s="617"/>
      <c r="M444" s="617"/>
      <c r="N444" s="617"/>
      <c r="O444" s="617"/>
      <c r="P444" s="617"/>
      <c r="Q444" s="617"/>
      <c r="R444" s="617"/>
      <c r="S444" s="617"/>
      <c r="T444" s="617"/>
      <c r="U444" s="617"/>
      <c r="V444" s="617"/>
      <c r="W444" s="617"/>
      <c r="X444" s="617"/>
      <c r="Y444" s="617"/>
      <c r="Z444" s="617"/>
    </row>
    <row r="445">
      <c r="A445" s="657">
        <v>45969.0</v>
      </c>
      <c r="B445" s="658" t="s">
        <v>1755</v>
      </c>
      <c r="C445" s="665" t="s">
        <v>182</v>
      </c>
      <c r="D445" s="666">
        <v>370000.0</v>
      </c>
      <c r="E445" s="661" t="s">
        <v>1406</v>
      </c>
      <c r="F445" s="662" t="s">
        <v>1756</v>
      </c>
      <c r="G445" s="667"/>
      <c r="H445" s="663"/>
      <c r="I445" s="664"/>
      <c r="J445" s="664"/>
      <c r="K445" s="664"/>
      <c r="L445" s="664"/>
      <c r="M445" s="664"/>
      <c r="N445" s="664"/>
      <c r="O445" s="664"/>
      <c r="P445" s="664"/>
      <c r="Q445" s="664"/>
      <c r="R445" s="664"/>
      <c r="S445" s="664"/>
      <c r="T445" s="664"/>
      <c r="U445" s="664"/>
      <c r="V445" s="664"/>
      <c r="W445" s="664"/>
      <c r="X445" s="664"/>
      <c r="Y445" s="664"/>
      <c r="Z445" s="664"/>
    </row>
    <row r="446">
      <c r="A446" s="611">
        <v>45970.0</v>
      </c>
      <c r="B446" s="612" t="s">
        <v>1757</v>
      </c>
      <c r="C446" s="636" t="s">
        <v>1758</v>
      </c>
      <c r="D446" s="620">
        <f>320000+36000+30000+10000</f>
        <v>396000</v>
      </c>
      <c r="E446" s="615" t="s">
        <v>1406</v>
      </c>
      <c r="F446" s="616" t="s">
        <v>1759</v>
      </c>
      <c r="G446" s="644">
        <v>584.72</v>
      </c>
      <c r="H446" s="595"/>
      <c r="I446" s="617"/>
      <c r="J446" s="617"/>
      <c r="K446" s="617"/>
      <c r="L446" s="617"/>
      <c r="M446" s="617"/>
      <c r="N446" s="617"/>
      <c r="O446" s="617"/>
      <c r="P446" s="617"/>
      <c r="Q446" s="617"/>
      <c r="R446" s="617"/>
      <c r="S446" s="617"/>
      <c r="T446" s="617"/>
      <c r="U446" s="617"/>
      <c r="V446" s="617"/>
      <c r="W446" s="617"/>
      <c r="X446" s="617"/>
      <c r="Y446" s="617"/>
      <c r="Z446" s="617"/>
    </row>
    <row r="447">
      <c r="A447" s="657">
        <v>45977.0</v>
      </c>
      <c r="B447" s="658" t="s">
        <v>1760</v>
      </c>
      <c r="C447" s="665" t="s">
        <v>1761</v>
      </c>
      <c r="D447" s="666">
        <f>320000+(36000*4)+60000+40000</f>
        <v>564000</v>
      </c>
      <c r="E447" s="661" t="s">
        <v>1406</v>
      </c>
      <c r="F447" s="662"/>
      <c r="G447" s="667"/>
      <c r="H447" s="663"/>
      <c r="I447" s="664"/>
      <c r="J447" s="664"/>
      <c r="K447" s="664"/>
      <c r="L447" s="664"/>
      <c r="M447" s="664"/>
      <c r="N447" s="664"/>
      <c r="O447" s="664"/>
      <c r="P447" s="664"/>
      <c r="Q447" s="664"/>
      <c r="R447" s="664"/>
      <c r="S447" s="664"/>
      <c r="T447" s="664"/>
      <c r="U447" s="664"/>
      <c r="V447" s="664"/>
      <c r="W447" s="664"/>
      <c r="X447" s="664"/>
      <c r="Y447" s="664"/>
      <c r="Z447" s="664"/>
    </row>
    <row r="448">
      <c r="A448" s="611">
        <v>45975.0</v>
      </c>
      <c r="B448" s="612" t="s">
        <v>1762</v>
      </c>
      <c r="C448" s="636" t="s">
        <v>1763</v>
      </c>
      <c r="D448" s="620">
        <f>280000*4</f>
        <v>1120000</v>
      </c>
      <c r="E448" s="615" t="s">
        <v>1406</v>
      </c>
      <c r="F448" s="616" t="s">
        <v>1764</v>
      </c>
      <c r="G448" s="644">
        <v>1653.76</v>
      </c>
      <c r="H448" s="595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</row>
    <row r="449">
      <c r="A449" s="611">
        <v>45977.0</v>
      </c>
      <c r="B449" s="612" t="s">
        <v>1765</v>
      </c>
      <c r="C449" s="636" t="s">
        <v>1766</v>
      </c>
      <c r="D449" s="620">
        <v>768800.0</v>
      </c>
      <c r="E449" s="615" t="s">
        <v>1406</v>
      </c>
      <c r="F449" s="616" t="s">
        <v>1767</v>
      </c>
      <c r="G449" s="644">
        <v>1135.2</v>
      </c>
      <c r="H449" s="595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</row>
    <row r="450">
      <c r="A450" s="668">
        <v>45977.0</v>
      </c>
      <c r="B450" s="669" t="s">
        <v>1768</v>
      </c>
      <c r="C450" s="670" t="s">
        <v>373</v>
      </c>
      <c r="D450" s="671">
        <v>560000.0</v>
      </c>
      <c r="E450" s="672" t="s">
        <v>1406</v>
      </c>
      <c r="F450" s="673" t="s">
        <v>1769</v>
      </c>
      <c r="G450" s="674"/>
      <c r="H450" s="675"/>
      <c r="I450" s="676"/>
      <c r="J450" s="676"/>
      <c r="K450" s="676"/>
      <c r="L450" s="676"/>
      <c r="M450" s="676"/>
      <c r="N450" s="676"/>
      <c r="O450" s="676"/>
      <c r="P450" s="676"/>
      <c r="Q450" s="676"/>
      <c r="R450" s="676"/>
      <c r="S450" s="676"/>
      <c r="T450" s="676"/>
      <c r="U450" s="676"/>
      <c r="V450" s="676"/>
      <c r="W450" s="676"/>
      <c r="X450" s="676"/>
      <c r="Y450" s="676"/>
      <c r="Z450" s="676"/>
    </row>
    <row r="451">
      <c r="A451" s="677">
        <v>45977.0</v>
      </c>
      <c r="B451" s="612" t="s">
        <v>1770</v>
      </c>
      <c r="C451" s="636" t="s">
        <v>1771</v>
      </c>
      <c r="D451" s="620">
        <f>370000*4</f>
        <v>1480000</v>
      </c>
      <c r="E451" s="615" t="s">
        <v>1406</v>
      </c>
      <c r="F451" s="616" t="s">
        <v>1772</v>
      </c>
      <c r="G451" s="678">
        <v>2185.34</v>
      </c>
      <c r="H451" s="595"/>
      <c r="I451" s="617"/>
      <c r="J451" s="617"/>
      <c r="K451" s="617"/>
      <c r="L451" s="617"/>
      <c r="M451" s="617"/>
      <c r="N451" s="617"/>
      <c r="O451" s="617"/>
      <c r="P451" s="617"/>
      <c r="Q451" s="617"/>
      <c r="R451" s="617"/>
      <c r="S451" s="617"/>
      <c r="T451" s="617"/>
      <c r="U451" s="617"/>
      <c r="V451" s="617"/>
      <c r="W451" s="617"/>
      <c r="X451" s="617"/>
      <c r="Y451" s="617"/>
      <c r="Z451" s="617"/>
    </row>
    <row r="452">
      <c r="A452" s="677">
        <v>45978.0</v>
      </c>
      <c r="B452" s="612" t="s">
        <v>1770</v>
      </c>
      <c r="C452" s="636" t="s">
        <v>1773</v>
      </c>
      <c r="D452" s="620">
        <v>1320000.0</v>
      </c>
      <c r="E452" s="615" t="s">
        <v>1406</v>
      </c>
      <c r="F452" s="616" t="s">
        <v>1774</v>
      </c>
      <c r="G452" s="678">
        <v>1933.85</v>
      </c>
      <c r="H452" s="595"/>
      <c r="I452" s="617"/>
      <c r="J452" s="617"/>
      <c r="K452" s="617"/>
      <c r="L452" s="617"/>
      <c r="M452" s="617"/>
      <c r="N452" s="617"/>
      <c r="O452" s="617"/>
      <c r="P452" s="617"/>
      <c r="Q452" s="617"/>
      <c r="R452" s="617"/>
      <c r="S452" s="617"/>
      <c r="T452" s="617"/>
      <c r="U452" s="617"/>
      <c r="V452" s="617"/>
      <c r="W452" s="617"/>
      <c r="X452" s="617"/>
      <c r="Y452" s="617"/>
      <c r="Z452" s="617"/>
    </row>
    <row r="453">
      <c r="A453" s="679">
        <v>45978.0</v>
      </c>
      <c r="B453" s="669" t="s">
        <v>1775</v>
      </c>
      <c r="C453" s="670" t="s">
        <v>510</v>
      </c>
      <c r="D453" s="671">
        <f>300000+(36000*2)+30000+20000</f>
        <v>422000</v>
      </c>
      <c r="E453" s="672" t="s">
        <v>1406</v>
      </c>
      <c r="F453" s="673"/>
      <c r="G453" s="680"/>
      <c r="H453" s="675"/>
      <c r="I453" s="676"/>
      <c r="J453" s="676"/>
      <c r="K453" s="676"/>
      <c r="L453" s="676"/>
      <c r="M453" s="676"/>
      <c r="N453" s="676"/>
      <c r="O453" s="676"/>
      <c r="P453" s="676"/>
      <c r="Q453" s="676"/>
      <c r="R453" s="676"/>
      <c r="S453" s="676"/>
      <c r="T453" s="676"/>
      <c r="U453" s="676"/>
      <c r="V453" s="676"/>
      <c r="W453" s="676"/>
      <c r="X453" s="676"/>
      <c r="Y453" s="676"/>
      <c r="Z453" s="676"/>
    </row>
    <row r="454">
      <c r="A454" s="679">
        <v>45978.0</v>
      </c>
      <c r="B454" s="669" t="s">
        <v>1776</v>
      </c>
      <c r="C454" s="670" t="s">
        <v>1777</v>
      </c>
      <c r="D454" s="671">
        <f>D444</f>
        <v>442000</v>
      </c>
      <c r="E454" s="672" t="s">
        <v>1406</v>
      </c>
      <c r="F454" s="673" t="s">
        <v>1778</v>
      </c>
      <c r="G454" s="680">
        <v>661.29</v>
      </c>
      <c r="H454" s="675"/>
      <c r="I454" s="676"/>
      <c r="J454" s="676"/>
      <c r="K454" s="676"/>
      <c r="L454" s="676"/>
      <c r="M454" s="676"/>
      <c r="N454" s="676"/>
      <c r="O454" s="676"/>
      <c r="P454" s="676"/>
      <c r="Q454" s="676"/>
      <c r="R454" s="676"/>
      <c r="S454" s="676"/>
      <c r="T454" s="676"/>
      <c r="U454" s="676"/>
      <c r="V454" s="676"/>
      <c r="W454" s="676"/>
      <c r="X454" s="676"/>
      <c r="Y454" s="676"/>
      <c r="Z454" s="676"/>
    </row>
    <row r="455">
      <c r="A455" s="611">
        <v>45978.0</v>
      </c>
      <c r="B455" s="612" t="s">
        <v>1765</v>
      </c>
      <c r="C455" s="636" t="s">
        <v>1779</v>
      </c>
      <c r="D455" s="620">
        <v>966400.0</v>
      </c>
      <c r="E455" s="615" t="s">
        <v>1406</v>
      </c>
      <c r="F455" s="616" t="s">
        <v>1767</v>
      </c>
      <c r="G455" s="644">
        <v>1426.95</v>
      </c>
      <c r="H455" s="595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</row>
    <row r="456">
      <c r="A456" s="679">
        <v>45979.0</v>
      </c>
      <c r="B456" s="669" t="s">
        <v>1780</v>
      </c>
      <c r="C456" s="670" t="s">
        <v>1781</v>
      </c>
      <c r="D456" s="671">
        <f>350000*4</f>
        <v>1400000</v>
      </c>
      <c r="E456" s="672" t="s">
        <v>1406</v>
      </c>
      <c r="F456" s="673"/>
      <c r="G456" s="680"/>
      <c r="H456" s="675"/>
      <c r="I456" s="676"/>
      <c r="J456" s="676"/>
      <c r="K456" s="676"/>
      <c r="L456" s="676"/>
      <c r="M456" s="676"/>
      <c r="N456" s="676"/>
      <c r="O456" s="676"/>
      <c r="P456" s="676"/>
      <c r="Q456" s="676"/>
      <c r="R456" s="676"/>
      <c r="S456" s="676"/>
      <c r="T456" s="676"/>
      <c r="U456" s="676"/>
      <c r="V456" s="676"/>
      <c r="W456" s="676"/>
      <c r="X456" s="676"/>
      <c r="Y456" s="676"/>
      <c r="Z456" s="676"/>
    </row>
    <row r="457">
      <c r="A457" s="657">
        <v>45979.0</v>
      </c>
      <c r="B457" s="658" t="s">
        <v>1776</v>
      </c>
      <c r="C457" s="665" t="s">
        <v>91</v>
      </c>
      <c r="D457" s="666">
        <v>660000.0</v>
      </c>
      <c r="E457" s="661" t="s">
        <v>1406</v>
      </c>
      <c r="F457" s="662" t="s">
        <v>1764</v>
      </c>
      <c r="G457" s="667">
        <v>996.5</v>
      </c>
      <c r="H457" s="663"/>
      <c r="I457" s="664"/>
      <c r="J457" s="664"/>
      <c r="K457" s="664"/>
      <c r="L457" s="664"/>
      <c r="M457" s="664"/>
      <c r="N457" s="664"/>
      <c r="O457" s="664"/>
      <c r="P457" s="664"/>
      <c r="Q457" s="664"/>
      <c r="R457" s="664"/>
      <c r="S457" s="664"/>
      <c r="T457" s="664"/>
      <c r="U457" s="664"/>
      <c r="V457" s="664"/>
      <c r="W457" s="664"/>
      <c r="X457" s="664"/>
      <c r="Y457" s="664"/>
      <c r="Z457" s="664"/>
    </row>
    <row r="458">
      <c r="A458" s="611">
        <v>45979.0</v>
      </c>
      <c r="B458" s="612" t="s">
        <v>1765</v>
      </c>
      <c r="C458" s="636" t="s">
        <v>1782</v>
      </c>
      <c r="D458" s="620">
        <v>442400.0</v>
      </c>
      <c r="E458" s="615" t="s">
        <v>1406</v>
      </c>
      <c r="F458" s="616" t="s">
        <v>1767</v>
      </c>
      <c r="G458" s="644">
        <v>652.65</v>
      </c>
      <c r="H458" s="595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</row>
    <row r="459">
      <c r="A459" s="657">
        <v>45980.0</v>
      </c>
      <c r="B459" s="658" t="s">
        <v>1776</v>
      </c>
      <c r="C459" s="665" t="s">
        <v>1783</v>
      </c>
      <c r="D459" s="666">
        <v>760000.0</v>
      </c>
      <c r="E459" s="661" t="s">
        <v>1406</v>
      </c>
      <c r="F459" s="662" t="s">
        <v>1764</v>
      </c>
      <c r="G459" s="667">
        <v>1136.92</v>
      </c>
      <c r="H459" s="663"/>
      <c r="I459" s="664"/>
      <c r="J459" s="664"/>
      <c r="K459" s="664"/>
      <c r="L459" s="664"/>
      <c r="M459" s="664"/>
      <c r="N459" s="664"/>
      <c r="O459" s="664"/>
      <c r="P459" s="664"/>
      <c r="Q459" s="664"/>
      <c r="R459" s="664"/>
      <c r="S459" s="664"/>
      <c r="T459" s="664"/>
      <c r="U459" s="664"/>
      <c r="V459" s="664"/>
      <c r="W459" s="664"/>
      <c r="X459" s="664"/>
      <c r="Y459" s="664"/>
      <c r="Z459" s="664"/>
    </row>
    <row r="460">
      <c r="A460" s="679">
        <v>45980.0</v>
      </c>
      <c r="B460" s="669" t="s">
        <v>1784</v>
      </c>
      <c r="C460" s="670" t="s">
        <v>1785</v>
      </c>
      <c r="D460" s="671">
        <f>900000+(36000*12)+120000</f>
        <v>1452000</v>
      </c>
      <c r="E460" s="672" t="s">
        <v>1406</v>
      </c>
      <c r="F460" s="673" t="s">
        <v>1764</v>
      </c>
      <c r="G460" s="680"/>
      <c r="H460" s="675"/>
      <c r="I460" s="676"/>
      <c r="J460" s="676"/>
      <c r="K460" s="676"/>
      <c r="L460" s="676"/>
      <c r="M460" s="676"/>
      <c r="N460" s="676"/>
      <c r="O460" s="676"/>
      <c r="P460" s="676"/>
      <c r="Q460" s="676"/>
      <c r="R460" s="676"/>
      <c r="S460" s="676"/>
      <c r="T460" s="676"/>
      <c r="U460" s="676"/>
      <c r="V460" s="676"/>
      <c r="W460" s="676"/>
      <c r="X460" s="676"/>
      <c r="Y460" s="676"/>
      <c r="Z460" s="676"/>
    </row>
    <row r="461">
      <c r="A461" s="679">
        <v>45980.0</v>
      </c>
      <c r="B461" s="669" t="s">
        <v>1784</v>
      </c>
      <c r="C461" s="670" t="s">
        <v>1786</v>
      </c>
      <c r="D461" s="671">
        <v>400000.0</v>
      </c>
      <c r="E461" s="672" t="s">
        <v>1406</v>
      </c>
      <c r="F461" s="673"/>
      <c r="G461" s="680"/>
      <c r="H461" s="675"/>
      <c r="I461" s="676"/>
      <c r="J461" s="676"/>
      <c r="K461" s="676"/>
      <c r="L461" s="676"/>
      <c r="M461" s="676"/>
      <c r="N461" s="676"/>
      <c r="O461" s="676"/>
      <c r="P461" s="676"/>
      <c r="Q461" s="676"/>
      <c r="R461" s="676"/>
      <c r="S461" s="676"/>
      <c r="T461" s="676"/>
      <c r="U461" s="676"/>
      <c r="V461" s="676"/>
      <c r="W461" s="676"/>
      <c r="X461" s="676"/>
      <c r="Y461" s="676"/>
      <c r="Z461" s="676"/>
    </row>
    <row r="462">
      <c r="A462" s="657">
        <v>45980.0</v>
      </c>
      <c r="B462" s="658" t="s">
        <v>1765</v>
      </c>
      <c r="C462" s="665" t="s">
        <v>1460</v>
      </c>
      <c r="D462" s="666">
        <v>220000.0</v>
      </c>
      <c r="E462" s="661" t="s">
        <v>1406</v>
      </c>
      <c r="F462" s="662" t="s">
        <v>1767</v>
      </c>
      <c r="G462" s="667">
        <v>324.85</v>
      </c>
      <c r="H462" s="663"/>
      <c r="I462" s="664"/>
      <c r="J462" s="664"/>
      <c r="K462" s="664"/>
      <c r="L462" s="664"/>
      <c r="M462" s="664"/>
      <c r="N462" s="664"/>
      <c r="O462" s="664"/>
      <c r="P462" s="664"/>
      <c r="Q462" s="664"/>
      <c r="R462" s="664"/>
      <c r="S462" s="664"/>
      <c r="T462" s="664"/>
      <c r="U462" s="664"/>
      <c r="V462" s="664"/>
      <c r="W462" s="664"/>
      <c r="X462" s="664"/>
      <c r="Y462" s="664"/>
      <c r="Z462" s="664"/>
    </row>
    <row r="463">
      <c r="A463" s="657">
        <v>45981.0</v>
      </c>
      <c r="B463" s="658" t="s">
        <v>1776</v>
      </c>
      <c r="C463" s="665" t="s">
        <v>1453</v>
      </c>
      <c r="D463" s="666">
        <f>370000*2</f>
        <v>740000</v>
      </c>
      <c r="E463" s="661" t="s">
        <v>1406</v>
      </c>
      <c r="F463" s="662" t="s">
        <v>1787</v>
      </c>
      <c r="G463" s="667">
        <v>1107.06</v>
      </c>
      <c r="H463" s="663"/>
      <c r="I463" s="664"/>
      <c r="J463" s="664"/>
      <c r="K463" s="664"/>
      <c r="L463" s="664"/>
      <c r="M463" s="664"/>
      <c r="N463" s="664"/>
      <c r="O463" s="664"/>
      <c r="P463" s="664"/>
      <c r="Q463" s="664"/>
      <c r="R463" s="664"/>
      <c r="S463" s="664"/>
      <c r="T463" s="664"/>
      <c r="U463" s="664"/>
      <c r="V463" s="664"/>
      <c r="W463" s="664"/>
      <c r="X463" s="664"/>
      <c r="Y463" s="664"/>
      <c r="Z463" s="664"/>
    </row>
    <row r="464">
      <c r="A464" s="611">
        <v>45981.0</v>
      </c>
      <c r="B464" s="612" t="s">
        <v>1765</v>
      </c>
      <c r="C464" s="636" t="s">
        <v>1725</v>
      </c>
      <c r="D464" s="620">
        <v>442000.0</v>
      </c>
      <c r="E464" s="615" t="s">
        <v>1406</v>
      </c>
      <c r="F464" s="616" t="s">
        <v>1767</v>
      </c>
      <c r="G464" s="644">
        <v>690.0</v>
      </c>
      <c r="H464" s="595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</row>
    <row r="465" hidden="1">
      <c r="A465" s="611">
        <v>45981.0</v>
      </c>
      <c r="B465" s="612" t="s">
        <v>1765</v>
      </c>
      <c r="C465" s="636" t="s">
        <v>1788</v>
      </c>
      <c r="D465" s="634">
        <f>185000*2</f>
        <v>370000</v>
      </c>
      <c r="E465" s="615" t="s">
        <v>1406</v>
      </c>
      <c r="F465" s="616" t="s">
        <v>1767</v>
      </c>
      <c r="G465" s="644">
        <v>546.33</v>
      </c>
      <c r="H465" s="595"/>
      <c r="I465" s="617"/>
      <c r="J465" s="617"/>
      <c r="K465" s="617"/>
      <c r="L465" s="617"/>
      <c r="M465" s="617"/>
      <c r="N465" s="617"/>
      <c r="O465" s="617"/>
      <c r="P465" s="617"/>
      <c r="Q465" s="617"/>
      <c r="R465" s="617"/>
      <c r="S465" s="617"/>
      <c r="T465" s="617"/>
      <c r="U465" s="617"/>
      <c r="V465" s="617"/>
      <c r="W465" s="617"/>
      <c r="X465" s="617"/>
      <c r="Y465" s="617"/>
      <c r="Z465" s="617"/>
    </row>
    <row r="466" hidden="1">
      <c r="A466" s="681">
        <v>45982.0</v>
      </c>
      <c r="B466" s="612" t="s">
        <v>1789</v>
      </c>
      <c r="C466" s="636" t="s">
        <v>1790</v>
      </c>
      <c r="D466" s="620">
        <v>928000.0</v>
      </c>
      <c r="E466" s="615" t="s">
        <v>1406</v>
      </c>
      <c r="F466" s="616" t="s">
        <v>1791</v>
      </c>
      <c r="G466" s="644">
        <v>1184.27</v>
      </c>
      <c r="H466" s="595"/>
      <c r="I466" s="617"/>
      <c r="J466" s="617"/>
      <c r="K466" s="617"/>
      <c r="L466" s="617"/>
      <c r="M466" s="617"/>
      <c r="N466" s="617"/>
      <c r="O466" s="617"/>
      <c r="P466" s="617"/>
      <c r="Q466" s="617"/>
      <c r="R466" s="617"/>
      <c r="S466" s="617"/>
      <c r="T466" s="617"/>
      <c r="U466" s="617"/>
      <c r="V466" s="617"/>
      <c r="W466" s="617"/>
      <c r="X466" s="617"/>
      <c r="Y466" s="617"/>
      <c r="Z466" s="617"/>
    </row>
    <row r="467" hidden="1">
      <c r="A467" s="681">
        <v>45982.0</v>
      </c>
      <c r="B467" s="612" t="s">
        <v>1765</v>
      </c>
      <c r="C467" s="636" t="s">
        <v>1792</v>
      </c>
      <c r="D467" s="620">
        <v>928000.0</v>
      </c>
      <c r="E467" s="615" t="s">
        <v>1406</v>
      </c>
      <c r="F467" s="616" t="s">
        <v>1767</v>
      </c>
      <c r="G467" s="595"/>
      <c r="H467" s="595"/>
      <c r="I467" s="617"/>
      <c r="J467" s="617"/>
      <c r="K467" s="617"/>
      <c r="L467" s="617"/>
      <c r="M467" s="617"/>
      <c r="N467" s="617"/>
      <c r="O467" s="617"/>
      <c r="P467" s="617"/>
      <c r="Q467" s="617"/>
      <c r="R467" s="617"/>
      <c r="S467" s="617"/>
      <c r="T467" s="617"/>
      <c r="U467" s="617"/>
      <c r="V467" s="617"/>
      <c r="W467" s="617"/>
      <c r="X467" s="617"/>
      <c r="Y467" s="617"/>
      <c r="Z467" s="617"/>
    </row>
    <row r="468" hidden="1">
      <c r="A468" s="611">
        <v>45983.0</v>
      </c>
      <c r="B468" s="612" t="s">
        <v>1765</v>
      </c>
      <c r="C468" s="636" t="s">
        <v>554</v>
      </c>
      <c r="D468" s="620">
        <v>740000.0</v>
      </c>
      <c r="E468" s="615" t="s">
        <v>1406</v>
      </c>
      <c r="F468" s="616" t="s">
        <v>1767</v>
      </c>
      <c r="G468" s="644">
        <v>1092.67</v>
      </c>
      <c r="H468" s="595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</row>
    <row r="469">
      <c r="A469" s="679">
        <v>45981.0</v>
      </c>
      <c r="B469" s="669" t="s">
        <v>1793</v>
      </c>
      <c r="C469" s="682" t="s">
        <v>876</v>
      </c>
      <c r="D469" s="671">
        <v>55000.0</v>
      </c>
      <c r="E469" s="672" t="s">
        <v>1406</v>
      </c>
      <c r="F469" s="673"/>
      <c r="G469" s="680"/>
      <c r="H469" s="675"/>
      <c r="I469" s="676"/>
      <c r="J469" s="676"/>
      <c r="K469" s="676"/>
      <c r="L469" s="676"/>
      <c r="M469" s="676"/>
      <c r="N469" s="676"/>
      <c r="O469" s="676"/>
      <c r="P469" s="676"/>
      <c r="Q469" s="676"/>
      <c r="R469" s="676"/>
      <c r="S469" s="676"/>
      <c r="T469" s="676"/>
      <c r="U469" s="676"/>
      <c r="V469" s="676"/>
      <c r="W469" s="676"/>
      <c r="X469" s="676"/>
      <c r="Y469" s="676"/>
      <c r="Z469" s="676"/>
    </row>
    <row r="470">
      <c r="A470" s="611">
        <v>45982.0</v>
      </c>
      <c r="B470" s="612" t="s">
        <v>1776</v>
      </c>
      <c r="C470" s="613" t="s">
        <v>794</v>
      </c>
      <c r="D470" s="620">
        <v>928000.0</v>
      </c>
      <c r="E470" s="615" t="s">
        <v>1406</v>
      </c>
      <c r="F470" s="616" t="s">
        <v>1681</v>
      </c>
      <c r="G470" s="644">
        <v>1388.32</v>
      </c>
      <c r="H470" s="595"/>
      <c r="I470" s="617"/>
      <c r="J470" s="617"/>
      <c r="K470" s="617"/>
      <c r="L470" s="617"/>
      <c r="M470" s="617"/>
      <c r="N470" s="617"/>
      <c r="O470" s="617"/>
      <c r="P470" s="617"/>
      <c r="Q470" s="617"/>
      <c r="R470" s="617"/>
      <c r="S470" s="617"/>
      <c r="T470" s="617"/>
      <c r="U470" s="617"/>
      <c r="V470" s="617"/>
      <c r="W470" s="617"/>
      <c r="X470" s="617"/>
      <c r="Y470" s="617"/>
      <c r="Z470" s="617"/>
    </row>
    <row r="471">
      <c r="A471" s="679">
        <v>45984.0</v>
      </c>
      <c r="B471" s="669" t="s">
        <v>1789</v>
      </c>
      <c r="C471" s="682" t="s">
        <v>364</v>
      </c>
      <c r="D471" s="671">
        <v>350000.0</v>
      </c>
      <c r="E471" s="672" t="s">
        <v>1406</v>
      </c>
      <c r="F471" s="673" t="s">
        <v>1681</v>
      </c>
      <c r="G471" s="680">
        <v>523.38</v>
      </c>
      <c r="H471" s="675"/>
      <c r="I471" s="676"/>
      <c r="J471" s="676"/>
      <c r="K471" s="676"/>
      <c r="L471" s="676"/>
      <c r="M471" s="676"/>
      <c r="N471" s="676"/>
      <c r="O471" s="676"/>
      <c r="P471" s="676"/>
      <c r="Q471" s="676"/>
      <c r="R471" s="676"/>
      <c r="S471" s="676"/>
      <c r="T471" s="676"/>
      <c r="U471" s="676"/>
      <c r="V471" s="676"/>
      <c r="W471" s="676"/>
      <c r="X471" s="676"/>
      <c r="Y471" s="676"/>
      <c r="Z471" s="676"/>
    </row>
    <row r="472">
      <c r="A472" s="679">
        <v>45984.0</v>
      </c>
      <c r="B472" s="669" t="s">
        <v>1794</v>
      </c>
      <c r="C472" s="682" t="s">
        <v>1795</v>
      </c>
      <c r="D472" s="671">
        <v>440000.0</v>
      </c>
      <c r="E472" s="672" t="s">
        <v>1406</v>
      </c>
      <c r="F472" s="673"/>
      <c r="G472" s="680"/>
      <c r="H472" s="675"/>
      <c r="I472" s="676"/>
      <c r="J472" s="676"/>
      <c r="K472" s="676"/>
      <c r="L472" s="676"/>
      <c r="M472" s="676"/>
      <c r="N472" s="676"/>
      <c r="O472" s="676"/>
      <c r="P472" s="676"/>
      <c r="Q472" s="676"/>
      <c r="R472" s="676"/>
      <c r="S472" s="676"/>
      <c r="T472" s="676"/>
      <c r="U472" s="676"/>
      <c r="V472" s="676"/>
      <c r="W472" s="676"/>
      <c r="X472" s="676"/>
      <c r="Y472" s="676"/>
      <c r="Z472" s="676"/>
    </row>
    <row r="473">
      <c r="A473" s="611">
        <v>45985.0</v>
      </c>
      <c r="B473" s="612" t="s">
        <v>1796</v>
      </c>
      <c r="C473" s="613" t="s">
        <v>1483</v>
      </c>
      <c r="D473" s="620">
        <v>396000.0</v>
      </c>
      <c r="E473" s="615" t="s">
        <v>1406</v>
      </c>
      <c r="F473" s="616" t="s">
        <v>1767</v>
      </c>
      <c r="G473" s="644">
        <v>592.18</v>
      </c>
      <c r="H473" s="595"/>
      <c r="I473" s="617"/>
      <c r="J473" s="617"/>
      <c r="K473" s="617"/>
      <c r="L473" s="617"/>
      <c r="M473" s="617"/>
      <c r="N473" s="617"/>
      <c r="O473" s="617"/>
      <c r="P473" s="617"/>
      <c r="Q473" s="617"/>
      <c r="R473" s="617"/>
      <c r="S473" s="617"/>
      <c r="T473" s="617"/>
      <c r="U473" s="617"/>
      <c r="V473" s="617"/>
      <c r="W473" s="617"/>
      <c r="X473" s="617"/>
      <c r="Y473" s="617"/>
      <c r="Z473" s="617"/>
    </row>
    <row r="474">
      <c r="A474" s="679">
        <v>45986.0</v>
      </c>
      <c r="B474" s="669" t="s">
        <v>1793</v>
      </c>
      <c r="C474" s="682" t="s">
        <v>1797</v>
      </c>
      <c r="D474" s="671">
        <v>55000.0</v>
      </c>
      <c r="E474" s="672" t="s">
        <v>1406</v>
      </c>
      <c r="F474" s="673"/>
      <c r="G474" s="675"/>
      <c r="H474" s="675"/>
      <c r="I474" s="676"/>
      <c r="J474" s="676"/>
      <c r="K474" s="676"/>
      <c r="L474" s="676"/>
      <c r="M474" s="676"/>
      <c r="N474" s="676"/>
      <c r="O474" s="676"/>
      <c r="P474" s="676"/>
      <c r="Q474" s="676"/>
      <c r="R474" s="676"/>
      <c r="S474" s="676"/>
      <c r="T474" s="676"/>
      <c r="U474" s="676"/>
      <c r="V474" s="676"/>
      <c r="W474" s="676"/>
      <c r="X474" s="676"/>
      <c r="Y474" s="676"/>
      <c r="Z474" s="676"/>
    </row>
    <row r="475">
      <c r="A475" s="679">
        <v>45986.0</v>
      </c>
      <c r="B475" s="669" t="s">
        <v>1796</v>
      </c>
      <c r="C475" s="682" t="s">
        <v>1798</v>
      </c>
      <c r="D475" s="671">
        <v>350000.0</v>
      </c>
      <c r="E475" s="672" t="s">
        <v>1406</v>
      </c>
      <c r="F475" s="673" t="s">
        <v>1767</v>
      </c>
      <c r="G475" s="675">
        <f>G471</f>
        <v>523.38</v>
      </c>
      <c r="H475" s="675"/>
      <c r="I475" s="676"/>
      <c r="J475" s="676"/>
      <c r="K475" s="676"/>
      <c r="L475" s="676"/>
      <c r="M475" s="676"/>
      <c r="N475" s="676"/>
      <c r="O475" s="676"/>
      <c r="P475" s="676"/>
      <c r="Q475" s="676"/>
      <c r="R475" s="676"/>
      <c r="S475" s="676"/>
      <c r="T475" s="676"/>
      <c r="U475" s="676"/>
      <c r="V475" s="676"/>
      <c r="W475" s="676"/>
      <c r="X475" s="676"/>
      <c r="Y475" s="676"/>
      <c r="Z475" s="676"/>
    </row>
    <row r="476">
      <c r="A476" s="657">
        <v>45987.0</v>
      </c>
      <c r="B476" s="658" t="s">
        <v>1799</v>
      </c>
      <c r="C476" s="659" t="s">
        <v>1800</v>
      </c>
      <c r="D476" s="666">
        <v>560000.0</v>
      </c>
      <c r="E476" s="661" t="s">
        <v>1406</v>
      </c>
      <c r="F476" s="662" t="s">
        <v>1801</v>
      </c>
      <c r="G476" s="667">
        <v>824.24</v>
      </c>
      <c r="H476" s="663"/>
      <c r="I476" s="664"/>
      <c r="J476" s="664"/>
      <c r="K476" s="664"/>
      <c r="L476" s="664"/>
      <c r="M476" s="664"/>
      <c r="N476" s="664"/>
      <c r="O476" s="664"/>
      <c r="P476" s="664"/>
      <c r="Q476" s="664"/>
      <c r="R476" s="664"/>
      <c r="S476" s="664"/>
      <c r="T476" s="664"/>
      <c r="U476" s="664"/>
      <c r="V476" s="664"/>
      <c r="W476" s="664"/>
      <c r="X476" s="664"/>
      <c r="Y476" s="664"/>
      <c r="Z476" s="664"/>
    </row>
    <row r="477">
      <c r="A477" s="679">
        <v>45987.0</v>
      </c>
      <c r="B477" s="669" t="s">
        <v>1802</v>
      </c>
      <c r="C477" s="682" t="s">
        <v>364</v>
      </c>
      <c r="D477" s="671">
        <v>350000.0</v>
      </c>
      <c r="E477" s="672" t="s">
        <v>1406</v>
      </c>
      <c r="F477" s="673" t="s">
        <v>1681</v>
      </c>
      <c r="G477" s="680">
        <v>511.77</v>
      </c>
      <c r="H477" s="675"/>
      <c r="I477" s="676"/>
      <c r="J477" s="676"/>
      <c r="K477" s="676"/>
      <c r="L477" s="676"/>
      <c r="M477" s="676"/>
      <c r="N477" s="676"/>
      <c r="O477" s="676"/>
      <c r="P477" s="676"/>
      <c r="Q477" s="676"/>
      <c r="R477" s="676"/>
      <c r="S477" s="676"/>
      <c r="T477" s="676"/>
      <c r="U477" s="676"/>
      <c r="V477" s="676"/>
      <c r="W477" s="676"/>
      <c r="X477" s="676"/>
      <c r="Y477" s="676"/>
      <c r="Z477" s="676"/>
    </row>
    <row r="478">
      <c r="A478" s="611">
        <v>45987.0</v>
      </c>
      <c r="B478" s="612" t="s">
        <v>1803</v>
      </c>
      <c r="C478" s="613" t="s">
        <v>222</v>
      </c>
      <c r="D478" s="620">
        <v>350000.0</v>
      </c>
      <c r="E478" s="615" t="s">
        <v>1406</v>
      </c>
      <c r="F478" s="616" t="s">
        <v>1681</v>
      </c>
      <c r="G478" s="644">
        <v>523.38</v>
      </c>
      <c r="H478" s="595"/>
      <c r="I478" s="617"/>
      <c r="J478" s="617"/>
      <c r="K478" s="617"/>
      <c r="L478" s="617"/>
      <c r="M478" s="617"/>
      <c r="N478" s="617"/>
      <c r="O478" s="617"/>
      <c r="P478" s="617"/>
      <c r="Q478" s="617"/>
      <c r="R478" s="617"/>
      <c r="S478" s="617"/>
      <c r="T478" s="617"/>
      <c r="U478" s="617"/>
      <c r="V478" s="617"/>
      <c r="W478" s="617"/>
      <c r="X478" s="617"/>
      <c r="Y478" s="617"/>
      <c r="Z478" s="617"/>
    </row>
    <row r="479">
      <c r="A479" s="611">
        <v>45988.0</v>
      </c>
      <c r="B479" s="612" t="s">
        <v>1796</v>
      </c>
      <c r="C479" s="613" t="s">
        <v>1628</v>
      </c>
      <c r="D479" s="620">
        <v>330000.0</v>
      </c>
      <c r="E479" s="615" t="s">
        <v>1406</v>
      </c>
      <c r="F479" s="616" t="s">
        <v>1767</v>
      </c>
      <c r="G479" s="644" t="s">
        <v>455</v>
      </c>
      <c r="H479" s="595"/>
      <c r="I479" s="617"/>
      <c r="J479" s="617"/>
      <c r="K479" s="617"/>
      <c r="L479" s="617"/>
      <c r="M479" s="617"/>
      <c r="N479" s="617"/>
      <c r="O479" s="617"/>
      <c r="P479" s="617"/>
      <c r="Q479" s="617"/>
      <c r="R479" s="617"/>
      <c r="S479" s="617"/>
      <c r="T479" s="617"/>
      <c r="U479" s="617"/>
      <c r="V479" s="617"/>
      <c r="W479" s="617"/>
      <c r="X479" s="617"/>
      <c r="Y479" s="617"/>
      <c r="Z479" s="617"/>
    </row>
    <row r="480">
      <c r="A480" s="564"/>
      <c r="B480" s="456"/>
      <c r="C480" s="457"/>
      <c r="D480" s="563"/>
      <c r="E480" s="565"/>
      <c r="F480" s="446"/>
      <c r="G480" s="454"/>
      <c r="H480" s="454"/>
    </row>
    <row r="481">
      <c r="A481" s="564"/>
      <c r="B481" s="456"/>
      <c r="C481" s="457"/>
      <c r="D481" s="563"/>
      <c r="E481" s="565"/>
      <c r="F481" s="446"/>
      <c r="G481" s="454"/>
      <c r="H481" s="454"/>
    </row>
    <row r="482">
      <c r="A482" s="564"/>
      <c r="B482" s="456"/>
      <c r="C482" s="457"/>
      <c r="D482" s="563"/>
      <c r="E482" s="565"/>
      <c r="F482" s="446"/>
      <c r="G482" s="454"/>
      <c r="H482" s="454"/>
    </row>
    <row r="483">
      <c r="A483" s="643">
        <v>46016.0</v>
      </c>
      <c r="B483" s="439"/>
      <c r="C483" s="440"/>
      <c r="D483" s="432"/>
      <c r="E483" s="433"/>
      <c r="F483" s="434"/>
      <c r="G483" s="454"/>
      <c r="H483" s="454"/>
      <c r="I483" s="630"/>
      <c r="J483" s="630"/>
      <c r="K483" s="630"/>
      <c r="L483" s="630"/>
      <c r="M483" s="630"/>
      <c r="N483" s="630"/>
      <c r="O483" s="630"/>
      <c r="P483" s="630"/>
      <c r="Q483" s="630"/>
      <c r="R483" s="630"/>
      <c r="S483" s="630"/>
      <c r="T483" s="630"/>
      <c r="U483" s="630"/>
      <c r="V483" s="630"/>
      <c r="W483" s="630"/>
      <c r="X483" s="630"/>
      <c r="Y483" s="630"/>
      <c r="Z483" s="630"/>
    </row>
    <row r="484">
      <c r="A484" s="654"/>
      <c r="B484" s="655"/>
      <c r="C484" s="656"/>
      <c r="D484" s="683"/>
      <c r="E484" s="631"/>
      <c r="F484" s="632"/>
      <c r="G484" s="684"/>
      <c r="H484" s="454"/>
    </row>
    <row r="485">
      <c r="A485" s="668">
        <v>45992.0</v>
      </c>
      <c r="B485" s="669" t="s">
        <v>1804</v>
      </c>
      <c r="C485" s="685" t="s">
        <v>1805</v>
      </c>
      <c r="D485" s="671">
        <v>55000.0</v>
      </c>
      <c r="E485" s="672" t="s">
        <v>1406</v>
      </c>
      <c r="F485" s="673"/>
      <c r="G485" s="680"/>
      <c r="H485" s="675"/>
      <c r="I485" s="676"/>
      <c r="J485" s="676"/>
      <c r="K485" s="676"/>
      <c r="L485" s="676"/>
      <c r="M485" s="676"/>
      <c r="N485" s="676"/>
      <c r="O485" s="676"/>
      <c r="P485" s="676"/>
      <c r="Q485" s="676"/>
      <c r="R485" s="676"/>
      <c r="S485" s="676"/>
      <c r="T485" s="676"/>
      <c r="U485" s="676"/>
      <c r="V485" s="676"/>
      <c r="W485" s="676"/>
      <c r="X485" s="676"/>
      <c r="Y485" s="676"/>
      <c r="Z485" s="676"/>
    </row>
    <row r="486">
      <c r="A486" s="668">
        <v>45992.0</v>
      </c>
      <c r="B486" s="669" t="s">
        <v>1804</v>
      </c>
      <c r="C486" s="685" t="s">
        <v>1805</v>
      </c>
      <c r="D486" s="671">
        <v>55000.0</v>
      </c>
      <c r="E486" s="672" t="s">
        <v>1406</v>
      </c>
      <c r="F486" s="673"/>
      <c r="G486" s="680"/>
      <c r="H486" s="675"/>
      <c r="I486" s="676"/>
      <c r="J486" s="676"/>
      <c r="K486" s="676"/>
      <c r="L486" s="676"/>
      <c r="M486" s="676"/>
      <c r="N486" s="676"/>
      <c r="O486" s="676"/>
      <c r="P486" s="676"/>
      <c r="Q486" s="676"/>
      <c r="R486" s="676"/>
      <c r="S486" s="676"/>
      <c r="T486" s="676"/>
      <c r="U486" s="676"/>
      <c r="V486" s="676"/>
      <c r="W486" s="676"/>
      <c r="X486" s="676"/>
      <c r="Y486" s="676"/>
      <c r="Z486" s="676"/>
    </row>
    <row r="487">
      <c r="A487" s="686">
        <v>45994.0</v>
      </c>
      <c r="B487" s="658" t="s">
        <v>1806</v>
      </c>
      <c r="C487" s="687" t="s">
        <v>1807</v>
      </c>
      <c r="D487" s="666">
        <f>320000+36000*4+40000</f>
        <v>504000</v>
      </c>
      <c r="E487" s="661" t="s">
        <v>1406</v>
      </c>
      <c r="F487" s="662" t="s">
        <v>1406</v>
      </c>
      <c r="G487" s="667"/>
      <c r="H487" s="663"/>
      <c r="I487" s="664"/>
      <c r="J487" s="664"/>
      <c r="K487" s="664"/>
      <c r="L487" s="664"/>
      <c r="M487" s="664"/>
      <c r="N487" s="664"/>
      <c r="O487" s="664"/>
      <c r="P487" s="664"/>
      <c r="Q487" s="664"/>
      <c r="R487" s="664"/>
      <c r="S487" s="664"/>
      <c r="T487" s="664"/>
      <c r="U487" s="664"/>
      <c r="V487" s="664"/>
      <c r="W487" s="664"/>
      <c r="X487" s="664"/>
      <c r="Y487" s="664"/>
      <c r="Z487" s="664"/>
    </row>
    <row r="488">
      <c r="A488" s="668">
        <v>45994.0</v>
      </c>
      <c r="B488" s="669" t="s">
        <v>1806</v>
      </c>
      <c r="C488" s="685" t="s">
        <v>1808</v>
      </c>
      <c r="D488" s="671">
        <v>240000.0</v>
      </c>
      <c r="E488" s="672" t="s">
        <v>1406</v>
      </c>
      <c r="F488" s="673"/>
      <c r="G488" s="680"/>
      <c r="H488" s="675"/>
      <c r="I488" s="676"/>
      <c r="J488" s="676"/>
      <c r="K488" s="676"/>
      <c r="L488" s="676"/>
      <c r="M488" s="676"/>
      <c r="N488" s="676"/>
      <c r="O488" s="676"/>
      <c r="P488" s="676"/>
      <c r="Q488" s="676"/>
      <c r="R488" s="676"/>
      <c r="S488" s="676"/>
      <c r="T488" s="676"/>
      <c r="U488" s="676"/>
      <c r="V488" s="676"/>
      <c r="W488" s="676"/>
      <c r="X488" s="676"/>
      <c r="Y488" s="676"/>
      <c r="Z488" s="676"/>
    </row>
    <row r="489">
      <c r="A489" s="668">
        <v>45995.0</v>
      </c>
      <c r="B489" s="669" t="s">
        <v>1809</v>
      </c>
      <c r="C489" s="685" t="s">
        <v>1810</v>
      </c>
      <c r="D489" s="671">
        <v>1116000.0</v>
      </c>
      <c r="E489" s="672" t="s">
        <v>1406</v>
      </c>
      <c r="F489" s="673" t="s">
        <v>1764</v>
      </c>
      <c r="G489" s="680">
        <v>1671.63</v>
      </c>
      <c r="H489" s="675"/>
      <c r="I489" s="676"/>
      <c r="J489" s="676"/>
      <c r="K489" s="676"/>
      <c r="L489" s="676"/>
      <c r="M489" s="676"/>
      <c r="N489" s="676"/>
      <c r="O489" s="676"/>
      <c r="P489" s="676"/>
      <c r="Q489" s="676"/>
      <c r="R489" s="676"/>
      <c r="S489" s="676"/>
      <c r="T489" s="676"/>
      <c r="U489" s="676"/>
      <c r="V489" s="676"/>
      <c r="W489" s="676"/>
      <c r="X489" s="676"/>
      <c r="Y489" s="676"/>
      <c r="Z489" s="676"/>
    </row>
    <row r="490">
      <c r="A490" s="668">
        <v>45996.0</v>
      </c>
      <c r="B490" s="669" t="s">
        <v>356</v>
      </c>
      <c r="C490" s="682" t="s">
        <v>1811</v>
      </c>
      <c r="D490" s="671">
        <v>1370400.0</v>
      </c>
      <c r="E490" s="672" t="s">
        <v>1812</v>
      </c>
      <c r="F490" s="673" t="s">
        <v>1764</v>
      </c>
      <c r="G490" s="680">
        <v>2052.67</v>
      </c>
      <c r="H490" s="675"/>
      <c r="I490" s="676"/>
      <c r="J490" s="676"/>
      <c r="K490" s="676"/>
      <c r="L490" s="676"/>
      <c r="M490" s="676"/>
      <c r="N490" s="676"/>
      <c r="O490" s="676"/>
      <c r="P490" s="676"/>
      <c r="Q490" s="676"/>
      <c r="R490" s="676"/>
      <c r="S490" s="676"/>
      <c r="T490" s="676"/>
      <c r="U490" s="676"/>
      <c r="V490" s="676"/>
      <c r="W490" s="676"/>
      <c r="X490" s="676"/>
      <c r="Y490" s="676"/>
      <c r="Z490" s="676"/>
    </row>
    <row r="491">
      <c r="A491" s="686">
        <v>45996.0</v>
      </c>
      <c r="B491" s="658" t="s">
        <v>1813</v>
      </c>
      <c r="C491" s="659" t="s">
        <v>510</v>
      </c>
      <c r="D491" s="666">
        <f>300000+(36000*2)+30000+20000</f>
        <v>422000</v>
      </c>
      <c r="E491" s="661" t="s">
        <v>1406</v>
      </c>
      <c r="F491" s="662"/>
      <c r="G491" s="667">
        <v>629.0</v>
      </c>
      <c r="H491" s="663"/>
      <c r="I491" s="664"/>
      <c r="J491" s="664"/>
      <c r="K491" s="664"/>
      <c r="L491" s="664"/>
      <c r="M491" s="664"/>
      <c r="N491" s="664"/>
      <c r="O491" s="664"/>
      <c r="P491" s="664"/>
      <c r="Q491" s="664"/>
      <c r="R491" s="664"/>
      <c r="S491" s="664"/>
      <c r="T491" s="664"/>
      <c r="U491" s="664"/>
      <c r="V491" s="664"/>
      <c r="W491" s="664"/>
      <c r="X491" s="664"/>
      <c r="Y491" s="664"/>
      <c r="Z491" s="664"/>
    </row>
    <row r="492">
      <c r="A492" s="668">
        <v>45996.0</v>
      </c>
      <c r="B492" s="669" t="s">
        <v>1814</v>
      </c>
      <c r="C492" s="682" t="s">
        <v>1815</v>
      </c>
      <c r="D492" s="671">
        <v>442000.0</v>
      </c>
      <c r="E492" s="672" t="s">
        <v>1406</v>
      </c>
      <c r="F492" s="673"/>
      <c r="G492" s="680">
        <v>658.21</v>
      </c>
      <c r="H492" s="675"/>
      <c r="I492" s="676"/>
      <c r="J492" s="676"/>
      <c r="K492" s="676"/>
      <c r="L492" s="676"/>
      <c r="M492" s="676"/>
      <c r="N492" s="676"/>
      <c r="O492" s="676"/>
      <c r="P492" s="676"/>
      <c r="Q492" s="676"/>
      <c r="R492" s="676"/>
      <c r="S492" s="676"/>
      <c r="T492" s="676"/>
      <c r="U492" s="676"/>
      <c r="V492" s="676"/>
      <c r="W492" s="676"/>
      <c r="X492" s="676"/>
      <c r="Y492" s="676"/>
      <c r="Z492" s="676"/>
    </row>
    <row r="493">
      <c r="A493" s="668">
        <v>45997.0</v>
      </c>
      <c r="B493" s="669" t="s">
        <v>1804</v>
      </c>
      <c r="C493" s="682" t="s">
        <v>1816</v>
      </c>
      <c r="D493" s="671">
        <v>55000.0</v>
      </c>
      <c r="E493" s="672" t="s">
        <v>1406</v>
      </c>
      <c r="F493" s="673"/>
      <c r="G493" s="680"/>
      <c r="H493" s="675"/>
      <c r="I493" s="676"/>
      <c r="J493" s="676"/>
      <c r="K493" s="676"/>
      <c r="L493" s="676"/>
      <c r="M493" s="676"/>
      <c r="N493" s="676"/>
      <c r="O493" s="676"/>
      <c r="P493" s="676"/>
      <c r="Q493" s="676"/>
      <c r="R493" s="676"/>
      <c r="S493" s="676"/>
      <c r="T493" s="676"/>
      <c r="U493" s="676"/>
      <c r="V493" s="676"/>
      <c r="W493" s="676"/>
      <c r="X493" s="676"/>
      <c r="Y493" s="676"/>
      <c r="Z493" s="676"/>
    </row>
    <row r="494">
      <c r="A494" s="668">
        <v>45997.0</v>
      </c>
      <c r="B494" s="669" t="s">
        <v>1804</v>
      </c>
      <c r="C494" s="682" t="s">
        <v>1816</v>
      </c>
      <c r="D494" s="671">
        <v>55000.0</v>
      </c>
      <c r="E494" s="672" t="s">
        <v>1406</v>
      </c>
      <c r="F494" s="673"/>
      <c r="G494" s="680"/>
      <c r="H494" s="675"/>
      <c r="I494" s="676"/>
      <c r="J494" s="676"/>
      <c r="K494" s="676"/>
      <c r="L494" s="676"/>
      <c r="M494" s="676"/>
      <c r="N494" s="676"/>
      <c r="O494" s="676"/>
      <c r="P494" s="676"/>
      <c r="Q494" s="676"/>
      <c r="R494" s="676"/>
      <c r="S494" s="676"/>
      <c r="T494" s="676"/>
      <c r="U494" s="676"/>
      <c r="V494" s="676"/>
      <c r="W494" s="676"/>
      <c r="X494" s="676"/>
      <c r="Y494" s="676"/>
      <c r="Z494" s="676"/>
    </row>
    <row r="495">
      <c r="A495" s="668">
        <v>45998.0</v>
      </c>
      <c r="B495" s="669" t="s">
        <v>1817</v>
      </c>
      <c r="C495" s="682" t="s">
        <v>510</v>
      </c>
      <c r="D495" s="671">
        <v>660000.0</v>
      </c>
      <c r="E495" s="672" t="s">
        <v>1144</v>
      </c>
      <c r="F495" s="673"/>
      <c r="G495" s="680">
        <v>1023.22</v>
      </c>
      <c r="H495" s="675"/>
      <c r="I495" s="676"/>
      <c r="J495" s="676"/>
      <c r="K495" s="676"/>
      <c r="L495" s="676"/>
      <c r="M495" s="676"/>
      <c r="N495" s="676"/>
      <c r="O495" s="676"/>
      <c r="P495" s="676"/>
      <c r="Q495" s="676"/>
      <c r="R495" s="676"/>
      <c r="S495" s="676"/>
      <c r="T495" s="676"/>
      <c r="U495" s="676"/>
      <c r="V495" s="676"/>
      <c r="W495" s="676"/>
      <c r="X495" s="676"/>
      <c r="Y495" s="676"/>
      <c r="Z495" s="676"/>
    </row>
    <row r="496">
      <c r="A496" s="668">
        <v>45998.0</v>
      </c>
      <c r="B496" s="669" t="s">
        <v>1817</v>
      </c>
      <c r="C496" s="682" t="s">
        <v>1818</v>
      </c>
      <c r="D496" s="671">
        <f>170000*2</f>
        <v>340000</v>
      </c>
      <c r="E496" s="672" t="s">
        <v>1406</v>
      </c>
      <c r="F496" s="673"/>
      <c r="G496" s="680">
        <v>527.12</v>
      </c>
      <c r="H496" s="675"/>
      <c r="I496" s="676"/>
      <c r="J496" s="676"/>
      <c r="K496" s="676"/>
      <c r="L496" s="676"/>
      <c r="M496" s="676"/>
      <c r="N496" s="676"/>
      <c r="O496" s="676"/>
      <c r="P496" s="676"/>
      <c r="Q496" s="676"/>
      <c r="R496" s="676"/>
      <c r="S496" s="676"/>
      <c r="T496" s="676"/>
      <c r="U496" s="676"/>
      <c r="V496" s="676"/>
      <c r="W496" s="676"/>
      <c r="X496" s="676"/>
      <c r="Y496" s="676"/>
      <c r="Z496" s="676"/>
    </row>
    <row r="497">
      <c r="A497" s="668">
        <v>45998.0</v>
      </c>
      <c r="B497" s="669" t="s">
        <v>1809</v>
      </c>
      <c r="C497" s="682" t="s">
        <v>1819</v>
      </c>
      <c r="D497" s="671">
        <v>442000.0</v>
      </c>
      <c r="E497" s="672" t="s">
        <v>1406</v>
      </c>
      <c r="F497" s="673" t="s">
        <v>1764</v>
      </c>
      <c r="G497" s="680">
        <v>662.01</v>
      </c>
      <c r="H497" s="675"/>
      <c r="I497" s="676"/>
      <c r="J497" s="676"/>
      <c r="K497" s="676"/>
      <c r="L497" s="676"/>
      <c r="M497" s="676"/>
      <c r="N497" s="676"/>
      <c r="O497" s="676"/>
      <c r="P497" s="676"/>
      <c r="Q497" s="676"/>
      <c r="R497" s="676"/>
      <c r="S497" s="676"/>
      <c r="T497" s="676"/>
      <c r="U497" s="676"/>
      <c r="V497" s="676"/>
      <c r="W497" s="676"/>
      <c r="X497" s="676"/>
      <c r="Y497" s="676"/>
      <c r="Z497" s="676"/>
    </row>
    <row r="498">
      <c r="A498" s="686">
        <v>46004.0</v>
      </c>
      <c r="B498" s="658" t="s">
        <v>1820</v>
      </c>
      <c r="C498" s="659" t="s">
        <v>1821</v>
      </c>
      <c r="D498" s="688">
        <v>4500000.0</v>
      </c>
      <c r="E498" s="661" t="s">
        <v>1406</v>
      </c>
      <c r="F498" s="662"/>
      <c r="G498" s="667">
        <v>6707.33</v>
      </c>
      <c r="H498" s="663"/>
      <c r="I498" s="664"/>
      <c r="J498" s="664"/>
      <c r="K498" s="664"/>
      <c r="L498" s="664"/>
      <c r="M498" s="664"/>
      <c r="N498" s="664"/>
      <c r="O498" s="664"/>
      <c r="P498" s="664"/>
      <c r="Q498" s="664"/>
      <c r="R498" s="664"/>
      <c r="S498" s="664"/>
      <c r="T498" s="664"/>
      <c r="U498" s="664"/>
      <c r="V498" s="664"/>
      <c r="W498" s="664"/>
      <c r="X498" s="664"/>
      <c r="Y498" s="664"/>
      <c r="Z498" s="664"/>
    </row>
    <row r="499">
      <c r="A499" s="668">
        <v>46004.0</v>
      </c>
      <c r="B499" s="669" t="s">
        <v>1820</v>
      </c>
      <c r="C499" s="682" t="s">
        <v>406</v>
      </c>
      <c r="D499" s="689">
        <f>130000*13</f>
        <v>1690000</v>
      </c>
      <c r="E499" s="672" t="s">
        <v>1406</v>
      </c>
      <c r="F499" s="673"/>
      <c r="G499" s="680">
        <v>2518.98</v>
      </c>
      <c r="H499" s="675"/>
      <c r="I499" s="676"/>
      <c r="J499" s="676"/>
      <c r="K499" s="676"/>
      <c r="L499" s="676"/>
      <c r="M499" s="676"/>
      <c r="N499" s="676"/>
      <c r="O499" s="676"/>
      <c r="P499" s="676"/>
      <c r="Q499" s="676"/>
      <c r="R499" s="676"/>
      <c r="S499" s="676"/>
      <c r="T499" s="676"/>
      <c r="U499" s="676"/>
      <c r="V499" s="676"/>
      <c r="W499" s="676"/>
      <c r="X499" s="676"/>
      <c r="Y499" s="676"/>
      <c r="Z499" s="676"/>
    </row>
    <row r="500">
      <c r="A500" s="686">
        <v>46007.0</v>
      </c>
      <c r="B500" s="658" t="s">
        <v>1822</v>
      </c>
      <c r="C500" s="659" t="s">
        <v>1424</v>
      </c>
      <c r="D500" s="660">
        <f>320000+36000*4+40000+35000*4</f>
        <v>644000</v>
      </c>
      <c r="E500" s="661" t="s">
        <v>1406</v>
      </c>
      <c r="F500" s="662" t="s">
        <v>1823</v>
      </c>
      <c r="G500" s="667">
        <v>655.56</v>
      </c>
      <c r="H500" s="663"/>
      <c r="I500" s="664"/>
      <c r="J500" s="664"/>
      <c r="K500" s="664"/>
      <c r="L500" s="664"/>
      <c r="M500" s="664"/>
      <c r="N500" s="664"/>
      <c r="O500" s="664"/>
      <c r="P500" s="664"/>
      <c r="Q500" s="664"/>
      <c r="R500" s="664"/>
      <c r="S500" s="664"/>
      <c r="T500" s="664"/>
      <c r="U500" s="664"/>
      <c r="V500" s="664"/>
      <c r="W500" s="664"/>
      <c r="X500" s="664"/>
      <c r="Y500" s="664"/>
      <c r="Z500" s="664"/>
    </row>
    <row r="501">
      <c r="A501" s="668">
        <v>46007.0</v>
      </c>
      <c r="B501" s="669" t="s">
        <v>1822</v>
      </c>
      <c r="C501" s="682" t="s">
        <v>1824</v>
      </c>
      <c r="D501" s="671">
        <v>240000.0</v>
      </c>
      <c r="E501" s="672" t="s">
        <v>1406</v>
      </c>
      <c r="F501" s="673" t="s">
        <v>1825</v>
      </c>
      <c r="G501" s="680">
        <v>348.12</v>
      </c>
      <c r="H501" s="675"/>
      <c r="I501" s="676"/>
      <c r="J501" s="676"/>
      <c r="K501" s="676"/>
      <c r="L501" s="676"/>
      <c r="M501" s="676"/>
      <c r="N501" s="676"/>
      <c r="O501" s="676"/>
      <c r="P501" s="676"/>
      <c r="Q501" s="676"/>
      <c r="R501" s="676"/>
      <c r="S501" s="676"/>
      <c r="T501" s="676"/>
      <c r="U501" s="676"/>
      <c r="V501" s="676"/>
      <c r="W501" s="676"/>
      <c r="X501" s="676"/>
      <c r="Y501" s="676"/>
      <c r="Z501" s="676"/>
    </row>
    <row r="502">
      <c r="A502" s="611">
        <v>46008.0</v>
      </c>
      <c r="B502" s="612" t="s">
        <v>1822</v>
      </c>
      <c r="C502" s="613" t="s">
        <v>1826</v>
      </c>
      <c r="D502" s="620">
        <v>1320000.0</v>
      </c>
      <c r="E502" s="615" t="s">
        <v>1406</v>
      </c>
      <c r="F502" s="616" t="s">
        <v>1825</v>
      </c>
      <c r="G502" s="644">
        <v>1914.7</v>
      </c>
      <c r="H502" s="595"/>
      <c r="I502" s="617"/>
      <c r="J502" s="617"/>
      <c r="K502" s="617"/>
      <c r="L502" s="617"/>
      <c r="M502" s="617"/>
      <c r="N502" s="617"/>
      <c r="O502" s="617"/>
      <c r="P502" s="617"/>
      <c r="Q502" s="617"/>
      <c r="R502" s="617"/>
      <c r="S502" s="617"/>
      <c r="T502" s="617"/>
      <c r="U502" s="617"/>
      <c r="V502" s="617"/>
      <c r="W502" s="617"/>
      <c r="X502" s="617"/>
      <c r="Y502" s="617"/>
      <c r="Z502" s="617"/>
    </row>
    <row r="503">
      <c r="A503" s="679">
        <v>46010.0</v>
      </c>
      <c r="B503" s="669" t="s">
        <v>1827</v>
      </c>
      <c r="C503" s="682" t="s">
        <v>1828</v>
      </c>
      <c r="D503" s="671">
        <v>442000.0</v>
      </c>
      <c r="E503" s="672" t="s">
        <v>1406</v>
      </c>
      <c r="F503" s="673"/>
      <c r="G503" s="680"/>
      <c r="H503" s="675"/>
      <c r="I503" s="676"/>
      <c r="J503" s="676"/>
      <c r="K503" s="676"/>
      <c r="L503" s="676"/>
      <c r="M503" s="676"/>
      <c r="N503" s="676"/>
      <c r="O503" s="676"/>
      <c r="P503" s="676"/>
      <c r="Q503" s="676"/>
      <c r="R503" s="676"/>
      <c r="S503" s="676"/>
      <c r="T503" s="676"/>
      <c r="U503" s="676"/>
      <c r="V503" s="676"/>
      <c r="W503" s="676"/>
      <c r="X503" s="676"/>
      <c r="Y503" s="676"/>
      <c r="Z503" s="676"/>
    </row>
    <row r="504">
      <c r="A504" s="679">
        <v>46011.0</v>
      </c>
      <c r="B504" s="669" t="s">
        <v>1829</v>
      </c>
      <c r="C504" s="682" t="s">
        <v>1830</v>
      </c>
      <c r="D504" s="671">
        <v>55000.0</v>
      </c>
      <c r="E504" s="672" t="s">
        <v>1406</v>
      </c>
      <c r="F504" s="673"/>
      <c r="G504" s="680"/>
      <c r="H504" s="675"/>
      <c r="I504" s="676"/>
      <c r="J504" s="676"/>
      <c r="K504" s="676"/>
      <c r="L504" s="676"/>
      <c r="M504" s="676"/>
      <c r="N504" s="676"/>
      <c r="O504" s="676"/>
      <c r="P504" s="676"/>
      <c r="Q504" s="676"/>
      <c r="R504" s="676"/>
      <c r="S504" s="676"/>
      <c r="T504" s="676"/>
      <c r="U504" s="676"/>
      <c r="V504" s="676"/>
      <c r="W504" s="676"/>
      <c r="X504" s="676"/>
      <c r="Y504" s="676"/>
      <c r="Z504" s="676"/>
    </row>
    <row r="505">
      <c r="A505" s="679">
        <v>46012.0</v>
      </c>
      <c r="B505" s="669" t="s">
        <v>1831</v>
      </c>
      <c r="C505" s="682" t="s">
        <v>1742</v>
      </c>
      <c r="D505" s="690">
        <f>300000+(36000*2)+30000+30000</f>
        <v>432000</v>
      </c>
      <c r="E505" s="672" t="s">
        <v>1406</v>
      </c>
      <c r="F505" s="673"/>
      <c r="G505" s="680"/>
      <c r="H505" s="675"/>
      <c r="I505" s="676"/>
      <c r="J505" s="676"/>
      <c r="K505" s="676"/>
      <c r="L505" s="676"/>
      <c r="M505" s="676"/>
      <c r="N505" s="676"/>
      <c r="O505" s="676"/>
      <c r="P505" s="676"/>
      <c r="Q505" s="676"/>
      <c r="R505" s="676"/>
      <c r="S505" s="676"/>
      <c r="T505" s="676"/>
      <c r="U505" s="676"/>
      <c r="V505" s="676"/>
      <c r="W505" s="676"/>
      <c r="X505" s="676"/>
      <c r="Y505" s="676"/>
      <c r="Z505" s="676"/>
    </row>
    <row r="506">
      <c r="A506" s="679">
        <v>46014.0</v>
      </c>
      <c r="B506" s="669" t="s">
        <v>1829</v>
      </c>
      <c r="C506" s="682" t="s">
        <v>1832</v>
      </c>
      <c r="D506" s="671">
        <v>350000.0</v>
      </c>
      <c r="E506" s="672" t="s">
        <v>1406</v>
      </c>
      <c r="F506" s="673"/>
      <c r="G506" s="680"/>
      <c r="H506" s="675"/>
      <c r="I506" s="676"/>
      <c r="J506" s="676"/>
      <c r="K506" s="676"/>
      <c r="L506" s="676"/>
      <c r="M506" s="676"/>
      <c r="N506" s="676"/>
      <c r="O506" s="676"/>
      <c r="P506" s="676"/>
      <c r="Q506" s="676"/>
      <c r="R506" s="676"/>
      <c r="S506" s="676"/>
      <c r="T506" s="676"/>
      <c r="U506" s="676"/>
      <c r="V506" s="676"/>
      <c r="W506" s="676"/>
      <c r="X506" s="676"/>
      <c r="Y506" s="676"/>
      <c r="Z506" s="676"/>
    </row>
    <row r="507">
      <c r="A507" s="657">
        <v>46014.0</v>
      </c>
      <c r="B507" s="658" t="s">
        <v>1833</v>
      </c>
      <c r="C507" s="659" t="s">
        <v>1834</v>
      </c>
      <c r="D507" s="660">
        <f>300000+(36000*2)+30000+20000</f>
        <v>422000</v>
      </c>
      <c r="E507" s="661" t="s">
        <v>1144</v>
      </c>
      <c r="F507" s="662" t="s">
        <v>1825</v>
      </c>
      <c r="G507" s="667">
        <v>610.93</v>
      </c>
      <c r="H507" s="663"/>
      <c r="I507" s="664"/>
      <c r="J507" s="664"/>
      <c r="K507" s="664"/>
      <c r="L507" s="664"/>
      <c r="M507" s="664"/>
      <c r="N507" s="664"/>
      <c r="O507" s="664"/>
      <c r="P507" s="664"/>
      <c r="Q507" s="664"/>
      <c r="R507" s="664"/>
      <c r="S507" s="664"/>
      <c r="T507" s="664"/>
      <c r="U507" s="664"/>
      <c r="V507" s="664"/>
      <c r="W507" s="664"/>
      <c r="X507" s="664"/>
      <c r="Y507" s="664"/>
      <c r="Z507" s="664"/>
    </row>
    <row r="508">
      <c r="A508" s="668">
        <v>46015.0</v>
      </c>
      <c r="B508" s="669" t="s">
        <v>1835</v>
      </c>
      <c r="C508" s="682" t="s">
        <v>589</v>
      </c>
      <c r="D508" s="690">
        <f>330000*2</f>
        <v>660000</v>
      </c>
      <c r="E508" s="672" t="s">
        <v>1406</v>
      </c>
      <c r="F508" s="673" t="s">
        <v>1836</v>
      </c>
      <c r="G508" s="680">
        <v>998.44</v>
      </c>
      <c r="H508" s="675"/>
      <c r="I508" s="676"/>
      <c r="J508" s="676"/>
      <c r="K508" s="676"/>
      <c r="L508" s="676"/>
      <c r="M508" s="676"/>
      <c r="N508" s="676"/>
      <c r="O508" s="676"/>
      <c r="P508" s="676"/>
      <c r="Q508" s="676"/>
      <c r="R508" s="676"/>
      <c r="S508" s="676"/>
      <c r="T508" s="676"/>
      <c r="U508" s="676"/>
      <c r="V508" s="676"/>
      <c r="W508" s="676"/>
      <c r="X508" s="676"/>
      <c r="Y508" s="676"/>
      <c r="Z508" s="676"/>
    </row>
    <row r="509">
      <c r="A509" s="668">
        <v>46016.0</v>
      </c>
      <c r="B509" s="669" t="s">
        <v>1837</v>
      </c>
      <c r="C509" s="682" t="s">
        <v>158</v>
      </c>
      <c r="D509" s="690">
        <f>370000*2</f>
        <v>740000</v>
      </c>
      <c r="E509" s="672" t="s">
        <v>1838</v>
      </c>
      <c r="F509" s="673" t="s">
        <v>1839</v>
      </c>
      <c r="G509" s="680">
        <v>1071.33</v>
      </c>
      <c r="H509" s="675"/>
      <c r="I509" s="676"/>
      <c r="J509" s="676"/>
      <c r="K509" s="676"/>
      <c r="L509" s="676"/>
      <c r="M509" s="676"/>
      <c r="N509" s="676"/>
      <c r="O509" s="676"/>
      <c r="P509" s="676"/>
      <c r="Q509" s="676"/>
      <c r="R509" s="676"/>
      <c r="S509" s="676"/>
      <c r="T509" s="676"/>
      <c r="U509" s="676"/>
      <c r="V509" s="676"/>
      <c r="W509" s="676"/>
      <c r="X509" s="676"/>
      <c r="Y509" s="676"/>
      <c r="Z509" s="676"/>
    </row>
    <row r="510">
      <c r="A510" s="668">
        <v>46015.0</v>
      </c>
      <c r="B510" s="669" t="s">
        <v>1840</v>
      </c>
      <c r="C510" s="682" t="s">
        <v>1841</v>
      </c>
      <c r="D510" s="671">
        <v>145000.0</v>
      </c>
      <c r="E510" s="672" t="s">
        <v>1406</v>
      </c>
      <c r="F510" s="673"/>
      <c r="G510" s="680"/>
      <c r="H510" s="675"/>
      <c r="I510" s="676"/>
      <c r="J510" s="676"/>
      <c r="K510" s="676"/>
      <c r="L510" s="676"/>
      <c r="M510" s="676"/>
      <c r="N510" s="676"/>
      <c r="O510" s="676"/>
      <c r="P510" s="676"/>
      <c r="Q510" s="676"/>
      <c r="R510" s="676"/>
      <c r="S510" s="676"/>
      <c r="T510" s="676"/>
      <c r="U510" s="676"/>
      <c r="V510" s="676"/>
      <c r="W510" s="676"/>
      <c r="X510" s="676"/>
      <c r="Y510" s="676"/>
      <c r="Z510" s="676"/>
    </row>
    <row r="511">
      <c r="A511" s="673" t="s">
        <v>1406</v>
      </c>
      <c r="B511" s="669" t="s">
        <v>1835</v>
      </c>
      <c r="C511" s="682" t="s">
        <v>285</v>
      </c>
      <c r="D511" s="671">
        <f>130000*2</f>
        <v>260000</v>
      </c>
      <c r="E511" s="672" t="s">
        <v>1543</v>
      </c>
      <c r="F511" s="673" t="s">
        <v>1842</v>
      </c>
      <c r="G511" s="680">
        <v>393.34</v>
      </c>
      <c r="H511" s="675"/>
      <c r="I511" s="676"/>
      <c r="J511" s="676"/>
      <c r="K511" s="676"/>
      <c r="L511" s="676"/>
      <c r="M511" s="676"/>
      <c r="N511" s="676"/>
      <c r="O511" s="676"/>
      <c r="P511" s="676"/>
      <c r="Q511" s="676"/>
      <c r="R511" s="676"/>
      <c r="S511" s="676"/>
      <c r="T511" s="676"/>
      <c r="U511" s="676"/>
      <c r="V511" s="676"/>
      <c r="W511" s="676"/>
      <c r="X511" s="676"/>
      <c r="Y511" s="676"/>
      <c r="Z511" s="676"/>
    </row>
    <row r="512">
      <c r="A512" s="679">
        <v>46017.0</v>
      </c>
      <c r="B512" s="669" t="s">
        <v>1837</v>
      </c>
      <c r="C512" s="682" t="s">
        <v>1843</v>
      </c>
      <c r="D512" s="671">
        <v>350000.0</v>
      </c>
      <c r="E512" s="672" t="s">
        <v>1406</v>
      </c>
      <c r="F512" s="673" t="s">
        <v>1844</v>
      </c>
      <c r="G512" s="680">
        <v>506.71</v>
      </c>
      <c r="H512" s="675"/>
      <c r="I512" s="676"/>
      <c r="J512" s="676"/>
      <c r="K512" s="676"/>
      <c r="L512" s="676"/>
      <c r="M512" s="676"/>
      <c r="N512" s="676"/>
      <c r="O512" s="676"/>
      <c r="P512" s="676"/>
      <c r="Q512" s="676"/>
      <c r="R512" s="676"/>
      <c r="S512" s="676"/>
      <c r="T512" s="676"/>
      <c r="U512" s="676"/>
      <c r="V512" s="676"/>
      <c r="W512" s="676"/>
      <c r="X512" s="676"/>
      <c r="Y512" s="676"/>
      <c r="Z512" s="676"/>
    </row>
    <row r="513">
      <c r="A513" s="686">
        <v>46017.0</v>
      </c>
      <c r="B513" s="658" t="s">
        <v>1833</v>
      </c>
      <c r="C513" s="659" t="s">
        <v>1845</v>
      </c>
      <c r="D513" s="666">
        <f>130000*2</f>
        <v>260000</v>
      </c>
      <c r="E513" s="661" t="s">
        <v>1406</v>
      </c>
      <c r="F513" s="662" t="s">
        <v>1764</v>
      </c>
      <c r="G513" s="667">
        <v>318.5</v>
      </c>
      <c r="H513" s="663"/>
      <c r="I513" s="664"/>
      <c r="J513" s="664"/>
      <c r="K513" s="664"/>
      <c r="L513" s="664"/>
      <c r="M513" s="664"/>
      <c r="N513" s="664"/>
      <c r="O513" s="664"/>
      <c r="P513" s="664"/>
      <c r="Q513" s="664"/>
      <c r="R513" s="664"/>
      <c r="S513" s="664"/>
      <c r="T513" s="664"/>
      <c r="U513" s="664"/>
      <c r="V513" s="664"/>
      <c r="W513" s="664"/>
      <c r="X513" s="664"/>
      <c r="Y513" s="664"/>
      <c r="Z513" s="664"/>
    </row>
    <row r="514">
      <c r="A514" s="657">
        <v>46017.0</v>
      </c>
      <c r="B514" s="658" t="s">
        <v>1846</v>
      </c>
      <c r="C514" s="691" t="s">
        <v>512</v>
      </c>
      <c r="D514" s="692">
        <v>261000.0</v>
      </c>
      <c r="E514" s="661" t="s">
        <v>1406</v>
      </c>
      <c r="F514" s="662"/>
      <c r="G514" s="667"/>
      <c r="H514" s="663"/>
      <c r="I514" s="664"/>
      <c r="J514" s="664"/>
      <c r="K514" s="664"/>
      <c r="L514" s="664"/>
      <c r="M514" s="664"/>
      <c r="N514" s="664"/>
      <c r="O514" s="664"/>
      <c r="P514" s="664"/>
      <c r="Q514" s="664"/>
      <c r="R514" s="664"/>
      <c r="S514" s="664"/>
      <c r="T514" s="664"/>
      <c r="U514" s="664"/>
      <c r="V514" s="664"/>
      <c r="W514" s="664"/>
      <c r="X514" s="664"/>
      <c r="Y514" s="664"/>
      <c r="Z514" s="664"/>
    </row>
    <row r="515" ht="20.25" customHeight="1">
      <c r="A515" s="657">
        <v>46018.0</v>
      </c>
      <c r="B515" s="658" t="s">
        <v>1846</v>
      </c>
      <c r="C515" s="691" t="s">
        <v>513</v>
      </c>
      <c r="D515" s="692">
        <f> 150400 * 7 +100000</f>
        <v>1152800</v>
      </c>
      <c r="E515" s="661" t="s">
        <v>1406</v>
      </c>
      <c r="F515" s="662"/>
      <c r="G515" s="667"/>
      <c r="H515" s="663"/>
      <c r="I515" s="664"/>
      <c r="J515" s="664"/>
      <c r="K515" s="664"/>
      <c r="L515" s="664"/>
      <c r="M515" s="664"/>
      <c r="N515" s="664"/>
      <c r="O515" s="664"/>
      <c r="P515" s="664"/>
      <c r="Q515" s="664"/>
      <c r="R515" s="664"/>
      <c r="S515" s="664"/>
      <c r="T515" s="664"/>
      <c r="U515" s="664"/>
      <c r="V515" s="664"/>
      <c r="W515" s="664"/>
      <c r="X515" s="664"/>
      <c r="Y515" s="664"/>
      <c r="Z515" s="664"/>
    </row>
    <row r="516">
      <c r="A516" s="679">
        <v>46019.0</v>
      </c>
      <c r="B516" s="669" t="s">
        <v>1847</v>
      </c>
      <c r="C516" s="693" t="s">
        <v>1848</v>
      </c>
      <c r="D516" s="694">
        <f>55000*2</f>
        <v>110000</v>
      </c>
      <c r="E516" s="672" t="s">
        <v>1406</v>
      </c>
      <c r="F516" s="673"/>
      <c r="G516" s="680">
        <v>165.55</v>
      </c>
      <c r="H516" s="675"/>
      <c r="I516" s="676"/>
      <c r="J516" s="676"/>
      <c r="K516" s="676"/>
      <c r="L516" s="676"/>
      <c r="M516" s="676"/>
      <c r="N516" s="676"/>
      <c r="O516" s="676"/>
      <c r="P516" s="676"/>
      <c r="Q516" s="676"/>
      <c r="R516" s="676"/>
      <c r="S516" s="676"/>
      <c r="T516" s="676"/>
      <c r="U516" s="676"/>
      <c r="V516" s="676"/>
      <c r="W516" s="676"/>
      <c r="X516" s="676"/>
      <c r="Y516" s="676"/>
      <c r="Z516" s="676"/>
    </row>
    <row r="517">
      <c r="A517" s="679">
        <v>46019.0</v>
      </c>
      <c r="B517" s="669" t="s">
        <v>1849</v>
      </c>
      <c r="C517" s="693" t="s">
        <v>1717</v>
      </c>
      <c r="D517" s="694">
        <v>170000.0</v>
      </c>
      <c r="E517" s="672" t="s">
        <v>1406</v>
      </c>
      <c r="F517" s="673"/>
      <c r="G517" s="680">
        <v>262.49</v>
      </c>
      <c r="H517" s="675"/>
      <c r="I517" s="676"/>
      <c r="J517" s="676"/>
      <c r="K517" s="676"/>
      <c r="L517" s="676"/>
      <c r="M517" s="676"/>
      <c r="N517" s="676"/>
      <c r="O517" s="676"/>
      <c r="P517" s="676"/>
      <c r="Q517" s="676"/>
      <c r="R517" s="676"/>
      <c r="S517" s="676"/>
      <c r="T517" s="676"/>
      <c r="U517" s="676"/>
      <c r="V517" s="676"/>
      <c r="W517" s="676"/>
      <c r="X517" s="676"/>
      <c r="Y517" s="676"/>
      <c r="Z517" s="676"/>
    </row>
    <row r="518">
      <c r="A518" s="679">
        <v>46020.0</v>
      </c>
      <c r="B518" s="669" t="s">
        <v>1849</v>
      </c>
      <c r="C518" s="693" t="s">
        <v>1850</v>
      </c>
      <c r="D518" s="694">
        <v>350000.0</v>
      </c>
      <c r="E518" s="672" t="s">
        <v>1406</v>
      </c>
      <c r="F518" s="673"/>
      <c r="G518" s="680">
        <v>540.41</v>
      </c>
      <c r="H518" s="675"/>
      <c r="I518" s="676"/>
      <c r="J518" s="676"/>
      <c r="K518" s="676"/>
      <c r="L518" s="676"/>
      <c r="M518" s="676"/>
      <c r="N518" s="676"/>
      <c r="O518" s="676"/>
      <c r="P518" s="676"/>
      <c r="Q518" s="676"/>
      <c r="R518" s="676"/>
      <c r="S518" s="676"/>
      <c r="T518" s="676"/>
      <c r="U518" s="676"/>
      <c r="V518" s="676"/>
      <c r="W518" s="676"/>
      <c r="X518" s="676"/>
      <c r="Y518" s="676"/>
      <c r="Z518" s="676"/>
    </row>
    <row r="519">
      <c r="A519" s="657">
        <v>46020.0</v>
      </c>
      <c r="B519" s="658" t="s">
        <v>1849</v>
      </c>
      <c r="C519" s="691" t="s">
        <v>1851</v>
      </c>
      <c r="D519" s="692">
        <f>320000+36000*4+40000</f>
        <v>504000</v>
      </c>
      <c r="E519" s="661" t="s">
        <v>1406</v>
      </c>
      <c r="F519" s="662"/>
      <c r="G519" s="667">
        <v>801.05</v>
      </c>
      <c r="H519" s="663"/>
      <c r="I519" s="664"/>
      <c r="J519" s="664"/>
      <c r="K519" s="664"/>
      <c r="L519" s="664"/>
      <c r="M519" s="664"/>
      <c r="N519" s="664"/>
      <c r="O519" s="664"/>
      <c r="P519" s="664"/>
      <c r="Q519" s="664"/>
      <c r="R519" s="664"/>
      <c r="S519" s="664"/>
      <c r="T519" s="664"/>
      <c r="U519" s="664"/>
      <c r="V519" s="664"/>
      <c r="W519" s="664"/>
      <c r="X519" s="664"/>
      <c r="Y519" s="664"/>
      <c r="Z519" s="664"/>
    </row>
    <row r="520">
      <c r="A520" s="679">
        <v>46020.0</v>
      </c>
      <c r="B520" s="669" t="s">
        <v>1852</v>
      </c>
      <c r="C520" s="693" t="s">
        <v>663</v>
      </c>
      <c r="D520" s="694">
        <f>320000+(36000*3)+30000+30000</f>
        <v>488000</v>
      </c>
      <c r="E520" s="672" t="s">
        <v>1406</v>
      </c>
      <c r="F520" s="673" t="s">
        <v>1764</v>
      </c>
      <c r="G520" s="680">
        <v>775.6</v>
      </c>
      <c r="H520" s="675"/>
      <c r="I520" s="676"/>
      <c r="J520" s="676"/>
      <c r="K520" s="676"/>
      <c r="L520" s="676"/>
      <c r="M520" s="676"/>
      <c r="N520" s="676"/>
      <c r="O520" s="676"/>
      <c r="P520" s="676"/>
      <c r="Q520" s="676"/>
      <c r="R520" s="676"/>
      <c r="S520" s="676"/>
      <c r="T520" s="676"/>
      <c r="U520" s="676"/>
      <c r="V520" s="676"/>
      <c r="W520" s="676"/>
      <c r="X520" s="676"/>
      <c r="Y520" s="676"/>
      <c r="Z520" s="676"/>
    </row>
    <row r="521">
      <c r="A521" s="679">
        <v>46021.0</v>
      </c>
      <c r="B521" s="669" t="s">
        <v>1853</v>
      </c>
      <c r="C521" s="693" t="s">
        <v>510</v>
      </c>
      <c r="D521" s="694">
        <v>422000.0</v>
      </c>
      <c r="E521" s="672" t="s">
        <v>1406</v>
      </c>
      <c r="F521" s="673" t="s">
        <v>1854</v>
      </c>
      <c r="G521" s="680"/>
      <c r="H521" s="675"/>
      <c r="I521" s="676"/>
      <c r="J521" s="676"/>
      <c r="K521" s="676"/>
      <c r="L521" s="676"/>
      <c r="M521" s="676"/>
      <c r="N521" s="676"/>
      <c r="O521" s="676"/>
      <c r="P521" s="676"/>
      <c r="Q521" s="676"/>
      <c r="R521" s="676"/>
      <c r="S521" s="676"/>
      <c r="T521" s="676"/>
      <c r="U521" s="676"/>
      <c r="V521" s="676"/>
      <c r="W521" s="676"/>
      <c r="X521" s="676"/>
      <c r="Y521" s="676"/>
      <c r="Z521" s="676"/>
    </row>
    <row r="522">
      <c r="A522" s="679">
        <v>46022.0</v>
      </c>
      <c r="B522" s="669" t="s">
        <v>1855</v>
      </c>
      <c r="C522" s="693" t="s">
        <v>169</v>
      </c>
      <c r="D522" s="694">
        <v>740000.0</v>
      </c>
      <c r="E522" s="672" t="s">
        <v>1406</v>
      </c>
      <c r="F522" s="673"/>
      <c r="G522" s="680">
        <v>1120.35</v>
      </c>
      <c r="H522" s="675"/>
      <c r="I522" s="676"/>
      <c r="J522" s="676"/>
      <c r="K522" s="676"/>
      <c r="L522" s="676"/>
      <c r="M522" s="676"/>
      <c r="N522" s="676"/>
      <c r="O522" s="676"/>
      <c r="P522" s="676"/>
      <c r="Q522" s="676"/>
      <c r="R522" s="676"/>
      <c r="S522" s="676"/>
      <c r="T522" s="676"/>
      <c r="U522" s="676"/>
      <c r="V522" s="676"/>
      <c r="W522" s="676"/>
      <c r="X522" s="676"/>
      <c r="Y522" s="676"/>
      <c r="Z522" s="676"/>
    </row>
    <row r="523">
      <c r="A523" s="679">
        <v>46022.0</v>
      </c>
      <c r="B523" s="669" t="s">
        <v>1856</v>
      </c>
      <c r="C523" s="693" t="s">
        <v>1857</v>
      </c>
      <c r="D523" s="694">
        <v>55000.0</v>
      </c>
      <c r="E523" s="672" t="s">
        <v>1406</v>
      </c>
      <c r="F523" s="673"/>
      <c r="G523" s="680"/>
      <c r="H523" s="675"/>
      <c r="I523" s="676"/>
      <c r="J523" s="676"/>
      <c r="K523" s="676"/>
      <c r="L523" s="676"/>
      <c r="M523" s="676"/>
      <c r="N523" s="676"/>
      <c r="O523" s="676"/>
      <c r="P523" s="676"/>
      <c r="Q523" s="676"/>
      <c r="R523" s="676"/>
      <c r="S523" s="676"/>
      <c r="T523" s="676"/>
      <c r="U523" s="676"/>
      <c r="V523" s="676"/>
      <c r="W523" s="676"/>
      <c r="X523" s="676"/>
      <c r="Y523" s="676"/>
      <c r="Z523" s="676"/>
    </row>
    <row r="524">
      <c r="A524" s="679">
        <v>46022.0</v>
      </c>
      <c r="B524" s="669" t="s">
        <v>1846</v>
      </c>
      <c r="C524" s="693" t="s">
        <v>514</v>
      </c>
      <c r="D524" s="694">
        <v>170000.0</v>
      </c>
      <c r="E524" s="672" t="s">
        <v>1406</v>
      </c>
      <c r="F524" s="673"/>
      <c r="G524" s="680"/>
      <c r="H524" s="675"/>
      <c r="I524" s="676"/>
      <c r="J524" s="676"/>
      <c r="K524" s="676"/>
      <c r="L524" s="676"/>
      <c r="M524" s="676"/>
      <c r="N524" s="676"/>
      <c r="O524" s="676"/>
      <c r="P524" s="676"/>
      <c r="Q524" s="676"/>
      <c r="R524" s="676"/>
      <c r="S524" s="676"/>
      <c r="T524" s="676"/>
      <c r="U524" s="676"/>
      <c r="V524" s="676"/>
      <c r="W524" s="676"/>
      <c r="X524" s="676"/>
      <c r="Y524" s="676"/>
      <c r="Z524" s="676"/>
    </row>
    <row r="525">
      <c r="A525" s="679"/>
      <c r="B525" s="669" t="s">
        <v>1846</v>
      </c>
      <c r="C525" s="693" t="s">
        <v>1858</v>
      </c>
      <c r="D525" s="694">
        <v>400000.0</v>
      </c>
      <c r="E525" s="672" t="s">
        <v>1406</v>
      </c>
      <c r="F525" s="673"/>
      <c r="G525" s="680">
        <v>617.61</v>
      </c>
      <c r="H525" s="675"/>
      <c r="I525" s="676"/>
      <c r="J525" s="676"/>
      <c r="K525" s="676"/>
      <c r="L525" s="676"/>
      <c r="M525" s="676"/>
      <c r="N525" s="676"/>
      <c r="O525" s="676"/>
      <c r="P525" s="676"/>
      <c r="Q525" s="676"/>
      <c r="R525" s="676"/>
      <c r="S525" s="676"/>
      <c r="T525" s="676"/>
      <c r="U525" s="676"/>
      <c r="V525" s="676"/>
      <c r="W525" s="676"/>
      <c r="X525" s="676"/>
      <c r="Y525" s="676"/>
      <c r="Z525" s="676"/>
    </row>
    <row r="526">
      <c r="A526" s="679">
        <v>45658.0</v>
      </c>
      <c r="B526" s="669" t="s">
        <v>1846</v>
      </c>
      <c r="C526" s="693" t="s">
        <v>486</v>
      </c>
      <c r="D526" s="695">
        <f>600000+(36000*7)+(10000*8)</f>
        <v>932000</v>
      </c>
      <c r="E526" s="672" t="s">
        <v>1406</v>
      </c>
      <c r="F526" s="673"/>
      <c r="G526" s="680">
        <v>2112.24</v>
      </c>
      <c r="H526" s="675"/>
      <c r="I526" s="676"/>
      <c r="J526" s="676"/>
      <c r="K526" s="676"/>
      <c r="L526" s="676"/>
      <c r="M526" s="676"/>
      <c r="N526" s="676"/>
      <c r="O526" s="676"/>
      <c r="P526" s="676"/>
      <c r="Q526" s="676"/>
      <c r="R526" s="676"/>
      <c r="S526" s="676"/>
      <c r="T526" s="676"/>
      <c r="U526" s="676"/>
      <c r="V526" s="676"/>
      <c r="W526" s="676"/>
      <c r="X526" s="676"/>
      <c r="Y526" s="676"/>
      <c r="Z526" s="676"/>
    </row>
    <row r="527">
      <c r="A527" s="679">
        <v>45659.0</v>
      </c>
      <c r="B527" s="669" t="s">
        <v>1859</v>
      </c>
      <c r="C527" s="693" t="s">
        <v>1860</v>
      </c>
      <c r="D527" s="694">
        <v>900000.0</v>
      </c>
      <c r="E527" s="672" t="s">
        <v>1406</v>
      </c>
      <c r="F527" s="673"/>
      <c r="G527" s="680">
        <v>1358.64</v>
      </c>
      <c r="H527" s="675"/>
      <c r="I527" s="676"/>
      <c r="J527" s="676"/>
      <c r="K527" s="676"/>
      <c r="L527" s="676"/>
      <c r="M527" s="676"/>
      <c r="N527" s="676"/>
      <c r="O527" s="676"/>
      <c r="P527" s="676"/>
      <c r="Q527" s="676"/>
      <c r="R527" s="676"/>
      <c r="S527" s="676"/>
      <c r="T527" s="676"/>
      <c r="U527" s="676"/>
      <c r="V527" s="676"/>
      <c r="W527" s="676"/>
      <c r="X527" s="676"/>
      <c r="Y527" s="676"/>
      <c r="Z527" s="676"/>
    </row>
    <row r="528">
      <c r="A528" s="679">
        <v>45659.0</v>
      </c>
      <c r="B528" s="669" t="s">
        <v>1846</v>
      </c>
      <c r="C528" s="693" t="s">
        <v>309</v>
      </c>
      <c r="D528" s="694">
        <v>3050000.0</v>
      </c>
      <c r="E528" s="672" t="s">
        <v>1406</v>
      </c>
      <c r="F528" s="673"/>
      <c r="G528" s="680">
        <v>4709.28</v>
      </c>
      <c r="H528" s="680">
        <v>4709.28</v>
      </c>
      <c r="I528" s="676"/>
      <c r="J528" s="676"/>
      <c r="K528" s="676"/>
      <c r="L528" s="676"/>
      <c r="M528" s="676"/>
      <c r="N528" s="676"/>
      <c r="O528" s="676"/>
      <c r="P528" s="676"/>
      <c r="Q528" s="676"/>
      <c r="R528" s="676"/>
      <c r="S528" s="676"/>
      <c r="T528" s="676"/>
      <c r="U528" s="676"/>
      <c r="V528" s="676"/>
      <c r="W528" s="676"/>
      <c r="X528" s="676"/>
      <c r="Y528" s="676"/>
      <c r="Z528" s="676"/>
    </row>
    <row r="529">
      <c r="A529" s="679">
        <v>45659.0</v>
      </c>
      <c r="B529" s="669" t="s">
        <v>1846</v>
      </c>
      <c r="C529" s="693" t="s">
        <v>515</v>
      </c>
      <c r="D529" s="695">
        <f>(130000*8)-450000</f>
        <v>590000</v>
      </c>
      <c r="E529" s="672" t="s">
        <v>1406</v>
      </c>
      <c r="F529" s="673"/>
      <c r="G529" s="680">
        <v>910.07</v>
      </c>
      <c r="H529" s="675"/>
      <c r="I529" s="676"/>
      <c r="J529" s="676"/>
      <c r="K529" s="676"/>
      <c r="L529" s="676"/>
      <c r="M529" s="676"/>
      <c r="N529" s="676"/>
      <c r="O529" s="676"/>
      <c r="P529" s="676"/>
      <c r="Q529" s="676"/>
      <c r="R529" s="676"/>
      <c r="S529" s="676"/>
      <c r="T529" s="676"/>
      <c r="U529" s="676"/>
      <c r="V529" s="676"/>
      <c r="W529" s="676"/>
      <c r="X529" s="676"/>
      <c r="Y529" s="676"/>
      <c r="Z529" s="676"/>
    </row>
    <row r="530">
      <c r="A530" s="630"/>
      <c r="B530" s="630"/>
      <c r="C530" s="630"/>
      <c r="D530" s="630"/>
      <c r="E530" s="630"/>
      <c r="F530" s="630"/>
      <c r="G530" s="630"/>
      <c r="H530" s="454"/>
    </row>
    <row r="531">
      <c r="A531" s="630"/>
      <c r="B531" s="630"/>
      <c r="C531" s="630"/>
      <c r="D531" s="630"/>
      <c r="E531" s="630"/>
      <c r="F531" s="630"/>
      <c r="G531" s="630"/>
      <c r="H531" s="454"/>
    </row>
    <row r="532">
      <c r="A532" s="679">
        <v>46019.0</v>
      </c>
      <c r="B532" s="669" t="s">
        <v>1861</v>
      </c>
      <c r="C532" s="682" t="s">
        <v>222</v>
      </c>
      <c r="D532" s="671">
        <v>700000.0</v>
      </c>
      <c r="E532" s="661" t="s">
        <v>1406</v>
      </c>
      <c r="F532" s="673" t="s">
        <v>1862</v>
      </c>
      <c r="G532" s="680">
        <v>1201.79</v>
      </c>
      <c r="H532" s="675"/>
      <c r="I532" s="676"/>
      <c r="J532" s="676"/>
      <c r="K532" s="676"/>
      <c r="L532" s="676"/>
      <c r="M532" s="676"/>
      <c r="N532" s="676"/>
      <c r="O532" s="676"/>
      <c r="P532" s="676"/>
      <c r="Q532" s="676"/>
      <c r="R532" s="676"/>
      <c r="S532" s="676"/>
      <c r="T532" s="676"/>
      <c r="U532" s="676"/>
      <c r="V532" s="676"/>
      <c r="W532" s="676"/>
      <c r="X532" s="676"/>
      <c r="Y532" s="676"/>
      <c r="Z532" s="676"/>
    </row>
    <row r="533">
      <c r="A533" s="679">
        <v>46021.0</v>
      </c>
      <c r="B533" s="669" t="s">
        <v>1849</v>
      </c>
      <c r="C533" s="682" t="s">
        <v>312</v>
      </c>
      <c r="D533" s="690">
        <f>330000*4</f>
        <v>1320000</v>
      </c>
      <c r="E533" s="672" t="s">
        <v>1406</v>
      </c>
      <c r="F533" s="696"/>
      <c r="G533" s="680">
        <v>2038.11</v>
      </c>
      <c r="H533" s="675"/>
      <c r="I533" s="676"/>
      <c r="J533" s="676"/>
      <c r="K533" s="676"/>
      <c r="L533" s="676"/>
      <c r="M533" s="676"/>
      <c r="N533" s="676"/>
      <c r="O533" s="676"/>
      <c r="P533" s="676"/>
      <c r="Q533" s="676"/>
      <c r="R533" s="676"/>
      <c r="S533" s="676"/>
      <c r="T533" s="676"/>
      <c r="U533" s="676"/>
      <c r="V533" s="676"/>
      <c r="W533" s="676"/>
      <c r="X533" s="676"/>
      <c r="Y533" s="676"/>
      <c r="Z533" s="676"/>
    </row>
    <row r="534">
      <c r="A534" s="679">
        <v>46022.0</v>
      </c>
      <c r="B534" s="669" t="s">
        <v>1849</v>
      </c>
      <c r="C534" s="682" t="s">
        <v>282</v>
      </c>
      <c r="D534" s="690">
        <f>309000*4</f>
        <v>1236000</v>
      </c>
      <c r="E534" s="672" t="s">
        <v>1406</v>
      </c>
      <c r="F534" s="696"/>
      <c r="G534" s="680">
        <v>1908.42</v>
      </c>
      <c r="H534" s="675"/>
      <c r="I534" s="676"/>
      <c r="J534" s="676"/>
      <c r="K534" s="676"/>
      <c r="L534" s="676"/>
      <c r="M534" s="676"/>
      <c r="N534" s="676"/>
      <c r="O534" s="676"/>
      <c r="P534" s="676"/>
      <c r="Q534" s="676"/>
      <c r="R534" s="676"/>
      <c r="S534" s="676"/>
      <c r="T534" s="676"/>
      <c r="U534" s="676"/>
      <c r="V534" s="676"/>
      <c r="W534" s="676"/>
      <c r="X534" s="676"/>
      <c r="Y534" s="676"/>
      <c r="Z534" s="676"/>
    </row>
    <row r="535">
      <c r="A535" s="564"/>
      <c r="B535" s="456"/>
      <c r="C535" s="457"/>
      <c r="D535" s="563"/>
      <c r="E535" s="565"/>
      <c r="F535" s="446"/>
      <c r="G535" s="454"/>
      <c r="H535" s="454"/>
    </row>
    <row r="536">
      <c r="A536" s="564"/>
      <c r="B536" s="456"/>
      <c r="C536" s="457"/>
      <c r="D536" s="563"/>
      <c r="E536" s="565"/>
      <c r="F536" s="446"/>
      <c r="G536" s="454"/>
      <c r="H536" s="454"/>
    </row>
    <row r="537">
      <c r="A537" s="643">
        <v>46023.0</v>
      </c>
      <c r="B537" s="439"/>
      <c r="C537" s="440"/>
      <c r="D537" s="432"/>
      <c r="E537" s="433"/>
      <c r="F537" s="434"/>
      <c r="G537" s="454"/>
      <c r="H537" s="454"/>
      <c r="I537" s="630"/>
      <c r="J537" s="630"/>
      <c r="K537" s="630"/>
      <c r="L537" s="630"/>
      <c r="M537" s="630"/>
      <c r="N537" s="630"/>
      <c r="O537" s="630"/>
      <c r="P537" s="630"/>
      <c r="Q537" s="630"/>
      <c r="R537" s="630"/>
      <c r="S537" s="630"/>
      <c r="T537" s="630"/>
      <c r="U537" s="630"/>
      <c r="V537" s="630"/>
      <c r="W537" s="630"/>
      <c r="X537" s="630"/>
      <c r="Y537" s="630"/>
      <c r="Z537" s="630"/>
    </row>
    <row r="538">
      <c r="A538" s="697">
        <v>45658.0</v>
      </c>
      <c r="B538" s="658" t="s">
        <v>1863</v>
      </c>
      <c r="C538" s="659" t="s">
        <v>1864</v>
      </c>
      <c r="D538" s="666">
        <f>130000*2</f>
        <v>260000</v>
      </c>
      <c r="E538" s="661" t="s">
        <v>1406</v>
      </c>
      <c r="F538" s="662" t="s">
        <v>1764</v>
      </c>
      <c r="G538" s="667">
        <v>380.62</v>
      </c>
      <c r="H538" s="663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</row>
    <row r="539">
      <c r="A539" s="698">
        <v>45659.0</v>
      </c>
      <c r="B539" s="669" t="s">
        <v>1865</v>
      </c>
      <c r="C539" s="682" t="s">
        <v>1777</v>
      </c>
      <c r="D539" s="671">
        <v>442000.0</v>
      </c>
      <c r="E539" s="672" t="s">
        <v>1558</v>
      </c>
      <c r="F539" s="673" t="s">
        <v>1866</v>
      </c>
      <c r="G539" s="680">
        <v>617.78</v>
      </c>
      <c r="H539" s="675"/>
      <c r="I539" s="676"/>
      <c r="J539" s="676"/>
      <c r="K539" s="676"/>
      <c r="L539" s="676"/>
      <c r="M539" s="676"/>
      <c r="N539" s="676"/>
      <c r="O539" s="676"/>
      <c r="P539" s="676"/>
      <c r="Q539" s="676"/>
      <c r="R539" s="676"/>
      <c r="S539" s="676"/>
      <c r="T539" s="676"/>
      <c r="U539" s="676"/>
      <c r="V539" s="676"/>
      <c r="W539" s="676"/>
      <c r="X539" s="676"/>
      <c r="Y539" s="676"/>
      <c r="Z539" s="676"/>
    </row>
    <row r="540">
      <c r="A540" s="699">
        <v>45659.0</v>
      </c>
      <c r="B540" s="669" t="s">
        <v>1867</v>
      </c>
      <c r="C540" s="682" t="s">
        <v>273</v>
      </c>
      <c r="D540" s="671">
        <f>130000*4</f>
        <v>520000</v>
      </c>
      <c r="E540" s="672" t="s">
        <v>1406</v>
      </c>
      <c r="F540" s="673"/>
      <c r="G540" s="680"/>
      <c r="H540" s="680"/>
      <c r="I540" s="676"/>
      <c r="J540" s="676"/>
      <c r="K540" s="676"/>
      <c r="L540" s="676"/>
      <c r="M540" s="676"/>
      <c r="N540" s="676"/>
      <c r="O540" s="676"/>
      <c r="P540" s="676"/>
      <c r="Q540" s="676"/>
      <c r="R540" s="676"/>
      <c r="S540" s="676"/>
      <c r="T540" s="676"/>
      <c r="U540" s="676"/>
      <c r="V540" s="676"/>
      <c r="W540" s="676"/>
      <c r="X540" s="676"/>
      <c r="Y540" s="676"/>
      <c r="Z540" s="676"/>
    </row>
    <row r="541">
      <c r="A541" s="699">
        <v>46298.0</v>
      </c>
      <c r="B541" s="669" t="s">
        <v>1868</v>
      </c>
      <c r="C541" s="682" t="s">
        <v>1869</v>
      </c>
      <c r="D541" s="671">
        <v>140000.0</v>
      </c>
      <c r="E541" s="672" t="s">
        <v>1406</v>
      </c>
      <c r="F541" s="673"/>
      <c r="G541" s="680">
        <v>213.5</v>
      </c>
      <c r="H541" s="675"/>
      <c r="I541" s="676"/>
      <c r="J541" s="676"/>
      <c r="K541" s="676"/>
      <c r="L541" s="676"/>
      <c r="M541" s="676"/>
      <c r="N541" s="676"/>
      <c r="O541" s="676"/>
      <c r="P541" s="676"/>
      <c r="Q541" s="676"/>
      <c r="R541" s="676"/>
      <c r="S541" s="676"/>
      <c r="T541" s="676"/>
      <c r="U541" s="676"/>
      <c r="V541" s="676"/>
      <c r="W541" s="676"/>
      <c r="X541" s="676"/>
      <c r="Y541" s="676"/>
      <c r="Z541" s="676"/>
    </row>
    <row r="542">
      <c r="A542" s="699">
        <v>45660.0</v>
      </c>
      <c r="B542" s="669" t="s">
        <v>1870</v>
      </c>
      <c r="C542" s="682" t="s">
        <v>510</v>
      </c>
      <c r="D542" s="671">
        <v>422000.0</v>
      </c>
      <c r="E542" s="672" t="s">
        <v>1558</v>
      </c>
      <c r="F542" s="673"/>
      <c r="G542" s="680"/>
      <c r="H542" s="680"/>
      <c r="I542" s="676"/>
      <c r="J542" s="676"/>
      <c r="K542" s="676"/>
      <c r="L542" s="676"/>
      <c r="M542" s="676"/>
      <c r="N542" s="676"/>
      <c r="O542" s="676"/>
      <c r="P542" s="676"/>
      <c r="Q542" s="676"/>
      <c r="R542" s="676"/>
      <c r="S542" s="676"/>
      <c r="T542" s="676"/>
      <c r="U542" s="676"/>
      <c r="V542" s="676"/>
      <c r="W542" s="676"/>
      <c r="X542" s="676"/>
      <c r="Y542" s="676"/>
      <c r="Z542" s="676"/>
    </row>
    <row r="543">
      <c r="A543" s="699">
        <v>45661.0</v>
      </c>
      <c r="B543" s="669" t="s">
        <v>1849</v>
      </c>
      <c r="C543" s="682" t="s">
        <v>1871</v>
      </c>
      <c r="D543" s="671">
        <v>170000.0</v>
      </c>
      <c r="E543" s="672" t="s">
        <v>1406</v>
      </c>
      <c r="F543" s="673"/>
      <c r="G543" s="680">
        <f>G517</f>
        <v>262.49</v>
      </c>
      <c r="H543" s="675"/>
      <c r="I543" s="676"/>
      <c r="J543" s="676"/>
      <c r="K543" s="676"/>
      <c r="L543" s="676"/>
      <c r="M543" s="676"/>
      <c r="N543" s="676"/>
      <c r="O543" s="676"/>
      <c r="P543" s="676"/>
      <c r="Q543" s="676"/>
      <c r="R543" s="676"/>
      <c r="S543" s="676"/>
      <c r="T543" s="676"/>
      <c r="U543" s="676"/>
      <c r="V543" s="676"/>
      <c r="W543" s="676"/>
      <c r="X543" s="676"/>
      <c r="Y543" s="676"/>
      <c r="Z543" s="676"/>
    </row>
    <row r="544">
      <c r="A544" s="698">
        <v>45661.0</v>
      </c>
      <c r="B544" s="669" t="s">
        <v>1867</v>
      </c>
      <c r="C544" s="700" t="s">
        <v>1872</v>
      </c>
      <c r="D544" s="671">
        <v>190000.0</v>
      </c>
      <c r="E544" s="672" t="s">
        <v>1406</v>
      </c>
      <c r="F544" s="673"/>
      <c r="G544" s="680"/>
      <c r="H544" s="680"/>
      <c r="I544" s="676"/>
      <c r="J544" s="676"/>
      <c r="K544" s="676"/>
      <c r="L544" s="676"/>
      <c r="M544" s="676"/>
      <c r="N544" s="676"/>
      <c r="O544" s="676"/>
      <c r="P544" s="676"/>
      <c r="Q544" s="676"/>
      <c r="R544" s="676"/>
      <c r="S544" s="676"/>
      <c r="T544" s="676"/>
      <c r="U544" s="676"/>
      <c r="V544" s="676"/>
      <c r="W544" s="676"/>
      <c r="X544" s="676"/>
      <c r="Y544" s="676"/>
      <c r="Z544" s="676"/>
    </row>
    <row r="545">
      <c r="A545" s="698">
        <v>45662.0</v>
      </c>
      <c r="B545" s="669" t="s">
        <v>1873</v>
      </c>
      <c r="C545" s="682" t="s">
        <v>1874</v>
      </c>
      <c r="D545" s="671">
        <v>55000.0</v>
      </c>
      <c r="E545" s="672" t="s">
        <v>1406</v>
      </c>
      <c r="F545" s="673"/>
      <c r="G545" s="680">
        <v>87.74</v>
      </c>
      <c r="H545" s="680"/>
      <c r="I545" s="676"/>
      <c r="J545" s="676"/>
      <c r="K545" s="676"/>
      <c r="L545" s="676"/>
      <c r="M545" s="676"/>
      <c r="N545" s="676"/>
      <c r="O545" s="676"/>
      <c r="P545" s="676"/>
      <c r="Q545" s="676"/>
      <c r="R545" s="676"/>
      <c r="S545" s="676"/>
      <c r="T545" s="676"/>
      <c r="U545" s="676"/>
      <c r="V545" s="676"/>
      <c r="W545" s="676"/>
      <c r="X545" s="676"/>
      <c r="Y545" s="676"/>
      <c r="Z545" s="676"/>
    </row>
    <row r="546">
      <c r="A546" s="698">
        <v>45662.0</v>
      </c>
      <c r="B546" s="669" t="s">
        <v>1873</v>
      </c>
      <c r="C546" s="682" t="s">
        <v>1875</v>
      </c>
      <c r="D546" s="671">
        <v>260000.0</v>
      </c>
      <c r="E546" s="672" t="s">
        <v>1406</v>
      </c>
      <c r="F546" s="673"/>
      <c r="G546" s="680">
        <v>414.74</v>
      </c>
      <c r="H546" s="680"/>
      <c r="I546" s="676"/>
      <c r="J546" s="676"/>
      <c r="K546" s="676"/>
      <c r="L546" s="676"/>
      <c r="M546" s="676"/>
      <c r="N546" s="676"/>
      <c r="O546" s="676"/>
      <c r="P546" s="676"/>
      <c r="Q546" s="676"/>
      <c r="R546" s="676"/>
      <c r="S546" s="676"/>
      <c r="T546" s="676"/>
      <c r="U546" s="676"/>
      <c r="V546" s="676"/>
      <c r="W546" s="676"/>
      <c r="X546" s="676"/>
      <c r="Y546" s="676"/>
      <c r="Z546" s="676"/>
    </row>
    <row r="547">
      <c r="A547" s="698">
        <v>45662.0</v>
      </c>
      <c r="B547" s="669" t="s">
        <v>1867</v>
      </c>
      <c r="C547" s="682" t="s">
        <v>1876</v>
      </c>
      <c r="D547" s="671">
        <v>472600.0</v>
      </c>
      <c r="E547" s="672" t="s">
        <v>1406</v>
      </c>
      <c r="F547" s="673"/>
      <c r="G547" s="680"/>
      <c r="H547" s="680"/>
      <c r="I547" s="676"/>
      <c r="J547" s="676"/>
      <c r="K547" s="676"/>
      <c r="L547" s="676"/>
      <c r="M547" s="676"/>
      <c r="N547" s="676"/>
      <c r="O547" s="676"/>
      <c r="P547" s="676"/>
      <c r="Q547" s="676"/>
      <c r="R547" s="676"/>
      <c r="S547" s="676"/>
      <c r="T547" s="676"/>
      <c r="U547" s="676"/>
      <c r="V547" s="676"/>
      <c r="W547" s="676"/>
      <c r="X547" s="676"/>
      <c r="Y547" s="676"/>
      <c r="Z547" s="676"/>
    </row>
    <row r="548">
      <c r="A548" s="698">
        <v>45663.0</v>
      </c>
      <c r="B548" s="669" t="s">
        <v>1867</v>
      </c>
      <c r="C548" s="682" t="s">
        <v>1877</v>
      </c>
      <c r="D548" s="671">
        <v>1118600.0</v>
      </c>
      <c r="E548" s="672" t="s">
        <v>1406</v>
      </c>
      <c r="F548" s="673"/>
      <c r="G548" s="680"/>
      <c r="H548" s="680"/>
      <c r="I548" s="676"/>
      <c r="J548" s="676"/>
      <c r="K548" s="676"/>
      <c r="L548" s="676"/>
      <c r="M548" s="676"/>
      <c r="N548" s="676"/>
      <c r="O548" s="676"/>
      <c r="P548" s="676"/>
      <c r="Q548" s="676"/>
      <c r="R548" s="676"/>
      <c r="S548" s="676"/>
      <c r="T548" s="676"/>
      <c r="U548" s="676"/>
      <c r="V548" s="676"/>
      <c r="W548" s="676"/>
      <c r="X548" s="676"/>
      <c r="Y548" s="676"/>
      <c r="Z548" s="676"/>
    </row>
    <row r="549">
      <c r="A549" s="699">
        <v>46029.0</v>
      </c>
      <c r="B549" s="669" t="s">
        <v>1868</v>
      </c>
      <c r="C549" s="682" t="s">
        <v>1878</v>
      </c>
      <c r="D549" s="671">
        <v>140000.0</v>
      </c>
      <c r="E549" s="672" t="s">
        <v>1406</v>
      </c>
      <c r="F549" s="673"/>
      <c r="G549" s="680">
        <v>213.5</v>
      </c>
      <c r="H549" s="675"/>
      <c r="I549" s="676"/>
      <c r="J549" s="676"/>
      <c r="K549" s="676"/>
      <c r="L549" s="676"/>
      <c r="M549" s="676"/>
      <c r="N549" s="676"/>
      <c r="O549" s="676"/>
      <c r="P549" s="676"/>
      <c r="Q549" s="676"/>
      <c r="R549" s="676"/>
      <c r="S549" s="676"/>
      <c r="T549" s="676"/>
      <c r="U549" s="676"/>
      <c r="V549" s="676"/>
      <c r="W549" s="676"/>
      <c r="X549" s="676"/>
      <c r="Y549" s="676"/>
      <c r="Z549" s="676"/>
    </row>
    <row r="550">
      <c r="A550" s="698">
        <v>45664.0</v>
      </c>
      <c r="B550" s="669" t="s">
        <v>1867</v>
      </c>
      <c r="C550" s="682" t="s">
        <v>1879</v>
      </c>
      <c r="D550" s="671">
        <v>150000.0</v>
      </c>
      <c r="E550" s="672" t="s">
        <v>1406</v>
      </c>
      <c r="F550" s="673"/>
      <c r="G550" s="680">
        <v>3069.41</v>
      </c>
      <c r="H550" s="680"/>
      <c r="I550" s="676"/>
      <c r="J550" s="676"/>
      <c r="K550" s="676"/>
      <c r="L550" s="676"/>
      <c r="M550" s="676"/>
      <c r="N550" s="676"/>
      <c r="O550" s="676"/>
      <c r="P550" s="676"/>
      <c r="Q550" s="676"/>
      <c r="R550" s="676"/>
      <c r="S550" s="676"/>
      <c r="T550" s="676"/>
      <c r="U550" s="676"/>
      <c r="V550" s="676"/>
      <c r="W550" s="676"/>
      <c r="X550" s="676"/>
      <c r="Y550" s="676"/>
      <c r="Z550" s="676"/>
    </row>
    <row r="551">
      <c r="A551" s="698">
        <v>45664.0</v>
      </c>
      <c r="B551" s="669" t="s">
        <v>1873</v>
      </c>
      <c r="C551" s="682" t="s">
        <v>325</v>
      </c>
      <c r="D551" s="671">
        <f>360000*2</f>
        <v>720000</v>
      </c>
      <c r="E551" s="672" t="s">
        <v>1406</v>
      </c>
      <c r="F551" s="673"/>
      <c r="G551" s="680">
        <v>1147.53</v>
      </c>
      <c r="H551" s="680"/>
      <c r="I551" s="676"/>
      <c r="J551" s="676"/>
      <c r="K551" s="676"/>
      <c r="L551" s="676"/>
      <c r="M551" s="676"/>
      <c r="N551" s="676"/>
      <c r="O551" s="676"/>
      <c r="P551" s="676"/>
      <c r="Q551" s="676"/>
      <c r="R551" s="676"/>
      <c r="S551" s="676"/>
      <c r="T551" s="676"/>
      <c r="U551" s="676"/>
      <c r="V551" s="676"/>
      <c r="W551" s="676"/>
      <c r="X551" s="676"/>
      <c r="Y551" s="676"/>
      <c r="Z551" s="676"/>
    </row>
    <row r="552">
      <c r="A552" s="698">
        <v>45660.0</v>
      </c>
      <c r="B552" s="669" t="s">
        <v>1867</v>
      </c>
      <c r="C552" s="682" t="s">
        <v>1440</v>
      </c>
      <c r="D552" s="671">
        <f>968000*2</f>
        <v>1936000</v>
      </c>
      <c r="E552" s="672" t="s">
        <v>1406</v>
      </c>
      <c r="F552" s="673"/>
      <c r="G552" s="680"/>
      <c r="H552" s="680"/>
      <c r="I552" s="676"/>
      <c r="J552" s="676"/>
      <c r="K552" s="676"/>
      <c r="L552" s="676"/>
      <c r="M552" s="676"/>
      <c r="N552" s="676"/>
      <c r="O552" s="676"/>
      <c r="P552" s="676"/>
      <c r="Q552" s="676"/>
      <c r="R552" s="676"/>
      <c r="S552" s="676"/>
      <c r="T552" s="676"/>
      <c r="U552" s="676"/>
      <c r="V552" s="676"/>
      <c r="W552" s="676"/>
      <c r="X552" s="676"/>
      <c r="Y552" s="676"/>
      <c r="Z552" s="676"/>
    </row>
    <row r="553">
      <c r="A553" s="697">
        <v>45660.0</v>
      </c>
      <c r="B553" s="658" t="s">
        <v>1880</v>
      </c>
      <c r="C553" s="659" t="s">
        <v>222</v>
      </c>
      <c r="D553" s="666">
        <f>350000*2</f>
        <v>700000</v>
      </c>
      <c r="E553" s="661" t="s">
        <v>1406</v>
      </c>
      <c r="F553" s="662" t="s">
        <v>1881</v>
      </c>
      <c r="G553" s="667"/>
      <c r="H553" s="667"/>
      <c r="I553" s="664"/>
      <c r="J553" s="664"/>
      <c r="K553" s="664"/>
      <c r="L553" s="664"/>
      <c r="M553" s="664"/>
      <c r="N553" s="664"/>
      <c r="O553" s="664"/>
      <c r="P553" s="664"/>
      <c r="Q553" s="664"/>
      <c r="R553" s="664"/>
      <c r="S553" s="664"/>
      <c r="T553" s="664"/>
      <c r="U553" s="664"/>
      <c r="V553" s="664"/>
      <c r="W553" s="664"/>
      <c r="X553" s="664"/>
      <c r="Y553" s="664"/>
      <c r="Z553" s="664"/>
    </row>
    <row r="554">
      <c r="A554" s="701">
        <v>45660.0</v>
      </c>
      <c r="B554" s="612" t="s">
        <v>1882</v>
      </c>
      <c r="C554" s="613" t="s">
        <v>156</v>
      </c>
      <c r="D554" s="620">
        <f>330000*2</f>
        <v>660000</v>
      </c>
      <c r="E554" s="615" t="s">
        <v>1406</v>
      </c>
      <c r="F554" s="616" t="s">
        <v>1764</v>
      </c>
      <c r="G554" s="644">
        <v>966.2</v>
      </c>
      <c r="H554" s="644"/>
      <c r="I554" s="617"/>
      <c r="J554" s="617"/>
      <c r="K554" s="617"/>
      <c r="L554" s="617"/>
      <c r="M554" s="617"/>
      <c r="N554" s="617"/>
      <c r="O554" s="617"/>
      <c r="P554" s="617"/>
      <c r="Q554" s="617"/>
      <c r="R554" s="617"/>
      <c r="S554" s="617"/>
      <c r="T554" s="617"/>
      <c r="U554" s="617"/>
      <c r="V554" s="617"/>
      <c r="W554" s="617"/>
      <c r="X554" s="617"/>
      <c r="Y554" s="617"/>
      <c r="Z554" s="617"/>
    </row>
    <row r="555">
      <c r="A555" s="701">
        <v>45662.0</v>
      </c>
      <c r="B555" s="612" t="s">
        <v>1883</v>
      </c>
      <c r="C555" s="613" t="s">
        <v>1884</v>
      </c>
      <c r="D555" s="620">
        <f>380000*2</f>
        <v>760000</v>
      </c>
      <c r="E555" s="615" t="s">
        <v>1406</v>
      </c>
      <c r="F555" s="616" t="s">
        <v>1885</v>
      </c>
      <c r="G555" s="644">
        <v>1112.57</v>
      </c>
      <c r="H555" s="644"/>
      <c r="I555" s="617"/>
      <c r="J555" s="617"/>
      <c r="K555" s="617"/>
      <c r="L555" s="617"/>
      <c r="M555" s="617"/>
      <c r="N555" s="617"/>
      <c r="O555" s="617"/>
      <c r="P555" s="617"/>
      <c r="Q555" s="617"/>
      <c r="R555" s="617"/>
      <c r="S555" s="617"/>
      <c r="T555" s="617"/>
      <c r="U555" s="617"/>
      <c r="V555" s="617"/>
      <c r="W555" s="617"/>
      <c r="X555" s="617"/>
      <c r="Y555" s="617"/>
      <c r="Z555" s="617"/>
    </row>
    <row r="556">
      <c r="A556" s="698">
        <v>45663.0</v>
      </c>
      <c r="B556" s="669" t="s">
        <v>1886</v>
      </c>
      <c r="C556" s="682" t="s">
        <v>158</v>
      </c>
      <c r="D556" s="671">
        <v>840000.0</v>
      </c>
      <c r="E556" s="672" t="s">
        <v>1406</v>
      </c>
      <c r="F556" s="673" t="s">
        <v>1887</v>
      </c>
      <c r="G556" s="680">
        <v>1083.3</v>
      </c>
      <c r="H556" s="675"/>
      <c r="I556" s="676"/>
      <c r="J556" s="676"/>
      <c r="K556" s="676"/>
      <c r="L556" s="676"/>
      <c r="M556" s="676"/>
      <c r="N556" s="676"/>
      <c r="O556" s="676"/>
      <c r="P556" s="676"/>
      <c r="Q556" s="676"/>
      <c r="R556" s="676"/>
      <c r="S556" s="676"/>
      <c r="T556" s="676"/>
      <c r="U556" s="676"/>
      <c r="V556" s="676"/>
      <c r="W556" s="676"/>
      <c r="X556" s="676"/>
      <c r="Y556" s="676"/>
      <c r="Z556" s="676"/>
    </row>
    <row r="557">
      <c r="A557" s="698">
        <v>45666.0</v>
      </c>
      <c r="B557" s="669" t="s">
        <v>1888</v>
      </c>
      <c r="C557" s="700" t="s">
        <v>1889</v>
      </c>
      <c r="D557" s="702">
        <v>1191200.0</v>
      </c>
      <c r="E557" s="672" t="s">
        <v>1890</v>
      </c>
      <c r="F557" s="673"/>
      <c r="G557" s="680"/>
      <c r="H557" s="675"/>
      <c r="I557" s="676"/>
      <c r="J557" s="676"/>
      <c r="K557" s="676"/>
      <c r="L557" s="676"/>
      <c r="M557" s="676"/>
      <c r="N557" s="676"/>
      <c r="O557" s="676"/>
      <c r="P557" s="676"/>
      <c r="Q557" s="676"/>
      <c r="R557" s="676"/>
      <c r="S557" s="676"/>
      <c r="T557" s="676"/>
      <c r="U557" s="676"/>
      <c r="V557" s="676"/>
      <c r="W557" s="676"/>
      <c r="X557" s="676"/>
      <c r="Y557" s="676"/>
      <c r="Z557" s="676"/>
    </row>
    <row r="558">
      <c r="A558" s="698">
        <v>45667.0</v>
      </c>
      <c r="B558" s="669" t="s">
        <v>1888</v>
      </c>
      <c r="C558" s="682" t="s">
        <v>1891</v>
      </c>
      <c r="D558" s="671">
        <v>559300.0</v>
      </c>
      <c r="E558" s="672" t="s">
        <v>1406</v>
      </c>
      <c r="F558" s="673"/>
      <c r="G558" s="680"/>
      <c r="H558" s="675"/>
      <c r="I558" s="676"/>
      <c r="J558" s="676"/>
      <c r="K558" s="676"/>
      <c r="L558" s="676"/>
      <c r="M558" s="676"/>
      <c r="N558" s="676"/>
      <c r="O558" s="676"/>
      <c r="P558" s="676"/>
      <c r="Q558" s="676"/>
      <c r="R558" s="676"/>
      <c r="S558" s="676"/>
      <c r="T558" s="676"/>
      <c r="U558" s="676"/>
      <c r="V558" s="676"/>
      <c r="W558" s="676"/>
      <c r="X558" s="676"/>
      <c r="Y558" s="676"/>
      <c r="Z558" s="676"/>
    </row>
    <row r="559">
      <c r="A559" s="698">
        <v>46029.0</v>
      </c>
      <c r="B559" s="669" t="s">
        <v>1892</v>
      </c>
      <c r="C559" s="669" t="s">
        <v>510</v>
      </c>
      <c r="D559" s="671">
        <f>320000+36000*4+40000</f>
        <v>504000</v>
      </c>
      <c r="E559" s="672" t="s">
        <v>1406</v>
      </c>
      <c r="F559" s="673"/>
      <c r="G559" s="680">
        <v>774.95</v>
      </c>
      <c r="H559" s="675"/>
      <c r="I559" s="676"/>
      <c r="J559" s="676"/>
      <c r="K559" s="676"/>
      <c r="L559" s="676"/>
      <c r="M559" s="676"/>
      <c r="N559" s="676"/>
      <c r="O559" s="676"/>
      <c r="P559" s="676"/>
      <c r="Q559" s="676"/>
      <c r="R559" s="676"/>
      <c r="S559" s="676"/>
      <c r="T559" s="676"/>
      <c r="U559" s="676"/>
      <c r="V559" s="676"/>
      <c r="W559" s="676"/>
      <c r="X559" s="676"/>
      <c r="Y559" s="676"/>
      <c r="Z559" s="676"/>
    </row>
    <row r="560">
      <c r="A560" s="698">
        <v>46029.0</v>
      </c>
      <c r="B560" s="669" t="s">
        <v>1892</v>
      </c>
      <c r="C560" s="669" t="s">
        <v>1893</v>
      </c>
      <c r="D560" s="671">
        <v>240000.0</v>
      </c>
      <c r="E560" s="672" t="s">
        <v>1406</v>
      </c>
      <c r="F560" s="673"/>
      <c r="G560" s="680"/>
      <c r="H560" s="675"/>
      <c r="I560" s="676"/>
      <c r="J560" s="676"/>
      <c r="K560" s="676"/>
      <c r="L560" s="676"/>
      <c r="M560" s="676"/>
      <c r="N560" s="676"/>
      <c r="O560" s="676"/>
      <c r="P560" s="676"/>
      <c r="Q560" s="676"/>
      <c r="R560" s="676"/>
      <c r="S560" s="676"/>
      <c r="T560" s="676"/>
      <c r="U560" s="676"/>
      <c r="V560" s="676"/>
      <c r="W560" s="676"/>
      <c r="X560" s="676"/>
      <c r="Y560" s="676"/>
      <c r="Z560" s="676"/>
    </row>
    <row r="561">
      <c r="A561" s="698">
        <v>45670.0</v>
      </c>
      <c r="B561" s="669" t="s">
        <v>1894</v>
      </c>
      <c r="C561" s="669" t="s">
        <v>668</v>
      </c>
      <c r="D561" s="671">
        <f>442000</f>
        <v>442000</v>
      </c>
      <c r="E561" s="672" t="s">
        <v>1406</v>
      </c>
      <c r="F561" s="673"/>
      <c r="G561" s="680">
        <v>654.02</v>
      </c>
      <c r="H561" s="680">
        <v>667.68</v>
      </c>
      <c r="I561" s="676"/>
      <c r="J561" s="676"/>
      <c r="K561" s="676"/>
      <c r="L561" s="676"/>
      <c r="M561" s="676"/>
      <c r="N561" s="676"/>
      <c r="O561" s="676"/>
      <c r="P561" s="676"/>
      <c r="Q561" s="676"/>
      <c r="R561" s="676"/>
      <c r="S561" s="676"/>
      <c r="T561" s="676"/>
      <c r="U561" s="676"/>
      <c r="V561" s="676"/>
      <c r="W561" s="676"/>
      <c r="X561" s="676"/>
      <c r="Y561" s="676"/>
      <c r="Z561" s="676"/>
    </row>
    <row r="562">
      <c r="A562" s="698">
        <v>45667.0</v>
      </c>
      <c r="B562" s="669" t="s">
        <v>1873</v>
      </c>
      <c r="C562" s="669" t="s">
        <v>1895</v>
      </c>
      <c r="D562" s="671">
        <v>55000.0</v>
      </c>
      <c r="E562" s="672" t="s">
        <v>1406</v>
      </c>
      <c r="F562" s="673"/>
      <c r="G562" s="680">
        <v>87.54</v>
      </c>
      <c r="H562" s="675"/>
      <c r="I562" s="676"/>
      <c r="J562" s="676"/>
      <c r="K562" s="676"/>
      <c r="L562" s="676"/>
      <c r="M562" s="676"/>
      <c r="N562" s="676"/>
      <c r="O562" s="676"/>
      <c r="P562" s="676"/>
      <c r="Q562" s="676"/>
      <c r="R562" s="676"/>
      <c r="S562" s="676"/>
      <c r="T562" s="676"/>
      <c r="U562" s="676"/>
      <c r="V562" s="676"/>
      <c r="W562" s="676"/>
      <c r="X562" s="676"/>
      <c r="Y562" s="676"/>
      <c r="Z562" s="676"/>
    </row>
    <row r="563">
      <c r="A563" s="698">
        <v>46035.0</v>
      </c>
      <c r="B563" s="669" t="s">
        <v>1896</v>
      </c>
      <c r="C563" s="682" t="s">
        <v>510</v>
      </c>
      <c r="D563" s="671">
        <v>422000.0</v>
      </c>
      <c r="E563" s="672" t="s">
        <v>1406</v>
      </c>
      <c r="F563" s="673"/>
      <c r="G563" s="680">
        <v>648.87</v>
      </c>
      <c r="H563" s="680">
        <v>647.01</v>
      </c>
      <c r="I563" s="676"/>
      <c r="J563" s="676"/>
      <c r="K563" s="676"/>
      <c r="L563" s="676"/>
      <c r="M563" s="676"/>
      <c r="N563" s="676"/>
      <c r="O563" s="676"/>
      <c r="P563" s="676"/>
      <c r="Q563" s="676"/>
      <c r="R563" s="676"/>
      <c r="S563" s="676"/>
      <c r="T563" s="676"/>
      <c r="U563" s="676"/>
      <c r="V563" s="676"/>
      <c r="W563" s="676"/>
      <c r="X563" s="676"/>
      <c r="Y563" s="676"/>
      <c r="Z563" s="676"/>
    </row>
    <row r="564">
      <c r="A564" s="698">
        <v>45670.0</v>
      </c>
      <c r="B564" s="669" t="s">
        <v>1888</v>
      </c>
      <c r="C564" s="669" t="s">
        <v>1897</v>
      </c>
      <c r="D564" s="671">
        <v>350000.0</v>
      </c>
      <c r="E564" s="672" t="s">
        <v>1406</v>
      </c>
      <c r="F564" s="673"/>
      <c r="G564" s="680">
        <v>534.78</v>
      </c>
      <c r="H564" s="675"/>
      <c r="I564" s="676"/>
      <c r="J564" s="676"/>
      <c r="K564" s="676"/>
      <c r="L564" s="676"/>
      <c r="M564" s="676"/>
      <c r="N564" s="676"/>
      <c r="O564" s="676"/>
      <c r="P564" s="676"/>
      <c r="Q564" s="676"/>
      <c r="R564" s="676"/>
      <c r="S564" s="676"/>
      <c r="T564" s="676"/>
      <c r="U564" s="676"/>
      <c r="V564" s="676"/>
      <c r="W564" s="676"/>
      <c r="X564" s="676"/>
      <c r="Y564" s="676"/>
      <c r="Z564" s="676"/>
    </row>
    <row r="565">
      <c r="A565" s="698">
        <v>45670.0</v>
      </c>
      <c r="B565" s="669" t="s">
        <v>1888</v>
      </c>
      <c r="C565" s="682" t="s">
        <v>1815</v>
      </c>
      <c r="D565" s="671">
        <f>320000+36000*2+30000+20000</f>
        <v>442000</v>
      </c>
      <c r="E565" s="672" t="s">
        <v>1898</v>
      </c>
      <c r="F565" s="673"/>
      <c r="G565" s="680">
        <v>675.32</v>
      </c>
      <c r="H565" s="680">
        <v>667.68</v>
      </c>
      <c r="I565" s="676"/>
      <c r="J565" s="676"/>
      <c r="K565" s="676"/>
      <c r="L565" s="676"/>
      <c r="M565" s="676"/>
      <c r="N565" s="676"/>
      <c r="O565" s="676"/>
      <c r="P565" s="676"/>
      <c r="Q565" s="676"/>
      <c r="R565" s="676"/>
      <c r="S565" s="676"/>
      <c r="T565" s="676"/>
      <c r="U565" s="676"/>
      <c r="V565" s="676"/>
      <c r="W565" s="676"/>
      <c r="X565" s="676"/>
      <c r="Y565" s="676"/>
      <c r="Z565" s="676"/>
    </row>
    <row r="566">
      <c r="A566" s="697">
        <v>46036.0</v>
      </c>
      <c r="B566" s="703" t="s">
        <v>1899</v>
      </c>
      <c r="C566" s="659" t="s">
        <v>510</v>
      </c>
      <c r="D566" s="666">
        <v>422000.0</v>
      </c>
      <c r="E566" s="661" t="s">
        <v>1543</v>
      </c>
      <c r="F566" s="662"/>
      <c r="G566" s="667">
        <v>648.87</v>
      </c>
      <c r="H566" s="667">
        <v>658.39</v>
      </c>
      <c r="I566" s="664"/>
      <c r="J566" s="664"/>
      <c r="K566" s="664"/>
      <c r="L566" s="664"/>
      <c r="M566" s="664"/>
      <c r="N566" s="664"/>
      <c r="O566" s="664"/>
      <c r="P566" s="664"/>
      <c r="Q566" s="664"/>
      <c r="R566" s="664"/>
      <c r="S566" s="664"/>
      <c r="T566" s="664"/>
      <c r="U566" s="664"/>
      <c r="V566" s="664"/>
      <c r="W566" s="664"/>
      <c r="X566" s="664"/>
      <c r="Y566" s="664"/>
      <c r="Z566" s="664"/>
    </row>
    <row r="567">
      <c r="A567" s="704">
        <v>46035.0</v>
      </c>
      <c r="B567" s="658" t="s">
        <v>1900</v>
      </c>
      <c r="C567" s="659" t="s">
        <v>1901</v>
      </c>
      <c r="D567" s="666">
        <v>1818000.0</v>
      </c>
      <c r="E567" s="661" t="s">
        <v>1406</v>
      </c>
      <c r="F567" s="662"/>
      <c r="G567" s="667">
        <v>2785.95</v>
      </c>
      <c r="H567" s="667">
        <v>2809.06</v>
      </c>
      <c r="I567" s="664"/>
      <c r="J567" s="664"/>
      <c r="K567" s="664"/>
      <c r="L567" s="664"/>
      <c r="M567" s="664"/>
      <c r="N567" s="664"/>
      <c r="O567" s="664"/>
      <c r="P567" s="664"/>
      <c r="Q567" s="664"/>
      <c r="R567" s="664"/>
      <c r="S567" s="664"/>
      <c r="T567" s="664"/>
      <c r="U567" s="664"/>
      <c r="V567" s="664"/>
      <c r="W567" s="664"/>
      <c r="X567" s="664"/>
      <c r="Y567" s="664"/>
      <c r="Z567" s="664"/>
    </row>
    <row r="568">
      <c r="A568" s="697">
        <v>45671.0</v>
      </c>
      <c r="B568" s="658" t="s">
        <v>1888</v>
      </c>
      <c r="C568" s="659" t="s">
        <v>1902</v>
      </c>
      <c r="D568" s="666">
        <f>390000*2</f>
        <v>780000</v>
      </c>
      <c r="E568" s="661" t="s">
        <v>1406</v>
      </c>
      <c r="F568" s="662"/>
      <c r="G568" s="667"/>
      <c r="H568" s="663"/>
      <c r="I568" s="664"/>
      <c r="J568" s="664"/>
      <c r="K568" s="664"/>
      <c r="L568" s="664"/>
      <c r="M568" s="664"/>
      <c r="N568" s="664"/>
      <c r="O568" s="664"/>
      <c r="P568" s="664"/>
      <c r="Q568" s="664"/>
      <c r="R568" s="664"/>
      <c r="S568" s="664"/>
      <c r="T568" s="664"/>
      <c r="U568" s="664"/>
      <c r="V568" s="664"/>
      <c r="W568" s="664"/>
      <c r="X568" s="664"/>
      <c r="Y568" s="664"/>
      <c r="Z568" s="664"/>
    </row>
    <row r="569">
      <c r="A569" s="698">
        <v>45673.0</v>
      </c>
      <c r="B569" s="669" t="s">
        <v>1888</v>
      </c>
      <c r="C569" s="682" t="s">
        <v>285</v>
      </c>
      <c r="D569" s="671">
        <v>260000.0</v>
      </c>
      <c r="E569" s="672" t="s">
        <v>1406</v>
      </c>
      <c r="F569" s="673"/>
      <c r="G569" s="680">
        <v>413.25</v>
      </c>
      <c r="H569" s="675"/>
      <c r="I569" s="676"/>
      <c r="J569" s="676"/>
      <c r="K569" s="676"/>
      <c r="L569" s="676"/>
      <c r="M569" s="676"/>
      <c r="N569" s="676"/>
      <c r="O569" s="676"/>
      <c r="P569" s="676"/>
      <c r="Q569" s="676"/>
      <c r="R569" s="676"/>
      <c r="S569" s="676"/>
      <c r="T569" s="676"/>
      <c r="U569" s="676"/>
      <c r="V569" s="676"/>
      <c r="W569" s="676"/>
      <c r="X569" s="676"/>
      <c r="Y569" s="676"/>
      <c r="Z569" s="676"/>
    </row>
    <row r="570">
      <c r="A570" s="698">
        <v>45674.0</v>
      </c>
      <c r="B570" s="669" t="s">
        <v>1888</v>
      </c>
      <c r="C570" s="682" t="s">
        <v>284</v>
      </c>
      <c r="D570" s="671">
        <f>633000*2</f>
        <v>1266000</v>
      </c>
      <c r="E570" s="672" t="s">
        <v>1406</v>
      </c>
      <c r="F570" s="673">
        <v>1238000.0</v>
      </c>
      <c r="G570" s="680"/>
      <c r="H570" s="680">
        <v>42.78</v>
      </c>
      <c r="I570" s="676"/>
      <c r="J570" s="676"/>
      <c r="K570" s="676"/>
      <c r="L570" s="676"/>
      <c r="M570" s="676"/>
      <c r="N570" s="676"/>
      <c r="O570" s="676"/>
      <c r="P570" s="676"/>
      <c r="Q570" s="676"/>
      <c r="R570" s="676"/>
      <c r="S570" s="676"/>
      <c r="T570" s="676"/>
      <c r="U570" s="676"/>
      <c r="V570" s="676"/>
      <c r="W570" s="676"/>
      <c r="X570" s="676"/>
      <c r="Y570" s="676"/>
      <c r="Z570" s="676"/>
    </row>
    <row r="571">
      <c r="A571" s="705"/>
      <c r="B571" s="655"/>
      <c r="C571" s="656"/>
      <c r="D571" s="683"/>
      <c r="E571" s="631"/>
      <c r="F571" s="632"/>
      <c r="G571" s="684"/>
      <c r="H571" s="454"/>
    </row>
    <row r="572">
      <c r="A572" s="673" t="s">
        <v>1903</v>
      </c>
      <c r="B572" s="669" t="s">
        <v>1904</v>
      </c>
      <c r="C572" s="682" t="s">
        <v>1905</v>
      </c>
      <c r="D572" s="671">
        <v>55000.0</v>
      </c>
      <c r="E572" s="672" t="s">
        <v>1406</v>
      </c>
      <c r="F572" s="673" t="s">
        <v>1906</v>
      </c>
      <c r="G572" s="680">
        <v>79.64</v>
      </c>
      <c r="H572" s="675"/>
      <c r="I572" s="676"/>
      <c r="J572" s="676"/>
      <c r="K572" s="676"/>
      <c r="L572" s="676"/>
      <c r="M572" s="676"/>
      <c r="N572" s="676"/>
      <c r="O572" s="676"/>
      <c r="P572" s="676"/>
      <c r="Q572" s="676"/>
      <c r="R572" s="676"/>
      <c r="S572" s="676"/>
      <c r="T572" s="676"/>
      <c r="U572" s="676"/>
      <c r="V572" s="676"/>
      <c r="W572" s="676"/>
      <c r="X572" s="676"/>
      <c r="Y572" s="676"/>
      <c r="Z572" s="676"/>
    </row>
    <row r="573">
      <c r="A573" s="706">
        <v>46037.0</v>
      </c>
      <c r="B573" s="669" t="s">
        <v>1907</v>
      </c>
      <c r="C573" s="682" t="s">
        <v>1908</v>
      </c>
      <c r="D573" s="690">
        <f>320000+72000+30000+20000</f>
        <v>442000</v>
      </c>
      <c r="E573" s="672" t="s">
        <v>1543</v>
      </c>
      <c r="F573" s="673" t="s">
        <v>1681</v>
      </c>
      <c r="G573" s="680">
        <v>639.9</v>
      </c>
      <c r="H573" s="680">
        <v>688.57</v>
      </c>
      <c r="I573" s="676"/>
      <c r="J573" s="676"/>
      <c r="K573" s="676"/>
      <c r="L573" s="676"/>
      <c r="M573" s="676"/>
      <c r="N573" s="676"/>
      <c r="O573" s="676"/>
      <c r="P573" s="676"/>
      <c r="Q573" s="676"/>
      <c r="R573" s="676"/>
      <c r="S573" s="676"/>
      <c r="T573" s="676"/>
      <c r="U573" s="676"/>
      <c r="V573" s="676"/>
      <c r="W573" s="676"/>
      <c r="X573" s="676"/>
      <c r="Y573" s="676"/>
      <c r="Z573" s="676"/>
    </row>
    <row r="574">
      <c r="A574" s="701">
        <v>45673.0</v>
      </c>
      <c r="B574" s="612" t="s">
        <v>1909</v>
      </c>
      <c r="C574" s="613" t="s">
        <v>1910</v>
      </c>
      <c r="D574" s="620">
        <f>176000*2</f>
        <v>352000</v>
      </c>
      <c r="E574" s="615" t="s">
        <v>1406</v>
      </c>
      <c r="F574" s="616" t="s">
        <v>1764</v>
      </c>
      <c r="G574" s="644">
        <v>510.59</v>
      </c>
      <c r="H574" s="595"/>
      <c r="I574" s="617"/>
      <c r="J574" s="617"/>
      <c r="K574" s="617"/>
      <c r="L574" s="617"/>
      <c r="M574" s="617"/>
      <c r="N574" s="617"/>
      <c r="O574" s="617"/>
      <c r="P574" s="617"/>
      <c r="Q574" s="617"/>
      <c r="R574" s="617"/>
      <c r="S574" s="617"/>
      <c r="T574" s="617"/>
      <c r="U574" s="617"/>
      <c r="V574" s="617"/>
      <c r="W574" s="617"/>
      <c r="X574" s="617"/>
      <c r="Y574" s="617"/>
      <c r="Z574" s="617"/>
    </row>
    <row r="575">
      <c r="A575" s="701">
        <v>46039.0</v>
      </c>
      <c r="B575" s="612" t="s">
        <v>1909</v>
      </c>
      <c r="C575" s="613" t="s">
        <v>156</v>
      </c>
      <c r="D575" s="620">
        <v>660000.0</v>
      </c>
      <c r="E575" s="615" t="s">
        <v>1812</v>
      </c>
      <c r="F575" s="616" t="s">
        <v>1906</v>
      </c>
      <c r="G575" s="644">
        <v>955.51</v>
      </c>
      <c r="H575" s="595"/>
      <c r="I575" s="617"/>
      <c r="J575" s="617"/>
      <c r="K575" s="617"/>
      <c r="L575" s="617"/>
      <c r="M575" s="617"/>
      <c r="N575" s="617"/>
      <c r="O575" s="617"/>
      <c r="P575" s="617"/>
      <c r="Q575" s="617"/>
      <c r="R575" s="617"/>
      <c r="S575" s="617"/>
      <c r="T575" s="617"/>
      <c r="U575" s="617"/>
      <c r="V575" s="617"/>
      <c r="W575" s="617"/>
      <c r="X575" s="617"/>
      <c r="Y575" s="617"/>
      <c r="Z575" s="617"/>
    </row>
    <row r="576">
      <c r="A576" s="698">
        <v>46041.0</v>
      </c>
      <c r="B576" s="669" t="s">
        <v>1909</v>
      </c>
      <c r="C576" s="682" t="s">
        <v>1911</v>
      </c>
      <c r="D576" s="690">
        <f>280000</f>
        <v>280000</v>
      </c>
      <c r="E576" s="672" t="s">
        <v>1406</v>
      </c>
      <c r="F576" s="673" t="s">
        <v>1906</v>
      </c>
      <c r="G576" s="680">
        <v>405.37</v>
      </c>
      <c r="H576" s="675"/>
      <c r="I576" s="676"/>
      <c r="J576" s="676"/>
      <c r="K576" s="676"/>
      <c r="L576" s="676"/>
      <c r="M576" s="676"/>
      <c r="N576" s="676"/>
      <c r="O576" s="676"/>
      <c r="P576" s="676"/>
      <c r="Q576" s="676"/>
      <c r="R576" s="676"/>
      <c r="S576" s="676"/>
      <c r="T576" s="676"/>
      <c r="U576" s="676"/>
      <c r="V576" s="676"/>
      <c r="W576" s="676"/>
      <c r="X576" s="676"/>
      <c r="Y576" s="676"/>
      <c r="Z576" s="676"/>
    </row>
    <row r="577">
      <c r="A577" s="698">
        <v>46043.0</v>
      </c>
      <c r="B577" s="669" t="s">
        <v>1912</v>
      </c>
      <c r="C577" s="682" t="s">
        <v>510</v>
      </c>
      <c r="D577" s="671">
        <f>300000+38000+30000+10000</f>
        <v>378000</v>
      </c>
      <c r="E577" s="672" t="s">
        <v>1543</v>
      </c>
      <c r="F577" s="673"/>
      <c r="G577" s="680">
        <v>578.13</v>
      </c>
      <c r="H577" s="675"/>
      <c r="I577" s="676"/>
      <c r="J577" s="676"/>
      <c r="K577" s="676"/>
      <c r="L577" s="676"/>
      <c r="M577" s="676"/>
      <c r="N577" s="676"/>
      <c r="O577" s="676"/>
      <c r="P577" s="676"/>
      <c r="Q577" s="676"/>
      <c r="R577" s="676"/>
      <c r="S577" s="676"/>
      <c r="T577" s="676"/>
      <c r="U577" s="676"/>
      <c r="V577" s="676"/>
      <c r="W577" s="676"/>
      <c r="X577" s="676"/>
      <c r="Y577" s="676"/>
      <c r="Z577" s="676"/>
    </row>
    <row r="578">
      <c r="A578" s="698">
        <v>46044.0</v>
      </c>
      <c r="B578" s="669" t="s">
        <v>1909</v>
      </c>
      <c r="C578" s="682" t="s">
        <v>1913</v>
      </c>
      <c r="D578" s="671">
        <v>280000.0</v>
      </c>
      <c r="E578" s="672" t="s">
        <v>1406</v>
      </c>
      <c r="F578" s="673" t="s">
        <v>1906</v>
      </c>
      <c r="G578" s="680">
        <v>405.37</v>
      </c>
      <c r="H578" s="675"/>
      <c r="I578" s="676"/>
      <c r="J578" s="676"/>
      <c r="K578" s="676"/>
      <c r="L578" s="676"/>
      <c r="M578" s="676"/>
      <c r="N578" s="676"/>
      <c r="O578" s="676"/>
      <c r="P578" s="676"/>
      <c r="Q578" s="676"/>
      <c r="R578" s="676"/>
      <c r="S578" s="676"/>
      <c r="T578" s="676"/>
      <c r="U578" s="676"/>
      <c r="V578" s="676"/>
      <c r="W578" s="676"/>
      <c r="X578" s="676"/>
      <c r="Y578" s="676"/>
      <c r="Z578" s="676"/>
    </row>
    <row r="579">
      <c r="A579" s="679">
        <v>46038.0</v>
      </c>
      <c r="B579" s="669" t="s">
        <v>1914</v>
      </c>
      <c r="C579" s="682" t="s">
        <v>1515</v>
      </c>
      <c r="D579" s="671">
        <v>446000.0</v>
      </c>
      <c r="E579" s="672" t="s">
        <v>1915</v>
      </c>
      <c r="F579" s="673" t="s">
        <v>1764</v>
      </c>
      <c r="G579" s="675"/>
      <c r="H579" s="680">
        <v>688.57</v>
      </c>
      <c r="I579" s="676"/>
      <c r="J579" s="676"/>
      <c r="K579" s="676"/>
      <c r="L579" s="676"/>
      <c r="M579" s="676"/>
      <c r="N579" s="676"/>
      <c r="O579" s="676"/>
      <c r="P579" s="676"/>
      <c r="Q579" s="676"/>
      <c r="R579" s="676"/>
      <c r="S579" s="676"/>
      <c r="T579" s="676"/>
      <c r="U579" s="676"/>
      <c r="V579" s="676"/>
      <c r="W579" s="676"/>
      <c r="X579" s="676"/>
      <c r="Y579" s="676"/>
      <c r="Z579" s="676"/>
    </row>
    <row r="580">
      <c r="A580" s="679">
        <v>46038.0</v>
      </c>
      <c r="B580" s="669" t="s">
        <v>1914</v>
      </c>
      <c r="C580" s="682" t="s">
        <v>285</v>
      </c>
      <c r="D580" s="690">
        <f>130000*2</f>
        <v>260000</v>
      </c>
      <c r="E580" s="672" t="s">
        <v>1406</v>
      </c>
      <c r="F580" s="673" t="s">
        <v>1764</v>
      </c>
      <c r="G580" s="675"/>
      <c r="H580" s="675"/>
      <c r="I580" s="676"/>
      <c r="J580" s="676"/>
      <c r="K580" s="676"/>
      <c r="L580" s="676"/>
      <c r="M580" s="676"/>
      <c r="N580" s="676"/>
      <c r="O580" s="676"/>
      <c r="P580" s="676"/>
      <c r="Q580" s="676"/>
      <c r="R580" s="676"/>
      <c r="S580" s="676"/>
      <c r="T580" s="676"/>
      <c r="U580" s="676"/>
      <c r="V580" s="676"/>
      <c r="W580" s="676"/>
      <c r="X580" s="676"/>
      <c r="Y580" s="676"/>
      <c r="Z580" s="676"/>
    </row>
    <row r="581">
      <c r="A581" s="679">
        <v>46039.0</v>
      </c>
      <c r="B581" s="669" t="s">
        <v>1914</v>
      </c>
      <c r="C581" s="682" t="s">
        <v>267</v>
      </c>
      <c r="D581" s="690">
        <f>300000*2</f>
        <v>600000</v>
      </c>
      <c r="E581" s="672" t="s">
        <v>1558</v>
      </c>
      <c r="F581" s="673" t="s">
        <v>1764</v>
      </c>
      <c r="G581" s="675"/>
      <c r="H581" s="675"/>
      <c r="I581" s="676"/>
      <c r="J581" s="676"/>
      <c r="K581" s="676"/>
      <c r="L581" s="676"/>
      <c r="M581" s="676"/>
      <c r="N581" s="676"/>
      <c r="O581" s="676"/>
      <c r="P581" s="676"/>
      <c r="Q581" s="676"/>
      <c r="R581" s="676"/>
      <c r="S581" s="676"/>
      <c r="T581" s="676"/>
      <c r="U581" s="676"/>
      <c r="V581" s="676"/>
      <c r="W581" s="676"/>
      <c r="X581" s="676"/>
      <c r="Y581" s="676"/>
      <c r="Z581" s="676"/>
    </row>
    <row r="582">
      <c r="A582" s="698">
        <v>46040.0</v>
      </c>
      <c r="B582" s="669" t="s">
        <v>1916</v>
      </c>
      <c r="C582" s="682" t="s">
        <v>1815</v>
      </c>
      <c r="D582" s="671">
        <v>784000.0</v>
      </c>
      <c r="E582" s="672" t="s">
        <v>1406</v>
      </c>
      <c r="F582" s="673"/>
      <c r="G582" s="675"/>
      <c r="H582" s="675"/>
      <c r="I582" s="676"/>
      <c r="J582" s="676"/>
      <c r="K582" s="676"/>
      <c r="L582" s="676"/>
      <c r="M582" s="676"/>
      <c r="N582" s="676"/>
      <c r="O582" s="676"/>
      <c r="P582" s="676"/>
      <c r="Q582" s="676"/>
      <c r="R582" s="676"/>
      <c r="S582" s="676"/>
      <c r="T582" s="676"/>
      <c r="U582" s="676"/>
      <c r="V582" s="676"/>
      <c r="W582" s="676"/>
      <c r="X582" s="676"/>
      <c r="Y582" s="676"/>
      <c r="Z582" s="676"/>
    </row>
    <row r="583">
      <c r="A583" s="701">
        <v>45675.0</v>
      </c>
      <c r="B583" s="612" t="s">
        <v>1914</v>
      </c>
      <c r="C583" s="613" t="s">
        <v>169</v>
      </c>
      <c r="D583" s="634">
        <f>370000*2</f>
        <v>740000</v>
      </c>
      <c r="E583" s="615" t="s">
        <v>1406</v>
      </c>
      <c r="F583" s="616" t="s">
        <v>1917</v>
      </c>
      <c r="G583" s="595"/>
      <c r="H583" s="595"/>
      <c r="I583" s="617"/>
      <c r="J583" s="617"/>
      <c r="K583" s="617"/>
      <c r="L583" s="617"/>
      <c r="M583" s="617"/>
      <c r="N583" s="617"/>
      <c r="O583" s="617"/>
      <c r="P583" s="617"/>
      <c r="Q583" s="617"/>
      <c r="R583" s="617"/>
      <c r="S583" s="617"/>
      <c r="T583" s="617"/>
      <c r="U583" s="617"/>
      <c r="V583" s="617"/>
      <c r="W583" s="617"/>
      <c r="X583" s="617"/>
      <c r="Y583" s="617"/>
      <c r="Z583" s="617"/>
    </row>
    <row r="584">
      <c r="A584" s="698">
        <v>46041.0</v>
      </c>
      <c r="B584" s="669" t="s">
        <v>1914</v>
      </c>
      <c r="C584" s="682" t="s">
        <v>158</v>
      </c>
      <c r="D584" s="690">
        <f>410000*2</f>
        <v>820000</v>
      </c>
      <c r="E584" s="672" t="s">
        <v>1406</v>
      </c>
      <c r="F584" s="673" t="s">
        <v>1764</v>
      </c>
      <c r="G584" s="675"/>
      <c r="H584" s="675"/>
      <c r="I584" s="676"/>
      <c r="J584" s="676"/>
      <c r="K584" s="676"/>
      <c r="L584" s="676"/>
      <c r="M584" s="676"/>
      <c r="N584" s="676"/>
      <c r="O584" s="676"/>
      <c r="P584" s="676"/>
      <c r="Q584" s="676"/>
      <c r="R584" s="676"/>
      <c r="S584" s="676"/>
      <c r="T584" s="676"/>
      <c r="U584" s="676"/>
      <c r="V584" s="676"/>
      <c r="W584" s="676"/>
      <c r="X584" s="676"/>
      <c r="Y584" s="676"/>
      <c r="Z584" s="676"/>
    </row>
    <row r="585">
      <c r="A585" s="657">
        <v>45676.0</v>
      </c>
      <c r="B585" s="658" t="s">
        <v>1918</v>
      </c>
      <c r="C585" s="707" t="s">
        <v>440</v>
      </c>
      <c r="D585" s="666">
        <v>190000.0</v>
      </c>
      <c r="E585" s="661" t="s">
        <v>1406</v>
      </c>
      <c r="F585" s="708"/>
      <c r="G585" s="663"/>
      <c r="H585" s="663"/>
      <c r="I585" s="664"/>
      <c r="J585" s="664"/>
      <c r="K585" s="664"/>
      <c r="L585" s="664"/>
      <c r="M585" s="664"/>
      <c r="N585" s="664"/>
      <c r="O585" s="664"/>
      <c r="P585" s="664"/>
      <c r="Q585" s="664"/>
      <c r="R585" s="664"/>
      <c r="S585" s="664"/>
      <c r="T585" s="664"/>
      <c r="U585" s="664"/>
      <c r="V585" s="664"/>
      <c r="W585" s="664"/>
      <c r="X585" s="664"/>
      <c r="Y585" s="664"/>
      <c r="Z585" s="664"/>
    </row>
    <row r="586">
      <c r="A586" s="657">
        <v>45677.0</v>
      </c>
      <c r="B586" s="658" t="s">
        <v>1919</v>
      </c>
      <c r="C586" s="707" t="s">
        <v>1920</v>
      </c>
      <c r="D586" s="666">
        <v>2103600.0</v>
      </c>
      <c r="E586" s="661" t="s">
        <v>1406</v>
      </c>
      <c r="F586" s="708"/>
      <c r="G586" s="663"/>
      <c r="H586" s="663"/>
      <c r="I586" s="664"/>
      <c r="J586" s="664"/>
      <c r="K586" s="664"/>
      <c r="L586" s="664"/>
      <c r="M586" s="664"/>
      <c r="N586" s="664"/>
      <c r="O586" s="664"/>
      <c r="P586" s="664"/>
      <c r="Q586" s="664"/>
      <c r="R586" s="664"/>
      <c r="S586" s="664"/>
      <c r="T586" s="664"/>
      <c r="U586" s="664"/>
      <c r="V586" s="664"/>
      <c r="W586" s="664"/>
      <c r="X586" s="664"/>
      <c r="Y586" s="664"/>
      <c r="Z586" s="664"/>
    </row>
    <row r="587">
      <c r="A587" s="657">
        <v>45678.0</v>
      </c>
      <c r="B587" s="658" t="s">
        <v>1919</v>
      </c>
      <c r="C587" s="707" t="s">
        <v>1921</v>
      </c>
      <c r="D587" s="666">
        <v>1105200.0</v>
      </c>
      <c r="E587" s="661" t="s">
        <v>1406</v>
      </c>
      <c r="F587" s="708"/>
      <c r="G587" s="663"/>
      <c r="H587" s="663"/>
      <c r="I587" s="664"/>
      <c r="J587" s="664"/>
      <c r="K587" s="664"/>
      <c r="L587" s="664"/>
      <c r="M587" s="664"/>
      <c r="N587" s="664"/>
      <c r="O587" s="664"/>
      <c r="P587" s="664"/>
      <c r="Q587" s="664"/>
      <c r="R587" s="664"/>
      <c r="S587" s="664"/>
      <c r="T587" s="664"/>
      <c r="U587" s="664"/>
      <c r="V587" s="664"/>
      <c r="W587" s="664"/>
      <c r="X587" s="664"/>
      <c r="Y587" s="664"/>
      <c r="Z587" s="664"/>
    </row>
    <row r="588">
      <c r="A588" s="657">
        <v>45679.0</v>
      </c>
      <c r="B588" s="658" t="s">
        <v>1919</v>
      </c>
      <c r="C588" s="659" t="s">
        <v>1922</v>
      </c>
      <c r="D588" s="666">
        <v>150000.0</v>
      </c>
      <c r="E588" s="661" t="s">
        <v>1406</v>
      </c>
      <c r="F588" s="708"/>
      <c r="G588" s="663"/>
      <c r="H588" s="663"/>
      <c r="I588" s="664"/>
      <c r="J588" s="664"/>
      <c r="K588" s="664"/>
      <c r="L588" s="664"/>
      <c r="M588" s="664"/>
      <c r="N588" s="664"/>
      <c r="O588" s="664"/>
      <c r="P588" s="664"/>
      <c r="Q588" s="664"/>
      <c r="R588" s="664"/>
      <c r="S588" s="664"/>
      <c r="T588" s="664"/>
      <c r="U588" s="664"/>
      <c r="V588" s="664"/>
      <c r="W588" s="664"/>
      <c r="X588" s="664"/>
      <c r="Y588" s="664"/>
      <c r="Z588" s="664"/>
    </row>
    <row r="589">
      <c r="A589" s="679">
        <v>45678.0</v>
      </c>
      <c r="B589" s="669" t="s">
        <v>1919</v>
      </c>
      <c r="C589" s="682" t="s">
        <v>1717</v>
      </c>
      <c r="D589" s="671">
        <v>145000.0</v>
      </c>
      <c r="E589" s="672" t="s">
        <v>1406</v>
      </c>
      <c r="F589" s="696"/>
      <c r="G589" s="675"/>
      <c r="H589" s="675"/>
      <c r="I589" s="676"/>
      <c r="J589" s="676"/>
      <c r="K589" s="676"/>
      <c r="L589" s="676"/>
      <c r="M589" s="676"/>
      <c r="N589" s="676"/>
      <c r="O589" s="676"/>
      <c r="P589" s="676"/>
      <c r="Q589" s="676"/>
      <c r="R589" s="676"/>
      <c r="S589" s="676"/>
      <c r="T589" s="676"/>
      <c r="U589" s="676"/>
      <c r="V589" s="676"/>
      <c r="W589" s="676"/>
      <c r="X589" s="676"/>
      <c r="Y589" s="676"/>
      <c r="Z589" s="676"/>
    </row>
    <row r="590">
      <c r="A590" s="679">
        <v>46044.0</v>
      </c>
      <c r="B590" s="669" t="s">
        <v>1923</v>
      </c>
      <c r="C590" s="709" t="s">
        <v>169</v>
      </c>
      <c r="D590" s="710">
        <v>760000.0</v>
      </c>
      <c r="E590" s="672" t="s">
        <v>1406</v>
      </c>
      <c r="F590" s="673"/>
      <c r="G590" s="680">
        <v>1182.23</v>
      </c>
      <c r="H590" s="675"/>
      <c r="I590" s="676"/>
      <c r="J590" s="676"/>
      <c r="K590" s="676"/>
      <c r="L590" s="676"/>
      <c r="M590" s="676"/>
      <c r="N590" s="676"/>
      <c r="O590" s="676"/>
      <c r="P590" s="676"/>
      <c r="Q590" s="676"/>
      <c r="R590" s="676"/>
      <c r="S590" s="676"/>
      <c r="T590" s="676"/>
      <c r="U590" s="676"/>
      <c r="V590" s="676"/>
      <c r="W590" s="676"/>
      <c r="X590" s="676"/>
      <c r="Y590" s="676"/>
      <c r="Z590" s="676"/>
    </row>
    <row r="591">
      <c r="A591" s="679">
        <v>45679.0</v>
      </c>
      <c r="B591" s="669" t="s">
        <v>1919</v>
      </c>
      <c r="C591" s="709" t="s">
        <v>145</v>
      </c>
      <c r="D591" s="711">
        <f>420000+(36000*4)+240000+40000</f>
        <v>844000</v>
      </c>
      <c r="E591" s="672" t="s">
        <v>1406</v>
      </c>
      <c r="F591" s="696"/>
      <c r="G591" s="680">
        <v>1293.22</v>
      </c>
      <c r="H591" s="675"/>
      <c r="I591" s="676"/>
      <c r="J591" s="676"/>
      <c r="K591" s="676"/>
      <c r="L591" s="676"/>
      <c r="M591" s="676"/>
      <c r="N591" s="676"/>
      <c r="O591" s="676"/>
      <c r="P591" s="676"/>
      <c r="Q591" s="676"/>
      <c r="R591" s="676"/>
      <c r="S591" s="676"/>
      <c r="T591" s="676"/>
      <c r="U591" s="676"/>
      <c r="V591" s="676"/>
      <c r="W591" s="676"/>
      <c r="X591" s="676"/>
      <c r="Y591" s="676"/>
      <c r="Z591" s="676"/>
    </row>
    <row r="592">
      <c r="A592" s="679">
        <v>45679.0</v>
      </c>
      <c r="B592" s="669" t="s">
        <v>1919</v>
      </c>
      <c r="C592" s="682" t="s">
        <v>1924</v>
      </c>
      <c r="D592" s="671">
        <v>240000.0</v>
      </c>
      <c r="E592" s="672" t="s">
        <v>1144</v>
      </c>
      <c r="F592" s="696"/>
      <c r="G592" s="675"/>
      <c r="H592" s="675"/>
      <c r="I592" s="676"/>
      <c r="J592" s="676"/>
      <c r="K592" s="676"/>
      <c r="L592" s="676"/>
      <c r="M592" s="676"/>
      <c r="N592" s="676"/>
      <c r="O592" s="676"/>
      <c r="P592" s="676"/>
      <c r="Q592" s="676"/>
      <c r="R592" s="676"/>
      <c r="S592" s="676"/>
      <c r="T592" s="676"/>
      <c r="U592" s="676"/>
      <c r="V592" s="676"/>
      <c r="W592" s="676"/>
      <c r="X592" s="676"/>
      <c r="Y592" s="676"/>
      <c r="Z592" s="676"/>
    </row>
    <row r="593">
      <c r="A593" s="679">
        <v>46045.0</v>
      </c>
      <c r="B593" s="669" t="s">
        <v>1925</v>
      </c>
      <c r="C593" s="712" t="s">
        <v>1663</v>
      </c>
      <c r="D593" s="713">
        <v>120000.0</v>
      </c>
      <c r="E593" s="672" t="s">
        <v>1144</v>
      </c>
      <c r="F593" s="696"/>
      <c r="G593" s="680">
        <v>186.02</v>
      </c>
      <c r="H593" s="675"/>
      <c r="I593" s="676"/>
      <c r="J593" s="676"/>
      <c r="K593" s="676"/>
      <c r="L593" s="676"/>
      <c r="M593" s="676"/>
      <c r="N593" s="676"/>
      <c r="O593" s="676"/>
      <c r="P593" s="676"/>
      <c r="Q593" s="676"/>
      <c r="R593" s="676"/>
      <c r="S593" s="676"/>
      <c r="T593" s="676"/>
      <c r="U593" s="676"/>
      <c r="V593" s="676"/>
      <c r="W593" s="676"/>
      <c r="X593" s="676"/>
      <c r="Y593" s="676"/>
      <c r="Z593" s="676"/>
    </row>
    <row r="594">
      <c r="A594" s="679">
        <v>46045.0</v>
      </c>
      <c r="B594" s="669" t="s">
        <v>1925</v>
      </c>
      <c r="C594" s="712" t="s">
        <v>663</v>
      </c>
      <c r="D594" s="714">
        <f>320000+38000*2+20000+30000</f>
        <v>446000</v>
      </c>
      <c r="E594" s="672" t="s">
        <v>1406</v>
      </c>
      <c r="F594" s="696"/>
      <c r="G594" s="680">
        <v>683.38</v>
      </c>
      <c r="H594" s="675"/>
      <c r="I594" s="676"/>
      <c r="J594" s="676"/>
      <c r="K594" s="676"/>
      <c r="L594" s="676"/>
      <c r="M594" s="676"/>
      <c r="N594" s="676"/>
      <c r="O594" s="676"/>
      <c r="P594" s="676"/>
      <c r="Q594" s="676"/>
      <c r="R594" s="676"/>
      <c r="S594" s="676"/>
      <c r="T594" s="676"/>
      <c r="U594" s="676"/>
      <c r="V594" s="676"/>
      <c r="W594" s="676"/>
      <c r="X594" s="676"/>
      <c r="Y594" s="676"/>
      <c r="Z594" s="676"/>
    </row>
    <row r="595">
      <c r="A595" s="679">
        <v>45679.0</v>
      </c>
      <c r="B595" s="669" t="s">
        <v>1919</v>
      </c>
      <c r="C595" s="712" t="s">
        <v>146</v>
      </c>
      <c r="D595" s="714">
        <f>130000*4</f>
        <v>520000</v>
      </c>
      <c r="E595" s="672" t="s">
        <v>1406</v>
      </c>
      <c r="F595" s="696"/>
      <c r="G595" s="675"/>
      <c r="H595" s="675"/>
      <c r="I595" s="676"/>
      <c r="J595" s="676"/>
      <c r="K595" s="676"/>
      <c r="L595" s="676"/>
      <c r="M595" s="676"/>
      <c r="N595" s="676"/>
      <c r="O595" s="676"/>
      <c r="P595" s="676"/>
      <c r="Q595" s="676"/>
      <c r="R595" s="676"/>
      <c r="S595" s="676"/>
      <c r="T595" s="676"/>
      <c r="U595" s="676"/>
      <c r="V595" s="676"/>
      <c r="W595" s="676"/>
      <c r="X595" s="676"/>
      <c r="Y595" s="676"/>
      <c r="Z595" s="676"/>
    </row>
    <row r="596">
      <c r="A596" s="657">
        <v>45680.0</v>
      </c>
      <c r="B596" s="658" t="s">
        <v>1919</v>
      </c>
      <c r="C596" s="715" t="s">
        <v>156</v>
      </c>
      <c r="D596" s="716">
        <f>330000*4</f>
        <v>1320000</v>
      </c>
      <c r="E596" s="661" t="s">
        <v>1406</v>
      </c>
      <c r="F596" s="708"/>
      <c r="G596" s="663"/>
      <c r="H596" s="663"/>
      <c r="I596" s="664"/>
      <c r="J596" s="664"/>
      <c r="K596" s="664"/>
      <c r="L596" s="664"/>
      <c r="M596" s="664"/>
      <c r="N596" s="664"/>
      <c r="O596" s="664"/>
      <c r="P596" s="664"/>
      <c r="Q596" s="664"/>
      <c r="R596" s="664"/>
      <c r="S596" s="664"/>
      <c r="T596" s="664"/>
      <c r="U596" s="664"/>
      <c r="V596" s="664"/>
      <c r="W596" s="664"/>
      <c r="X596" s="664"/>
      <c r="Y596" s="664"/>
      <c r="Z596" s="664"/>
    </row>
    <row r="597">
      <c r="A597" s="679">
        <v>45681.0</v>
      </c>
      <c r="B597" s="669" t="s">
        <v>1919</v>
      </c>
      <c r="C597" s="712" t="s">
        <v>282</v>
      </c>
      <c r="D597" s="714">
        <f>309000*4</f>
        <v>1236000</v>
      </c>
      <c r="E597" s="672" t="s">
        <v>1144</v>
      </c>
      <c r="F597" s="696"/>
      <c r="G597" s="675"/>
      <c r="H597" s="675"/>
      <c r="I597" s="676"/>
      <c r="J597" s="676"/>
      <c r="K597" s="676"/>
      <c r="L597" s="676"/>
      <c r="M597" s="676"/>
      <c r="N597" s="676"/>
      <c r="O597" s="676"/>
      <c r="P597" s="676"/>
      <c r="Q597" s="676"/>
      <c r="R597" s="676"/>
      <c r="S597" s="676"/>
      <c r="T597" s="676"/>
      <c r="U597" s="676"/>
      <c r="V597" s="676"/>
      <c r="W597" s="676"/>
      <c r="X597" s="676"/>
      <c r="Y597" s="676"/>
      <c r="Z597" s="676"/>
    </row>
    <row r="598">
      <c r="A598" s="679">
        <v>46046.0</v>
      </c>
      <c r="B598" s="669" t="s">
        <v>684</v>
      </c>
      <c r="C598" s="682" t="s">
        <v>626</v>
      </c>
      <c r="D598" s="671">
        <v>780000.0</v>
      </c>
      <c r="E598" s="672" t="s">
        <v>1406</v>
      </c>
      <c r="F598" s="696"/>
      <c r="G598" s="680">
        <v>1199.11</v>
      </c>
      <c r="H598" s="675"/>
      <c r="I598" s="676"/>
      <c r="J598" s="676"/>
      <c r="K598" s="676"/>
      <c r="L598" s="676"/>
      <c r="M598" s="676"/>
      <c r="N598" s="676"/>
      <c r="O598" s="676"/>
      <c r="P598" s="676"/>
      <c r="Q598" s="676"/>
      <c r="R598" s="676"/>
      <c r="S598" s="676"/>
      <c r="T598" s="676"/>
      <c r="U598" s="676"/>
      <c r="V598" s="676"/>
      <c r="W598" s="676"/>
      <c r="X598" s="676"/>
      <c r="Y598" s="676"/>
      <c r="Z598" s="676"/>
    </row>
    <row r="599">
      <c r="A599" s="679">
        <v>46046.0</v>
      </c>
      <c r="B599" s="669" t="s">
        <v>1926</v>
      </c>
      <c r="C599" s="682" t="s">
        <v>1927</v>
      </c>
      <c r="D599" s="671">
        <v>420000.0</v>
      </c>
      <c r="E599" s="672" t="s">
        <v>1406</v>
      </c>
      <c r="F599" s="696"/>
      <c r="G599" s="680">
        <v>647.1</v>
      </c>
      <c r="H599" s="675"/>
      <c r="I599" s="676"/>
      <c r="J599" s="676"/>
      <c r="K599" s="676"/>
      <c r="L599" s="676"/>
      <c r="M599" s="676"/>
      <c r="N599" s="676"/>
      <c r="O599" s="676"/>
      <c r="P599" s="676"/>
      <c r="Q599" s="676"/>
      <c r="R599" s="676"/>
      <c r="S599" s="676"/>
      <c r="T599" s="676"/>
      <c r="U599" s="676"/>
      <c r="V599" s="676"/>
      <c r="W599" s="676"/>
      <c r="X599" s="676"/>
      <c r="Y599" s="676"/>
      <c r="Z599" s="676"/>
    </row>
    <row r="600">
      <c r="A600" s="679">
        <v>45683.0</v>
      </c>
      <c r="B600" s="669" t="s">
        <v>1919</v>
      </c>
      <c r="C600" s="682" t="s">
        <v>1928</v>
      </c>
      <c r="D600" s="671">
        <v>145000.0</v>
      </c>
      <c r="E600" s="672" t="s">
        <v>1406</v>
      </c>
      <c r="F600" s="696"/>
      <c r="G600" s="675"/>
      <c r="H600" s="675"/>
      <c r="I600" s="676"/>
      <c r="J600" s="676"/>
      <c r="K600" s="676"/>
      <c r="L600" s="676"/>
      <c r="M600" s="676"/>
      <c r="N600" s="676"/>
      <c r="O600" s="676"/>
      <c r="P600" s="676"/>
      <c r="Q600" s="676"/>
      <c r="R600" s="676"/>
      <c r="S600" s="676"/>
      <c r="T600" s="676"/>
      <c r="U600" s="676"/>
      <c r="V600" s="676"/>
      <c r="W600" s="676"/>
      <c r="X600" s="676"/>
      <c r="Y600" s="676"/>
      <c r="Z600" s="676"/>
    </row>
    <row r="601">
      <c r="A601" s="679">
        <v>46052.0</v>
      </c>
      <c r="B601" s="669" t="s">
        <v>1929</v>
      </c>
      <c r="C601" s="717" t="s">
        <v>663</v>
      </c>
      <c r="D601" s="690">
        <f>320000+38000*3+15000+40000</f>
        <v>489000</v>
      </c>
      <c r="E601" s="672" t="s">
        <v>1406</v>
      </c>
      <c r="F601" s="673"/>
      <c r="G601" s="718">
        <v>753.55</v>
      </c>
      <c r="H601" s="675"/>
      <c r="I601" s="676"/>
      <c r="J601" s="676"/>
      <c r="K601" s="676"/>
      <c r="L601" s="676"/>
      <c r="M601" s="676"/>
      <c r="N601" s="676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</row>
    <row r="602">
      <c r="A602" s="679">
        <v>46052.0</v>
      </c>
      <c r="B602" s="669" t="s">
        <v>1929</v>
      </c>
      <c r="C602" s="717" t="s">
        <v>1663</v>
      </c>
      <c r="D602" s="671">
        <v>240000.0</v>
      </c>
      <c r="E602" s="672" t="s">
        <v>1406</v>
      </c>
      <c r="F602" s="673"/>
      <c r="G602" s="680">
        <v>374.43</v>
      </c>
      <c r="H602" s="675"/>
      <c r="I602" s="676"/>
      <c r="J602" s="676"/>
      <c r="K602" s="676"/>
      <c r="L602" s="676"/>
      <c r="M602" s="676"/>
      <c r="N602" s="676"/>
      <c r="O602" s="676"/>
      <c r="P602" s="676"/>
      <c r="Q602" s="676"/>
      <c r="R602" s="676"/>
      <c r="S602" s="676"/>
      <c r="T602" s="676"/>
      <c r="U602" s="676"/>
      <c r="V602" s="676"/>
      <c r="W602" s="676"/>
      <c r="X602" s="676"/>
      <c r="Y602" s="676"/>
      <c r="Z602" s="676"/>
    </row>
    <row r="603">
      <c r="A603" s="673" t="s">
        <v>1406</v>
      </c>
      <c r="B603" s="669" t="s">
        <v>1930</v>
      </c>
      <c r="C603" s="717" t="s">
        <v>1931</v>
      </c>
      <c r="D603" s="671">
        <v>780000.0</v>
      </c>
      <c r="E603" s="672" t="s">
        <v>1406</v>
      </c>
      <c r="F603" s="673"/>
      <c r="G603" s="680">
        <v>1201.51</v>
      </c>
      <c r="H603" s="675"/>
      <c r="I603" s="676"/>
      <c r="J603" s="676"/>
      <c r="K603" s="676"/>
      <c r="L603" s="676"/>
      <c r="M603" s="676"/>
      <c r="N603" s="676"/>
      <c r="O603" s="676"/>
      <c r="P603" s="676"/>
      <c r="Q603" s="676"/>
      <c r="R603" s="676"/>
      <c r="S603" s="676"/>
      <c r="T603" s="676"/>
      <c r="U603" s="676"/>
      <c r="V603" s="676"/>
      <c r="W603" s="676"/>
      <c r="X603" s="676"/>
      <c r="Y603" s="676"/>
      <c r="Z603" s="676"/>
    </row>
    <row r="604">
      <c r="A604" s="564"/>
      <c r="B604" s="456"/>
      <c r="C604" s="630"/>
      <c r="D604" s="563"/>
      <c r="E604" s="565"/>
      <c r="F604" s="446"/>
      <c r="G604" s="454"/>
      <c r="H604" s="454"/>
    </row>
    <row r="605">
      <c r="A605" s="438" t="s">
        <v>1932</v>
      </c>
      <c r="B605" s="439"/>
      <c r="C605" s="440"/>
      <c r="D605" s="432"/>
      <c r="E605" s="433"/>
      <c r="F605" s="434"/>
      <c r="G605" s="454"/>
      <c r="H605" s="454"/>
      <c r="I605" s="630"/>
      <c r="J605" s="630"/>
      <c r="K605" s="630"/>
      <c r="L605" s="630"/>
      <c r="M605" s="630"/>
      <c r="N605" s="630"/>
      <c r="O605" s="630"/>
      <c r="P605" s="630"/>
      <c r="Q605" s="630"/>
      <c r="R605" s="630"/>
      <c r="S605" s="630"/>
      <c r="T605" s="630"/>
      <c r="U605" s="630"/>
      <c r="V605" s="630"/>
      <c r="W605" s="630"/>
      <c r="X605" s="630"/>
      <c r="Y605" s="630"/>
      <c r="Z605" s="630"/>
    </row>
    <row r="606">
      <c r="A606" s="699">
        <v>46054.0</v>
      </c>
      <c r="B606" s="669" t="s">
        <v>1933</v>
      </c>
      <c r="C606" s="682" t="s">
        <v>510</v>
      </c>
      <c r="D606" s="671">
        <f>300000+38000*2+30000+20000</f>
        <v>426000</v>
      </c>
      <c r="E606" s="672" t="s">
        <v>1406</v>
      </c>
      <c r="F606" s="673"/>
      <c r="G606" s="680">
        <v>654.63</v>
      </c>
      <c r="H606" s="675"/>
      <c r="I606" s="676"/>
      <c r="J606" s="676"/>
      <c r="K606" s="676"/>
      <c r="L606" s="676"/>
      <c r="M606" s="676"/>
      <c r="N606" s="676"/>
      <c r="O606" s="676"/>
      <c r="P606" s="676"/>
      <c r="Q606" s="676"/>
      <c r="R606" s="676"/>
      <c r="S606" s="676"/>
      <c r="T606" s="676"/>
      <c r="U606" s="676"/>
      <c r="V606" s="676"/>
      <c r="W606" s="676"/>
      <c r="X606" s="676"/>
      <c r="Y606" s="676"/>
      <c r="Z606" s="676"/>
    </row>
    <row r="607">
      <c r="A607" s="699">
        <v>46057.0</v>
      </c>
      <c r="B607" s="669" t="s">
        <v>1934</v>
      </c>
      <c r="C607" s="682" t="s">
        <v>668</v>
      </c>
      <c r="D607" s="671">
        <f>400000+40000+38000*4</f>
        <v>592000</v>
      </c>
      <c r="E607" s="672" t="s">
        <v>1406</v>
      </c>
      <c r="F607" s="673"/>
      <c r="G607" s="680">
        <v>898.42</v>
      </c>
      <c r="H607" s="680"/>
      <c r="I607" s="676"/>
      <c r="J607" s="676"/>
      <c r="K607" s="676"/>
      <c r="L607" s="676"/>
      <c r="M607" s="676"/>
      <c r="N607" s="676"/>
      <c r="O607" s="676"/>
      <c r="P607" s="676"/>
      <c r="Q607" s="676"/>
      <c r="R607" s="676"/>
      <c r="S607" s="676"/>
      <c r="T607" s="676"/>
      <c r="U607" s="676"/>
      <c r="V607" s="676"/>
      <c r="W607" s="676"/>
      <c r="X607" s="676"/>
      <c r="Y607" s="676"/>
      <c r="Z607" s="676"/>
    </row>
    <row r="608">
      <c r="A608" s="654">
        <v>46057.0</v>
      </c>
      <c r="B608" s="655" t="s">
        <v>1935</v>
      </c>
      <c r="C608" s="656" t="s">
        <v>1663</v>
      </c>
      <c r="D608" s="683">
        <v>240000.0</v>
      </c>
      <c r="E608" s="631" t="s">
        <v>1543</v>
      </c>
      <c r="F608" s="632"/>
      <c r="G608" s="719">
        <v>364.22</v>
      </c>
      <c r="H608" s="454"/>
    </row>
    <row r="609">
      <c r="A609" s="679">
        <v>46058.0</v>
      </c>
      <c r="B609" s="669" t="s">
        <v>1936</v>
      </c>
      <c r="C609" s="682" t="s">
        <v>510</v>
      </c>
      <c r="D609" s="671">
        <v>422000.0</v>
      </c>
      <c r="E609" s="672" t="s">
        <v>1406</v>
      </c>
      <c r="F609" s="673"/>
      <c r="G609" s="680">
        <v>648.87</v>
      </c>
      <c r="H609" s="675"/>
      <c r="I609" s="676"/>
      <c r="J609" s="676"/>
      <c r="K609" s="676"/>
      <c r="L609" s="676"/>
      <c r="M609" s="676"/>
      <c r="N609" s="676"/>
      <c r="O609" s="676"/>
      <c r="P609" s="676"/>
      <c r="Q609" s="676"/>
      <c r="R609" s="676"/>
      <c r="S609" s="676"/>
      <c r="T609" s="676"/>
      <c r="U609" s="676"/>
      <c r="V609" s="676"/>
      <c r="W609" s="676"/>
      <c r="X609" s="676"/>
      <c r="Y609" s="676"/>
      <c r="Z609" s="676"/>
    </row>
    <row r="610">
      <c r="A610" s="654">
        <v>45694.0</v>
      </c>
      <c r="B610" s="655" t="s">
        <v>1937</v>
      </c>
      <c r="C610" s="656" t="s">
        <v>1938</v>
      </c>
      <c r="D610" s="683">
        <v>350000.0</v>
      </c>
      <c r="E610" s="631" t="s">
        <v>1543</v>
      </c>
      <c r="F610" s="632" t="s">
        <v>1939</v>
      </c>
      <c r="G610" s="454"/>
      <c r="H610" s="454"/>
    </row>
    <row r="611">
      <c r="A611" s="679">
        <v>46059.0</v>
      </c>
      <c r="B611" s="669" t="s">
        <v>1940</v>
      </c>
      <c r="C611" s="682" t="s">
        <v>510</v>
      </c>
      <c r="D611" s="690">
        <f>600000+38000*6+60000</f>
        <v>888000</v>
      </c>
      <c r="E611" s="672" t="s">
        <v>1406</v>
      </c>
      <c r="F611" s="673"/>
      <c r="G611" s="680">
        <v>1334.79</v>
      </c>
      <c r="H611" s="675"/>
      <c r="I611" s="676"/>
      <c r="J611" s="676"/>
      <c r="K611" s="676"/>
      <c r="L611" s="676"/>
      <c r="M611" s="676"/>
      <c r="N611" s="676"/>
      <c r="O611" s="676"/>
      <c r="P611" s="676"/>
      <c r="Q611" s="676"/>
      <c r="R611" s="676"/>
      <c r="S611" s="676"/>
      <c r="T611" s="676"/>
      <c r="U611" s="676"/>
      <c r="V611" s="676"/>
      <c r="W611" s="676"/>
      <c r="X611" s="676"/>
      <c r="Y611" s="676"/>
      <c r="Z611" s="676"/>
    </row>
    <row r="612">
      <c r="A612" s="654">
        <v>46059.0</v>
      </c>
      <c r="B612" s="655" t="s">
        <v>1940</v>
      </c>
      <c r="C612" s="656" t="s">
        <v>1663</v>
      </c>
      <c r="D612" s="563">
        <f>132000*2</f>
        <v>264000</v>
      </c>
      <c r="E612" s="631" t="s">
        <v>1941</v>
      </c>
      <c r="F612" s="616"/>
      <c r="G612" s="684">
        <v>399.5</v>
      </c>
      <c r="H612" s="454"/>
    </row>
    <row r="613">
      <c r="A613" s="654">
        <v>46061.0</v>
      </c>
      <c r="B613" s="655" t="s">
        <v>1942</v>
      </c>
      <c r="C613" s="656" t="s">
        <v>1943</v>
      </c>
      <c r="D613" s="683">
        <v>550000.0</v>
      </c>
      <c r="E613" s="631" t="s">
        <v>1543</v>
      </c>
      <c r="F613" s="616"/>
      <c r="G613" s="684">
        <v>828.85</v>
      </c>
      <c r="H613" s="454"/>
    </row>
    <row r="614">
      <c r="A614" s="720">
        <v>14.02</v>
      </c>
      <c r="B614" s="655" t="s">
        <v>1944</v>
      </c>
      <c r="C614" s="656" t="s">
        <v>1945</v>
      </c>
      <c r="D614" s="563">
        <f>55000*2</f>
        <v>110000</v>
      </c>
      <c r="E614" s="631" t="s">
        <v>1543</v>
      </c>
      <c r="F614" s="616" t="s">
        <v>1767</v>
      </c>
      <c r="G614" s="454"/>
      <c r="H614" s="454"/>
    </row>
    <row r="615">
      <c r="A615" s="654">
        <v>46067.0</v>
      </c>
      <c r="B615" s="655" t="s">
        <v>1946</v>
      </c>
      <c r="C615" s="656" t="s">
        <v>510</v>
      </c>
      <c r="D615" s="563">
        <f>400000+36000*4+40000</f>
        <v>584000</v>
      </c>
      <c r="E615" s="631" t="s">
        <v>1543</v>
      </c>
      <c r="F615" s="616"/>
      <c r="G615" s="684">
        <v>911.13</v>
      </c>
      <c r="H615" s="454"/>
    </row>
    <row r="616">
      <c r="A616" s="654">
        <v>46067.0</v>
      </c>
      <c r="B616" s="655" t="s">
        <v>1947</v>
      </c>
      <c r="C616" s="656" t="s">
        <v>1948</v>
      </c>
      <c r="D616" s="683">
        <v>240000.0</v>
      </c>
      <c r="E616" s="631" t="s">
        <v>1543</v>
      </c>
      <c r="F616" s="616"/>
      <c r="G616" s="684">
        <v>374.43</v>
      </c>
      <c r="H616" s="454"/>
    </row>
    <row r="617">
      <c r="A617" s="654">
        <v>46067.0</v>
      </c>
      <c r="B617" s="655" t="s">
        <v>1949</v>
      </c>
      <c r="C617" s="656" t="s">
        <v>1950</v>
      </c>
      <c r="D617" s="563">
        <f>400000+38000*3+30000+150000</f>
        <v>694000</v>
      </c>
      <c r="E617" s="631" t="s">
        <v>1543</v>
      </c>
      <c r="F617" s="616" t="s">
        <v>1767</v>
      </c>
      <c r="G617" s="454"/>
      <c r="H617" s="454"/>
    </row>
    <row r="618">
      <c r="A618" s="654">
        <v>46068.0</v>
      </c>
      <c r="B618" s="1" t="s">
        <v>1951</v>
      </c>
      <c r="C618" s="656" t="s">
        <v>1952</v>
      </c>
      <c r="D618" s="563">
        <f>61000*2</f>
        <v>122000</v>
      </c>
      <c r="E618" s="631" t="s">
        <v>1543</v>
      </c>
      <c r="F618" s="616"/>
      <c r="G618" s="684">
        <v>182.52</v>
      </c>
      <c r="H618" s="454"/>
    </row>
    <row r="619">
      <c r="A619" s="721">
        <v>46070.0</v>
      </c>
      <c r="B619" s="722" t="s">
        <v>1953</v>
      </c>
      <c r="C619" s="722" t="s">
        <v>197</v>
      </c>
      <c r="D619" s="671">
        <v>600000.0</v>
      </c>
      <c r="E619" s="672" t="s">
        <v>1406</v>
      </c>
      <c r="F619" s="696"/>
      <c r="G619" s="680">
        <v>897.63</v>
      </c>
      <c r="H619" s="675"/>
      <c r="I619" s="676"/>
      <c r="J619" s="676"/>
      <c r="K619" s="676"/>
      <c r="L619" s="676"/>
      <c r="M619" s="676"/>
      <c r="N619" s="676"/>
      <c r="O619" s="676"/>
      <c r="P619" s="676"/>
      <c r="Q619" s="676"/>
      <c r="R619" s="676"/>
      <c r="S619" s="676"/>
      <c r="T619" s="676"/>
      <c r="U619" s="676"/>
      <c r="V619" s="676"/>
      <c r="W619" s="676"/>
      <c r="X619" s="676"/>
      <c r="Y619" s="676"/>
      <c r="Z619" s="676"/>
    </row>
    <row r="620">
      <c r="A620" s="723">
        <v>46069.0</v>
      </c>
      <c r="B620" s="265" t="s">
        <v>1954</v>
      </c>
      <c r="C620" s="265" t="s">
        <v>1955</v>
      </c>
      <c r="D620" s="724">
        <v>268000.0</v>
      </c>
      <c r="E620" s="725" t="s">
        <v>1543</v>
      </c>
      <c r="F620" s="461"/>
      <c r="G620" s="719">
        <v>400.94</v>
      </c>
      <c r="H620" s="726"/>
      <c r="I620" s="727"/>
      <c r="J620" s="727"/>
      <c r="K620" s="727"/>
      <c r="L620" s="727"/>
      <c r="M620" s="727"/>
      <c r="N620" s="727"/>
      <c r="O620" s="727"/>
      <c r="P620" s="727"/>
      <c r="Q620" s="727"/>
      <c r="R620" s="727"/>
      <c r="S620" s="727"/>
      <c r="T620" s="727"/>
      <c r="U620" s="727"/>
      <c r="V620" s="727"/>
      <c r="W620" s="727"/>
      <c r="X620" s="727"/>
      <c r="Y620" s="727"/>
      <c r="Z620" s="727"/>
    </row>
    <row r="621">
      <c r="A621" s="721">
        <v>46069.0</v>
      </c>
      <c r="B621" s="669" t="s">
        <v>1956</v>
      </c>
      <c r="C621" s="682" t="s">
        <v>325</v>
      </c>
      <c r="D621" s="671">
        <v>720000.0</v>
      </c>
      <c r="E621" s="672"/>
      <c r="F621" s="696"/>
      <c r="G621" s="680">
        <v>1100.54</v>
      </c>
      <c r="H621" s="675"/>
      <c r="I621" s="676"/>
      <c r="J621" s="676"/>
      <c r="K621" s="676"/>
      <c r="L621" s="676"/>
      <c r="M621" s="676"/>
      <c r="N621" s="676"/>
      <c r="O621" s="676"/>
      <c r="P621" s="676"/>
      <c r="Q621" s="676"/>
      <c r="R621" s="676"/>
      <c r="S621" s="676"/>
      <c r="T621" s="676"/>
      <c r="U621" s="676"/>
      <c r="V621" s="676"/>
      <c r="W621" s="676"/>
      <c r="X621" s="676"/>
      <c r="Y621" s="676"/>
      <c r="Z621" s="676"/>
    </row>
    <row r="622">
      <c r="A622" s="721">
        <v>46069.0</v>
      </c>
      <c r="B622" s="669" t="s">
        <v>1957</v>
      </c>
      <c r="C622" s="682" t="s">
        <v>1958</v>
      </c>
      <c r="D622" s="671">
        <f>290000*2</f>
        <v>580000</v>
      </c>
      <c r="E622" s="672" t="s">
        <v>1406</v>
      </c>
      <c r="F622" s="696"/>
      <c r="G622" s="680">
        <v>869.6</v>
      </c>
      <c r="H622" s="675"/>
      <c r="I622" s="676"/>
      <c r="J622" s="676"/>
      <c r="K622" s="676"/>
      <c r="L622" s="676"/>
      <c r="M622" s="676"/>
      <c r="N622" s="676"/>
      <c r="O622" s="676"/>
      <c r="P622" s="676"/>
      <c r="Q622" s="676"/>
      <c r="R622" s="676"/>
      <c r="S622" s="676"/>
      <c r="T622" s="676"/>
      <c r="U622" s="676"/>
      <c r="V622" s="676"/>
      <c r="W622" s="676"/>
      <c r="X622" s="676"/>
      <c r="Y622" s="676"/>
      <c r="Z622" s="676"/>
    </row>
    <row r="623">
      <c r="A623" s="679">
        <v>46071.0</v>
      </c>
      <c r="B623" s="669" t="s">
        <v>1959</v>
      </c>
      <c r="C623" s="682" t="s">
        <v>158</v>
      </c>
      <c r="D623" s="671">
        <f>420000*2</f>
        <v>840000</v>
      </c>
      <c r="E623" s="672" t="s">
        <v>1406</v>
      </c>
      <c r="F623" s="696"/>
      <c r="G623" s="680">
        <v>1256.69</v>
      </c>
      <c r="H623" s="675"/>
      <c r="I623" s="676"/>
      <c r="J623" s="676"/>
      <c r="K623" s="676"/>
      <c r="L623" s="676"/>
      <c r="M623" s="676"/>
      <c r="N623" s="676"/>
      <c r="O623" s="676"/>
      <c r="P623" s="676"/>
      <c r="Q623" s="676"/>
      <c r="R623" s="676"/>
      <c r="S623" s="676"/>
      <c r="T623" s="676"/>
      <c r="U623" s="676"/>
      <c r="V623" s="676"/>
      <c r="W623" s="676"/>
      <c r="X623" s="676"/>
      <c r="Y623" s="676"/>
      <c r="Z623" s="676"/>
    </row>
    <row r="624">
      <c r="A624" s="654">
        <v>45706.0</v>
      </c>
      <c r="B624" s="655" t="s">
        <v>1960</v>
      </c>
      <c r="C624" s="656" t="s">
        <v>1961</v>
      </c>
      <c r="D624" s="683">
        <v>350000.0</v>
      </c>
      <c r="E624" s="631" t="s">
        <v>1543</v>
      </c>
      <c r="F624" s="641"/>
      <c r="G624" s="684">
        <v>523.19</v>
      </c>
      <c r="H624" s="454"/>
    </row>
    <row r="625">
      <c r="A625" s="679">
        <v>46072.0</v>
      </c>
      <c r="B625" s="669" t="s">
        <v>1954</v>
      </c>
      <c r="C625" s="682" t="s">
        <v>222</v>
      </c>
      <c r="D625" s="671">
        <f>370000*2</f>
        <v>740000</v>
      </c>
      <c r="E625" s="672" t="s">
        <v>1406</v>
      </c>
      <c r="F625" s="696"/>
      <c r="G625" s="680">
        <v>1106.16</v>
      </c>
      <c r="H625" s="675"/>
      <c r="I625" s="676"/>
      <c r="J625" s="676"/>
      <c r="K625" s="676"/>
      <c r="L625" s="676"/>
      <c r="M625" s="676"/>
      <c r="N625" s="676"/>
      <c r="O625" s="676"/>
      <c r="P625" s="676"/>
      <c r="Q625" s="676"/>
      <c r="R625" s="676"/>
      <c r="S625" s="676"/>
      <c r="T625" s="676"/>
      <c r="U625" s="676"/>
      <c r="V625" s="676"/>
      <c r="W625" s="676"/>
      <c r="X625" s="676"/>
      <c r="Y625" s="676"/>
      <c r="Z625" s="676"/>
    </row>
    <row r="626">
      <c r="A626" s="654">
        <v>46080.0</v>
      </c>
      <c r="B626" s="655" t="s">
        <v>1962</v>
      </c>
      <c r="C626" s="656" t="s">
        <v>1963</v>
      </c>
      <c r="D626" s="683">
        <f>320000+38000*2+30000+30000</f>
        <v>456000</v>
      </c>
      <c r="E626" s="631" t="s">
        <v>1543</v>
      </c>
      <c r="F626" s="641"/>
      <c r="G626" s="684">
        <v>684.31</v>
      </c>
      <c r="H626" s="454"/>
    </row>
    <row r="627">
      <c r="A627" s="728">
        <v>46082.0</v>
      </c>
      <c r="B627" s="439"/>
      <c r="C627" s="440"/>
      <c r="D627" s="432"/>
      <c r="E627" s="433"/>
      <c r="F627" s="434"/>
      <c r="G627" s="454"/>
      <c r="H627" s="454"/>
      <c r="I627" s="630"/>
      <c r="J627" s="630"/>
      <c r="K627" s="630"/>
      <c r="L627" s="630"/>
      <c r="M627" s="630"/>
      <c r="N627" s="630"/>
      <c r="O627" s="630"/>
      <c r="P627" s="630"/>
      <c r="Q627" s="630"/>
      <c r="R627" s="630"/>
      <c r="S627" s="630"/>
      <c r="T627" s="630"/>
      <c r="U627" s="630"/>
      <c r="V627" s="630"/>
      <c r="W627" s="630"/>
      <c r="X627" s="630"/>
      <c r="Y627" s="630"/>
      <c r="Z627" s="630"/>
    </row>
    <row r="628">
      <c r="A628" s="729">
        <v>46082.0</v>
      </c>
      <c r="B628" s="655" t="s">
        <v>1964</v>
      </c>
      <c r="C628" s="656" t="s">
        <v>1965</v>
      </c>
      <c r="D628" s="683">
        <f>300000+20000</f>
        <v>320000</v>
      </c>
      <c r="E628" s="631" t="s">
        <v>1543</v>
      </c>
      <c r="F628" s="632"/>
      <c r="G628" s="719">
        <v>484.61</v>
      </c>
      <c r="H628" s="454"/>
    </row>
    <row r="629">
      <c r="A629" s="729">
        <v>46082.0</v>
      </c>
      <c r="B629" s="655" t="s">
        <v>1966</v>
      </c>
      <c r="C629" s="656" t="s">
        <v>1967</v>
      </c>
      <c r="D629" s="683">
        <f>900000+270000</f>
        <v>1170000</v>
      </c>
      <c r="E629" s="631" t="s">
        <v>1543</v>
      </c>
      <c r="F629" s="632"/>
      <c r="G629" s="719">
        <v>1760.34</v>
      </c>
      <c r="H629" s="454"/>
    </row>
    <row r="630">
      <c r="A630" s="729">
        <v>46082.0</v>
      </c>
      <c r="B630" s="655" t="s">
        <v>1966</v>
      </c>
      <c r="C630" s="656" t="s">
        <v>1968</v>
      </c>
      <c r="D630" s="683">
        <f>420000*2+300000</f>
        <v>1140000</v>
      </c>
      <c r="E630" s="631" t="s">
        <v>1543</v>
      </c>
      <c r="F630" s="632"/>
      <c r="G630" s="719">
        <v>1715.19</v>
      </c>
      <c r="H630" s="454"/>
    </row>
    <row r="631">
      <c r="A631" s="729">
        <v>46083.0</v>
      </c>
      <c r="B631" s="655" t="s">
        <v>1969</v>
      </c>
      <c r="C631" s="656" t="s">
        <v>668</v>
      </c>
      <c r="D631" s="683">
        <f>320000+38000+30000+10000</f>
        <v>398000</v>
      </c>
      <c r="E631" s="631" t="s">
        <v>1543</v>
      </c>
      <c r="F631" s="632"/>
      <c r="G631" s="719">
        <v>599.5</v>
      </c>
      <c r="H631" s="454"/>
    </row>
    <row r="632">
      <c r="A632" s="654">
        <v>46087.0</v>
      </c>
      <c r="B632" s="655" t="s">
        <v>1970</v>
      </c>
      <c r="C632" s="656" t="s">
        <v>284</v>
      </c>
      <c r="D632" s="683">
        <v>633000.0</v>
      </c>
      <c r="E632" s="631" t="s">
        <v>1543</v>
      </c>
      <c r="F632" s="616"/>
      <c r="G632" s="684">
        <v>968.35</v>
      </c>
      <c r="H632" s="454"/>
    </row>
    <row r="633">
      <c r="A633" s="729">
        <v>46033.0</v>
      </c>
      <c r="B633" s="655" t="s">
        <v>1971</v>
      </c>
      <c r="C633" s="656" t="s">
        <v>510</v>
      </c>
      <c r="D633" s="683">
        <f>300000+38000*2+30000+20000</f>
        <v>426000</v>
      </c>
      <c r="E633" s="631" t="s">
        <v>1543</v>
      </c>
      <c r="F633" s="632"/>
      <c r="G633" s="719">
        <v>645.12</v>
      </c>
      <c r="H633" s="454"/>
    </row>
    <row r="634">
      <c r="A634" s="729">
        <v>46100.0</v>
      </c>
      <c r="B634" s="655" t="s">
        <v>702</v>
      </c>
      <c r="C634" s="656" t="s">
        <v>668</v>
      </c>
      <c r="D634" s="683">
        <v>446000.0</v>
      </c>
      <c r="E634" s="631" t="s">
        <v>1543</v>
      </c>
      <c r="F634" s="632"/>
      <c r="G634" s="719">
        <v>687.18</v>
      </c>
      <c r="H634" s="454"/>
    </row>
    <row r="635">
      <c r="A635" s="654"/>
      <c r="B635" s="655"/>
      <c r="C635" s="656"/>
      <c r="D635" s="683"/>
      <c r="E635" s="631"/>
      <c r="F635" s="632"/>
      <c r="G635" s="719"/>
      <c r="H635" s="454"/>
    </row>
    <row r="636">
      <c r="A636" s="654"/>
      <c r="B636" s="655"/>
      <c r="C636" s="656"/>
      <c r="D636" s="683"/>
      <c r="E636" s="631"/>
      <c r="F636" s="632" t="s">
        <v>1939</v>
      </c>
      <c r="G636" s="454"/>
      <c r="H636" s="454"/>
    </row>
    <row r="637">
      <c r="A637" s="728">
        <v>46113.0</v>
      </c>
      <c r="B637" s="439"/>
      <c r="C637" s="440"/>
      <c r="D637" s="432"/>
      <c r="E637" s="433"/>
      <c r="F637" s="434"/>
      <c r="G637" s="454"/>
      <c r="H637" s="454"/>
      <c r="I637" s="630"/>
      <c r="J637" s="630"/>
      <c r="K637" s="630"/>
      <c r="L637" s="630"/>
      <c r="M637" s="630"/>
      <c r="N637" s="630"/>
      <c r="O637" s="630"/>
      <c r="P637" s="630"/>
      <c r="Q637" s="630"/>
      <c r="R637" s="630"/>
      <c r="S637" s="630"/>
      <c r="T637" s="630"/>
      <c r="U637" s="630"/>
      <c r="V637" s="630"/>
      <c r="W637" s="630"/>
      <c r="X637" s="630"/>
      <c r="Y637" s="630"/>
      <c r="Z637" s="630"/>
    </row>
    <row r="638">
      <c r="A638" s="729">
        <v>46136.0</v>
      </c>
      <c r="B638" s="655" t="s">
        <v>1972</v>
      </c>
      <c r="C638" s="656" t="s">
        <v>169</v>
      </c>
      <c r="D638" s="683">
        <f>380000*2</f>
        <v>760000</v>
      </c>
      <c r="E638" s="631" t="s">
        <v>1543</v>
      </c>
      <c r="F638" s="632"/>
      <c r="G638" s="719">
        <v>1136.25</v>
      </c>
      <c r="H638" s="454"/>
    </row>
    <row r="639">
      <c r="A639" s="729"/>
      <c r="B639" s="655"/>
      <c r="C639" s="656"/>
      <c r="D639" s="683"/>
      <c r="E639" s="631"/>
      <c r="F639" s="632"/>
      <c r="G639" s="719"/>
      <c r="H639" s="454"/>
    </row>
    <row r="640">
      <c r="A640" s="729"/>
      <c r="B640" s="655"/>
      <c r="C640" s="656"/>
      <c r="D640" s="683"/>
      <c r="E640" s="631"/>
      <c r="F640" s="632"/>
      <c r="G640" s="719"/>
      <c r="H640" s="454"/>
    </row>
    <row r="641">
      <c r="A641" s="729"/>
      <c r="B641" s="655"/>
      <c r="C641" s="656"/>
      <c r="D641" s="683"/>
      <c r="E641" s="631"/>
      <c r="F641" s="632"/>
      <c r="G641" s="719"/>
      <c r="H641" s="454"/>
    </row>
    <row r="642">
      <c r="A642" s="730"/>
      <c r="B642" s="731"/>
      <c r="C642" s="732"/>
      <c r="D642" s="733"/>
      <c r="E642" s="734"/>
      <c r="F642" s="437"/>
      <c r="G642" s="454"/>
      <c r="H642" s="735"/>
    </row>
    <row r="643">
      <c r="A643" s="730"/>
      <c r="B643" s="731"/>
      <c r="C643" s="732"/>
      <c r="D643" s="733"/>
      <c r="E643" s="734"/>
      <c r="F643" s="437"/>
      <c r="G643" s="454"/>
      <c r="H643" s="735"/>
    </row>
    <row r="644">
      <c r="A644" s="730"/>
      <c r="B644" s="731"/>
      <c r="C644" s="732"/>
      <c r="D644" s="733"/>
      <c r="E644" s="734"/>
      <c r="F644" s="437"/>
      <c r="G644" s="454"/>
      <c r="H644" s="735"/>
    </row>
    <row r="645">
      <c r="A645" s="730"/>
      <c r="B645" s="731"/>
      <c r="C645" s="732"/>
      <c r="D645" s="733"/>
      <c r="E645" s="734"/>
      <c r="F645" s="437"/>
      <c r="G645" s="454"/>
      <c r="H645" s="735"/>
    </row>
    <row r="646">
      <c r="A646" s="730"/>
      <c r="B646" s="731"/>
      <c r="C646" s="732"/>
      <c r="D646" s="733"/>
      <c r="E646" s="734"/>
      <c r="F646" s="437"/>
      <c r="G646" s="454"/>
      <c r="H646" s="735"/>
    </row>
    <row r="647">
      <c r="A647" s="730"/>
      <c r="B647" s="731"/>
      <c r="C647" s="732"/>
      <c r="D647" s="733"/>
      <c r="E647" s="734"/>
      <c r="F647" s="437"/>
      <c r="G647" s="454"/>
      <c r="H647" s="735"/>
    </row>
    <row r="648">
      <c r="A648" s="730"/>
      <c r="B648" s="731"/>
      <c r="C648" s="732"/>
      <c r="D648" s="733"/>
      <c r="E648" s="734"/>
      <c r="F648" s="437"/>
      <c r="G648" s="454"/>
      <c r="H648" s="735"/>
    </row>
    <row r="649">
      <c r="A649" s="730"/>
      <c r="B649" s="731"/>
      <c r="C649" s="732"/>
      <c r="D649" s="733"/>
      <c r="E649" s="734"/>
      <c r="F649" s="437"/>
      <c r="G649" s="454"/>
      <c r="H649" s="735"/>
    </row>
    <row r="650">
      <c r="A650" s="730"/>
      <c r="B650" s="731"/>
      <c r="C650" s="732"/>
      <c r="D650" s="733"/>
      <c r="E650" s="734"/>
      <c r="F650" s="437"/>
      <c r="G650" s="454"/>
      <c r="H650" s="735"/>
    </row>
    <row r="651">
      <c r="A651" s="730"/>
      <c r="B651" s="731"/>
      <c r="C651" s="732"/>
      <c r="D651" s="733"/>
      <c r="E651" s="734"/>
      <c r="F651" s="437"/>
      <c r="G651" s="454"/>
      <c r="H651" s="735"/>
    </row>
    <row r="652">
      <c r="A652" s="730"/>
      <c r="B652" s="731"/>
      <c r="C652" s="732"/>
      <c r="D652" s="733"/>
      <c r="E652" s="734"/>
      <c r="F652" s="437"/>
      <c r="G652" s="454"/>
      <c r="H652" s="735"/>
    </row>
    <row r="653">
      <c r="A653" s="730"/>
      <c r="B653" s="731"/>
      <c r="C653" s="732"/>
      <c r="D653" s="733"/>
      <c r="E653" s="734"/>
      <c r="F653" s="437"/>
      <c r="G653" s="454"/>
      <c r="H653" s="735"/>
    </row>
    <row r="654">
      <c r="A654" s="730"/>
      <c r="B654" s="731"/>
      <c r="C654" s="732"/>
      <c r="D654" s="733"/>
      <c r="E654" s="734"/>
      <c r="F654" s="437"/>
      <c r="G654" s="454"/>
      <c r="H654" s="735"/>
    </row>
    <row r="655">
      <c r="A655" s="730"/>
      <c r="B655" s="731"/>
      <c r="C655" s="732"/>
      <c r="D655" s="733"/>
      <c r="E655" s="734"/>
      <c r="F655" s="437"/>
      <c r="G655" s="454"/>
      <c r="H655" s="735"/>
    </row>
    <row r="656">
      <c r="A656" s="730"/>
      <c r="B656" s="731"/>
      <c r="C656" s="732"/>
      <c r="D656" s="733"/>
      <c r="E656" s="734"/>
      <c r="F656" s="437"/>
      <c r="G656" s="454"/>
      <c r="H656" s="735"/>
    </row>
    <row r="657">
      <c r="A657" s="730"/>
      <c r="B657" s="731"/>
      <c r="C657" s="732"/>
      <c r="D657" s="733"/>
      <c r="E657" s="734"/>
      <c r="F657" s="437"/>
      <c r="G657" s="454"/>
      <c r="H657" s="735"/>
    </row>
    <row r="658">
      <c r="A658" s="730"/>
      <c r="B658" s="731"/>
      <c r="C658" s="732"/>
      <c r="D658" s="733"/>
      <c r="E658" s="734"/>
      <c r="F658" s="437"/>
      <c r="G658" s="454"/>
      <c r="H658" s="735"/>
    </row>
    <row r="659">
      <c r="A659" s="730"/>
      <c r="B659" s="731"/>
      <c r="C659" s="732"/>
      <c r="D659" s="733"/>
      <c r="E659" s="734"/>
      <c r="F659" s="437"/>
      <c r="G659" s="454"/>
      <c r="H659" s="735"/>
    </row>
    <row r="660">
      <c r="A660" s="730"/>
      <c r="B660" s="731"/>
      <c r="C660" s="732"/>
      <c r="D660" s="733"/>
      <c r="E660" s="734"/>
      <c r="F660" s="437"/>
      <c r="G660" s="454"/>
      <c r="H660" s="735"/>
    </row>
    <row r="661">
      <c r="A661" s="730"/>
      <c r="B661" s="731"/>
      <c r="C661" s="732"/>
      <c r="D661" s="733"/>
      <c r="E661" s="734"/>
      <c r="F661" s="437"/>
      <c r="G661" s="454"/>
      <c r="H661" s="735"/>
    </row>
    <row r="662">
      <c r="A662" s="730"/>
      <c r="B662" s="731"/>
      <c r="C662" s="732"/>
      <c r="D662" s="733"/>
      <c r="E662" s="734"/>
      <c r="F662" s="437"/>
      <c r="G662" s="454"/>
      <c r="H662" s="735"/>
    </row>
    <row r="663">
      <c r="A663" s="730"/>
      <c r="B663" s="731"/>
      <c r="C663" s="732"/>
      <c r="D663" s="733"/>
      <c r="E663" s="734"/>
      <c r="F663" s="437"/>
      <c r="G663" s="454"/>
      <c r="H663" s="735"/>
    </row>
    <row r="664">
      <c r="A664" s="730"/>
      <c r="B664" s="731"/>
      <c r="C664" s="732"/>
      <c r="D664" s="733"/>
      <c r="E664" s="734"/>
      <c r="F664" s="437"/>
      <c r="G664" s="454"/>
      <c r="H664" s="735"/>
    </row>
    <row r="665">
      <c r="A665" s="730"/>
      <c r="B665" s="731"/>
      <c r="C665" s="732"/>
      <c r="D665" s="733"/>
      <c r="E665" s="734"/>
      <c r="F665" s="437"/>
      <c r="G665" s="454"/>
      <c r="H665" s="735"/>
    </row>
    <row r="666">
      <c r="A666" s="730"/>
      <c r="B666" s="731"/>
      <c r="C666" s="732"/>
      <c r="D666" s="733"/>
      <c r="E666" s="734"/>
      <c r="F666" s="437"/>
      <c r="G666" s="454"/>
      <c r="H666" s="735"/>
    </row>
    <row r="667">
      <c r="A667" s="730"/>
      <c r="B667" s="731"/>
      <c r="C667" s="732"/>
      <c r="D667" s="733"/>
      <c r="E667" s="734"/>
      <c r="F667" s="437"/>
      <c r="G667" s="454"/>
      <c r="H667" s="735"/>
    </row>
    <row r="668">
      <c r="A668" s="730"/>
      <c r="B668" s="731"/>
      <c r="C668" s="732"/>
      <c r="D668" s="733"/>
      <c r="E668" s="734"/>
      <c r="F668" s="437"/>
      <c r="G668" s="454"/>
      <c r="H668" s="735"/>
    </row>
    <row r="669">
      <c r="A669" s="730"/>
      <c r="B669" s="731"/>
      <c r="C669" s="732"/>
      <c r="D669" s="733"/>
      <c r="E669" s="734"/>
      <c r="F669" s="437"/>
      <c r="G669" s="454"/>
      <c r="H669" s="735"/>
    </row>
    <row r="670">
      <c r="A670" s="730"/>
      <c r="B670" s="731"/>
      <c r="C670" s="732"/>
      <c r="D670" s="733"/>
      <c r="E670" s="734"/>
      <c r="F670" s="437"/>
      <c r="G670" s="454"/>
      <c r="H670" s="735"/>
    </row>
    <row r="671">
      <c r="A671" s="730"/>
      <c r="B671" s="731"/>
      <c r="C671" s="732"/>
      <c r="D671" s="733"/>
      <c r="E671" s="734"/>
      <c r="F671" s="437"/>
      <c r="G671" s="454"/>
      <c r="H671" s="735"/>
    </row>
    <row r="672">
      <c r="A672" s="730"/>
      <c r="B672" s="731"/>
      <c r="C672" s="732"/>
      <c r="D672" s="733"/>
      <c r="E672" s="734"/>
      <c r="F672" s="437"/>
      <c r="G672" s="454"/>
      <c r="H672" s="735"/>
    </row>
    <row r="673">
      <c r="A673" s="730"/>
      <c r="B673" s="731"/>
      <c r="C673" s="732"/>
      <c r="D673" s="733"/>
      <c r="E673" s="734"/>
      <c r="F673" s="437"/>
      <c r="G673" s="454"/>
      <c r="H673" s="735"/>
    </row>
    <row r="674">
      <c r="A674" s="730"/>
      <c r="B674" s="731"/>
      <c r="C674" s="732"/>
      <c r="D674" s="733"/>
      <c r="E674" s="734"/>
      <c r="F674" s="437"/>
      <c r="G674" s="454"/>
      <c r="H674" s="735"/>
    </row>
    <row r="675">
      <c r="A675" s="730"/>
      <c r="B675" s="731"/>
      <c r="C675" s="732"/>
      <c r="D675" s="733"/>
      <c r="E675" s="734"/>
      <c r="F675" s="437"/>
      <c r="G675" s="454"/>
      <c r="H675" s="735"/>
    </row>
    <row r="676">
      <c r="A676" s="730"/>
      <c r="B676" s="731"/>
      <c r="C676" s="732"/>
      <c r="D676" s="733"/>
      <c r="E676" s="734"/>
      <c r="F676" s="437"/>
      <c r="G676" s="454"/>
      <c r="H676" s="735"/>
    </row>
    <row r="677">
      <c r="A677" s="730"/>
      <c r="B677" s="731"/>
      <c r="C677" s="732"/>
      <c r="D677" s="733"/>
      <c r="E677" s="734"/>
      <c r="F677" s="437"/>
      <c r="G677" s="454"/>
      <c r="H677" s="735"/>
    </row>
    <row r="678">
      <c r="A678" s="730"/>
      <c r="B678" s="731"/>
      <c r="C678" s="732"/>
      <c r="D678" s="733"/>
      <c r="E678" s="734"/>
      <c r="F678" s="437"/>
      <c r="G678" s="454"/>
      <c r="H678" s="735"/>
    </row>
    <row r="679">
      <c r="A679" s="730"/>
      <c r="B679" s="731"/>
      <c r="C679" s="732"/>
      <c r="D679" s="733"/>
      <c r="E679" s="734"/>
      <c r="F679" s="437"/>
      <c r="G679" s="454"/>
      <c r="H679" s="735"/>
    </row>
    <row r="680">
      <c r="A680" s="730"/>
      <c r="B680" s="731"/>
      <c r="C680" s="732"/>
      <c r="D680" s="733"/>
      <c r="E680" s="734"/>
      <c r="F680" s="437"/>
      <c r="G680" s="454"/>
      <c r="H680" s="735"/>
    </row>
    <row r="681">
      <c r="A681" s="730"/>
      <c r="B681" s="731"/>
      <c r="C681" s="732"/>
      <c r="D681" s="733"/>
      <c r="E681" s="734"/>
      <c r="F681" s="437"/>
      <c r="G681" s="454"/>
      <c r="H681" s="735"/>
    </row>
    <row r="682">
      <c r="A682" s="730"/>
      <c r="B682" s="731"/>
      <c r="C682" s="732"/>
      <c r="D682" s="733"/>
      <c r="E682" s="734"/>
      <c r="F682" s="437"/>
      <c r="G682" s="454"/>
      <c r="H682" s="735"/>
    </row>
    <row r="683">
      <c r="A683" s="730"/>
      <c r="B683" s="731"/>
      <c r="C683" s="732"/>
      <c r="D683" s="733"/>
      <c r="E683" s="734"/>
      <c r="F683" s="437"/>
      <c r="G683" s="454"/>
      <c r="H683" s="735"/>
    </row>
    <row r="684">
      <c r="A684" s="730"/>
      <c r="B684" s="731"/>
      <c r="C684" s="732"/>
      <c r="D684" s="733"/>
      <c r="E684" s="734"/>
      <c r="F684" s="437"/>
      <c r="G684" s="454"/>
      <c r="H684" s="735"/>
    </row>
    <row r="685">
      <c r="A685" s="730"/>
      <c r="B685" s="731"/>
      <c r="C685" s="732"/>
      <c r="D685" s="733"/>
      <c r="E685" s="734"/>
      <c r="F685" s="437"/>
      <c r="G685" s="454"/>
      <c r="H685" s="735"/>
    </row>
    <row r="686">
      <c r="A686" s="730"/>
      <c r="B686" s="731"/>
      <c r="C686" s="732"/>
      <c r="D686" s="733"/>
      <c r="E686" s="734"/>
      <c r="F686" s="437"/>
      <c r="G686" s="454"/>
      <c r="H686" s="735"/>
    </row>
    <row r="687">
      <c r="A687" s="730"/>
      <c r="B687" s="731"/>
      <c r="C687" s="732"/>
      <c r="D687" s="733"/>
      <c r="E687" s="734"/>
      <c r="F687" s="437"/>
      <c r="G687" s="454"/>
      <c r="H687" s="735"/>
    </row>
    <row r="688">
      <c r="A688" s="730"/>
      <c r="B688" s="731"/>
      <c r="C688" s="732"/>
      <c r="D688" s="733"/>
      <c r="E688" s="734"/>
      <c r="F688" s="437"/>
      <c r="G688" s="454"/>
      <c r="H688" s="735"/>
    </row>
    <row r="689">
      <c r="A689" s="730"/>
      <c r="B689" s="731"/>
      <c r="C689" s="732"/>
      <c r="D689" s="733"/>
      <c r="E689" s="734"/>
      <c r="F689" s="437"/>
      <c r="G689" s="454"/>
      <c r="H689" s="735"/>
    </row>
    <row r="690">
      <c r="A690" s="730"/>
      <c r="B690" s="731"/>
      <c r="C690" s="732"/>
      <c r="D690" s="733"/>
      <c r="E690" s="734"/>
      <c r="F690" s="437"/>
      <c r="G690" s="454"/>
      <c r="H690" s="735"/>
    </row>
    <row r="691">
      <c r="A691" s="730"/>
      <c r="B691" s="731"/>
      <c r="C691" s="732"/>
      <c r="D691" s="733"/>
      <c r="E691" s="734"/>
      <c r="F691" s="437"/>
      <c r="G691" s="454"/>
      <c r="H691" s="735"/>
    </row>
    <row r="692">
      <c r="A692" s="730"/>
      <c r="B692" s="731"/>
      <c r="C692" s="732"/>
      <c r="D692" s="733"/>
      <c r="E692" s="734"/>
      <c r="F692" s="437"/>
      <c r="G692" s="454"/>
      <c r="H692" s="735"/>
    </row>
    <row r="693">
      <c r="A693" s="730"/>
      <c r="B693" s="731"/>
      <c r="C693" s="732"/>
      <c r="D693" s="733"/>
      <c r="E693" s="734"/>
      <c r="F693" s="437"/>
      <c r="G693" s="454"/>
      <c r="H693" s="735"/>
    </row>
    <row r="694">
      <c r="A694" s="730"/>
      <c r="B694" s="731"/>
      <c r="C694" s="732"/>
      <c r="D694" s="733"/>
      <c r="E694" s="734"/>
      <c r="F694" s="437"/>
      <c r="G694" s="454"/>
      <c r="H694" s="735"/>
    </row>
    <row r="695">
      <c r="A695" s="730"/>
      <c r="B695" s="731"/>
      <c r="C695" s="732"/>
      <c r="D695" s="733"/>
      <c r="E695" s="734"/>
      <c r="F695" s="437"/>
      <c r="G695" s="454"/>
      <c r="H695" s="735"/>
    </row>
    <row r="696">
      <c r="A696" s="730"/>
      <c r="B696" s="731"/>
      <c r="C696" s="732"/>
      <c r="D696" s="733"/>
      <c r="E696" s="734"/>
      <c r="F696" s="437"/>
      <c r="G696" s="454"/>
      <c r="H696" s="735"/>
    </row>
    <row r="697">
      <c r="A697" s="730"/>
      <c r="B697" s="731"/>
      <c r="C697" s="732"/>
      <c r="D697" s="733"/>
      <c r="E697" s="734"/>
      <c r="F697" s="437"/>
      <c r="G697" s="454"/>
      <c r="H697" s="735"/>
    </row>
    <row r="698">
      <c r="A698" s="730"/>
      <c r="B698" s="731"/>
      <c r="C698" s="732"/>
      <c r="D698" s="733"/>
      <c r="E698" s="734"/>
      <c r="F698" s="437"/>
      <c r="G698" s="454"/>
      <c r="H698" s="735"/>
    </row>
    <row r="699">
      <c r="A699" s="730"/>
      <c r="B699" s="731"/>
      <c r="C699" s="732"/>
      <c r="D699" s="733"/>
      <c r="E699" s="734"/>
      <c r="F699" s="437"/>
      <c r="G699" s="454"/>
      <c r="H699" s="735"/>
    </row>
    <row r="700">
      <c r="A700" s="730"/>
      <c r="B700" s="731"/>
      <c r="C700" s="732"/>
      <c r="D700" s="733"/>
      <c r="E700" s="734"/>
      <c r="F700" s="437"/>
      <c r="G700" s="454"/>
      <c r="H700" s="735"/>
    </row>
    <row r="701">
      <c r="A701" s="730"/>
      <c r="B701" s="731"/>
      <c r="C701" s="732"/>
      <c r="D701" s="733"/>
      <c r="E701" s="734"/>
      <c r="F701" s="437"/>
      <c r="G701" s="454"/>
      <c r="H701" s="735"/>
    </row>
    <row r="702">
      <c r="A702" s="730"/>
      <c r="B702" s="731"/>
      <c r="C702" s="732"/>
      <c r="D702" s="733"/>
      <c r="E702" s="734"/>
      <c r="F702" s="437"/>
      <c r="G702" s="454"/>
      <c r="H702" s="735"/>
    </row>
    <row r="703">
      <c r="A703" s="730"/>
      <c r="B703" s="731"/>
      <c r="C703" s="732"/>
      <c r="D703" s="733"/>
      <c r="E703" s="734"/>
      <c r="F703" s="437"/>
      <c r="G703" s="454"/>
      <c r="H703" s="735"/>
    </row>
    <row r="704">
      <c r="A704" s="730"/>
      <c r="B704" s="731"/>
      <c r="C704" s="732"/>
      <c r="D704" s="733"/>
      <c r="E704" s="734"/>
      <c r="F704" s="437"/>
      <c r="G704" s="454"/>
      <c r="H704" s="735"/>
    </row>
    <row r="705">
      <c r="A705" s="730"/>
      <c r="B705" s="731"/>
      <c r="C705" s="732"/>
      <c r="D705" s="733"/>
      <c r="E705" s="734"/>
      <c r="F705" s="437"/>
      <c r="G705" s="454"/>
      <c r="H705" s="735"/>
    </row>
    <row r="706">
      <c r="A706" s="730"/>
      <c r="B706" s="731"/>
      <c r="C706" s="732"/>
      <c r="D706" s="733"/>
      <c r="E706" s="734"/>
      <c r="F706" s="437"/>
      <c r="G706" s="454"/>
      <c r="H706" s="735"/>
    </row>
    <row r="707">
      <c r="A707" s="730"/>
      <c r="B707" s="731"/>
      <c r="C707" s="732"/>
      <c r="D707" s="733"/>
      <c r="E707" s="734"/>
      <c r="F707" s="437"/>
      <c r="G707" s="454"/>
      <c r="H707" s="735"/>
    </row>
    <row r="708">
      <c r="A708" s="730"/>
      <c r="B708" s="731"/>
      <c r="C708" s="732"/>
      <c r="D708" s="733"/>
      <c r="E708" s="734"/>
      <c r="F708" s="437"/>
      <c r="G708" s="454"/>
      <c r="H708" s="735"/>
    </row>
    <row r="709">
      <c r="A709" s="730"/>
      <c r="B709" s="731"/>
      <c r="C709" s="732"/>
      <c r="D709" s="733"/>
      <c r="E709" s="734"/>
      <c r="F709" s="437"/>
      <c r="G709" s="454"/>
      <c r="H709" s="735"/>
    </row>
    <row r="710">
      <c r="A710" s="730"/>
      <c r="B710" s="731"/>
      <c r="C710" s="732"/>
      <c r="D710" s="733"/>
      <c r="E710" s="734"/>
      <c r="F710" s="437"/>
      <c r="G710" s="454"/>
      <c r="H710" s="735"/>
    </row>
    <row r="711">
      <c r="A711" s="730"/>
      <c r="B711" s="731"/>
      <c r="C711" s="732"/>
      <c r="D711" s="733"/>
      <c r="E711" s="734"/>
      <c r="F711" s="437"/>
      <c r="G711" s="454"/>
      <c r="H711" s="735"/>
    </row>
    <row r="712">
      <c r="A712" s="730"/>
      <c r="B712" s="731"/>
      <c r="C712" s="732"/>
      <c r="D712" s="733"/>
      <c r="E712" s="734"/>
      <c r="F712" s="437"/>
      <c r="G712" s="454"/>
      <c r="H712" s="735"/>
    </row>
    <row r="713">
      <c r="A713" s="730"/>
      <c r="B713" s="731"/>
      <c r="C713" s="732"/>
      <c r="D713" s="733"/>
      <c r="E713" s="734"/>
      <c r="F713" s="437"/>
      <c r="G713" s="454"/>
      <c r="H713" s="735"/>
    </row>
    <row r="714">
      <c r="A714" s="730"/>
      <c r="B714" s="731"/>
      <c r="C714" s="732"/>
      <c r="D714" s="733"/>
      <c r="E714" s="734"/>
      <c r="F714" s="437"/>
      <c r="G714" s="454"/>
      <c r="H714" s="735"/>
    </row>
    <row r="715">
      <c r="A715" s="730"/>
      <c r="B715" s="731"/>
      <c r="C715" s="732"/>
      <c r="D715" s="733"/>
      <c r="E715" s="734"/>
      <c r="F715" s="437"/>
      <c r="G715" s="454"/>
      <c r="H715" s="735"/>
    </row>
    <row r="716">
      <c r="A716" s="730"/>
      <c r="B716" s="731"/>
      <c r="C716" s="732"/>
      <c r="D716" s="733"/>
      <c r="E716" s="734"/>
      <c r="F716" s="437"/>
      <c r="G716" s="454"/>
      <c r="H716" s="735"/>
    </row>
    <row r="717">
      <c r="A717" s="730"/>
      <c r="B717" s="731"/>
      <c r="C717" s="732"/>
      <c r="D717" s="733"/>
      <c r="E717" s="734"/>
      <c r="F717" s="437"/>
      <c r="G717" s="454"/>
      <c r="H717" s="735"/>
    </row>
    <row r="718">
      <c r="A718" s="730"/>
      <c r="B718" s="731"/>
      <c r="C718" s="732"/>
      <c r="D718" s="733"/>
      <c r="E718" s="734"/>
      <c r="F718" s="437"/>
      <c r="G718" s="454"/>
      <c r="H718" s="735"/>
    </row>
    <row r="719">
      <c r="A719" s="730"/>
      <c r="B719" s="731"/>
      <c r="C719" s="732"/>
      <c r="D719" s="733"/>
      <c r="E719" s="734"/>
      <c r="F719" s="437"/>
      <c r="G719" s="454"/>
      <c r="H719" s="735"/>
    </row>
    <row r="720">
      <c r="A720" s="730"/>
      <c r="B720" s="731"/>
      <c r="C720" s="732"/>
      <c r="D720" s="733"/>
      <c r="E720" s="734"/>
      <c r="F720" s="437"/>
      <c r="G720" s="454"/>
      <c r="H720" s="735"/>
    </row>
    <row r="721">
      <c r="A721" s="730"/>
      <c r="B721" s="731"/>
      <c r="C721" s="732"/>
      <c r="D721" s="733"/>
      <c r="E721" s="734"/>
      <c r="F721" s="437"/>
      <c r="G721" s="454"/>
      <c r="H721" s="735"/>
    </row>
    <row r="722">
      <c r="A722" s="730"/>
      <c r="B722" s="731"/>
      <c r="C722" s="732"/>
      <c r="D722" s="733"/>
      <c r="E722" s="734"/>
      <c r="F722" s="437"/>
      <c r="G722" s="454"/>
      <c r="H722" s="735"/>
    </row>
    <row r="723">
      <c r="A723" s="730"/>
      <c r="B723" s="731"/>
      <c r="C723" s="732"/>
      <c r="D723" s="733"/>
      <c r="E723" s="734"/>
      <c r="F723" s="437"/>
      <c r="G723" s="454"/>
      <c r="H723" s="735"/>
    </row>
    <row r="724">
      <c r="A724" s="730"/>
      <c r="B724" s="731"/>
      <c r="C724" s="732"/>
      <c r="D724" s="733"/>
      <c r="E724" s="734"/>
      <c r="F724" s="437"/>
      <c r="G724" s="454"/>
      <c r="H724" s="735"/>
    </row>
    <row r="725">
      <c r="A725" s="730"/>
      <c r="B725" s="731"/>
      <c r="C725" s="732"/>
      <c r="D725" s="733"/>
      <c r="E725" s="734"/>
      <c r="F725" s="437"/>
      <c r="G725" s="454"/>
      <c r="H725" s="735"/>
    </row>
    <row r="726">
      <c r="A726" s="730"/>
      <c r="B726" s="731"/>
      <c r="C726" s="732"/>
      <c r="D726" s="733"/>
      <c r="E726" s="734"/>
      <c r="F726" s="437"/>
      <c r="G726" s="454"/>
      <c r="H726" s="735"/>
    </row>
    <row r="727">
      <c r="A727" s="730"/>
      <c r="B727" s="731"/>
      <c r="C727" s="732"/>
      <c r="D727" s="733"/>
      <c r="E727" s="734"/>
      <c r="F727" s="437"/>
      <c r="G727" s="454"/>
      <c r="H727" s="735"/>
    </row>
    <row r="728">
      <c r="A728" s="730"/>
      <c r="B728" s="731"/>
      <c r="C728" s="732"/>
      <c r="D728" s="733"/>
      <c r="E728" s="734"/>
      <c r="F728" s="437"/>
      <c r="G728" s="454"/>
      <c r="H728" s="735"/>
    </row>
    <row r="729">
      <c r="A729" s="730"/>
      <c r="B729" s="731"/>
      <c r="C729" s="732"/>
      <c r="D729" s="733"/>
      <c r="E729" s="734"/>
      <c r="F729" s="437"/>
      <c r="G729" s="454"/>
      <c r="H729" s="735"/>
    </row>
    <row r="730">
      <c r="A730" s="730"/>
      <c r="B730" s="731"/>
      <c r="C730" s="732"/>
      <c r="D730" s="733"/>
      <c r="E730" s="734"/>
      <c r="F730" s="437"/>
      <c r="G730" s="454"/>
      <c r="H730" s="735"/>
    </row>
    <row r="731">
      <c r="A731" s="730"/>
      <c r="B731" s="731"/>
      <c r="C731" s="732"/>
      <c r="D731" s="733"/>
      <c r="E731" s="734"/>
      <c r="F731" s="437"/>
      <c r="G731" s="454"/>
      <c r="H731" s="735"/>
    </row>
    <row r="732">
      <c r="A732" s="730"/>
      <c r="B732" s="731"/>
      <c r="C732" s="732"/>
      <c r="D732" s="733"/>
      <c r="E732" s="734"/>
      <c r="F732" s="437"/>
      <c r="G732" s="454"/>
      <c r="H732" s="735"/>
    </row>
    <row r="733">
      <c r="A733" s="730"/>
      <c r="B733" s="731"/>
      <c r="C733" s="732"/>
      <c r="D733" s="733"/>
      <c r="E733" s="734"/>
      <c r="F733" s="437"/>
      <c r="G733" s="454"/>
      <c r="H733" s="735"/>
    </row>
    <row r="734">
      <c r="A734" s="730"/>
      <c r="B734" s="731"/>
      <c r="C734" s="732"/>
      <c r="D734" s="733"/>
      <c r="E734" s="734"/>
      <c r="F734" s="437"/>
      <c r="G734" s="454"/>
      <c r="H734" s="735"/>
    </row>
    <row r="735">
      <c r="A735" s="730"/>
      <c r="B735" s="731"/>
      <c r="C735" s="732"/>
      <c r="D735" s="733"/>
      <c r="E735" s="734"/>
      <c r="F735" s="437"/>
      <c r="G735" s="454"/>
      <c r="H735" s="735"/>
    </row>
    <row r="736">
      <c r="A736" s="730"/>
      <c r="B736" s="731"/>
      <c r="C736" s="732"/>
      <c r="D736" s="733"/>
      <c r="E736" s="734"/>
      <c r="F736" s="437"/>
      <c r="G736" s="454"/>
      <c r="H736" s="735"/>
    </row>
    <row r="737">
      <c r="A737" s="730"/>
      <c r="B737" s="731"/>
      <c r="C737" s="732"/>
      <c r="D737" s="733"/>
      <c r="E737" s="734"/>
      <c r="F737" s="437"/>
      <c r="G737" s="454"/>
      <c r="H737" s="735"/>
    </row>
    <row r="738">
      <c r="A738" s="730"/>
      <c r="B738" s="731"/>
      <c r="C738" s="732"/>
      <c r="D738" s="733"/>
      <c r="E738" s="734"/>
      <c r="F738" s="437"/>
      <c r="G738" s="454"/>
      <c r="H738" s="735"/>
    </row>
    <row r="739">
      <c r="A739" s="730"/>
      <c r="B739" s="731"/>
      <c r="C739" s="732"/>
      <c r="D739" s="733"/>
      <c r="E739" s="734"/>
      <c r="F739" s="437"/>
      <c r="G739" s="454"/>
      <c r="H739" s="735"/>
    </row>
    <row r="740">
      <c r="A740" s="730"/>
      <c r="B740" s="731"/>
      <c r="C740" s="732"/>
      <c r="D740" s="733"/>
      <c r="E740" s="734"/>
      <c r="F740" s="437"/>
      <c r="G740" s="454"/>
      <c r="H740" s="735"/>
    </row>
    <row r="741">
      <c r="A741" s="730"/>
      <c r="B741" s="731"/>
      <c r="C741" s="732"/>
      <c r="D741" s="733"/>
      <c r="E741" s="734"/>
      <c r="F741" s="437"/>
      <c r="G741" s="454"/>
      <c r="H741" s="735"/>
    </row>
    <row r="742">
      <c r="A742" s="730"/>
      <c r="B742" s="731"/>
      <c r="C742" s="732"/>
      <c r="D742" s="733"/>
      <c r="E742" s="734"/>
      <c r="F742" s="437"/>
      <c r="G742" s="454"/>
      <c r="H742" s="735"/>
    </row>
    <row r="743">
      <c r="A743" s="730"/>
      <c r="B743" s="731"/>
      <c r="C743" s="732"/>
      <c r="D743" s="733"/>
      <c r="E743" s="734"/>
      <c r="F743" s="437"/>
      <c r="G743" s="454"/>
      <c r="H743" s="735"/>
    </row>
    <row r="744">
      <c r="A744" s="730"/>
      <c r="B744" s="731"/>
      <c r="C744" s="732"/>
      <c r="D744" s="733"/>
      <c r="E744" s="734"/>
      <c r="F744" s="437"/>
      <c r="G744" s="454"/>
      <c r="H744" s="735"/>
    </row>
    <row r="745">
      <c r="A745" s="730"/>
      <c r="B745" s="731"/>
      <c r="C745" s="732"/>
      <c r="D745" s="733"/>
      <c r="E745" s="734"/>
      <c r="F745" s="437"/>
      <c r="G745" s="454"/>
      <c r="H745" s="735"/>
    </row>
    <row r="746">
      <c r="A746" s="730"/>
      <c r="B746" s="731"/>
      <c r="C746" s="732"/>
      <c r="D746" s="733"/>
      <c r="E746" s="734"/>
      <c r="F746" s="437"/>
      <c r="G746" s="454"/>
      <c r="H746" s="735"/>
    </row>
    <row r="747">
      <c r="A747" s="730"/>
      <c r="B747" s="731"/>
      <c r="C747" s="732"/>
      <c r="D747" s="733"/>
      <c r="E747" s="734"/>
      <c r="F747" s="437"/>
      <c r="G747" s="454"/>
      <c r="H747" s="735"/>
    </row>
    <row r="748">
      <c r="A748" s="730"/>
      <c r="B748" s="731"/>
      <c r="C748" s="732"/>
      <c r="D748" s="733"/>
      <c r="E748" s="734"/>
      <c r="F748" s="437"/>
      <c r="G748" s="454"/>
      <c r="H748" s="735"/>
    </row>
    <row r="749">
      <c r="A749" s="730"/>
      <c r="B749" s="731"/>
      <c r="C749" s="732"/>
      <c r="D749" s="733"/>
      <c r="E749" s="734"/>
      <c r="F749" s="437"/>
      <c r="G749" s="454"/>
      <c r="H749" s="735"/>
    </row>
    <row r="750">
      <c r="A750" s="730"/>
      <c r="B750" s="731"/>
      <c r="C750" s="732"/>
      <c r="D750" s="733"/>
      <c r="E750" s="734"/>
      <c r="F750" s="437"/>
      <c r="G750" s="454"/>
      <c r="H750" s="735"/>
    </row>
    <row r="751">
      <c r="A751" s="730"/>
      <c r="B751" s="731"/>
      <c r="C751" s="732"/>
      <c r="D751" s="733"/>
      <c r="E751" s="734"/>
      <c r="F751" s="437"/>
      <c r="G751" s="454"/>
      <c r="H751" s="735"/>
    </row>
    <row r="752">
      <c r="A752" s="730"/>
      <c r="B752" s="731"/>
      <c r="C752" s="732"/>
      <c r="D752" s="733"/>
      <c r="E752" s="734"/>
      <c r="F752" s="437"/>
      <c r="G752" s="454"/>
      <c r="H752" s="735"/>
    </row>
    <row r="753">
      <c r="A753" s="730"/>
      <c r="B753" s="731"/>
      <c r="C753" s="732"/>
      <c r="D753" s="733"/>
      <c r="E753" s="734"/>
      <c r="F753" s="437"/>
      <c r="G753" s="454"/>
      <c r="H753" s="735"/>
    </row>
    <row r="754">
      <c r="A754" s="730"/>
      <c r="B754" s="731"/>
      <c r="C754" s="732"/>
      <c r="D754" s="733"/>
      <c r="E754" s="734"/>
      <c r="F754" s="437"/>
      <c r="G754" s="454"/>
      <c r="H754" s="735"/>
    </row>
    <row r="755">
      <c r="A755" s="730"/>
      <c r="B755" s="731"/>
      <c r="C755" s="732"/>
      <c r="D755" s="733"/>
      <c r="E755" s="734"/>
      <c r="F755" s="437"/>
      <c r="G755" s="454"/>
      <c r="H755" s="735"/>
    </row>
    <row r="756">
      <c r="A756" s="730"/>
      <c r="B756" s="731"/>
      <c r="C756" s="732"/>
      <c r="D756" s="733"/>
      <c r="E756" s="734"/>
      <c r="F756" s="437"/>
      <c r="G756" s="454"/>
      <c r="H756" s="735"/>
    </row>
    <row r="757">
      <c r="A757" s="730"/>
      <c r="B757" s="731"/>
      <c r="C757" s="732"/>
      <c r="D757" s="733"/>
      <c r="E757" s="734"/>
      <c r="F757" s="437"/>
      <c r="G757" s="454"/>
      <c r="H757" s="735"/>
    </row>
    <row r="758">
      <c r="A758" s="730"/>
      <c r="B758" s="731"/>
      <c r="C758" s="732"/>
      <c r="D758" s="733"/>
      <c r="E758" s="734"/>
      <c r="F758" s="437"/>
      <c r="G758" s="454"/>
      <c r="H758" s="735"/>
    </row>
    <row r="759">
      <c r="A759" s="730"/>
      <c r="B759" s="731"/>
      <c r="C759" s="732"/>
      <c r="D759" s="733"/>
      <c r="E759" s="734"/>
      <c r="F759" s="437"/>
      <c r="G759" s="454"/>
      <c r="H759" s="735"/>
    </row>
    <row r="760">
      <c r="A760" s="730"/>
      <c r="B760" s="731"/>
      <c r="C760" s="732"/>
      <c r="D760" s="733"/>
      <c r="E760" s="734"/>
      <c r="F760" s="437"/>
      <c r="G760" s="454"/>
      <c r="H760" s="735"/>
    </row>
    <row r="761">
      <c r="A761" s="730"/>
      <c r="B761" s="731"/>
      <c r="C761" s="732"/>
      <c r="D761" s="733"/>
      <c r="E761" s="734"/>
      <c r="F761" s="437"/>
      <c r="G761" s="454"/>
      <c r="H761" s="735"/>
    </row>
    <row r="762">
      <c r="A762" s="730"/>
      <c r="B762" s="731"/>
      <c r="C762" s="732"/>
      <c r="D762" s="733"/>
      <c r="E762" s="734"/>
      <c r="F762" s="437"/>
      <c r="G762" s="454"/>
      <c r="H762" s="735"/>
    </row>
    <row r="763">
      <c r="A763" s="730"/>
      <c r="B763" s="731"/>
      <c r="C763" s="732"/>
      <c r="D763" s="733"/>
      <c r="E763" s="734"/>
      <c r="F763" s="437"/>
      <c r="G763" s="454"/>
      <c r="H763" s="735"/>
    </row>
    <row r="764">
      <c r="A764" s="730"/>
      <c r="B764" s="731"/>
      <c r="C764" s="732"/>
      <c r="D764" s="733"/>
      <c r="E764" s="734"/>
      <c r="F764" s="437"/>
      <c r="G764" s="454"/>
      <c r="H764" s="735"/>
    </row>
    <row r="765">
      <c r="A765" s="730"/>
      <c r="B765" s="731"/>
      <c r="C765" s="732"/>
      <c r="D765" s="733"/>
      <c r="E765" s="734"/>
      <c r="F765" s="437"/>
      <c r="G765" s="454"/>
      <c r="H765" s="735"/>
    </row>
    <row r="766">
      <c r="A766" s="730"/>
      <c r="B766" s="731"/>
      <c r="C766" s="732"/>
      <c r="D766" s="733"/>
      <c r="E766" s="734"/>
      <c r="F766" s="437"/>
      <c r="G766" s="454"/>
      <c r="H766" s="735"/>
    </row>
    <row r="767">
      <c r="A767" s="730"/>
      <c r="B767" s="731"/>
      <c r="C767" s="732"/>
      <c r="D767" s="733"/>
      <c r="E767" s="734"/>
      <c r="F767" s="437"/>
      <c r="G767" s="454"/>
      <c r="H767" s="735"/>
    </row>
    <row r="768">
      <c r="A768" s="730"/>
      <c r="B768" s="731"/>
      <c r="C768" s="732"/>
      <c r="D768" s="733"/>
      <c r="E768" s="734"/>
      <c r="F768" s="437"/>
      <c r="G768" s="454"/>
      <c r="H768" s="735"/>
    </row>
    <row r="769">
      <c r="A769" s="730"/>
      <c r="B769" s="731"/>
      <c r="C769" s="732"/>
      <c r="D769" s="733"/>
      <c r="E769" s="734"/>
      <c r="F769" s="437"/>
      <c r="G769" s="454"/>
      <c r="H769" s="735"/>
    </row>
    <row r="770">
      <c r="A770" s="730"/>
      <c r="B770" s="731"/>
      <c r="C770" s="732"/>
      <c r="D770" s="733"/>
      <c r="E770" s="734"/>
      <c r="F770" s="437"/>
      <c r="G770" s="454"/>
      <c r="H770" s="735"/>
    </row>
    <row r="771">
      <c r="A771" s="730"/>
      <c r="B771" s="731"/>
      <c r="C771" s="732"/>
      <c r="D771" s="733"/>
      <c r="E771" s="734"/>
      <c r="F771" s="437"/>
      <c r="G771" s="454"/>
      <c r="H771" s="735"/>
    </row>
    <row r="772">
      <c r="A772" s="730"/>
      <c r="B772" s="731"/>
      <c r="C772" s="732"/>
      <c r="D772" s="733"/>
      <c r="E772" s="734"/>
      <c r="F772" s="437"/>
      <c r="G772" s="454"/>
      <c r="H772" s="735"/>
    </row>
    <row r="773">
      <c r="A773" s="730"/>
      <c r="B773" s="731"/>
      <c r="C773" s="732"/>
      <c r="D773" s="733"/>
      <c r="E773" s="734"/>
      <c r="F773" s="437"/>
      <c r="G773" s="454"/>
      <c r="H773" s="735"/>
    </row>
    <row r="774">
      <c r="A774" s="730"/>
      <c r="B774" s="731"/>
      <c r="C774" s="732"/>
      <c r="D774" s="733"/>
      <c r="E774" s="734"/>
      <c r="F774" s="437"/>
      <c r="G774" s="454"/>
      <c r="H774" s="735"/>
    </row>
    <row r="775">
      <c r="A775" s="730"/>
      <c r="B775" s="731"/>
      <c r="C775" s="732"/>
      <c r="D775" s="733"/>
      <c r="E775" s="734"/>
      <c r="F775" s="437"/>
      <c r="G775" s="454"/>
      <c r="H775" s="735"/>
    </row>
    <row r="776">
      <c r="A776" s="730"/>
      <c r="B776" s="731"/>
      <c r="C776" s="732"/>
      <c r="D776" s="733"/>
      <c r="E776" s="734"/>
      <c r="F776" s="437"/>
      <c r="G776" s="454"/>
      <c r="H776" s="735"/>
    </row>
    <row r="777">
      <c r="A777" s="730"/>
      <c r="B777" s="731"/>
      <c r="C777" s="732"/>
      <c r="D777" s="733"/>
      <c r="E777" s="734"/>
      <c r="F777" s="437"/>
      <c r="G777" s="454"/>
      <c r="H777" s="735"/>
    </row>
    <row r="778">
      <c r="A778" s="730"/>
      <c r="B778" s="731"/>
      <c r="C778" s="732"/>
      <c r="D778" s="733"/>
      <c r="E778" s="734"/>
      <c r="F778" s="437"/>
      <c r="G778" s="454"/>
      <c r="H778" s="735"/>
    </row>
    <row r="779">
      <c r="A779" s="730"/>
      <c r="B779" s="731"/>
      <c r="C779" s="732"/>
      <c r="D779" s="733"/>
      <c r="E779" s="734"/>
      <c r="F779" s="437"/>
      <c r="G779" s="454"/>
      <c r="H779" s="735"/>
    </row>
    <row r="780">
      <c r="A780" s="730"/>
      <c r="B780" s="731"/>
      <c r="C780" s="732"/>
      <c r="D780" s="733"/>
      <c r="E780" s="734"/>
      <c r="F780" s="437"/>
      <c r="G780" s="454"/>
      <c r="H780" s="735"/>
    </row>
    <row r="781">
      <c r="A781" s="730"/>
      <c r="B781" s="731"/>
      <c r="C781" s="732"/>
      <c r="D781" s="733"/>
      <c r="E781" s="734"/>
      <c r="F781" s="437"/>
      <c r="G781" s="454"/>
      <c r="H781" s="735"/>
    </row>
    <row r="782">
      <c r="A782" s="730"/>
      <c r="B782" s="731"/>
      <c r="C782" s="732"/>
      <c r="D782" s="733"/>
      <c r="E782" s="734"/>
      <c r="F782" s="437"/>
      <c r="G782" s="454"/>
      <c r="H782" s="735"/>
    </row>
    <row r="783">
      <c r="A783" s="730"/>
      <c r="B783" s="731"/>
      <c r="C783" s="732"/>
      <c r="D783" s="733"/>
      <c r="E783" s="734"/>
      <c r="F783" s="437"/>
      <c r="G783" s="454"/>
      <c r="H783" s="735"/>
    </row>
    <row r="784">
      <c r="A784" s="730"/>
      <c r="B784" s="731"/>
      <c r="C784" s="732"/>
      <c r="D784" s="733"/>
      <c r="E784" s="734"/>
      <c r="F784" s="437"/>
      <c r="G784" s="454"/>
      <c r="H784" s="735"/>
    </row>
    <row r="785">
      <c r="A785" s="730"/>
      <c r="B785" s="731"/>
      <c r="C785" s="732"/>
      <c r="D785" s="733"/>
      <c r="E785" s="734"/>
      <c r="F785" s="437"/>
      <c r="G785" s="454"/>
      <c r="H785" s="735"/>
    </row>
    <row r="786">
      <c r="A786" s="730"/>
      <c r="B786" s="731"/>
      <c r="C786" s="732"/>
      <c r="D786" s="733"/>
      <c r="E786" s="734"/>
      <c r="F786" s="437"/>
      <c r="G786" s="454"/>
      <c r="H786" s="735"/>
    </row>
    <row r="787">
      <c r="A787" s="730"/>
      <c r="B787" s="731"/>
      <c r="C787" s="732"/>
      <c r="D787" s="733"/>
      <c r="E787" s="734"/>
      <c r="F787" s="437"/>
      <c r="G787" s="454"/>
      <c r="H787" s="735"/>
    </row>
    <row r="788">
      <c r="A788" s="730"/>
      <c r="B788" s="731"/>
      <c r="C788" s="732"/>
      <c r="D788" s="733"/>
      <c r="E788" s="734"/>
      <c r="F788" s="437"/>
      <c r="G788" s="454"/>
      <c r="H788" s="735"/>
    </row>
    <row r="789">
      <c r="A789" s="730"/>
      <c r="B789" s="731"/>
      <c r="C789" s="732"/>
      <c r="D789" s="733"/>
      <c r="E789" s="734"/>
      <c r="F789" s="437"/>
      <c r="G789" s="454"/>
      <c r="H789" s="735"/>
    </row>
    <row r="790">
      <c r="A790" s="730"/>
      <c r="B790" s="731"/>
      <c r="C790" s="732"/>
      <c r="D790" s="733"/>
      <c r="E790" s="734"/>
      <c r="F790" s="437"/>
      <c r="G790" s="454"/>
      <c r="H790" s="735"/>
    </row>
    <row r="791">
      <c r="A791" s="730"/>
      <c r="B791" s="731"/>
      <c r="C791" s="732"/>
      <c r="D791" s="733"/>
      <c r="E791" s="734"/>
      <c r="F791" s="437"/>
      <c r="G791" s="454"/>
      <c r="H791" s="735"/>
    </row>
    <row r="792">
      <c r="A792" s="730"/>
      <c r="B792" s="731"/>
      <c r="C792" s="732"/>
      <c r="D792" s="733"/>
      <c r="E792" s="734"/>
      <c r="F792" s="437"/>
      <c r="G792" s="454"/>
      <c r="H792" s="735"/>
    </row>
    <row r="793">
      <c r="A793" s="730"/>
      <c r="B793" s="731"/>
      <c r="C793" s="732"/>
      <c r="D793" s="733"/>
      <c r="E793" s="734"/>
      <c r="F793" s="437"/>
      <c r="G793" s="454"/>
      <c r="H793" s="735"/>
    </row>
    <row r="794">
      <c r="A794" s="730"/>
      <c r="B794" s="731"/>
      <c r="C794" s="732"/>
      <c r="D794" s="733"/>
      <c r="E794" s="734"/>
      <c r="F794" s="437"/>
      <c r="G794" s="454"/>
      <c r="H794" s="735"/>
    </row>
    <row r="795">
      <c r="A795" s="730"/>
      <c r="B795" s="731"/>
      <c r="C795" s="732"/>
      <c r="D795" s="733"/>
      <c r="E795" s="734"/>
      <c r="F795" s="437"/>
      <c r="G795" s="454"/>
      <c r="H795" s="735"/>
    </row>
    <row r="796">
      <c r="A796" s="730"/>
      <c r="B796" s="731"/>
      <c r="C796" s="732"/>
      <c r="D796" s="733"/>
      <c r="E796" s="734"/>
      <c r="F796" s="437"/>
      <c r="G796" s="454"/>
      <c r="H796" s="735"/>
    </row>
    <row r="797">
      <c r="A797" s="730"/>
      <c r="B797" s="731"/>
      <c r="C797" s="732"/>
      <c r="D797" s="733"/>
      <c r="E797" s="734"/>
      <c r="F797" s="437"/>
      <c r="G797" s="454"/>
      <c r="H797" s="735"/>
    </row>
    <row r="798">
      <c r="A798" s="730"/>
      <c r="B798" s="731"/>
      <c r="C798" s="732"/>
      <c r="D798" s="733"/>
      <c r="E798" s="734"/>
      <c r="F798" s="437"/>
      <c r="G798" s="454"/>
      <c r="H798" s="735"/>
    </row>
    <row r="799">
      <c r="A799" s="730"/>
      <c r="B799" s="731"/>
      <c r="C799" s="732"/>
      <c r="D799" s="733"/>
      <c r="E799" s="734"/>
      <c r="F799" s="437"/>
      <c r="G799" s="454"/>
      <c r="H799" s="735"/>
    </row>
    <row r="800">
      <c r="A800" s="730"/>
      <c r="B800" s="731"/>
      <c r="C800" s="732"/>
      <c r="D800" s="733"/>
      <c r="E800" s="734"/>
      <c r="F800" s="437"/>
      <c r="G800" s="454"/>
      <c r="H800" s="735"/>
    </row>
    <row r="801">
      <c r="A801" s="730"/>
      <c r="B801" s="731"/>
      <c r="C801" s="732"/>
      <c r="D801" s="733"/>
      <c r="E801" s="734"/>
      <c r="F801" s="437"/>
      <c r="G801" s="454"/>
      <c r="H801" s="735"/>
    </row>
    <row r="802">
      <c r="A802" s="730"/>
      <c r="B802" s="731"/>
      <c r="C802" s="732"/>
      <c r="D802" s="733"/>
      <c r="E802" s="734"/>
      <c r="F802" s="437"/>
      <c r="G802" s="454"/>
      <c r="H802" s="735"/>
    </row>
    <row r="803">
      <c r="A803" s="730"/>
      <c r="B803" s="731"/>
      <c r="C803" s="732"/>
      <c r="D803" s="733"/>
      <c r="E803" s="734"/>
      <c r="F803" s="437"/>
      <c r="G803" s="454"/>
      <c r="H803" s="735"/>
    </row>
    <row r="804">
      <c r="A804" s="730"/>
      <c r="B804" s="731"/>
      <c r="C804" s="732"/>
      <c r="D804" s="733"/>
      <c r="E804" s="734"/>
      <c r="F804" s="437"/>
      <c r="G804" s="454"/>
      <c r="H804" s="735"/>
    </row>
    <row r="805">
      <c r="A805" s="730"/>
      <c r="B805" s="731"/>
      <c r="C805" s="732"/>
      <c r="D805" s="733"/>
      <c r="E805" s="734"/>
      <c r="F805" s="437"/>
      <c r="G805" s="454"/>
      <c r="H805" s="735"/>
    </row>
    <row r="806">
      <c r="A806" s="730"/>
      <c r="B806" s="731"/>
      <c r="C806" s="732"/>
      <c r="D806" s="733"/>
      <c r="E806" s="734"/>
      <c r="F806" s="437"/>
      <c r="G806" s="454"/>
      <c r="H806" s="735"/>
    </row>
    <row r="807">
      <c r="A807" s="730"/>
      <c r="B807" s="731"/>
      <c r="C807" s="732"/>
      <c r="D807" s="733"/>
      <c r="E807" s="734"/>
      <c r="F807" s="437"/>
      <c r="G807" s="454"/>
      <c r="H807" s="735"/>
    </row>
    <row r="808">
      <c r="A808" s="730"/>
      <c r="B808" s="731"/>
      <c r="C808" s="732"/>
      <c r="D808" s="733"/>
      <c r="E808" s="734"/>
      <c r="F808" s="437"/>
      <c r="G808" s="454"/>
      <c r="H808" s="735"/>
    </row>
    <row r="809">
      <c r="A809" s="730"/>
      <c r="B809" s="731"/>
      <c r="C809" s="732"/>
      <c r="D809" s="733"/>
      <c r="E809" s="734"/>
      <c r="F809" s="437"/>
      <c r="G809" s="454"/>
      <c r="H809" s="735"/>
    </row>
    <row r="810">
      <c r="A810" s="730"/>
      <c r="B810" s="731"/>
      <c r="C810" s="732"/>
      <c r="D810" s="733"/>
      <c r="E810" s="734"/>
      <c r="F810" s="437"/>
      <c r="G810" s="454"/>
      <c r="H810" s="735"/>
    </row>
    <row r="811">
      <c r="A811" s="730"/>
      <c r="B811" s="731"/>
      <c r="C811" s="732"/>
      <c r="D811" s="733"/>
      <c r="E811" s="734"/>
      <c r="F811" s="437"/>
      <c r="G811" s="454"/>
      <c r="H811" s="735"/>
    </row>
    <row r="812">
      <c r="A812" s="730"/>
      <c r="B812" s="731"/>
      <c r="C812" s="732"/>
      <c r="D812" s="733"/>
      <c r="E812" s="734"/>
      <c r="F812" s="437"/>
      <c r="G812" s="454"/>
      <c r="H812" s="735"/>
    </row>
    <row r="813">
      <c r="A813" s="730"/>
      <c r="B813" s="731"/>
      <c r="C813" s="732"/>
      <c r="D813" s="733"/>
      <c r="E813" s="734"/>
      <c r="F813" s="437"/>
      <c r="G813" s="454"/>
      <c r="H813" s="735"/>
    </row>
    <row r="814">
      <c r="A814" s="730"/>
      <c r="B814" s="731"/>
      <c r="C814" s="732"/>
      <c r="D814" s="733"/>
      <c r="E814" s="734"/>
      <c r="F814" s="437"/>
      <c r="G814" s="454"/>
      <c r="H814" s="735"/>
    </row>
    <row r="815">
      <c r="A815" s="730"/>
      <c r="B815" s="731"/>
      <c r="C815" s="732"/>
      <c r="D815" s="733"/>
      <c r="E815" s="734"/>
      <c r="F815" s="437"/>
      <c r="G815" s="454"/>
      <c r="H815" s="735"/>
    </row>
    <row r="816">
      <c r="A816" s="730"/>
      <c r="B816" s="731"/>
      <c r="C816" s="732"/>
      <c r="D816" s="733"/>
      <c r="E816" s="734"/>
      <c r="F816" s="437"/>
      <c r="G816" s="454"/>
      <c r="H816" s="735"/>
    </row>
    <row r="817">
      <c r="A817" s="730"/>
      <c r="B817" s="731"/>
      <c r="C817" s="732"/>
      <c r="D817" s="733"/>
      <c r="E817" s="734"/>
      <c r="F817" s="437"/>
      <c r="G817" s="454"/>
      <c r="H817" s="735"/>
    </row>
    <row r="818">
      <c r="A818" s="730"/>
      <c r="B818" s="731"/>
      <c r="C818" s="732"/>
      <c r="D818" s="733"/>
      <c r="E818" s="734"/>
      <c r="F818" s="437"/>
      <c r="G818" s="454"/>
      <c r="H818" s="735"/>
    </row>
    <row r="819">
      <c r="A819" s="730"/>
      <c r="B819" s="731"/>
      <c r="C819" s="732"/>
      <c r="D819" s="733"/>
      <c r="E819" s="734"/>
      <c r="F819" s="437"/>
      <c r="G819" s="454"/>
      <c r="H819" s="735"/>
    </row>
    <row r="820">
      <c r="A820" s="730"/>
      <c r="B820" s="731"/>
      <c r="C820" s="732"/>
      <c r="D820" s="733"/>
      <c r="E820" s="734"/>
      <c r="F820" s="437"/>
      <c r="G820" s="454"/>
      <c r="H820" s="735"/>
    </row>
    <row r="821">
      <c r="A821" s="730"/>
      <c r="B821" s="731"/>
      <c r="C821" s="732"/>
      <c r="D821" s="733"/>
      <c r="E821" s="734"/>
      <c r="F821" s="437"/>
      <c r="G821" s="454"/>
      <c r="H821" s="735"/>
    </row>
    <row r="822">
      <c r="A822" s="730"/>
      <c r="B822" s="731"/>
      <c r="C822" s="732"/>
      <c r="D822" s="733"/>
      <c r="E822" s="734"/>
      <c r="F822" s="437"/>
      <c r="G822" s="454"/>
      <c r="H822" s="735"/>
    </row>
    <row r="823">
      <c r="A823" s="730"/>
      <c r="B823" s="731"/>
      <c r="C823" s="732"/>
      <c r="D823" s="733"/>
      <c r="E823" s="734"/>
      <c r="F823" s="437"/>
      <c r="G823" s="454"/>
      <c r="H823" s="735"/>
    </row>
    <row r="824">
      <c r="A824" s="730"/>
      <c r="B824" s="731"/>
      <c r="C824" s="732"/>
      <c r="D824" s="733"/>
      <c r="E824" s="734"/>
      <c r="F824" s="437"/>
      <c r="G824" s="454"/>
      <c r="H824" s="735"/>
    </row>
    <row r="825">
      <c r="A825" s="730"/>
      <c r="B825" s="731"/>
      <c r="C825" s="732"/>
      <c r="D825" s="733"/>
      <c r="E825" s="734"/>
      <c r="F825" s="437"/>
      <c r="G825" s="454"/>
      <c r="H825" s="735"/>
    </row>
    <row r="826">
      <c r="A826" s="730"/>
      <c r="B826" s="731"/>
      <c r="C826" s="732"/>
      <c r="D826" s="733"/>
      <c r="E826" s="734"/>
      <c r="F826" s="437"/>
      <c r="G826" s="454"/>
      <c r="H826" s="735"/>
    </row>
    <row r="827">
      <c r="A827" s="730"/>
      <c r="B827" s="731"/>
      <c r="C827" s="732"/>
      <c r="D827" s="733"/>
      <c r="E827" s="734"/>
      <c r="F827" s="437"/>
      <c r="G827" s="454"/>
      <c r="H827" s="735"/>
    </row>
    <row r="828">
      <c r="A828" s="730"/>
      <c r="B828" s="731"/>
      <c r="C828" s="732"/>
      <c r="D828" s="733"/>
      <c r="E828" s="734"/>
      <c r="F828" s="437"/>
      <c r="G828" s="454"/>
      <c r="H828" s="735"/>
    </row>
    <row r="829">
      <c r="A829" s="730"/>
      <c r="B829" s="731"/>
      <c r="C829" s="732"/>
      <c r="D829" s="733"/>
      <c r="E829" s="734"/>
      <c r="F829" s="437"/>
      <c r="G829" s="454"/>
      <c r="H829" s="735"/>
    </row>
    <row r="830">
      <c r="A830" s="730"/>
      <c r="B830" s="731"/>
      <c r="C830" s="732"/>
      <c r="D830" s="733"/>
      <c r="E830" s="734"/>
      <c r="F830" s="437"/>
      <c r="G830" s="454"/>
      <c r="H830" s="735"/>
    </row>
    <row r="831">
      <c r="A831" s="730"/>
      <c r="B831" s="731"/>
      <c r="C831" s="732"/>
      <c r="D831" s="733"/>
      <c r="E831" s="734"/>
      <c r="F831" s="437"/>
      <c r="G831" s="454"/>
      <c r="H831" s="735"/>
    </row>
    <row r="832">
      <c r="A832" s="730"/>
      <c r="B832" s="731"/>
      <c r="C832" s="732"/>
      <c r="D832" s="733"/>
      <c r="E832" s="734"/>
      <c r="F832" s="437"/>
      <c r="G832" s="454"/>
      <c r="H832" s="735"/>
    </row>
    <row r="833">
      <c r="A833" s="730"/>
      <c r="B833" s="731"/>
      <c r="C833" s="732"/>
      <c r="D833" s="733"/>
      <c r="E833" s="734"/>
      <c r="F833" s="437"/>
      <c r="G833" s="454"/>
      <c r="H833" s="735"/>
    </row>
    <row r="834">
      <c r="A834" s="730"/>
      <c r="B834" s="731"/>
      <c r="C834" s="732"/>
      <c r="D834" s="733"/>
      <c r="E834" s="734"/>
      <c r="F834" s="437"/>
      <c r="G834" s="454"/>
      <c r="H834" s="735"/>
    </row>
    <row r="835">
      <c r="A835" s="730"/>
      <c r="B835" s="731"/>
      <c r="C835" s="732"/>
      <c r="D835" s="733"/>
      <c r="E835" s="734"/>
      <c r="F835" s="437"/>
      <c r="G835" s="454"/>
      <c r="H835" s="735"/>
    </row>
    <row r="836">
      <c r="A836" s="730"/>
      <c r="B836" s="731"/>
      <c r="C836" s="732"/>
      <c r="D836" s="733"/>
      <c r="E836" s="734"/>
      <c r="F836" s="437"/>
      <c r="G836" s="454"/>
      <c r="H836" s="735"/>
    </row>
    <row r="837">
      <c r="A837" s="730"/>
      <c r="B837" s="731"/>
      <c r="C837" s="732"/>
      <c r="D837" s="733"/>
      <c r="E837" s="734"/>
      <c r="F837" s="437"/>
      <c r="G837" s="454"/>
      <c r="H837" s="735"/>
    </row>
    <row r="838">
      <c r="A838" s="730"/>
      <c r="B838" s="731"/>
      <c r="C838" s="732"/>
      <c r="D838" s="733"/>
      <c r="E838" s="734"/>
      <c r="F838" s="437"/>
      <c r="G838" s="454"/>
      <c r="H838" s="735"/>
    </row>
    <row r="839">
      <c r="A839" s="730"/>
      <c r="B839" s="731"/>
      <c r="C839" s="732"/>
      <c r="D839" s="733"/>
      <c r="E839" s="734"/>
      <c r="F839" s="437"/>
      <c r="G839" s="454"/>
      <c r="H839" s="735"/>
    </row>
    <row r="840">
      <c r="A840" s="730"/>
      <c r="B840" s="731"/>
      <c r="C840" s="732"/>
      <c r="D840" s="733"/>
      <c r="E840" s="734"/>
      <c r="F840" s="437"/>
      <c r="G840" s="454"/>
      <c r="H840" s="735"/>
    </row>
    <row r="841">
      <c r="A841" s="730"/>
      <c r="B841" s="731"/>
      <c r="C841" s="732"/>
      <c r="D841" s="733"/>
      <c r="E841" s="734"/>
      <c r="F841" s="437"/>
      <c r="G841" s="454"/>
      <c r="H841" s="735"/>
    </row>
    <row r="842">
      <c r="A842" s="730"/>
      <c r="B842" s="731"/>
      <c r="C842" s="732"/>
      <c r="D842" s="733"/>
      <c r="E842" s="734"/>
      <c r="F842" s="437"/>
      <c r="G842" s="454"/>
      <c r="H842" s="735"/>
    </row>
    <row r="843">
      <c r="A843" s="730"/>
      <c r="B843" s="731"/>
      <c r="C843" s="732"/>
      <c r="D843" s="733"/>
      <c r="E843" s="734"/>
      <c r="F843" s="437"/>
      <c r="G843" s="454"/>
      <c r="H843" s="735"/>
    </row>
    <row r="844">
      <c r="A844" s="730"/>
      <c r="B844" s="731"/>
      <c r="C844" s="732"/>
      <c r="D844" s="733"/>
      <c r="E844" s="734"/>
      <c r="F844" s="437"/>
      <c r="G844" s="454"/>
      <c r="H844" s="735"/>
    </row>
    <row r="845">
      <c r="A845" s="730"/>
      <c r="B845" s="731"/>
      <c r="C845" s="732"/>
      <c r="D845" s="733"/>
      <c r="E845" s="734"/>
      <c r="F845" s="437"/>
      <c r="G845" s="454"/>
      <c r="H845" s="735"/>
    </row>
    <row r="846">
      <c r="A846" s="730"/>
      <c r="B846" s="731"/>
      <c r="C846" s="732"/>
      <c r="D846" s="733"/>
      <c r="E846" s="734"/>
      <c r="F846" s="437"/>
      <c r="G846" s="454"/>
      <c r="H846" s="735"/>
    </row>
    <row r="847">
      <c r="A847" s="730"/>
      <c r="B847" s="731"/>
      <c r="C847" s="732"/>
      <c r="D847" s="733"/>
      <c r="E847" s="734"/>
      <c r="F847" s="437"/>
      <c r="G847" s="454"/>
      <c r="H847" s="735"/>
    </row>
    <row r="848">
      <c r="A848" s="730"/>
      <c r="B848" s="731"/>
      <c r="C848" s="732"/>
      <c r="D848" s="733"/>
      <c r="E848" s="734"/>
      <c r="F848" s="437"/>
      <c r="G848" s="454"/>
      <c r="H848" s="735"/>
    </row>
    <row r="849">
      <c r="A849" s="730"/>
      <c r="B849" s="731"/>
      <c r="C849" s="732"/>
      <c r="D849" s="733"/>
      <c r="E849" s="734"/>
      <c r="F849" s="437"/>
      <c r="G849" s="454"/>
      <c r="H849" s="735"/>
    </row>
    <row r="850">
      <c r="A850" s="730"/>
      <c r="B850" s="731"/>
      <c r="C850" s="732"/>
      <c r="D850" s="733"/>
      <c r="E850" s="734"/>
      <c r="F850" s="437"/>
      <c r="G850" s="454"/>
      <c r="H850" s="735"/>
    </row>
    <row r="851">
      <c r="A851" s="730"/>
      <c r="B851" s="731"/>
      <c r="C851" s="732"/>
      <c r="D851" s="733"/>
      <c r="E851" s="734"/>
      <c r="F851" s="437"/>
      <c r="G851" s="454"/>
      <c r="H851" s="735"/>
    </row>
    <row r="852">
      <c r="A852" s="730"/>
      <c r="B852" s="731"/>
      <c r="C852" s="732"/>
      <c r="D852" s="733"/>
      <c r="E852" s="734"/>
      <c r="F852" s="437"/>
      <c r="G852" s="454"/>
      <c r="H852" s="735"/>
    </row>
    <row r="853">
      <c r="A853" s="730"/>
      <c r="B853" s="731"/>
      <c r="C853" s="732"/>
      <c r="D853" s="733"/>
      <c r="E853" s="734"/>
      <c r="F853" s="437"/>
      <c r="G853" s="454"/>
      <c r="H853" s="735"/>
    </row>
    <row r="854">
      <c r="A854" s="730"/>
      <c r="B854" s="731"/>
      <c r="C854" s="732"/>
      <c r="D854" s="733"/>
      <c r="E854" s="734"/>
      <c r="F854" s="437"/>
      <c r="G854" s="454"/>
      <c r="H854" s="735"/>
    </row>
    <row r="855">
      <c r="A855" s="730"/>
      <c r="B855" s="731"/>
      <c r="C855" s="732"/>
      <c r="D855" s="733"/>
      <c r="E855" s="734"/>
      <c r="F855" s="437"/>
      <c r="G855" s="454"/>
      <c r="H855" s="735"/>
    </row>
    <row r="856">
      <c r="A856" s="730"/>
      <c r="B856" s="731"/>
      <c r="C856" s="732"/>
      <c r="D856" s="733"/>
      <c r="E856" s="734"/>
      <c r="F856" s="437"/>
      <c r="G856" s="454"/>
      <c r="H856" s="735"/>
    </row>
    <row r="857">
      <c r="A857" s="730"/>
      <c r="B857" s="731"/>
      <c r="C857" s="732"/>
      <c r="D857" s="733"/>
      <c r="E857" s="734"/>
      <c r="F857" s="437"/>
      <c r="G857" s="454"/>
      <c r="H857" s="735"/>
    </row>
    <row r="858">
      <c r="A858" s="730"/>
      <c r="B858" s="731"/>
      <c r="C858" s="732"/>
      <c r="D858" s="733"/>
      <c r="E858" s="734"/>
      <c r="F858" s="437"/>
      <c r="G858" s="454"/>
      <c r="H858" s="735"/>
    </row>
    <row r="859">
      <c r="A859" s="730"/>
      <c r="B859" s="731"/>
      <c r="C859" s="732"/>
      <c r="D859" s="733"/>
      <c r="E859" s="734"/>
      <c r="F859" s="437"/>
      <c r="G859" s="454"/>
      <c r="H859" s="735"/>
    </row>
    <row r="860">
      <c r="A860" s="730"/>
      <c r="B860" s="731"/>
      <c r="C860" s="732"/>
      <c r="D860" s="733"/>
      <c r="E860" s="734"/>
      <c r="F860" s="437"/>
      <c r="G860" s="454"/>
      <c r="H860" s="735"/>
    </row>
    <row r="861">
      <c r="A861" s="730"/>
      <c r="B861" s="731"/>
      <c r="C861" s="732"/>
      <c r="D861" s="733"/>
      <c r="E861" s="734"/>
      <c r="F861" s="437"/>
      <c r="G861" s="454"/>
      <c r="H861" s="735"/>
    </row>
    <row r="862">
      <c r="A862" s="730"/>
      <c r="B862" s="731"/>
      <c r="C862" s="732"/>
      <c r="D862" s="733"/>
      <c r="E862" s="734"/>
      <c r="F862" s="437"/>
      <c r="G862" s="454"/>
      <c r="H862" s="735"/>
    </row>
    <row r="863">
      <c r="A863" s="730"/>
      <c r="B863" s="731"/>
      <c r="C863" s="732"/>
      <c r="D863" s="733"/>
      <c r="E863" s="734"/>
      <c r="F863" s="437"/>
      <c r="G863" s="454"/>
      <c r="H863" s="735"/>
    </row>
    <row r="864">
      <c r="A864" s="730"/>
      <c r="B864" s="731"/>
      <c r="C864" s="732"/>
      <c r="D864" s="733"/>
      <c r="E864" s="734"/>
      <c r="F864" s="437"/>
      <c r="G864" s="454"/>
      <c r="H864" s="735"/>
    </row>
    <row r="865">
      <c r="A865" s="730"/>
      <c r="B865" s="731"/>
      <c r="C865" s="732"/>
      <c r="D865" s="733"/>
      <c r="E865" s="734"/>
      <c r="F865" s="437"/>
      <c r="G865" s="454"/>
      <c r="H865" s="735"/>
    </row>
    <row r="866">
      <c r="A866" s="730"/>
      <c r="B866" s="731"/>
      <c r="C866" s="732"/>
      <c r="D866" s="733"/>
      <c r="E866" s="734"/>
      <c r="F866" s="437"/>
      <c r="G866" s="454"/>
      <c r="H866" s="735"/>
    </row>
    <row r="867">
      <c r="A867" s="730"/>
      <c r="B867" s="731"/>
      <c r="C867" s="732"/>
      <c r="D867" s="733"/>
      <c r="E867" s="734"/>
      <c r="F867" s="437"/>
      <c r="G867" s="454"/>
      <c r="H867" s="735"/>
    </row>
    <row r="868">
      <c r="A868" s="730"/>
      <c r="B868" s="731"/>
      <c r="C868" s="732"/>
      <c r="D868" s="733"/>
      <c r="E868" s="734"/>
      <c r="F868" s="437"/>
      <c r="G868" s="454"/>
      <c r="H868" s="735"/>
    </row>
    <row r="869">
      <c r="A869" s="730"/>
      <c r="B869" s="731"/>
      <c r="C869" s="732"/>
      <c r="D869" s="733"/>
      <c r="E869" s="734"/>
      <c r="F869" s="437"/>
      <c r="G869" s="454"/>
      <c r="H869" s="735"/>
    </row>
    <row r="870">
      <c r="A870" s="730"/>
      <c r="B870" s="731"/>
      <c r="C870" s="732"/>
      <c r="D870" s="733"/>
      <c r="E870" s="734"/>
      <c r="F870" s="437"/>
      <c r="G870" s="454"/>
      <c r="H870" s="735"/>
    </row>
    <row r="871">
      <c r="A871" s="730"/>
      <c r="B871" s="731"/>
      <c r="C871" s="732"/>
      <c r="D871" s="733"/>
      <c r="E871" s="734"/>
      <c r="F871" s="437"/>
      <c r="G871" s="454"/>
      <c r="H871" s="735"/>
    </row>
    <row r="872">
      <c r="A872" s="730"/>
      <c r="B872" s="731"/>
      <c r="C872" s="732"/>
      <c r="D872" s="733"/>
      <c r="E872" s="734"/>
      <c r="F872" s="437"/>
      <c r="G872" s="454"/>
      <c r="H872" s="735"/>
    </row>
    <row r="873">
      <c r="A873" s="730"/>
      <c r="B873" s="731"/>
      <c r="C873" s="732"/>
      <c r="D873" s="733"/>
      <c r="E873" s="734"/>
      <c r="F873" s="437"/>
      <c r="G873" s="454"/>
      <c r="H873" s="735"/>
    </row>
    <row r="874">
      <c r="A874" s="730"/>
      <c r="B874" s="731"/>
      <c r="C874" s="732"/>
      <c r="D874" s="733"/>
      <c r="E874" s="734"/>
      <c r="F874" s="437"/>
      <c r="G874" s="454"/>
      <c r="H874" s="735"/>
    </row>
    <row r="875">
      <c r="A875" s="730"/>
      <c r="B875" s="731"/>
      <c r="C875" s="732"/>
      <c r="D875" s="733"/>
      <c r="E875" s="734"/>
      <c r="F875" s="437"/>
      <c r="G875" s="454"/>
      <c r="H875" s="735"/>
    </row>
    <row r="876">
      <c r="A876" s="730"/>
      <c r="B876" s="731"/>
      <c r="C876" s="732"/>
      <c r="D876" s="733"/>
      <c r="E876" s="734"/>
      <c r="F876" s="437"/>
      <c r="G876" s="454"/>
      <c r="H876" s="735"/>
    </row>
    <row r="877">
      <c r="A877" s="730"/>
      <c r="B877" s="731"/>
      <c r="C877" s="732"/>
      <c r="D877" s="733"/>
      <c r="E877" s="734"/>
      <c r="F877" s="437"/>
      <c r="G877" s="454"/>
      <c r="H877" s="735"/>
    </row>
    <row r="878">
      <c r="A878" s="730"/>
      <c r="B878" s="731"/>
      <c r="C878" s="732"/>
      <c r="D878" s="733"/>
      <c r="E878" s="734"/>
      <c r="F878" s="437"/>
      <c r="G878" s="454"/>
      <c r="H878" s="735"/>
    </row>
    <row r="879">
      <c r="A879" s="730"/>
      <c r="B879" s="731"/>
      <c r="C879" s="732"/>
      <c r="D879" s="733"/>
      <c r="E879" s="734"/>
      <c r="F879" s="437"/>
      <c r="G879" s="454"/>
      <c r="H879" s="735"/>
    </row>
    <row r="880">
      <c r="A880" s="730"/>
      <c r="B880" s="731"/>
      <c r="C880" s="732"/>
      <c r="D880" s="733"/>
      <c r="E880" s="734"/>
      <c r="F880" s="437"/>
      <c r="G880" s="454"/>
      <c r="H880" s="735"/>
    </row>
    <row r="881">
      <c r="A881" s="730"/>
      <c r="B881" s="731"/>
      <c r="C881" s="732"/>
      <c r="D881" s="733"/>
      <c r="E881" s="734"/>
      <c r="F881" s="437"/>
      <c r="G881" s="454"/>
      <c r="H881" s="735"/>
    </row>
    <row r="882">
      <c r="A882" s="730"/>
      <c r="B882" s="731"/>
      <c r="C882" s="732"/>
      <c r="D882" s="733"/>
      <c r="E882" s="734"/>
      <c r="F882" s="437"/>
      <c r="G882" s="454"/>
      <c r="H882" s="735"/>
    </row>
    <row r="883">
      <c r="A883" s="730"/>
      <c r="B883" s="731"/>
      <c r="C883" s="732"/>
      <c r="D883" s="733"/>
      <c r="E883" s="734"/>
      <c r="F883" s="437"/>
      <c r="G883" s="454"/>
      <c r="H883" s="735"/>
    </row>
    <row r="884">
      <c r="A884" s="730"/>
      <c r="B884" s="731"/>
      <c r="C884" s="732"/>
      <c r="D884" s="733"/>
      <c r="E884" s="734"/>
      <c r="F884" s="437"/>
      <c r="G884" s="454"/>
      <c r="H884" s="735"/>
    </row>
    <row r="885">
      <c r="A885" s="730"/>
      <c r="B885" s="731"/>
      <c r="C885" s="732"/>
      <c r="D885" s="733"/>
      <c r="E885" s="734"/>
      <c r="F885" s="437"/>
      <c r="G885" s="454"/>
      <c r="H885" s="735"/>
    </row>
    <row r="886">
      <c r="A886" s="730"/>
      <c r="B886" s="731"/>
      <c r="C886" s="732"/>
      <c r="D886" s="733"/>
      <c r="E886" s="734"/>
      <c r="F886" s="437"/>
      <c r="G886" s="454"/>
      <c r="H886" s="735"/>
    </row>
    <row r="887">
      <c r="A887" s="730"/>
      <c r="B887" s="731"/>
      <c r="C887" s="732"/>
      <c r="D887" s="733"/>
      <c r="E887" s="734"/>
      <c r="F887" s="437"/>
      <c r="G887" s="454"/>
      <c r="H887" s="735"/>
    </row>
    <row r="888">
      <c r="A888" s="730"/>
      <c r="B888" s="731"/>
      <c r="C888" s="732"/>
      <c r="D888" s="733"/>
      <c r="E888" s="734"/>
      <c r="F888" s="437"/>
      <c r="G888" s="454"/>
      <c r="H888" s="735"/>
    </row>
    <row r="889">
      <c r="A889" s="730"/>
      <c r="B889" s="731"/>
      <c r="C889" s="732"/>
      <c r="D889" s="733"/>
      <c r="E889" s="734"/>
      <c r="F889" s="437"/>
      <c r="G889" s="454"/>
      <c r="H889" s="735"/>
    </row>
    <row r="890">
      <c r="A890" s="730"/>
      <c r="B890" s="731"/>
      <c r="C890" s="732"/>
      <c r="D890" s="733"/>
      <c r="E890" s="734"/>
      <c r="F890" s="437"/>
      <c r="G890" s="454"/>
      <c r="H890" s="735"/>
    </row>
    <row r="891">
      <c r="A891" s="730"/>
      <c r="B891" s="731"/>
      <c r="C891" s="732"/>
      <c r="D891" s="733"/>
      <c r="E891" s="734"/>
      <c r="F891" s="437"/>
      <c r="G891" s="454"/>
      <c r="H891" s="735"/>
    </row>
    <row r="892">
      <c r="A892" s="730"/>
      <c r="B892" s="731"/>
      <c r="C892" s="732"/>
      <c r="D892" s="733"/>
      <c r="E892" s="734"/>
      <c r="F892" s="437"/>
      <c r="G892" s="454"/>
      <c r="H892" s="735"/>
    </row>
    <row r="893">
      <c r="A893" s="730"/>
      <c r="B893" s="731"/>
      <c r="C893" s="732"/>
      <c r="D893" s="733"/>
      <c r="E893" s="734"/>
      <c r="F893" s="437"/>
      <c r="G893" s="454"/>
      <c r="H893" s="735"/>
    </row>
    <row r="894">
      <c r="A894" s="730"/>
      <c r="B894" s="731"/>
      <c r="C894" s="732"/>
      <c r="D894" s="733"/>
      <c r="E894" s="734"/>
      <c r="F894" s="437"/>
      <c r="G894" s="454"/>
      <c r="H894" s="735"/>
    </row>
    <row r="895">
      <c r="A895" s="730"/>
      <c r="B895" s="731"/>
      <c r="C895" s="732"/>
      <c r="D895" s="733"/>
      <c r="E895" s="734"/>
      <c r="F895" s="437"/>
      <c r="G895" s="454"/>
      <c r="H895" s="735"/>
    </row>
    <row r="896">
      <c r="A896" s="730"/>
      <c r="B896" s="731"/>
      <c r="C896" s="732"/>
      <c r="D896" s="733"/>
      <c r="E896" s="734"/>
      <c r="F896" s="437"/>
      <c r="G896" s="454"/>
      <c r="H896" s="735"/>
    </row>
    <row r="897">
      <c r="A897" s="730"/>
      <c r="B897" s="731"/>
      <c r="C897" s="732"/>
      <c r="D897" s="733"/>
      <c r="E897" s="734"/>
      <c r="F897" s="437"/>
      <c r="G897" s="454"/>
      <c r="H897" s="735"/>
    </row>
    <row r="898">
      <c r="A898" s="730"/>
      <c r="B898" s="731"/>
      <c r="C898" s="732"/>
      <c r="D898" s="733"/>
      <c r="E898" s="734"/>
      <c r="F898" s="437"/>
      <c r="G898" s="454"/>
      <c r="H898" s="735"/>
    </row>
    <row r="899">
      <c r="A899" s="730"/>
      <c r="B899" s="731"/>
      <c r="C899" s="732"/>
      <c r="D899" s="733"/>
      <c r="E899" s="734"/>
      <c r="F899" s="437"/>
      <c r="G899" s="454"/>
      <c r="H899" s="735"/>
    </row>
    <row r="900">
      <c r="A900" s="730"/>
      <c r="B900" s="731"/>
      <c r="C900" s="732"/>
      <c r="D900" s="733"/>
      <c r="E900" s="734"/>
      <c r="F900" s="437"/>
      <c r="G900" s="454"/>
      <c r="H900" s="735"/>
    </row>
    <row r="901">
      <c r="A901" s="730"/>
      <c r="B901" s="731"/>
      <c r="C901" s="732"/>
      <c r="D901" s="733"/>
      <c r="E901" s="734"/>
      <c r="F901" s="437"/>
      <c r="G901" s="454"/>
      <c r="H901" s="735"/>
    </row>
    <row r="902">
      <c r="A902" s="730"/>
      <c r="B902" s="731"/>
      <c r="C902" s="732"/>
      <c r="D902" s="733"/>
      <c r="E902" s="734"/>
      <c r="F902" s="437"/>
      <c r="G902" s="454"/>
      <c r="H902" s="735"/>
    </row>
    <row r="903">
      <c r="A903" s="730"/>
      <c r="B903" s="731"/>
      <c r="C903" s="732"/>
      <c r="D903" s="733"/>
      <c r="E903" s="734"/>
      <c r="F903" s="437"/>
      <c r="G903" s="454"/>
      <c r="H903" s="735"/>
    </row>
    <row r="904">
      <c r="A904" s="730"/>
      <c r="B904" s="731"/>
      <c r="C904" s="732"/>
      <c r="D904" s="733"/>
      <c r="E904" s="734"/>
      <c r="F904" s="437"/>
      <c r="G904" s="454"/>
      <c r="H904" s="735"/>
    </row>
    <row r="905">
      <c r="A905" s="730"/>
      <c r="B905" s="731"/>
      <c r="C905" s="732"/>
      <c r="D905" s="733"/>
      <c r="E905" s="734"/>
      <c r="F905" s="437"/>
      <c r="G905" s="454"/>
      <c r="H905" s="735"/>
    </row>
    <row r="906">
      <c r="A906" s="730"/>
      <c r="B906" s="731"/>
      <c r="C906" s="732"/>
      <c r="D906" s="733"/>
      <c r="E906" s="734"/>
      <c r="F906" s="437"/>
      <c r="G906" s="454"/>
      <c r="H906" s="735"/>
    </row>
    <row r="907">
      <c r="A907" s="730"/>
      <c r="B907" s="731"/>
      <c r="C907" s="732"/>
      <c r="D907" s="733"/>
      <c r="E907" s="734"/>
      <c r="F907" s="437"/>
      <c r="G907" s="454"/>
      <c r="H907" s="735"/>
    </row>
    <row r="908">
      <c r="A908" s="730"/>
      <c r="B908" s="731"/>
      <c r="C908" s="732"/>
      <c r="D908" s="733"/>
      <c r="E908" s="734"/>
      <c r="F908" s="437"/>
      <c r="G908" s="454"/>
      <c r="H908" s="735"/>
    </row>
    <row r="909">
      <c r="A909" s="730"/>
      <c r="B909" s="731"/>
      <c r="C909" s="732"/>
      <c r="D909" s="733"/>
      <c r="E909" s="734"/>
      <c r="F909" s="437"/>
      <c r="G909" s="454"/>
      <c r="H909" s="735"/>
    </row>
    <row r="910">
      <c r="A910" s="730"/>
      <c r="B910" s="731"/>
      <c r="C910" s="732"/>
      <c r="D910" s="733"/>
      <c r="E910" s="734"/>
      <c r="F910" s="437"/>
      <c r="G910" s="454"/>
      <c r="H910" s="735"/>
    </row>
    <row r="911">
      <c r="A911" s="730"/>
      <c r="B911" s="731"/>
      <c r="C911" s="732"/>
      <c r="D911" s="733"/>
      <c r="E911" s="734"/>
      <c r="F911" s="437"/>
      <c r="G911" s="454"/>
      <c r="H911" s="735"/>
    </row>
    <row r="912">
      <c r="A912" s="730"/>
      <c r="B912" s="731"/>
      <c r="C912" s="732"/>
      <c r="D912" s="733"/>
      <c r="E912" s="734"/>
      <c r="F912" s="437"/>
      <c r="G912" s="454"/>
      <c r="H912" s="735"/>
    </row>
    <row r="913">
      <c r="A913" s="730"/>
      <c r="B913" s="731"/>
      <c r="C913" s="732"/>
      <c r="D913" s="733"/>
      <c r="E913" s="734"/>
      <c r="F913" s="437"/>
      <c r="G913" s="454"/>
      <c r="H913" s="735"/>
    </row>
    <row r="914">
      <c r="A914" s="730"/>
      <c r="B914" s="731"/>
      <c r="C914" s="732"/>
      <c r="D914" s="733"/>
      <c r="E914" s="734"/>
      <c r="F914" s="437"/>
      <c r="G914" s="454"/>
      <c r="H914" s="735"/>
    </row>
    <row r="915">
      <c r="A915" s="730"/>
      <c r="B915" s="731"/>
      <c r="C915" s="732"/>
      <c r="D915" s="733"/>
      <c r="E915" s="734"/>
      <c r="F915" s="437"/>
      <c r="G915" s="454"/>
      <c r="H915" s="735"/>
    </row>
    <row r="916">
      <c r="A916" s="730"/>
      <c r="B916" s="731"/>
      <c r="C916" s="732"/>
      <c r="D916" s="733"/>
      <c r="E916" s="734"/>
      <c r="F916" s="437"/>
      <c r="G916" s="454"/>
      <c r="H916" s="735"/>
    </row>
    <row r="917">
      <c r="A917" s="730"/>
      <c r="B917" s="731"/>
      <c r="C917" s="732"/>
      <c r="D917" s="733"/>
      <c r="E917" s="734"/>
      <c r="F917" s="437"/>
      <c r="G917" s="454"/>
      <c r="H917" s="735"/>
    </row>
    <row r="918">
      <c r="A918" s="730"/>
      <c r="B918" s="731"/>
      <c r="C918" s="732"/>
      <c r="D918" s="733"/>
      <c r="E918" s="734"/>
      <c r="F918" s="437"/>
      <c r="G918" s="454"/>
      <c r="H918" s="735"/>
    </row>
    <row r="919">
      <c r="A919" s="730"/>
      <c r="B919" s="731"/>
      <c r="C919" s="732"/>
      <c r="D919" s="733"/>
      <c r="E919" s="734"/>
      <c r="F919" s="437"/>
      <c r="G919" s="454"/>
      <c r="H919" s="735"/>
    </row>
    <row r="920">
      <c r="A920" s="730"/>
      <c r="B920" s="731"/>
      <c r="C920" s="732"/>
      <c r="D920" s="733"/>
      <c r="E920" s="734"/>
      <c r="F920" s="437"/>
      <c r="G920" s="454"/>
      <c r="H920" s="735"/>
    </row>
    <row r="921">
      <c r="A921" s="730"/>
      <c r="B921" s="731"/>
      <c r="C921" s="732"/>
      <c r="D921" s="733"/>
      <c r="E921" s="734"/>
      <c r="F921" s="437"/>
      <c r="G921" s="454"/>
      <c r="H921" s="735"/>
    </row>
    <row r="922">
      <c r="A922" s="730"/>
      <c r="B922" s="731"/>
      <c r="C922" s="732"/>
      <c r="D922" s="733"/>
      <c r="E922" s="734"/>
      <c r="F922" s="437"/>
      <c r="G922" s="454"/>
      <c r="H922" s="735"/>
    </row>
    <row r="923">
      <c r="A923" s="730"/>
      <c r="B923" s="731"/>
      <c r="C923" s="732"/>
      <c r="D923" s="733"/>
      <c r="E923" s="734"/>
      <c r="F923" s="437"/>
      <c r="G923" s="454"/>
      <c r="H923" s="735"/>
    </row>
    <row r="924">
      <c r="A924" s="730"/>
      <c r="B924" s="731"/>
      <c r="C924" s="732"/>
      <c r="D924" s="733"/>
      <c r="E924" s="734"/>
      <c r="F924" s="437"/>
      <c r="G924" s="454"/>
      <c r="H924" s="735"/>
    </row>
    <row r="925">
      <c r="A925" s="730"/>
      <c r="B925" s="731"/>
      <c r="C925" s="732"/>
      <c r="D925" s="733"/>
      <c r="E925" s="734"/>
      <c r="F925" s="437"/>
      <c r="G925" s="454"/>
      <c r="H925" s="735"/>
    </row>
    <row r="926">
      <c r="A926" s="730"/>
      <c r="B926" s="731"/>
      <c r="C926" s="732"/>
      <c r="D926" s="733"/>
      <c r="E926" s="734"/>
      <c r="F926" s="437"/>
      <c r="G926" s="454"/>
      <c r="H926" s="735"/>
    </row>
    <row r="927">
      <c r="A927" s="730"/>
      <c r="B927" s="731"/>
      <c r="C927" s="732"/>
      <c r="D927" s="733"/>
      <c r="E927" s="734"/>
      <c r="F927" s="437"/>
      <c r="G927" s="454"/>
      <c r="H927" s="735"/>
    </row>
    <row r="928">
      <c r="A928" s="730"/>
      <c r="B928" s="731"/>
      <c r="C928" s="732"/>
      <c r="D928" s="733"/>
      <c r="E928" s="734"/>
      <c r="F928" s="437"/>
      <c r="G928" s="454"/>
      <c r="H928" s="735"/>
    </row>
    <row r="929">
      <c r="A929" s="730"/>
      <c r="B929" s="731"/>
      <c r="C929" s="732"/>
      <c r="D929" s="733"/>
      <c r="E929" s="734"/>
      <c r="F929" s="437"/>
      <c r="G929" s="454"/>
      <c r="H929" s="735"/>
    </row>
    <row r="930">
      <c r="A930" s="730"/>
      <c r="B930" s="731"/>
      <c r="C930" s="732"/>
      <c r="D930" s="733"/>
      <c r="E930" s="734"/>
      <c r="F930" s="437"/>
      <c r="G930" s="454"/>
      <c r="H930" s="735"/>
    </row>
    <row r="931">
      <c r="A931" s="730"/>
      <c r="B931" s="731"/>
      <c r="C931" s="732"/>
      <c r="D931" s="733"/>
      <c r="E931" s="734"/>
      <c r="F931" s="437"/>
      <c r="G931" s="454"/>
      <c r="H931" s="735"/>
    </row>
    <row r="932">
      <c r="A932" s="730"/>
      <c r="B932" s="731"/>
      <c r="C932" s="732"/>
      <c r="D932" s="733"/>
      <c r="E932" s="734"/>
      <c r="F932" s="437"/>
      <c r="G932" s="454"/>
      <c r="H932" s="735"/>
    </row>
    <row r="933">
      <c r="A933" s="730"/>
      <c r="B933" s="731"/>
      <c r="C933" s="732"/>
      <c r="D933" s="733"/>
      <c r="E933" s="734"/>
      <c r="F933" s="437"/>
      <c r="G933" s="454"/>
      <c r="H933" s="735"/>
    </row>
    <row r="934">
      <c r="A934" s="730"/>
      <c r="B934" s="731"/>
      <c r="C934" s="732"/>
      <c r="D934" s="733"/>
      <c r="E934" s="734"/>
      <c r="F934" s="437"/>
      <c r="G934" s="454"/>
      <c r="H934" s="735"/>
    </row>
    <row r="935">
      <c r="A935" s="730"/>
      <c r="B935" s="731"/>
      <c r="C935" s="732"/>
      <c r="D935" s="733"/>
      <c r="E935" s="734"/>
      <c r="F935" s="437"/>
      <c r="G935" s="454"/>
      <c r="H935" s="735"/>
    </row>
    <row r="936">
      <c r="A936" s="730"/>
      <c r="B936" s="731"/>
      <c r="C936" s="732"/>
      <c r="D936" s="733"/>
      <c r="E936" s="734"/>
      <c r="F936" s="437"/>
      <c r="G936" s="454"/>
      <c r="H936" s="735"/>
    </row>
    <row r="937">
      <c r="A937" s="730"/>
      <c r="B937" s="731"/>
      <c r="C937" s="732"/>
      <c r="D937" s="733"/>
      <c r="E937" s="734"/>
      <c r="F937" s="437"/>
      <c r="G937" s="454"/>
      <c r="H937" s="735"/>
    </row>
    <row r="938">
      <c r="A938" s="730"/>
      <c r="B938" s="731"/>
      <c r="C938" s="732"/>
      <c r="D938" s="733"/>
      <c r="E938" s="734"/>
      <c r="F938" s="437"/>
      <c r="G938" s="454"/>
      <c r="H938" s="735"/>
    </row>
    <row r="939">
      <c r="A939" s="730"/>
      <c r="B939" s="731"/>
      <c r="C939" s="732"/>
      <c r="D939" s="733"/>
      <c r="E939" s="734"/>
      <c r="F939" s="437"/>
      <c r="G939" s="454"/>
      <c r="H939" s="735"/>
    </row>
    <row r="940">
      <c r="A940" s="730"/>
      <c r="B940" s="731"/>
      <c r="C940" s="732"/>
      <c r="D940" s="733"/>
      <c r="E940" s="734"/>
      <c r="F940" s="437"/>
      <c r="G940" s="454"/>
      <c r="H940" s="735"/>
    </row>
    <row r="941">
      <c r="A941" s="730"/>
      <c r="B941" s="731"/>
      <c r="C941" s="732"/>
      <c r="D941" s="733"/>
      <c r="E941" s="734"/>
      <c r="F941" s="437"/>
      <c r="G941" s="454"/>
      <c r="H941" s="735"/>
    </row>
    <row r="942">
      <c r="A942" s="730"/>
      <c r="B942" s="731"/>
      <c r="C942" s="732"/>
      <c r="D942" s="733"/>
      <c r="E942" s="734"/>
      <c r="F942" s="437"/>
      <c r="G942" s="454"/>
      <c r="H942" s="735"/>
    </row>
    <row r="943">
      <c r="A943" s="730"/>
      <c r="B943" s="731"/>
      <c r="C943" s="732"/>
      <c r="D943" s="733"/>
      <c r="E943" s="734"/>
      <c r="F943" s="437"/>
      <c r="G943" s="454"/>
      <c r="H943" s="735"/>
    </row>
    <row r="944">
      <c r="A944" s="730"/>
      <c r="B944" s="731"/>
      <c r="C944" s="732"/>
      <c r="D944" s="733"/>
      <c r="E944" s="734"/>
      <c r="F944" s="437"/>
      <c r="G944" s="454"/>
      <c r="H944" s="735"/>
    </row>
    <row r="945">
      <c r="A945" s="730"/>
      <c r="B945" s="731"/>
      <c r="C945" s="732"/>
      <c r="D945" s="733"/>
      <c r="E945" s="734"/>
      <c r="F945" s="437"/>
      <c r="G945" s="454"/>
      <c r="H945" s="735"/>
    </row>
    <row r="946">
      <c r="A946" s="730"/>
      <c r="B946" s="731"/>
      <c r="C946" s="732"/>
      <c r="D946" s="733"/>
      <c r="E946" s="734"/>
      <c r="F946" s="437"/>
      <c r="G946" s="454"/>
      <c r="H946" s="735"/>
    </row>
    <row r="947">
      <c r="A947" s="730"/>
      <c r="B947" s="731"/>
      <c r="C947" s="732"/>
      <c r="D947" s="733"/>
      <c r="E947" s="734"/>
      <c r="F947" s="437"/>
      <c r="G947" s="454"/>
      <c r="H947" s="735"/>
    </row>
    <row r="948">
      <c r="A948" s="730"/>
      <c r="B948" s="731"/>
      <c r="C948" s="732"/>
      <c r="D948" s="733"/>
      <c r="E948" s="734"/>
      <c r="F948" s="437"/>
      <c r="G948" s="454"/>
      <c r="H948" s="735"/>
    </row>
    <row r="949">
      <c r="A949" s="730"/>
      <c r="B949" s="731"/>
      <c r="C949" s="732"/>
      <c r="D949" s="733"/>
      <c r="E949" s="734"/>
      <c r="F949" s="437"/>
      <c r="G949" s="454"/>
      <c r="H949" s="735"/>
    </row>
    <row r="950">
      <c r="A950" s="730"/>
      <c r="B950" s="731"/>
      <c r="C950" s="732"/>
      <c r="D950" s="733"/>
      <c r="E950" s="734"/>
      <c r="F950" s="437"/>
      <c r="G950" s="454"/>
      <c r="H950" s="735"/>
    </row>
    <row r="951">
      <c r="A951" s="730"/>
      <c r="B951" s="731"/>
      <c r="C951" s="732"/>
      <c r="D951" s="733"/>
      <c r="E951" s="734"/>
      <c r="F951" s="437"/>
      <c r="G951" s="454"/>
      <c r="H951" s="735"/>
    </row>
    <row r="952">
      <c r="A952" s="730"/>
      <c r="B952" s="731"/>
      <c r="C952" s="732"/>
      <c r="D952" s="733"/>
      <c r="E952" s="734"/>
      <c r="F952" s="437"/>
      <c r="G952" s="454"/>
      <c r="H952" s="735"/>
    </row>
    <row r="953">
      <c r="A953" s="730"/>
      <c r="B953" s="731"/>
      <c r="C953" s="732"/>
      <c r="D953" s="733"/>
      <c r="E953" s="734"/>
      <c r="F953" s="437"/>
      <c r="G953" s="454"/>
      <c r="H953" s="735"/>
    </row>
    <row r="954">
      <c r="A954" s="730"/>
      <c r="B954" s="731"/>
      <c r="C954" s="732"/>
      <c r="D954" s="733"/>
      <c r="E954" s="734"/>
      <c r="F954" s="437"/>
      <c r="G954" s="454"/>
      <c r="H954" s="735"/>
    </row>
    <row r="955">
      <c r="A955" s="730"/>
      <c r="B955" s="731"/>
      <c r="C955" s="732"/>
      <c r="D955" s="733"/>
      <c r="E955" s="734"/>
      <c r="F955" s="437"/>
      <c r="G955" s="454"/>
      <c r="H955" s="735"/>
    </row>
    <row r="956">
      <c r="A956" s="730"/>
      <c r="B956" s="731"/>
      <c r="C956" s="732"/>
      <c r="D956" s="733"/>
      <c r="E956" s="734"/>
      <c r="F956" s="437"/>
      <c r="G956" s="454"/>
      <c r="H956" s="735"/>
    </row>
    <row r="957">
      <c r="A957" s="730"/>
      <c r="B957" s="731"/>
      <c r="C957" s="732"/>
      <c r="D957" s="733"/>
      <c r="E957" s="734"/>
      <c r="F957" s="437"/>
      <c r="G957" s="454"/>
      <c r="H957" s="735"/>
    </row>
    <row r="958">
      <c r="A958" s="730"/>
      <c r="B958" s="731"/>
      <c r="C958" s="732"/>
      <c r="D958" s="733"/>
      <c r="E958" s="734"/>
      <c r="F958" s="437"/>
      <c r="G958" s="454"/>
      <c r="H958" s="735"/>
    </row>
    <row r="959">
      <c r="A959" s="730"/>
      <c r="B959" s="731"/>
      <c r="C959" s="732"/>
      <c r="D959" s="733"/>
      <c r="E959" s="734"/>
      <c r="F959" s="437"/>
      <c r="G959" s="454"/>
      <c r="H959" s="735"/>
    </row>
    <row r="960">
      <c r="A960" s="730"/>
      <c r="B960" s="731"/>
      <c r="C960" s="732"/>
      <c r="D960" s="733"/>
      <c r="E960" s="734"/>
      <c r="F960" s="437"/>
      <c r="G960" s="454"/>
      <c r="H960" s="735"/>
    </row>
    <row r="961">
      <c r="A961" s="730"/>
      <c r="B961" s="731"/>
      <c r="C961" s="732"/>
      <c r="D961" s="733"/>
      <c r="E961" s="734"/>
      <c r="F961" s="437"/>
      <c r="G961" s="454"/>
      <c r="H961" s="735"/>
    </row>
    <row r="962">
      <c r="A962" s="730"/>
      <c r="B962" s="731"/>
      <c r="C962" s="732"/>
      <c r="D962" s="733"/>
      <c r="E962" s="734"/>
      <c r="F962" s="437"/>
      <c r="G962" s="454"/>
      <c r="H962" s="735"/>
    </row>
    <row r="963">
      <c r="A963" s="730"/>
      <c r="B963" s="731"/>
      <c r="C963" s="732"/>
      <c r="D963" s="733"/>
      <c r="E963" s="734"/>
      <c r="F963" s="437"/>
      <c r="G963" s="454"/>
      <c r="H963" s="735"/>
    </row>
    <row r="964">
      <c r="A964" s="730"/>
      <c r="B964" s="731"/>
      <c r="C964" s="732"/>
      <c r="D964" s="733"/>
      <c r="E964" s="734"/>
      <c r="F964" s="437"/>
      <c r="G964" s="454"/>
      <c r="H964" s="735"/>
    </row>
    <row r="965">
      <c r="A965" s="730"/>
      <c r="B965" s="731"/>
      <c r="C965" s="732"/>
      <c r="D965" s="733"/>
      <c r="E965" s="734"/>
      <c r="F965" s="437"/>
      <c r="G965" s="454"/>
      <c r="H965" s="735"/>
    </row>
    <row r="966">
      <c r="A966" s="730"/>
      <c r="B966" s="731"/>
      <c r="C966" s="732"/>
      <c r="D966" s="733"/>
      <c r="E966" s="734"/>
      <c r="F966" s="437"/>
      <c r="G966" s="454"/>
      <c r="H966" s="735"/>
    </row>
    <row r="967">
      <c r="A967" s="730"/>
      <c r="B967" s="731"/>
      <c r="C967" s="732"/>
      <c r="D967" s="733"/>
      <c r="E967" s="734"/>
      <c r="F967" s="437"/>
      <c r="G967" s="454"/>
      <c r="H967" s="735"/>
    </row>
    <row r="968">
      <c r="A968" s="730"/>
      <c r="B968" s="731"/>
      <c r="C968" s="732"/>
      <c r="D968" s="733"/>
      <c r="E968" s="734"/>
      <c r="F968" s="437"/>
      <c r="G968" s="454"/>
      <c r="H968" s="735"/>
    </row>
    <row r="969">
      <c r="A969" s="730"/>
      <c r="B969" s="731"/>
      <c r="C969" s="732"/>
      <c r="D969" s="733"/>
      <c r="E969" s="734"/>
      <c r="F969" s="437"/>
      <c r="G969" s="454"/>
      <c r="H969" s="735"/>
    </row>
    <row r="970">
      <c r="A970" s="730"/>
      <c r="B970" s="731"/>
      <c r="C970" s="732"/>
      <c r="D970" s="733"/>
      <c r="E970" s="734"/>
      <c r="F970" s="437"/>
      <c r="G970" s="454"/>
      <c r="H970" s="735"/>
    </row>
    <row r="971">
      <c r="A971" s="730"/>
      <c r="B971" s="731"/>
      <c r="C971" s="732"/>
      <c r="D971" s="733"/>
      <c r="E971" s="734"/>
      <c r="F971" s="437"/>
      <c r="G971" s="454"/>
      <c r="H971" s="735"/>
    </row>
    <row r="972">
      <c r="A972" s="730"/>
      <c r="B972" s="731"/>
      <c r="C972" s="732"/>
      <c r="D972" s="733"/>
      <c r="E972" s="734"/>
      <c r="F972" s="437"/>
      <c r="G972" s="454"/>
      <c r="H972" s="735"/>
    </row>
    <row r="973">
      <c r="A973" s="730"/>
      <c r="B973" s="731"/>
      <c r="C973" s="732"/>
      <c r="D973" s="733"/>
      <c r="E973" s="734"/>
      <c r="F973" s="437"/>
      <c r="G973" s="454"/>
      <c r="H973" s="735"/>
    </row>
    <row r="974">
      <c r="A974" s="730"/>
      <c r="B974" s="731"/>
      <c r="C974" s="732"/>
      <c r="D974" s="733"/>
      <c r="E974" s="734"/>
      <c r="F974" s="437"/>
      <c r="G974" s="454"/>
      <c r="H974" s="735"/>
    </row>
    <row r="975">
      <c r="A975" s="730"/>
      <c r="B975" s="731"/>
      <c r="C975" s="732"/>
      <c r="D975" s="733"/>
      <c r="E975" s="734"/>
      <c r="F975" s="437"/>
      <c r="G975" s="454"/>
      <c r="H975" s="735"/>
    </row>
    <row r="976">
      <c r="A976" s="730"/>
      <c r="B976" s="731"/>
      <c r="C976" s="732"/>
      <c r="D976" s="733"/>
      <c r="E976" s="734"/>
      <c r="F976" s="437"/>
      <c r="G976" s="454"/>
      <c r="H976" s="735"/>
    </row>
    <row r="977">
      <c r="A977" s="730"/>
      <c r="B977" s="731"/>
      <c r="C977" s="732"/>
      <c r="D977" s="733"/>
      <c r="E977" s="734"/>
      <c r="F977" s="437"/>
      <c r="G977" s="454"/>
      <c r="H977" s="735"/>
    </row>
    <row r="978">
      <c r="A978" s="730"/>
      <c r="B978" s="731"/>
      <c r="C978" s="732"/>
      <c r="D978" s="733"/>
      <c r="E978" s="734"/>
      <c r="F978" s="437"/>
      <c r="G978" s="454"/>
      <c r="H978" s="735"/>
    </row>
    <row r="979">
      <c r="A979" s="730"/>
      <c r="B979" s="731"/>
      <c r="C979" s="732"/>
      <c r="D979" s="733"/>
      <c r="E979" s="734"/>
      <c r="F979" s="437"/>
      <c r="G979" s="454"/>
      <c r="H979" s="735"/>
    </row>
    <row r="980">
      <c r="A980" s="730"/>
      <c r="B980" s="731"/>
      <c r="C980" s="732"/>
      <c r="D980" s="733"/>
      <c r="E980" s="734"/>
      <c r="F980" s="437"/>
      <c r="G980" s="454"/>
      <c r="H980" s="735"/>
    </row>
    <row r="981">
      <c r="A981" s="730"/>
      <c r="B981" s="731"/>
      <c r="C981" s="732"/>
      <c r="D981" s="733"/>
      <c r="E981" s="734"/>
      <c r="F981" s="437"/>
      <c r="G981" s="454"/>
      <c r="H981" s="735"/>
    </row>
    <row r="982">
      <c r="A982" s="730"/>
      <c r="B982" s="731"/>
      <c r="C982" s="732"/>
      <c r="D982" s="733"/>
      <c r="E982" s="734"/>
      <c r="F982" s="437"/>
      <c r="G982" s="454"/>
      <c r="H982" s="735"/>
    </row>
    <row r="983">
      <c r="A983" s="730"/>
      <c r="B983" s="731"/>
      <c r="C983" s="732"/>
      <c r="D983" s="733"/>
      <c r="E983" s="734"/>
      <c r="F983" s="437"/>
      <c r="G983" s="454"/>
      <c r="H983" s="735"/>
    </row>
    <row r="984">
      <c r="A984" s="730"/>
      <c r="B984" s="731"/>
      <c r="C984" s="732"/>
      <c r="D984" s="733"/>
      <c r="E984" s="734"/>
      <c r="F984" s="437"/>
      <c r="G984" s="454"/>
      <c r="H984" s="735"/>
    </row>
    <row r="985">
      <c r="A985" s="730"/>
      <c r="B985" s="731"/>
      <c r="C985" s="732"/>
      <c r="D985" s="733"/>
      <c r="E985" s="734"/>
      <c r="F985" s="437"/>
      <c r="G985" s="454"/>
      <c r="H985" s="735"/>
    </row>
    <row r="986">
      <c r="A986" s="730"/>
      <c r="B986" s="731"/>
      <c r="C986" s="732"/>
      <c r="D986" s="733"/>
      <c r="E986" s="734"/>
      <c r="F986" s="437"/>
      <c r="G986" s="454"/>
      <c r="H986" s="735"/>
    </row>
    <row r="987">
      <c r="A987" s="730"/>
      <c r="B987" s="731"/>
      <c r="C987" s="732"/>
      <c r="D987" s="733"/>
      <c r="E987" s="734"/>
      <c r="F987" s="437"/>
      <c r="G987" s="454"/>
      <c r="H987" s="735"/>
    </row>
    <row r="988">
      <c r="A988" s="730"/>
      <c r="B988" s="731"/>
      <c r="C988" s="732"/>
      <c r="D988" s="733"/>
      <c r="E988" s="734"/>
      <c r="F988" s="437"/>
      <c r="G988" s="454"/>
      <c r="H988" s="735"/>
    </row>
    <row r="989">
      <c r="A989" s="730"/>
      <c r="B989" s="731"/>
      <c r="C989" s="732"/>
      <c r="D989" s="733"/>
      <c r="E989" s="734"/>
      <c r="F989" s="437"/>
      <c r="G989" s="454"/>
      <c r="H989" s="735"/>
    </row>
    <row r="990">
      <c r="A990" s="730"/>
      <c r="B990" s="731"/>
      <c r="C990" s="732"/>
      <c r="D990" s="733"/>
      <c r="E990" s="734"/>
      <c r="F990" s="437"/>
      <c r="G990" s="454"/>
      <c r="H990" s="735"/>
    </row>
    <row r="991">
      <c r="A991" s="730"/>
      <c r="B991" s="731"/>
      <c r="C991" s="732"/>
      <c r="D991" s="733"/>
      <c r="E991" s="734"/>
      <c r="F991" s="437"/>
      <c r="G991" s="454"/>
      <c r="H991" s="735"/>
    </row>
    <row r="992">
      <c r="A992" s="730"/>
      <c r="B992" s="731"/>
      <c r="C992" s="732"/>
      <c r="D992" s="733"/>
      <c r="E992" s="734"/>
      <c r="F992" s="437"/>
      <c r="G992" s="454"/>
      <c r="H992" s="735"/>
    </row>
    <row r="993">
      <c r="A993" s="730"/>
      <c r="B993" s="731"/>
      <c r="C993" s="732"/>
      <c r="D993" s="733"/>
      <c r="E993" s="734"/>
      <c r="F993" s="437"/>
      <c r="G993" s="454"/>
      <c r="H993" s="735"/>
    </row>
    <row r="994">
      <c r="A994" s="730"/>
      <c r="B994" s="731"/>
      <c r="C994" s="732"/>
      <c r="D994" s="733"/>
      <c r="E994" s="734"/>
      <c r="F994" s="437"/>
      <c r="G994" s="454"/>
      <c r="H994" s="735"/>
    </row>
    <row r="995">
      <c r="A995" s="730"/>
      <c r="B995" s="731"/>
      <c r="C995" s="732"/>
      <c r="D995" s="733"/>
      <c r="E995" s="734"/>
      <c r="F995" s="437"/>
      <c r="G995" s="454"/>
      <c r="H995" s="735"/>
    </row>
    <row r="996">
      <c r="A996" s="730"/>
      <c r="B996" s="731"/>
      <c r="C996" s="732"/>
      <c r="D996" s="733"/>
      <c r="E996" s="734"/>
      <c r="F996" s="437"/>
      <c r="G996" s="454"/>
      <c r="H996" s="735"/>
    </row>
    <row r="997">
      <c r="A997" s="730"/>
      <c r="B997" s="731"/>
      <c r="C997" s="732"/>
      <c r="D997" s="733"/>
      <c r="E997" s="734"/>
      <c r="F997" s="437"/>
      <c r="G997" s="454"/>
      <c r="H997" s="735"/>
    </row>
    <row r="998">
      <c r="A998" s="730"/>
      <c r="B998" s="731"/>
      <c r="C998" s="732"/>
      <c r="D998" s="733"/>
      <c r="E998" s="734"/>
      <c r="F998" s="437"/>
      <c r="G998" s="454"/>
      <c r="H998" s="735"/>
    </row>
    <row r="999">
      <c r="A999" s="730"/>
      <c r="B999" s="731"/>
      <c r="C999" s="732"/>
      <c r="D999" s="733"/>
      <c r="E999" s="734"/>
      <c r="F999" s="437"/>
      <c r="G999" s="454"/>
      <c r="H999" s="735"/>
    </row>
    <row r="1000">
      <c r="A1000" s="730"/>
      <c r="B1000" s="731"/>
      <c r="C1000" s="732"/>
      <c r="D1000" s="733"/>
      <c r="E1000" s="734"/>
      <c r="F1000" s="437"/>
      <c r="G1000" s="454"/>
      <c r="H1000" s="735"/>
    </row>
    <row r="1001">
      <c r="A1001" s="730"/>
      <c r="B1001" s="731"/>
      <c r="C1001" s="732"/>
      <c r="D1001" s="733"/>
      <c r="E1001" s="734"/>
      <c r="F1001" s="437"/>
      <c r="G1001" s="454"/>
      <c r="H1001" s="735"/>
    </row>
    <row r="1002">
      <c r="A1002" s="730"/>
      <c r="B1002" s="731"/>
      <c r="C1002" s="732"/>
      <c r="D1002" s="733"/>
      <c r="E1002" s="734"/>
      <c r="F1002" s="437"/>
      <c r="G1002" s="454"/>
      <c r="H1002" s="735"/>
    </row>
    <row r="1003">
      <c r="A1003" s="730"/>
      <c r="B1003" s="731"/>
      <c r="C1003" s="732"/>
      <c r="D1003" s="733"/>
      <c r="E1003" s="734"/>
      <c r="F1003" s="437"/>
      <c r="G1003" s="454"/>
      <c r="H1003" s="735"/>
    </row>
    <row r="1004">
      <c r="A1004" s="730"/>
      <c r="B1004" s="731"/>
      <c r="C1004" s="732"/>
      <c r="D1004" s="733"/>
      <c r="E1004" s="734"/>
      <c r="F1004" s="437"/>
      <c r="G1004" s="454"/>
      <c r="H1004" s="735"/>
    </row>
    <row r="1005">
      <c r="A1005" s="730"/>
      <c r="B1005" s="731"/>
      <c r="C1005" s="732"/>
      <c r="D1005" s="733"/>
      <c r="E1005" s="734"/>
      <c r="F1005" s="437"/>
      <c r="G1005" s="454"/>
      <c r="H1005" s="735"/>
    </row>
    <row r="1006">
      <c r="A1006" s="730"/>
      <c r="B1006" s="731"/>
      <c r="C1006" s="732"/>
      <c r="D1006" s="733"/>
      <c r="E1006" s="734"/>
      <c r="F1006" s="437"/>
      <c r="G1006" s="454"/>
      <c r="H1006" s="735"/>
    </row>
    <row r="1007">
      <c r="A1007" s="730"/>
      <c r="B1007" s="731"/>
      <c r="C1007" s="732"/>
      <c r="D1007" s="733"/>
      <c r="E1007" s="734"/>
      <c r="F1007" s="437"/>
      <c r="G1007" s="454"/>
      <c r="H1007" s="735"/>
    </row>
    <row r="1008">
      <c r="A1008" s="730"/>
      <c r="B1008" s="731"/>
      <c r="C1008" s="732"/>
      <c r="D1008" s="733"/>
      <c r="E1008" s="734"/>
      <c r="F1008" s="437"/>
      <c r="G1008" s="454"/>
      <c r="H1008" s="735"/>
    </row>
    <row r="1009">
      <c r="A1009" s="730"/>
      <c r="B1009" s="731"/>
      <c r="C1009" s="732"/>
      <c r="D1009" s="733"/>
      <c r="E1009" s="734"/>
      <c r="F1009" s="437"/>
      <c r="G1009" s="454"/>
      <c r="H1009" s="735"/>
    </row>
    <row r="1010">
      <c r="A1010" s="730"/>
      <c r="B1010" s="731"/>
      <c r="C1010" s="732"/>
      <c r="D1010" s="733"/>
      <c r="E1010" s="734"/>
      <c r="F1010" s="437"/>
      <c r="G1010" s="454"/>
      <c r="H1010" s="735"/>
    </row>
    <row r="1011">
      <c r="A1011" s="730"/>
      <c r="B1011" s="731"/>
      <c r="C1011" s="732"/>
      <c r="D1011" s="733"/>
      <c r="E1011" s="734"/>
      <c r="F1011" s="437"/>
      <c r="G1011" s="454"/>
      <c r="H1011" s="735"/>
    </row>
    <row r="1012">
      <c r="A1012" s="730"/>
      <c r="B1012" s="731"/>
      <c r="C1012" s="732"/>
      <c r="D1012" s="733"/>
      <c r="E1012" s="734"/>
      <c r="F1012" s="437"/>
      <c r="G1012" s="454"/>
      <c r="H1012" s="735"/>
    </row>
    <row r="1013">
      <c r="A1013" s="730"/>
      <c r="B1013" s="731"/>
      <c r="C1013" s="732"/>
      <c r="D1013" s="733"/>
      <c r="E1013" s="734"/>
      <c r="F1013" s="437"/>
      <c r="G1013" s="454"/>
      <c r="H1013" s="735"/>
    </row>
    <row r="1014">
      <c r="A1014" s="730"/>
      <c r="B1014" s="731"/>
      <c r="C1014" s="732"/>
      <c r="D1014" s="733"/>
      <c r="E1014" s="734"/>
      <c r="F1014" s="437"/>
      <c r="G1014" s="454"/>
      <c r="H1014" s="735"/>
    </row>
    <row r="1015">
      <c r="A1015" s="730"/>
      <c r="B1015" s="731"/>
      <c r="C1015" s="732"/>
      <c r="D1015" s="733"/>
      <c r="E1015" s="734"/>
      <c r="F1015" s="437"/>
      <c r="G1015" s="454"/>
      <c r="H1015" s="735"/>
    </row>
    <row r="1016">
      <c r="A1016" s="730"/>
      <c r="B1016" s="731"/>
      <c r="C1016" s="732"/>
      <c r="D1016" s="733"/>
      <c r="E1016" s="734"/>
      <c r="F1016" s="437"/>
      <c r="G1016" s="454"/>
      <c r="H1016" s="735"/>
    </row>
    <row r="1017">
      <c r="A1017" s="730"/>
      <c r="B1017" s="731"/>
      <c r="C1017" s="732"/>
      <c r="D1017" s="733"/>
      <c r="E1017" s="734"/>
      <c r="F1017" s="437"/>
      <c r="G1017" s="454"/>
      <c r="H1017" s="735"/>
    </row>
    <row r="1018">
      <c r="A1018" s="730"/>
      <c r="B1018" s="731"/>
      <c r="C1018" s="732"/>
      <c r="D1018" s="733"/>
      <c r="E1018" s="734"/>
      <c r="F1018" s="437"/>
      <c r="G1018" s="454"/>
      <c r="H1018" s="735"/>
    </row>
    <row r="1019">
      <c r="A1019" s="730"/>
      <c r="B1019" s="731"/>
      <c r="C1019" s="732"/>
      <c r="D1019" s="733"/>
      <c r="E1019" s="734"/>
      <c r="F1019" s="437"/>
      <c r="G1019" s="454"/>
      <c r="H1019" s="735"/>
    </row>
    <row r="1020">
      <c r="A1020" s="730"/>
      <c r="B1020" s="731"/>
      <c r="C1020" s="732"/>
      <c r="D1020" s="733"/>
      <c r="E1020" s="734"/>
      <c r="F1020" s="437"/>
      <c r="G1020" s="454"/>
      <c r="H1020" s="735"/>
    </row>
    <row r="1021">
      <c r="A1021" s="730"/>
      <c r="B1021" s="731"/>
      <c r="C1021" s="732"/>
      <c r="D1021" s="733"/>
      <c r="E1021" s="734"/>
      <c r="F1021" s="437"/>
      <c r="G1021" s="454"/>
      <c r="H1021" s="735"/>
    </row>
    <row r="1022">
      <c r="A1022" s="730"/>
      <c r="B1022" s="731"/>
      <c r="C1022" s="732"/>
      <c r="D1022" s="733"/>
      <c r="E1022" s="734"/>
      <c r="F1022" s="437"/>
      <c r="G1022" s="454"/>
      <c r="H1022" s="735"/>
    </row>
    <row r="1023">
      <c r="A1023" s="730"/>
      <c r="B1023" s="731"/>
      <c r="C1023" s="732"/>
      <c r="D1023" s="733"/>
      <c r="E1023" s="734"/>
      <c r="F1023" s="437"/>
      <c r="G1023" s="454"/>
      <c r="H1023" s="735"/>
    </row>
    <row r="1024">
      <c r="A1024" s="730"/>
      <c r="B1024" s="731"/>
      <c r="C1024" s="732"/>
      <c r="D1024" s="733"/>
      <c r="E1024" s="734"/>
      <c r="F1024" s="437"/>
      <c r="G1024" s="454"/>
      <c r="H1024" s="735"/>
    </row>
    <row r="1025">
      <c r="A1025" s="730"/>
      <c r="B1025" s="731"/>
      <c r="C1025" s="732"/>
      <c r="D1025" s="733"/>
      <c r="E1025" s="734"/>
      <c r="F1025" s="437"/>
      <c r="G1025" s="454"/>
      <c r="H1025" s="735"/>
    </row>
    <row r="1026">
      <c r="A1026" s="730"/>
      <c r="B1026" s="731"/>
      <c r="C1026" s="732"/>
      <c r="D1026" s="733"/>
      <c r="E1026" s="734"/>
      <c r="F1026" s="437"/>
      <c r="G1026" s="454"/>
      <c r="H1026" s="735"/>
    </row>
    <row r="1027">
      <c r="A1027" s="730"/>
      <c r="B1027" s="731"/>
      <c r="C1027" s="732"/>
      <c r="D1027" s="733"/>
      <c r="E1027" s="734"/>
      <c r="F1027" s="437"/>
      <c r="G1027" s="454"/>
      <c r="H1027" s="735"/>
    </row>
    <row r="1028">
      <c r="A1028" s="730"/>
      <c r="B1028" s="731"/>
      <c r="C1028" s="732"/>
      <c r="D1028" s="733"/>
      <c r="E1028" s="734"/>
      <c r="F1028" s="437"/>
      <c r="G1028" s="454"/>
      <c r="H1028" s="735"/>
    </row>
    <row r="1029">
      <c r="A1029" s="730"/>
      <c r="B1029" s="731"/>
      <c r="C1029" s="732"/>
      <c r="D1029" s="733"/>
      <c r="E1029" s="734"/>
      <c r="F1029" s="437"/>
      <c r="G1029" s="454"/>
      <c r="H1029" s="735"/>
    </row>
    <row r="1030">
      <c r="A1030" s="730"/>
      <c r="B1030" s="731"/>
      <c r="C1030" s="732"/>
      <c r="D1030" s="733"/>
      <c r="E1030" s="734"/>
      <c r="F1030" s="437"/>
      <c r="G1030" s="454"/>
      <c r="H1030" s="735"/>
    </row>
    <row r="1031">
      <c r="A1031" s="730"/>
      <c r="B1031" s="731"/>
      <c r="C1031" s="732"/>
      <c r="D1031" s="733"/>
      <c r="E1031" s="734"/>
      <c r="F1031" s="437"/>
      <c r="G1031" s="454"/>
      <c r="H1031" s="735"/>
    </row>
    <row r="1032">
      <c r="A1032" s="730"/>
      <c r="B1032" s="731"/>
      <c r="C1032" s="732"/>
      <c r="D1032" s="733"/>
      <c r="E1032" s="734"/>
      <c r="F1032" s="437"/>
      <c r="G1032" s="454"/>
      <c r="H1032" s="735"/>
    </row>
    <row r="1033">
      <c r="A1033" s="730"/>
      <c r="B1033" s="731"/>
      <c r="C1033" s="732"/>
      <c r="D1033" s="733"/>
      <c r="E1033" s="734"/>
      <c r="F1033" s="437"/>
      <c r="G1033" s="454"/>
      <c r="H1033" s="735"/>
    </row>
    <row r="1034">
      <c r="A1034" s="730"/>
      <c r="B1034" s="731"/>
      <c r="C1034" s="732"/>
      <c r="D1034" s="733"/>
      <c r="E1034" s="734"/>
      <c r="F1034" s="437"/>
      <c r="G1034" s="454"/>
      <c r="H1034" s="735"/>
    </row>
    <row r="1035">
      <c r="A1035" s="730"/>
      <c r="B1035" s="731"/>
      <c r="C1035" s="732"/>
      <c r="D1035" s="733"/>
      <c r="E1035" s="734"/>
      <c r="F1035" s="437"/>
      <c r="G1035" s="454"/>
      <c r="H1035" s="735"/>
    </row>
    <row r="1036">
      <c r="A1036" s="730"/>
      <c r="B1036" s="731"/>
      <c r="C1036" s="732"/>
      <c r="D1036" s="733"/>
      <c r="E1036" s="734"/>
      <c r="F1036" s="437"/>
      <c r="G1036" s="454"/>
      <c r="H1036" s="735"/>
    </row>
    <row r="1037">
      <c r="A1037" s="730"/>
      <c r="B1037" s="731"/>
      <c r="C1037" s="732"/>
      <c r="D1037" s="733"/>
      <c r="E1037" s="734"/>
      <c r="F1037" s="437"/>
      <c r="G1037" s="454"/>
      <c r="H1037" s="735"/>
    </row>
    <row r="1038">
      <c r="A1038" s="730"/>
      <c r="B1038" s="731"/>
      <c r="C1038" s="732"/>
      <c r="D1038" s="733"/>
      <c r="E1038" s="734"/>
      <c r="F1038" s="437"/>
      <c r="G1038" s="454"/>
      <c r="H1038" s="735"/>
    </row>
    <row r="1039">
      <c r="A1039" s="730"/>
      <c r="B1039" s="731"/>
      <c r="C1039" s="732"/>
      <c r="D1039" s="733"/>
      <c r="E1039" s="734"/>
      <c r="F1039" s="437"/>
      <c r="G1039" s="454"/>
      <c r="H1039" s="735"/>
    </row>
    <row r="1040">
      <c r="A1040" s="730"/>
      <c r="B1040" s="731"/>
      <c r="C1040" s="732"/>
      <c r="D1040" s="733"/>
      <c r="E1040" s="734"/>
      <c r="F1040" s="437"/>
      <c r="G1040" s="454"/>
      <c r="H1040" s="735"/>
    </row>
    <row r="1041">
      <c r="A1041" s="730"/>
      <c r="B1041" s="731"/>
      <c r="C1041" s="732"/>
      <c r="D1041" s="733"/>
      <c r="E1041" s="734"/>
      <c r="F1041" s="437"/>
      <c r="G1041" s="454"/>
      <c r="H1041" s="735"/>
    </row>
    <row r="1042">
      <c r="A1042" s="730"/>
      <c r="B1042" s="731"/>
      <c r="C1042" s="732"/>
      <c r="D1042" s="733"/>
      <c r="E1042" s="734"/>
      <c r="F1042" s="437"/>
      <c r="G1042" s="454"/>
      <c r="H1042" s="735"/>
    </row>
    <row r="1043">
      <c r="A1043" s="730"/>
      <c r="B1043" s="731"/>
      <c r="C1043" s="732"/>
      <c r="D1043" s="733"/>
      <c r="E1043" s="734"/>
      <c r="F1043" s="437"/>
      <c r="G1043" s="454"/>
      <c r="H1043" s="735"/>
    </row>
    <row r="1044">
      <c r="A1044" s="730"/>
      <c r="B1044" s="731"/>
      <c r="C1044" s="732"/>
      <c r="D1044" s="733"/>
      <c r="E1044" s="734"/>
      <c r="F1044" s="437"/>
      <c r="G1044" s="454"/>
      <c r="H1044" s="735"/>
    </row>
    <row r="1045">
      <c r="A1045" s="730"/>
      <c r="B1045" s="731"/>
      <c r="C1045" s="732"/>
      <c r="D1045" s="733"/>
      <c r="E1045" s="734"/>
      <c r="F1045" s="437"/>
      <c r="G1045" s="454"/>
      <c r="H1045" s="735"/>
    </row>
    <row r="1046">
      <c r="A1046" s="730"/>
      <c r="B1046" s="731"/>
      <c r="C1046" s="732"/>
      <c r="D1046" s="733"/>
      <c r="E1046" s="734"/>
      <c r="F1046" s="437"/>
      <c r="G1046" s="454"/>
      <c r="H1046" s="735"/>
    </row>
    <row r="1047">
      <c r="A1047" s="730"/>
      <c r="B1047" s="731"/>
      <c r="C1047" s="732"/>
      <c r="D1047" s="733"/>
      <c r="E1047" s="734"/>
      <c r="F1047" s="437"/>
      <c r="G1047" s="454"/>
      <c r="H1047" s="735"/>
    </row>
    <row r="1048">
      <c r="A1048" s="730"/>
      <c r="B1048" s="731"/>
      <c r="C1048" s="732"/>
      <c r="D1048" s="733"/>
      <c r="E1048" s="734"/>
      <c r="F1048" s="437"/>
      <c r="G1048" s="454"/>
      <c r="H1048" s="735"/>
    </row>
    <row r="1049">
      <c r="A1049" s="730"/>
      <c r="B1049" s="731"/>
      <c r="C1049" s="732"/>
      <c r="D1049" s="733"/>
      <c r="E1049" s="734"/>
      <c r="F1049" s="437"/>
      <c r="G1049" s="454"/>
      <c r="H1049" s="735"/>
    </row>
    <row r="1050">
      <c r="A1050" s="730"/>
      <c r="B1050" s="731"/>
      <c r="C1050" s="732"/>
      <c r="D1050" s="733"/>
      <c r="E1050" s="734"/>
      <c r="F1050" s="437"/>
      <c r="G1050" s="454"/>
      <c r="H1050" s="735"/>
    </row>
    <row r="1051">
      <c r="A1051" s="730"/>
      <c r="B1051" s="731"/>
      <c r="C1051" s="732"/>
      <c r="D1051" s="733"/>
      <c r="E1051" s="734"/>
      <c r="F1051" s="437"/>
      <c r="G1051" s="454"/>
      <c r="H1051" s="735"/>
    </row>
    <row r="1052">
      <c r="A1052" s="730"/>
      <c r="B1052" s="731"/>
      <c r="C1052" s="732"/>
      <c r="D1052" s="733"/>
      <c r="E1052" s="734"/>
      <c r="F1052" s="437"/>
      <c r="G1052" s="454"/>
      <c r="H1052" s="735"/>
    </row>
    <row r="1053">
      <c r="A1053" s="730"/>
      <c r="B1053" s="731"/>
      <c r="C1053" s="732"/>
      <c r="D1053" s="733"/>
      <c r="E1053" s="734"/>
      <c r="F1053" s="437"/>
      <c r="G1053" s="454"/>
      <c r="H1053" s="735"/>
    </row>
    <row r="1054">
      <c r="A1054" s="730"/>
      <c r="B1054" s="731"/>
      <c r="C1054" s="732"/>
      <c r="D1054" s="733"/>
      <c r="E1054" s="734"/>
      <c r="F1054" s="437"/>
      <c r="G1054" s="454"/>
      <c r="H1054" s="735"/>
    </row>
    <row r="1055">
      <c r="A1055" s="730"/>
      <c r="B1055" s="731"/>
      <c r="C1055" s="732"/>
      <c r="D1055" s="733"/>
      <c r="E1055" s="734"/>
      <c r="F1055" s="437"/>
      <c r="G1055" s="454"/>
      <c r="H1055" s="735"/>
    </row>
    <row r="1056">
      <c r="A1056" s="730"/>
      <c r="B1056" s="731"/>
      <c r="C1056" s="732"/>
      <c r="D1056" s="733"/>
      <c r="E1056" s="734"/>
      <c r="F1056" s="437"/>
      <c r="G1056" s="454"/>
      <c r="H1056" s="735"/>
    </row>
    <row r="1057">
      <c r="A1057" s="730"/>
      <c r="B1057" s="731"/>
      <c r="C1057" s="732"/>
      <c r="D1057" s="733"/>
      <c r="E1057" s="734"/>
      <c r="F1057" s="437"/>
      <c r="G1057" s="454"/>
      <c r="H1057" s="735"/>
    </row>
    <row r="1058">
      <c r="A1058" s="730"/>
      <c r="B1058" s="731"/>
      <c r="C1058" s="732"/>
      <c r="D1058" s="733"/>
      <c r="E1058" s="734"/>
      <c r="F1058" s="437"/>
      <c r="G1058" s="454"/>
      <c r="H1058" s="735"/>
    </row>
    <row r="1059">
      <c r="A1059" s="730"/>
      <c r="B1059" s="731"/>
      <c r="C1059" s="732"/>
      <c r="D1059" s="733"/>
      <c r="E1059" s="734"/>
      <c r="F1059" s="437"/>
      <c r="G1059" s="454"/>
      <c r="H1059" s="735"/>
    </row>
    <row r="1060">
      <c r="A1060" s="730"/>
      <c r="B1060" s="731"/>
      <c r="C1060" s="732"/>
      <c r="D1060" s="733"/>
      <c r="E1060" s="734"/>
      <c r="F1060" s="437"/>
      <c r="G1060" s="454"/>
      <c r="H1060" s="735"/>
    </row>
    <row r="1061">
      <c r="A1061" s="730"/>
      <c r="B1061" s="731"/>
      <c r="C1061" s="732"/>
      <c r="D1061" s="733"/>
      <c r="E1061" s="734"/>
      <c r="F1061" s="437"/>
      <c r="G1061" s="454"/>
      <c r="H1061" s="735"/>
    </row>
    <row r="1062">
      <c r="A1062" s="730"/>
      <c r="B1062" s="731"/>
      <c r="C1062" s="732"/>
      <c r="D1062" s="733"/>
      <c r="E1062" s="734"/>
      <c r="F1062" s="437"/>
      <c r="G1062" s="454"/>
      <c r="H1062" s="735"/>
    </row>
    <row r="1063">
      <c r="A1063" s="730"/>
      <c r="B1063" s="731"/>
      <c r="C1063" s="732"/>
      <c r="D1063" s="733"/>
      <c r="E1063" s="734"/>
      <c r="F1063" s="437"/>
      <c r="G1063" s="454"/>
      <c r="H1063" s="735"/>
    </row>
    <row r="1064">
      <c r="A1064" s="730"/>
      <c r="B1064" s="731"/>
      <c r="C1064" s="732"/>
      <c r="D1064" s="733"/>
      <c r="E1064" s="734"/>
      <c r="F1064" s="437"/>
      <c r="G1064" s="454"/>
      <c r="H1064" s="735"/>
    </row>
    <row r="1065">
      <c r="A1065" s="730"/>
      <c r="B1065" s="731"/>
      <c r="C1065" s="732"/>
      <c r="D1065" s="733"/>
      <c r="E1065" s="734"/>
      <c r="F1065" s="437"/>
      <c r="G1065" s="454"/>
      <c r="H1065" s="735"/>
    </row>
    <row r="1066">
      <c r="A1066" s="730"/>
      <c r="B1066" s="731"/>
      <c r="C1066" s="732"/>
      <c r="D1066" s="733"/>
      <c r="E1066" s="734"/>
      <c r="F1066" s="437"/>
      <c r="G1066" s="454"/>
      <c r="H1066" s="735"/>
    </row>
    <row r="1067">
      <c r="A1067" s="730"/>
      <c r="B1067" s="731"/>
      <c r="C1067" s="732"/>
      <c r="D1067" s="733"/>
      <c r="E1067" s="734"/>
      <c r="F1067" s="437"/>
      <c r="G1067" s="454"/>
      <c r="H1067" s="735"/>
    </row>
    <row r="1068">
      <c r="A1068" s="730"/>
      <c r="B1068" s="731"/>
      <c r="C1068" s="732"/>
      <c r="D1068" s="733"/>
      <c r="E1068" s="734"/>
      <c r="F1068" s="437"/>
      <c r="G1068" s="454"/>
      <c r="H1068" s="735"/>
    </row>
    <row r="1069">
      <c r="A1069" s="730"/>
      <c r="B1069" s="731"/>
      <c r="C1069" s="732"/>
      <c r="D1069" s="733"/>
      <c r="E1069" s="734"/>
      <c r="F1069" s="437"/>
      <c r="G1069" s="454"/>
      <c r="H1069" s="735"/>
    </row>
    <row r="1070">
      <c r="A1070" s="730"/>
      <c r="B1070" s="731"/>
      <c r="C1070" s="732"/>
      <c r="D1070" s="733"/>
      <c r="E1070" s="734"/>
      <c r="F1070" s="437"/>
      <c r="G1070" s="454"/>
      <c r="H1070" s="735"/>
    </row>
    <row r="1071">
      <c r="A1071" s="730"/>
      <c r="B1071" s="731"/>
      <c r="C1071" s="732"/>
      <c r="D1071" s="733"/>
      <c r="E1071" s="734"/>
      <c r="F1071" s="437"/>
      <c r="G1071" s="454"/>
      <c r="H1071" s="735"/>
    </row>
    <row r="1072">
      <c r="A1072" s="730"/>
      <c r="B1072" s="731"/>
      <c r="C1072" s="732"/>
      <c r="D1072" s="733"/>
      <c r="E1072" s="734"/>
      <c r="F1072" s="437"/>
      <c r="G1072" s="454"/>
      <c r="H1072" s="735"/>
    </row>
    <row r="1073">
      <c r="A1073" s="730"/>
      <c r="B1073" s="731"/>
      <c r="C1073" s="732"/>
      <c r="D1073" s="733"/>
      <c r="E1073" s="734"/>
      <c r="F1073" s="437"/>
      <c r="G1073" s="454"/>
      <c r="H1073" s="735"/>
    </row>
    <row r="1074">
      <c r="A1074" s="730"/>
      <c r="B1074" s="731"/>
      <c r="C1074" s="732"/>
      <c r="D1074" s="733"/>
      <c r="E1074" s="734"/>
      <c r="F1074" s="437"/>
      <c r="G1074" s="454"/>
      <c r="H1074" s="735"/>
    </row>
    <row r="1075">
      <c r="A1075" s="730"/>
      <c r="B1075" s="731"/>
      <c r="C1075" s="732"/>
      <c r="D1075" s="733"/>
      <c r="E1075" s="734"/>
      <c r="F1075" s="437"/>
      <c r="G1075" s="454"/>
      <c r="H1075" s="735"/>
    </row>
    <row r="1076">
      <c r="A1076" s="730"/>
      <c r="B1076" s="731"/>
      <c r="C1076" s="732"/>
      <c r="D1076" s="733"/>
      <c r="E1076" s="734"/>
      <c r="F1076" s="437"/>
      <c r="G1076" s="454"/>
      <c r="H1076" s="735"/>
    </row>
    <row r="1077">
      <c r="A1077" s="730"/>
      <c r="B1077" s="731"/>
      <c r="C1077" s="732"/>
      <c r="D1077" s="733"/>
      <c r="E1077" s="734"/>
      <c r="F1077" s="437"/>
      <c r="G1077" s="454"/>
      <c r="H1077" s="735"/>
    </row>
    <row r="1078">
      <c r="A1078" s="730"/>
      <c r="B1078" s="731"/>
      <c r="C1078" s="732"/>
      <c r="D1078" s="733"/>
      <c r="E1078" s="734"/>
      <c r="F1078" s="437"/>
      <c r="G1078" s="454"/>
      <c r="H1078" s="735"/>
    </row>
    <row r="1079">
      <c r="A1079" s="730"/>
      <c r="B1079" s="731"/>
      <c r="C1079" s="732"/>
      <c r="D1079" s="733"/>
      <c r="E1079" s="734"/>
      <c r="F1079" s="437"/>
      <c r="G1079" s="454"/>
      <c r="H1079" s="735"/>
    </row>
    <row r="1080">
      <c r="A1080" s="730"/>
      <c r="B1080" s="731"/>
      <c r="C1080" s="732"/>
      <c r="D1080" s="733"/>
      <c r="E1080" s="734"/>
      <c r="F1080" s="437"/>
      <c r="G1080" s="454"/>
      <c r="H1080" s="735"/>
    </row>
    <row r="1081">
      <c r="A1081" s="730"/>
      <c r="B1081" s="731"/>
      <c r="C1081" s="732"/>
      <c r="D1081" s="733"/>
      <c r="E1081" s="734"/>
      <c r="F1081" s="437"/>
      <c r="G1081" s="454"/>
      <c r="H1081" s="735"/>
    </row>
    <row r="1082">
      <c r="A1082" s="730"/>
      <c r="B1082" s="731"/>
      <c r="C1082" s="732"/>
      <c r="D1082" s="733"/>
      <c r="E1082" s="734"/>
      <c r="F1082" s="437"/>
      <c r="G1082" s="454"/>
      <c r="H1082" s="735"/>
    </row>
    <row r="1083">
      <c r="A1083" s="730"/>
      <c r="B1083" s="731"/>
      <c r="C1083" s="732"/>
      <c r="D1083" s="733"/>
      <c r="E1083" s="734"/>
      <c r="F1083" s="437"/>
      <c r="G1083" s="454"/>
      <c r="H1083" s="735"/>
    </row>
    <row r="1084">
      <c r="A1084" s="730"/>
      <c r="B1084" s="731"/>
      <c r="C1084" s="732"/>
      <c r="D1084" s="733"/>
      <c r="E1084" s="734"/>
      <c r="F1084" s="437"/>
      <c r="G1084" s="454"/>
      <c r="H1084" s="735"/>
    </row>
    <row r="1085">
      <c r="A1085" s="730"/>
      <c r="B1085" s="731"/>
      <c r="C1085" s="732"/>
      <c r="D1085" s="733"/>
      <c r="E1085" s="734"/>
      <c r="F1085" s="437"/>
      <c r="G1085" s="454"/>
      <c r="H1085" s="735"/>
    </row>
    <row r="1086">
      <c r="A1086" s="730"/>
      <c r="B1086" s="731"/>
      <c r="C1086" s="732"/>
      <c r="D1086" s="733"/>
      <c r="E1086" s="734"/>
      <c r="F1086" s="437"/>
      <c r="G1086" s="454"/>
      <c r="H1086" s="735"/>
    </row>
    <row r="1087">
      <c r="A1087" s="730"/>
      <c r="B1087" s="731"/>
      <c r="C1087" s="732"/>
      <c r="D1087" s="733"/>
      <c r="E1087" s="734"/>
      <c r="F1087" s="437"/>
      <c r="G1087" s="454"/>
      <c r="H1087" s="735"/>
    </row>
    <row r="1088">
      <c r="A1088" s="730"/>
      <c r="B1088" s="731"/>
      <c r="C1088" s="732"/>
      <c r="D1088" s="733"/>
      <c r="E1088" s="734"/>
      <c r="F1088" s="437"/>
      <c r="G1088" s="454"/>
      <c r="H1088" s="735"/>
    </row>
    <row r="1089">
      <c r="A1089" s="730"/>
      <c r="B1089" s="731"/>
      <c r="C1089" s="732"/>
      <c r="D1089" s="733"/>
      <c r="E1089" s="734"/>
      <c r="F1089" s="437"/>
      <c r="G1089" s="454"/>
      <c r="H1089" s="735"/>
    </row>
    <row r="1090">
      <c r="A1090" s="730"/>
      <c r="B1090" s="731"/>
      <c r="C1090" s="732"/>
      <c r="D1090" s="733"/>
      <c r="E1090" s="734"/>
      <c r="F1090" s="437"/>
      <c r="G1090" s="454"/>
      <c r="H1090" s="735"/>
    </row>
    <row r="1091">
      <c r="A1091" s="730"/>
      <c r="B1091" s="731"/>
      <c r="C1091" s="732"/>
      <c r="D1091" s="733"/>
      <c r="E1091" s="734"/>
      <c r="F1091" s="437"/>
      <c r="G1091" s="454"/>
      <c r="H1091" s="735"/>
    </row>
    <row r="1092">
      <c r="A1092" s="730"/>
      <c r="B1092" s="731"/>
      <c r="C1092" s="732"/>
      <c r="D1092" s="733"/>
      <c r="E1092" s="734"/>
      <c r="F1092" s="437"/>
      <c r="G1092" s="454"/>
      <c r="H1092" s="735"/>
    </row>
    <row r="1093">
      <c r="A1093" s="730"/>
      <c r="B1093" s="731"/>
      <c r="C1093" s="732"/>
      <c r="D1093" s="733"/>
      <c r="E1093" s="734"/>
      <c r="F1093" s="437"/>
      <c r="G1093" s="454"/>
      <c r="H1093" s="735"/>
    </row>
    <row r="1094">
      <c r="A1094" s="730"/>
      <c r="B1094" s="731"/>
      <c r="C1094" s="732"/>
      <c r="D1094" s="733"/>
      <c r="E1094" s="734"/>
      <c r="F1094" s="437"/>
      <c r="G1094" s="454"/>
      <c r="H1094" s="735"/>
    </row>
    <row r="1095">
      <c r="A1095" s="730"/>
      <c r="B1095" s="731"/>
      <c r="C1095" s="732"/>
      <c r="D1095" s="733"/>
      <c r="E1095" s="734"/>
      <c r="F1095" s="437"/>
      <c r="G1095" s="454"/>
      <c r="H1095" s="735"/>
    </row>
    <row r="1096">
      <c r="A1096" s="730"/>
      <c r="B1096" s="731"/>
      <c r="C1096" s="732"/>
      <c r="D1096" s="733"/>
      <c r="E1096" s="734"/>
      <c r="F1096" s="437"/>
      <c r="G1096" s="454"/>
      <c r="H1096" s="735"/>
    </row>
    <row r="1097">
      <c r="A1097" s="730"/>
      <c r="B1097" s="731"/>
      <c r="C1097" s="732"/>
      <c r="D1097" s="733"/>
      <c r="E1097" s="734"/>
      <c r="F1097" s="437"/>
      <c r="G1097" s="454"/>
      <c r="H1097" s="735"/>
    </row>
    <row r="1098">
      <c r="A1098" s="730"/>
      <c r="B1098" s="731"/>
      <c r="C1098" s="732"/>
      <c r="D1098" s="733"/>
      <c r="E1098" s="734"/>
      <c r="F1098" s="437"/>
      <c r="G1098" s="454"/>
      <c r="H1098" s="735"/>
    </row>
    <row r="1099">
      <c r="A1099" s="730"/>
      <c r="B1099" s="731"/>
      <c r="C1099" s="732"/>
      <c r="D1099" s="733"/>
      <c r="E1099" s="734"/>
      <c r="F1099" s="437"/>
      <c r="G1099" s="454"/>
      <c r="H1099" s="735"/>
    </row>
    <row r="1100">
      <c r="A1100" s="730"/>
      <c r="B1100" s="731"/>
      <c r="C1100" s="732"/>
      <c r="D1100" s="733"/>
      <c r="E1100" s="734"/>
      <c r="F1100" s="437"/>
      <c r="G1100" s="454"/>
      <c r="H1100" s="735"/>
    </row>
    <row r="1101">
      <c r="A1101" s="730"/>
      <c r="B1101" s="731"/>
      <c r="C1101" s="732"/>
      <c r="D1101" s="733"/>
      <c r="E1101" s="734"/>
      <c r="F1101" s="437"/>
      <c r="G1101" s="454"/>
      <c r="H1101" s="735"/>
    </row>
    <row r="1102">
      <c r="A1102" s="730"/>
      <c r="B1102" s="731"/>
      <c r="C1102" s="732"/>
      <c r="D1102" s="733"/>
      <c r="E1102" s="734"/>
      <c r="F1102" s="437"/>
      <c r="G1102" s="454"/>
      <c r="H1102" s="735"/>
    </row>
    <row r="1103">
      <c r="A1103" s="730"/>
      <c r="B1103" s="731"/>
      <c r="C1103" s="732"/>
      <c r="D1103" s="733"/>
      <c r="E1103" s="734"/>
      <c r="F1103" s="437"/>
      <c r="G1103" s="454"/>
      <c r="H1103" s="735"/>
    </row>
    <row r="1104">
      <c r="A1104" s="730"/>
      <c r="B1104" s="731"/>
      <c r="C1104" s="732"/>
      <c r="D1104" s="733"/>
      <c r="E1104" s="734"/>
      <c r="F1104" s="437"/>
      <c r="G1104" s="454"/>
      <c r="H1104" s="735"/>
    </row>
    <row r="1105">
      <c r="A1105" s="730"/>
      <c r="B1105" s="731"/>
      <c r="C1105" s="732"/>
      <c r="D1105" s="733"/>
      <c r="E1105" s="734"/>
      <c r="F1105" s="437"/>
      <c r="G1105" s="454"/>
      <c r="H1105" s="735"/>
    </row>
    <row r="1106">
      <c r="A1106" s="730"/>
      <c r="B1106" s="731"/>
      <c r="C1106" s="732"/>
      <c r="D1106" s="733"/>
      <c r="E1106" s="734"/>
      <c r="F1106" s="437"/>
      <c r="G1106" s="454"/>
      <c r="H1106" s="735"/>
    </row>
    <row r="1107">
      <c r="A1107" s="730"/>
      <c r="B1107" s="731"/>
      <c r="C1107" s="732"/>
      <c r="D1107" s="733"/>
      <c r="E1107" s="734"/>
      <c r="F1107" s="437"/>
      <c r="G1107" s="454"/>
      <c r="H1107" s="735"/>
    </row>
    <row r="1108">
      <c r="A1108" s="730"/>
      <c r="B1108" s="731"/>
      <c r="C1108" s="732"/>
      <c r="D1108" s="733"/>
      <c r="E1108" s="734"/>
      <c r="F1108" s="437"/>
      <c r="G1108" s="454"/>
      <c r="H1108" s="735"/>
    </row>
    <row r="1109">
      <c r="A1109" s="730"/>
      <c r="B1109" s="731"/>
      <c r="C1109" s="732"/>
      <c r="D1109" s="733"/>
      <c r="E1109" s="734"/>
      <c r="F1109" s="437"/>
      <c r="G1109" s="454"/>
      <c r="H1109" s="735"/>
    </row>
    <row r="1110">
      <c r="A1110" s="730"/>
      <c r="B1110" s="731"/>
      <c r="C1110" s="732"/>
      <c r="D1110" s="733"/>
      <c r="E1110" s="734"/>
      <c r="F1110" s="437"/>
      <c r="G1110" s="454"/>
      <c r="H1110" s="735"/>
    </row>
    <row r="1111">
      <c r="A1111" s="730"/>
      <c r="B1111" s="731"/>
      <c r="C1111" s="732"/>
      <c r="D1111" s="733"/>
      <c r="E1111" s="734"/>
      <c r="F1111" s="437"/>
      <c r="G1111" s="454"/>
      <c r="H1111" s="735"/>
    </row>
    <row r="1112">
      <c r="A1112" s="730"/>
      <c r="B1112" s="731"/>
      <c r="C1112" s="732"/>
      <c r="D1112" s="733"/>
      <c r="E1112" s="734"/>
      <c r="F1112" s="437"/>
      <c r="G1112" s="454"/>
      <c r="H1112" s="735"/>
    </row>
    <row r="1113">
      <c r="A1113" s="730"/>
      <c r="B1113" s="731"/>
      <c r="C1113" s="732"/>
      <c r="D1113" s="733"/>
      <c r="E1113" s="734"/>
      <c r="F1113" s="437"/>
      <c r="G1113" s="454"/>
      <c r="H1113" s="735"/>
    </row>
    <row r="1114">
      <c r="A1114" s="730"/>
      <c r="B1114" s="731"/>
      <c r="C1114" s="732"/>
      <c r="D1114" s="733"/>
      <c r="E1114" s="734"/>
      <c r="F1114" s="437"/>
      <c r="G1114" s="454"/>
      <c r="H1114" s="735"/>
    </row>
    <row r="1115">
      <c r="A1115" s="730"/>
      <c r="B1115" s="731"/>
      <c r="C1115" s="732"/>
      <c r="D1115" s="733"/>
      <c r="E1115" s="734"/>
      <c r="F1115" s="437"/>
      <c r="G1115" s="454"/>
      <c r="H1115" s="735"/>
    </row>
    <row r="1116">
      <c r="A1116" s="730"/>
      <c r="B1116" s="731"/>
      <c r="C1116" s="732"/>
      <c r="D1116" s="733"/>
      <c r="E1116" s="734"/>
      <c r="F1116" s="437"/>
      <c r="G1116" s="454"/>
      <c r="H1116" s="735"/>
    </row>
    <row r="1117">
      <c r="A1117" s="730"/>
      <c r="B1117" s="731"/>
      <c r="C1117" s="732"/>
      <c r="D1117" s="733"/>
      <c r="E1117" s="734"/>
      <c r="F1117" s="437"/>
      <c r="G1117" s="454"/>
      <c r="H1117" s="735"/>
    </row>
    <row r="1118">
      <c r="A1118" s="730"/>
      <c r="B1118" s="731"/>
      <c r="C1118" s="732"/>
      <c r="D1118" s="733"/>
      <c r="E1118" s="734"/>
      <c r="F1118" s="437"/>
      <c r="G1118" s="454"/>
      <c r="H1118" s="735"/>
    </row>
    <row r="1119">
      <c r="A1119" s="730"/>
      <c r="B1119" s="731"/>
      <c r="C1119" s="732"/>
      <c r="D1119" s="733"/>
      <c r="E1119" s="734"/>
      <c r="F1119" s="437"/>
      <c r="G1119" s="454"/>
      <c r="H1119" s="735"/>
    </row>
    <row r="1120">
      <c r="A1120" s="730"/>
      <c r="B1120" s="731"/>
      <c r="C1120" s="732"/>
      <c r="D1120" s="733"/>
      <c r="E1120" s="734"/>
      <c r="F1120" s="437"/>
      <c r="G1120" s="454"/>
      <c r="H1120" s="735"/>
    </row>
    <row r="1121">
      <c r="A1121" s="730"/>
      <c r="B1121" s="731"/>
      <c r="C1121" s="732"/>
      <c r="D1121" s="733"/>
      <c r="E1121" s="734"/>
      <c r="F1121" s="437"/>
      <c r="G1121" s="454"/>
      <c r="H1121" s="735"/>
    </row>
    <row r="1122">
      <c r="A1122" s="730"/>
      <c r="B1122" s="731"/>
      <c r="C1122" s="732"/>
      <c r="D1122" s="733"/>
      <c r="E1122" s="734"/>
      <c r="F1122" s="437"/>
      <c r="G1122" s="454"/>
      <c r="H1122" s="735"/>
    </row>
    <row r="1123">
      <c r="A1123" s="730"/>
      <c r="B1123" s="731"/>
      <c r="C1123" s="732"/>
      <c r="D1123" s="733"/>
      <c r="E1123" s="734"/>
      <c r="F1123" s="437"/>
      <c r="G1123" s="454"/>
      <c r="H1123" s="735"/>
    </row>
    <row r="1124">
      <c r="A1124" s="730"/>
      <c r="B1124" s="731"/>
      <c r="C1124" s="732"/>
      <c r="D1124" s="733"/>
      <c r="E1124" s="734"/>
      <c r="F1124" s="437"/>
      <c r="G1124" s="454"/>
      <c r="H1124" s="735"/>
    </row>
    <row r="1125">
      <c r="A1125" s="730"/>
      <c r="B1125" s="731"/>
      <c r="C1125" s="732"/>
      <c r="D1125" s="733"/>
      <c r="E1125" s="734"/>
      <c r="F1125" s="437"/>
      <c r="G1125" s="454"/>
      <c r="H1125" s="735"/>
    </row>
    <row r="1126">
      <c r="A1126" s="730"/>
      <c r="B1126" s="731"/>
      <c r="C1126" s="732"/>
      <c r="D1126" s="733"/>
      <c r="E1126" s="734"/>
      <c r="F1126" s="437"/>
      <c r="G1126" s="454"/>
      <c r="H1126" s="735"/>
    </row>
    <row r="1127">
      <c r="A1127" s="730"/>
      <c r="B1127" s="731"/>
      <c r="C1127" s="732"/>
      <c r="D1127" s="733"/>
      <c r="E1127" s="734"/>
      <c r="F1127" s="437"/>
      <c r="G1127" s="454"/>
      <c r="H1127" s="735"/>
    </row>
    <row r="1128">
      <c r="A1128" s="730"/>
      <c r="B1128" s="731"/>
      <c r="C1128" s="732"/>
      <c r="D1128" s="733"/>
      <c r="E1128" s="734"/>
      <c r="F1128" s="437"/>
      <c r="G1128" s="454"/>
      <c r="H1128" s="735"/>
    </row>
    <row r="1129">
      <c r="A1129" s="730"/>
      <c r="B1129" s="731"/>
      <c r="C1129" s="732"/>
      <c r="D1129" s="733"/>
      <c r="E1129" s="734"/>
      <c r="F1129" s="437"/>
      <c r="G1129" s="454"/>
      <c r="H1129" s="735"/>
    </row>
    <row r="1130">
      <c r="A1130" s="730"/>
      <c r="B1130" s="731"/>
      <c r="C1130" s="732"/>
      <c r="D1130" s="733"/>
      <c r="E1130" s="734"/>
      <c r="F1130" s="437"/>
      <c r="G1130" s="454"/>
      <c r="H1130" s="735"/>
    </row>
    <row r="1131">
      <c r="A1131" s="730"/>
      <c r="B1131" s="731"/>
      <c r="C1131" s="732"/>
      <c r="D1131" s="733"/>
      <c r="E1131" s="734"/>
      <c r="F1131" s="437"/>
      <c r="G1131" s="454"/>
      <c r="H1131" s="735"/>
    </row>
    <row r="1132">
      <c r="A1132" s="730"/>
      <c r="B1132" s="731"/>
      <c r="C1132" s="732"/>
      <c r="D1132" s="733"/>
      <c r="E1132" s="734"/>
      <c r="F1132" s="437"/>
      <c r="G1132" s="454"/>
      <c r="H1132" s="735"/>
    </row>
    <row r="1133">
      <c r="A1133" s="730"/>
      <c r="B1133" s="731"/>
      <c r="C1133" s="732"/>
      <c r="D1133" s="733"/>
      <c r="E1133" s="734"/>
      <c r="F1133" s="437"/>
      <c r="G1133" s="454"/>
      <c r="H1133" s="735"/>
    </row>
    <row r="1134">
      <c r="A1134" s="730"/>
      <c r="B1134" s="731"/>
      <c r="C1134" s="732"/>
      <c r="D1134" s="733"/>
      <c r="E1134" s="734"/>
      <c r="F1134" s="437"/>
      <c r="G1134" s="454"/>
      <c r="H1134" s="735"/>
    </row>
    <row r="1135">
      <c r="A1135" s="730"/>
      <c r="B1135" s="731"/>
      <c r="C1135" s="732"/>
      <c r="D1135" s="733"/>
      <c r="E1135" s="734"/>
      <c r="F1135" s="437"/>
      <c r="G1135" s="454"/>
      <c r="H1135" s="735"/>
    </row>
    <row r="1136">
      <c r="A1136" s="730"/>
      <c r="B1136" s="731"/>
      <c r="C1136" s="732"/>
      <c r="D1136" s="733"/>
      <c r="E1136" s="734"/>
      <c r="F1136" s="437"/>
      <c r="G1136" s="454"/>
      <c r="H1136" s="735"/>
    </row>
    <row r="1137">
      <c r="A1137" s="730"/>
      <c r="B1137" s="731"/>
      <c r="C1137" s="732"/>
      <c r="D1137" s="733"/>
      <c r="E1137" s="734"/>
      <c r="F1137" s="437"/>
      <c r="G1137" s="454"/>
      <c r="H1137" s="735"/>
    </row>
    <row r="1138">
      <c r="A1138" s="730"/>
      <c r="B1138" s="731"/>
      <c r="C1138" s="732"/>
      <c r="D1138" s="733"/>
      <c r="E1138" s="734"/>
      <c r="F1138" s="437"/>
      <c r="G1138" s="454"/>
      <c r="H1138" s="735"/>
    </row>
    <row r="1139">
      <c r="A1139" s="730"/>
      <c r="B1139" s="731"/>
      <c r="C1139" s="732"/>
      <c r="D1139" s="733"/>
      <c r="E1139" s="734"/>
      <c r="F1139" s="437"/>
      <c r="G1139" s="454"/>
      <c r="H1139" s="735"/>
    </row>
    <row r="1140">
      <c r="A1140" s="730"/>
      <c r="B1140" s="731"/>
      <c r="C1140" s="732"/>
      <c r="D1140" s="733"/>
      <c r="E1140" s="734"/>
      <c r="F1140" s="437"/>
      <c r="G1140" s="454"/>
      <c r="H1140" s="735"/>
    </row>
    <row r="1141">
      <c r="A1141" s="730"/>
      <c r="B1141" s="731"/>
      <c r="C1141" s="732"/>
      <c r="D1141" s="733"/>
      <c r="E1141" s="734"/>
      <c r="F1141" s="437"/>
      <c r="G1141" s="454"/>
      <c r="H1141" s="735"/>
    </row>
    <row r="1142">
      <c r="A1142" s="730"/>
      <c r="B1142" s="731"/>
      <c r="C1142" s="732"/>
      <c r="D1142" s="733"/>
      <c r="E1142" s="734"/>
      <c r="F1142" s="437"/>
      <c r="G1142" s="454"/>
      <c r="H1142" s="735"/>
    </row>
    <row r="1143">
      <c r="A1143" s="730"/>
      <c r="B1143" s="731"/>
      <c r="C1143" s="732"/>
      <c r="D1143" s="733"/>
      <c r="E1143" s="734"/>
      <c r="F1143" s="437"/>
      <c r="G1143" s="454"/>
      <c r="H1143" s="735"/>
    </row>
    <row r="1144">
      <c r="A1144" s="730"/>
      <c r="B1144" s="731"/>
      <c r="C1144" s="732"/>
      <c r="D1144" s="733"/>
      <c r="E1144" s="734"/>
      <c r="F1144" s="437"/>
      <c r="G1144" s="454"/>
      <c r="H1144" s="735"/>
    </row>
    <row r="1145">
      <c r="A1145" s="730"/>
      <c r="B1145" s="731"/>
      <c r="C1145" s="732"/>
      <c r="D1145" s="733"/>
      <c r="E1145" s="734"/>
      <c r="F1145" s="437"/>
      <c r="G1145" s="454"/>
      <c r="H1145" s="735"/>
    </row>
    <row r="1146">
      <c r="A1146" s="730"/>
      <c r="B1146" s="731"/>
      <c r="C1146" s="732"/>
      <c r="D1146" s="733"/>
      <c r="E1146" s="734"/>
      <c r="F1146" s="437"/>
      <c r="G1146" s="454"/>
      <c r="H1146" s="735"/>
    </row>
    <row r="1147">
      <c r="A1147" s="730"/>
      <c r="B1147" s="731"/>
      <c r="C1147" s="732"/>
      <c r="D1147" s="733"/>
      <c r="E1147" s="734"/>
      <c r="F1147" s="437"/>
      <c r="G1147" s="454"/>
      <c r="H1147" s="735"/>
    </row>
    <row r="1148">
      <c r="A1148" s="730"/>
      <c r="B1148" s="731"/>
      <c r="C1148" s="732"/>
      <c r="D1148" s="733"/>
      <c r="E1148" s="734"/>
      <c r="F1148" s="437"/>
      <c r="G1148" s="454"/>
      <c r="H1148" s="735"/>
    </row>
    <row r="1149">
      <c r="A1149" s="730"/>
      <c r="B1149" s="731"/>
      <c r="C1149" s="732"/>
      <c r="D1149" s="733"/>
      <c r="E1149" s="734"/>
      <c r="F1149" s="437"/>
      <c r="G1149" s="454"/>
      <c r="H1149" s="735"/>
    </row>
    <row r="1150">
      <c r="A1150" s="730"/>
      <c r="B1150" s="731"/>
      <c r="C1150" s="732"/>
      <c r="D1150" s="733"/>
      <c r="E1150" s="734"/>
      <c r="F1150" s="437"/>
      <c r="G1150" s="454"/>
      <c r="H1150" s="735"/>
    </row>
    <row r="1151">
      <c r="A1151" s="730"/>
      <c r="B1151" s="731"/>
      <c r="C1151" s="732"/>
      <c r="D1151" s="733"/>
      <c r="E1151" s="734"/>
      <c r="F1151" s="437"/>
      <c r="G1151" s="454"/>
      <c r="H1151" s="735"/>
    </row>
    <row r="1152">
      <c r="A1152" s="730"/>
      <c r="B1152" s="731"/>
      <c r="C1152" s="732"/>
      <c r="D1152" s="733"/>
      <c r="E1152" s="734"/>
      <c r="F1152" s="437"/>
      <c r="G1152" s="454"/>
      <c r="H1152" s="735"/>
    </row>
    <row r="1153">
      <c r="A1153" s="730"/>
      <c r="B1153" s="731"/>
      <c r="C1153" s="732"/>
      <c r="D1153" s="733"/>
      <c r="E1153" s="734"/>
      <c r="F1153" s="437"/>
      <c r="G1153" s="454"/>
      <c r="H1153" s="735"/>
    </row>
    <row r="1154">
      <c r="A1154" s="730"/>
      <c r="B1154" s="731"/>
      <c r="C1154" s="732"/>
      <c r="D1154" s="733"/>
      <c r="E1154" s="734"/>
      <c r="F1154" s="437"/>
      <c r="G1154" s="454"/>
      <c r="H1154" s="735"/>
    </row>
    <row r="1155">
      <c r="A1155" s="730"/>
      <c r="B1155" s="731"/>
      <c r="C1155" s="732"/>
      <c r="D1155" s="733"/>
      <c r="E1155" s="734"/>
      <c r="F1155" s="437"/>
      <c r="G1155" s="454"/>
      <c r="H1155" s="735"/>
    </row>
    <row r="1156">
      <c r="A1156" s="730"/>
      <c r="B1156" s="731"/>
      <c r="C1156" s="732"/>
      <c r="D1156" s="733"/>
      <c r="E1156" s="734"/>
      <c r="F1156" s="437"/>
      <c r="G1156" s="454"/>
      <c r="H1156" s="735"/>
    </row>
    <row r="1157">
      <c r="A1157" s="730"/>
      <c r="B1157" s="731"/>
      <c r="C1157" s="732"/>
      <c r="D1157" s="733"/>
      <c r="E1157" s="734"/>
      <c r="F1157" s="437"/>
      <c r="G1157" s="454"/>
      <c r="H1157" s="735"/>
    </row>
    <row r="1158">
      <c r="A1158" s="730"/>
      <c r="B1158" s="731"/>
      <c r="C1158" s="732"/>
      <c r="D1158" s="733"/>
      <c r="E1158" s="734"/>
      <c r="F1158" s="437"/>
      <c r="G1158" s="454"/>
      <c r="H1158" s="735"/>
    </row>
    <row r="1159">
      <c r="A1159" s="730"/>
      <c r="B1159" s="731"/>
      <c r="C1159" s="732"/>
      <c r="D1159" s="733"/>
      <c r="E1159" s="734"/>
      <c r="F1159" s="437"/>
      <c r="G1159" s="454"/>
      <c r="H1159" s="735"/>
    </row>
    <row r="1160">
      <c r="A1160" s="730"/>
      <c r="B1160" s="731"/>
      <c r="C1160" s="732"/>
      <c r="D1160" s="733"/>
      <c r="E1160" s="734"/>
      <c r="F1160" s="437"/>
      <c r="G1160" s="454"/>
      <c r="H1160" s="735"/>
    </row>
    <row r="1161">
      <c r="A1161" s="730"/>
      <c r="B1161" s="731"/>
      <c r="C1161" s="732"/>
      <c r="D1161" s="733"/>
      <c r="E1161" s="734"/>
      <c r="F1161" s="437"/>
      <c r="G1161" s="454"/>
      <c r="H1161" s="735"/>
    </row>
    <row r="1162">
      <c r="A1162" s="730"/>
      <c r="B1162" s="731"/>
      <c r="C1162" s="732"/>
      <c r="D1162" s="733"/>
      <c r="E1162" s="734"/>
      <c r="F1162" s="437"/>
      <c r="G1162" s="454"/>
      <c r="H1162" s="735"/>
    </row>
    <row r="1163">
      <c r="A1163" s="730"/>
      <c r="B1163" s="731"/>
      <c r="C1163" s="732"/>
      <c r="D1163" s="733"/>
      <c r="E1163" s="734"/>
      <c r="F1163" s="437"/>
      <c r="G1163" s="454"/>
      <c r="H1163" s="735"/>
    </row>
    <row r="1164">
      <c r="A1164" s="730"/>
      <c r="B1164" s="731"/>
      <c r="C1164" s="732"/>
      <c r="D1164" s="733"/>
      <c r="E1164" s="734"/>
      <c r="F1164" s="437"/>
      <c r="G1164" s="454"/>
      <c r="H1164" s="735"/>
    </row>
    <row r="1165">
      <c r="A1165" s="730"/>
      <c r="B1165" s="731"/>
      <c r="C1165" s="732"/>
      <c r="D1165" s="733"/>
      <c r="E1165" s="734"/>
      <c r="F1165" s="437"/>
      <c r="G1165" s="454"/>
      <c r="H1165" s="735"/>
    </row>
    <row r="1166">
      <c r="A1166" s="730"/>
      <c r="B1166" s="731"/>
      <c r="C1166" s="732"/>
      <c r="D1166" s="733"/>
      <c r="E1166" s="734"/>
      <c r="F1166" s="437"/>
      <c r="G1166" s="454"/>
      <c r="H1166" s="735"/>
    </row>
    <row r="1167">
      <c r="A1167" s="730"/>
      <c r="B1167" s="731"/>
      <c r="C1167" s="732"/>
      <c r="D1167" s="733"/>
      <c r="E1167" s="734"/>
      <c r="F1167" s="437"/>
      <c r="G1167" s="454"/>
      <c r="H1167" s="735"/>
    </row>
    <row r="1168">
      <c r="A1168" s="730"/>
      <c r="B1168" s="731"/>
      <c r="C1168" s="732"/>
      <c r="D1168" s="733"/>
      <c r="E1168" s="734"/>
      <c r="F1168" s="437"/>
      <c r="G1168" s="454"/>
      <c r="H1168" s="735"/>
    </row>
    <row r="1169">
      <c r="A1169" s="730"/>
      <c r="B1169" s="731"/>
      <c r="C1169" s="732"/>
      <c r="D1169" s="733"/>
      <c r="E1169" s="734"/>
      <c r="F1169" s="437"/>
      <c r="G1169" s="454"/>
      <c r="H1169" s="735"/>
    </row>
    <row r="1170">
      <c r="A1170" s="730"/>
      <c r="B1170" s="731"/>
      <c r="C1170" s="732"/>
      <c r="D1170" s="733"/>
      <c r="E1170" s="734"/>
      <c r="F1170" s="437"/>
      <c r="G1170" s="454"/>
      <c r="H1170" s="735"/>
    </row>
    <row r="1171">
      <c r="A1171" s="730"/>
      <c r="B1171" s="731"/>
      <c r="C1171" s="732"/>
      <c r="D1171" s="733"/>
      <c r="E1171" s="734"/>
      <c r="F1171" s="437"/>
      <c r="G1171" s="454"/>
      <c r="H1171" s="735"/>
    </row>
    <row r="1172">
      <c r="A1172" s="730"/>
      <c r="B1172" s="731"/>
      <c r="C1172" s="732"/>
      <c r="D1172" s="733"/>
      <c r="E1172" s="734"/>
      <c r="F1172" s="437"/>
      <c r="G1172" s="454"/>
      <c r="H1172" s="735"/>
    </row>
    <row r="1173">
      <c r="A1173" s="730"/>
      <c r="B1173" s="731"/>
      <c r="C1173" s="732"/>
      <c r="D1173" s="733"/>
      <c r="E1173" s="734"/>
      <c r="F1173" s="437"/>
      <c r="G1173" s="454"/>
      <c r="H1173" s="735"/>
    </row>
    <row r="1174">
      <c r="A1174" s="730"/>
      <c r="B1174" s="731"/>
      <c r="C1174" s="732"/>
      <c r="D1174" s="733"/>
      <c r="E1174" s="734"/>
      <c r="F1174" s="437"/>
      <c r="G1174" s="454"/>
      <c r="H1174" s="735"/>
    </row>
    <row r="1175">
      <c r="A1175" s="730"/>
      <c r="B1175" s="731"/>
      <c r="C1175" s="732"/>
      <c r="D1175" s="733"/>
      <c r="E1175" s="734"/>
      <c r="F1175" s="437"/>
      <c r="G1175" s="454"/>
      <c r="H1175" s="735"/>
    </row>
    <row r="1176">
      <c r="A1176" s="730"/>
      <c r="B1176" s="731"/>
      <c r="C1176" s="732"/>
      <c r="D1176" s="733"/>
      <c r="E1176" s="734"/>
      <c r="F1176" s="437"/>
      <c r="G1176" s="454"/>
      <c r="H1176" s="735"/>
    </row>
    <row r="1177">
      <c r="A1177" s="730"/>
      <c r="B1177" s="731"/>
      <c r="C1177" s="732"/>
      <c r="D1177" s="733"/>
      <c r="E1177" s="734"/>
      <c r="F1177" s="437"/>
      <c r="G1177" s="454"/>
      <c r="H1177" s="735"/>
    </row>
    <row r="1178">
      <c r="A1178" s="730"/>
      <c r="B1178" s="731"/>
      <c r="C1178" s="732"/>
      <c r="D1178" s="733"/>
      <c r="E1178" s="734"/>
      <c r="F1178" s="437"/>
      <c r="G1178" s="454"/>
      <c r="H1178" s="735"/>
    </row>
    <row r="1179">
      <c r="A1179" s="730"/>
      <c r="B1179" s="731"/>
      <c r="C1179" s="732"/>
      <c r="D1179" s="733"/>
      <c r="E1179" s="734"/>
      <c r="F1179" s="437"/>
      <c r="G1179" s="454"/>
      <c r="H1179" s="735"/>
    </row>
    <row r="1180">
      <c r="A1180" s="730"/>
      <c r="B1180" s="731"/>
      <c r="C1180" s="732"/>
      <c r="D1180" s="733"/>
      <c r="E1180" s="734"/>
      <c r="F1180" s="437"/>
      <c r="G1180" s="454"/>
      <c r="H1180" s="735"/>
    </row>
    <row r="1181">
      <c r="A1181" s="730"/>
      <c r="B1181" s="731"/>
      <c r="C1181" s="732"/>
      <c r="D1181" s="733"/>
      <c r="E1181" s="734"/>
      <c r="F1181" s="437"/>
      <c r="G1181" s="454"/>
      <c r="H1181" s="735"/>
    </row>
    <row r="1182">
      <c r="A1182" s="730"/>
      <c r="B1182" s="731"/>
      <c r="C1182" s="732"/>
      <c r="D1182" s="733"/>
      <c r="E1182" s="734"/>
      <c r="F1182" s="437"/>
      <c r="G1182" s="454"/>
      <c r="H1182" s="735"/>
    </row>
    <row r="1183">
      <c r="A1183" s="730"/>
      <c r="B1183" s="731"/>
      <c r="C1183" s="732"/>
      <c r="D1183" s="733"/>
      <c r="E1183" s="734"/>
      <c r="F1183" s="437"/>
      <c r="G1183" s="454"/>
      <c r="H1183" s="735"/>
    </row>
    <row r="1184">
      <c r="A1184" s="730"/>
      <c r="B1184" s="731"/>
      <c r="C1184" s="732"/>
      <c r="D1184" s="733"/>
      <c r="E1184" s="734"/>
      <c r="F1184" s="437"/>
      <c r="G1184" s="454"/>
      <c r="H1184" s="735"/>
    </row>
    <row r="1185">
      <c r="A1185" s="730"/>
      <c r="B1185" s="731"/>
      <c r="C1185" s="732"/>
      <c r="D1185" s="733"/>
      <c r="E1185" s="734"/>
      <c r="F1185" s="437"/>
      <c r="G1185" s="454"/>
      <c r="H1185" s="735"/>
    </row>
    <row r="1186">
      <c r="A1186" s="730"/>
      <c r="B1186" s="731"/>
      <c r="C1186" s="732"/>
      <c r="D1186" s="733"/>
      <c r="E1186" s="734"/>
      <c r="F1186" s="437"/>
      <c r="G1186" s="454"/>
      <c r="H1186" s="735"/>
    </row>
    <row r="1187">
      <c r="A1187" s="730"/>
      <c r="B1187" s="731"/>
      <c r="C1187" s="732"/>
      <c r="D1187" s="733"/>
      <c r="E1187" s="734"/>
      <c r="F1187" s="437"/>
      <c r="G1187" s="454"/>
      <c r="H1187" s="735"/>
    </row>
    <row r="1188">
      <c r="A1188" s="730"/>
      <c r="B1188" s="731"/>
      <c r="C1188" s="732"/>
      <c r="D1188" s="733"/>
      <c r="E1188" s="734"/>
      <c r="F1188" s="437"/>
      <c r="G1188" s="454"/>
      <c r="H1188" s="735"/>
    </row>
    <row r="1189">
      <c r="A1189" s="730"/>
      <c r="B1189" s="731"/>
      <c r="C1189" s="732"/>
      <c r="D1189" s="733"/>
      <c r="E1189" s="734"/>
      <c r="F1189" s="437"/>
      <c r="G1189" s="454"/>
      <c r="H1189" s="735"/>
    </row>
    <row r="1190">
      <c r="A1190" s="730"/>
      <c r="B1190" s="731"/>
      <c r="C1190" s="732"/>
      <c r="D1190" s="733"/>
      <c r="E1190" s="734"/>
      <c r="F1190" s="437"/>
      <c r="G1190" s="454"/>
      <c r="H1190" s="735"/>
    </row>
    <row r="1191">
      <c r="A1191" s="730"/>
      <c r="B1191" s="731"/>
      <c r="C1191" s="732"/>
      <c r="D1191" s="733"/>
      <c r="E1191" s="734"/>
      <c r="F1191" s="437"/>
      <c r="G1191" s="454"/>
      <c r="H1191" s="735"/>
    </row>
    <row r="1192">
      <c r="A1192" s="730"/>
      <c r="B1192" s="731"/>
      <c r="C1192" s="732"/>
      <c r="D1192" s="733"/>
      <c r="E1192" s="734"/>
      <c r="F1192" s="437"/>
      <c r="G1192" s="454"/>
      <c r="H1192" s="735"/>
    </row>
    <row r="1193">
      <c r="A1193" s="730"/>
      <c r="B1193" s="731"/>
      <c r="C1193" s="732"/>
      <c r="D1193" s="733"/>
      <c r="E1193" s="734"/>
      <c r="F1193" s="437"/>
      <c r="G1193" s="454"/>
      <c r="H1193" s="735"/>
    </row>
    <row r="1194">
      <c r="A1194" s="730"/>
      <c r="B1194" s="731"/>
      <c r="C1194" s="732"/>
      <c r="D1194" s="733"/>
      <c r="E1194" s="734"/>
      <c r="F1194" s="437"/>
      <c r="G1194" s="454"/>
      <c r="H1194" s="735"/>
    </row>
    <row r="1195">
      <c r="A1195" s="730"/>
      <c r="B1195" s="731"/>
      <c r="C1195" s="732"/>
      <c r="D1195" s="733"/>
      <c r="E1195" s="734"/>
      <c r="F1195" s="437"/>
      <c r="G1195" s="454"/>
      <c r="H1195" s="735"/>
    </row>
    <row r="1196">
      <c r="A1196" s="730"/>
      <c r="B1196" s="731"/>
      <c r="C1196" s="732"/>
      <c r="D1196" s="733"/>
      <c r="E1196" s="734"/>
      <c r="F1196" s="437"/>
      <c r="G1196" s="454"/>
      <c r="H1196" s="735"/>
    </row>
    <row r="1197">
      <c r="A1197" s="730"/>
      <c r="B1197" s="731"/>
      <c r="C1197" s="732"/>
      <c r="D1197" s="733"/>
      <c r="E1197" s="734"/>
      <c r="F1197" s="437"/>
      <c r="G1197" s="454"/>
      <c r="H1197" s="735"/>
    </row>
    <row r="1198">
      <c r="A1198" s="730"/>
      <c r="B1198" s="731"/>
      <c r="C1198" s="732"/>
      <c r="D1198" s="733"/>
      <c r="E1198" s="734"/>
      <c r="F1198" s="437"/>
      <c r="G1198" s="454"/>
      <c r="H1198" s="735"/>
    </row>
    <row r="1199">
      <c r="A1199" s="730"/>
      <c r="B1199" s="731"/>
      <c r="C1199" s="732"/>
      <c r="D1199" s="733"/>
      <c r="E1199" s="734"/>
      <c r="F1199" s="437"/>
      <c r="G1199" s="454"/>
      <c r="H1199" s="735"/>
    </row>
    <row r="1200">
      <c r="A1200" s="730"/>
      <c r="B1200" s="731"/>
      <c r="C1200" s="732"/>
      <c r="D1200" s="733"/>
      <c r="E1200" s="734"/>
      <c r="F1200" s="437"/>
      <c r="G1200" s="454"/>
      <c r="H1200" s="735"/>
    </row>
    <row r="1201">
      <c r="A1201" s="730"/>
      <c r="B1201" s="731"/>
      <c r="C1201" s="732"/>
      <c r="D1201" s="733"/>
      <c r="E1201" s="734"/>
      <c r="F1201" s="437"/>
      <c r="G1201" s="454"/>
      <c r="H1201" s="735"/>
    </row>
    <row r="1202">
      <c r="A1202" s="730"/>
      <c r="B1202" s="731"/>
      <c r="C1202" s="732"/>
      <c r="D1202" s="733"/>
      <c r="E1202" s="734"/>
      <c r="F1202" s="437"/>
      <c r="G1202" s="454"/>
      <c r="H1202" s="735"/>
    </row>
    <row r="1203">
      <c r="A1203" s="730"/>
      <c r="B1203" s="731"/>
      <c r="C1203" s="732"/>
      <c r="D1203" s="733"/>
      <c r="E1203" s="734"/>
      <c r="F1203" s="437"/>
      <c r="G1203" s="454"/>
      <c r="H1203" s="735"/>
    </row>
    <row r="1204">
      <c r="A1204" s="730"/>
      <c r="B1204" s="731"/>
      <c r="C1204" s="732"/>
      <c r="D1204" s="733"/>
      <c r="E1204" s="734"/>
      <c r="F1204" s="437"/>
      <c r="G1204" s="454"/>
      <c r="H1204" s="735"/>
    </row>
    <row r="1205">
      <c r="A1205" s="730"/>
      <c r="B1205" s="731"/>
      <c r="C1205" s="732"/>
      <c r="D1205" s="733"/>
      <c r="E1205" s="734"/>
      <c r="F1205" s="437"/>
      <c r="G1205" s="454"/>
      <c r="H1205" s="735"/>
    </row>
    <row r="1206">
      <c r="A1206" s="730"/>
      <c r="B1206" s="731"/>
      <c r="C1206" s="732"/>
      <c r="D1206" s="733"/>
      <c r="E1206" s="734"/>
      <c r="F1206" s="437"/>
      <c r="G1206" s="454"/>
      <c r="H1206" s="735"/>
    </row>
    <row r="1207">
      <c r="A1207" s="730"/>
      <c r="B1207" s="731"/>
      <c r="C1207" s="732"/>
      <c r="D1207" s="733"/>
      <c r="E1207" s="734"/>
      <c r="F1207" s="437"/>
      <c r="G1207" s="454"/>
      <c r="H1207" s="735"/>
    </row>
    <row r="1208">
      <c r="A1208" s="730"/>
      <c r="B1208" s="731"/>
      <c r="C1208" s="732"/>
      <c r="D1208" s="733"/>
      <c r="E1208" s="734"/>
      <c r="F1208" s="437"/>
      <c r="G1208" s="454"/>
      <c r="H1208" s="735"/>
    </row>
    <row r="1209">
      <c r="A1209" s="730"/>
      <c r="B1209" s="731"/>
      <c r="C1209" s="732"/>
      <c r="D1209" s="733"/>
      <c r="E1209" s="734"/>
      <c r="F1209" s="437"/>
      <c r="G1209" s="454"/>
      <c r="H1209" s="735"/>
    </row>
    <row r="1210">
      <c r="A1210" s="730"/>
      <c r="B1210" s="731"/>
      <c r="C1210" s="732"/>
      <c r="D1210" s="733"/>
      <c r="E1210" s="734"/>
      <c r="F1210" s="437"/>
      <c r="G1210" s="454"/>
      <c r="H1210" s="735"/>
    </row>
    <row r="1211">
      <c r="A1211" s="730"/>
      <c r="B1211" s="731"/>
      <c r="C1211" s="732"/>
      <c r="D1211" s="733"/>
      <c r="E1211" s="734"/>
      <c r="F1211" s="437"/>
      <c r="G1211" s="454"/>
      <c r="H1211" s="735"/>
    </row>
    <row r="1212">
      <c r="A1212" s="730"/>
      <c r="B1212" s="731"/>
      <c r="C1212" s="732"/>
      <c r="D1212" s="733"/>
      <c r="E1212" s="734"/>
      <c r="F1212" s="437"/>
      <c r="G1212" s="454"/>
      <c r="H1212" s="735"/>
    </row>
    <row r="1213">
      <c r="A1213" s="730"/>
      <c r="B1213" s="731"/>
      <c r="C1213" s="732"/>
      <c r="D1213" s="733"/>
      <c r="E1213" s="734"/>
      <c r="F1213" s="437"/>
      <c r="G1213" s="454"/>
      <c r="H1213" s="735"/>
    </row>
    <row r="1214">
      <c r="A1214" s="730"/>
      <c r="B1214" s="731"/>
      <c r="C1214" s="732"/>
      <c r="D1214" s="733"/>
      <c r="E1214" s="734"/>
      <c r="F1214" s="437"/>
      <c r="G1214" s="454"/>
      <c r="H1214" s="735"/>
    </row>
    <row r="1215">
      <c r="A1215" s="730"/>
      <c r="B1215" s="731"/>
      <c r="C1215" s="732"/>
      <c r="D1215" s="733"/>
      <c r="E1215" s="734"/>
      <c r="F1215" s="437"/>
      <c r="G1215" s="454"/>
      <c r="H1215" s="735"/>
    </row>
    <row r="1216">
      <c r="A1216" s="730"/>
      <c r="B1216" s="731"/>
      <c r="C1216" s="732"/>
      <c r="D1216" s="733"/>
      <c r="E1216" s="734"/>
      <c r="F1216" s="437"/>
      <c r="G1216" s="454"/>
      <c r="H1216" s="735"/>
    </row>
    <row r="1217">
      <c r="A1217" s="730"/>
      <c r="B1217" s="731"/>
      <c r="C1217" s="732"/>
      <c r="D1217" s="733"/>
      <c r="E1217" s="734"/>
      <c r="F1217" s="437"/>
      <c r="G1217" s="454"/>
      <c r="H1217" s="735"/>
    </row>
    <row r="1218">
      <c r="A1218" s="730"/>
      <c r="B1218" s="731"/>
      <c r="C1218" s="732"/>
      <c r="D1218" s="733"/>
      <c r="E1218" s="734"/>
      <c r="F1218" s="437"/>
      <c r="G1218" s="454"/>
      <c r="H1218" s="735"/>
    </row>
    <row r="1219">
      <c r="A1219" s="730"/>
      <c r="B1219" s="731"/>
      <c r="C1219" s="732"/>
      <c r="D1219" s="733"/>
      <c r="E1219" s="734"/>
      <c r="F1219" s="437"/>
      <c r="G1219" s="454"/>
      <c r="H1219" s="735"/>
    </row>
    <row r="1220">
      <c r="A1220" s="730"/>
      <c r="B1220" s="731"/>
      <c r="C1220" s="732"/>
      <c r="D1220" s="733"/>
      <c r="E1220" s="734"/>
      <c r="F1220" s="437"/>
      <c r="G1220" s="454"/>
      <c r="H1220" s="735"/>
    </row>
    <row r="1221">
      <c r="A1221" s="730"/>
      <c r="B1221" s="731"/>
      <c r="C1221" s="732"/>
      <c r="D1221" s="733"/>
      <c r="E1221" s="734"/>
      <c r="F1221" s="437"/>
      <c r="G1221" s="454"/>
      <c r="H1221" s="735"/>
    </row>
    <row r="1222">
      <c r="A1222" s="730"/>
      <c r="B1222" s="731"/>
      <c r="C1222" s="732"/>
      <c r="D1222" s="733"/>
      <c r="E1222" s="734"/>
      <c r="F1222" s="437"/>
      <c r="G1222" s="454"/>
      <c r="H1222" s="735"/>
    </row>
    <row r="1223">
      <c r="A1223" s="730"/>
      <c r="B1223" s="731"/>
      <c r="C1223" s="732"/>
      <c r="D1223" s="733"/>
      <c r="E1223" s="734"/>
      <c r="F1223" s="437"/>
      <c r="G1223" s="454"/>
      <c r="H1223" s="735"/>
    </row>
    <row r="1224">
      <c r="A1224" s="730"/>
      <c r="B1224" s="731"/>
      <c r="C1224" s="732"/>
      <c r="D1224" s="733"/>
      <c r="E1224" s="734"/>
      <c r="F1224" s="437"/>
      <c r="G1224" s="454"/>
      <c r="H1224" s="735"/>
    </row>
    <row r="1225">
      <c r="A1225" s="730"/>
      <c r="B1225" s="731"/>
      <c r="C1225" s="732"/>
      <c r="D1225" s="733"/>
      <c r="E1225" s="734"/>
      <c r="F1225" s="437"/>
      <c r="G1225" s="454"/>
      <c r="H1225" s="735"/>
    </row>
    <row r="1226">
      <c r="A1226" s="730"/>
      <c r="B1226" s="731"/>
      <c r="C1226" s="732"/>
      <c r="D1226" s="733"/>
      <c r="E1226" s="734"/>
      <c r="F1226" s="437"/>
      <c r="G1226" s="454"/>
      <c r="H1226" s="735"/>
    </row>
    <row r="1227">
      <c r="A1227" s="730"/>
      <c r="B1227" s="731"/>
      <c r="C1227" s="732"/>
      <c r="D1227" s="733"/>
      <c r="E1227" s="734"/>
      <c r="F1227" s="437"/>
      <c r="G1227" s="454"/>
      <c r="H1227" s="735"/>
    </row>
    <row r="1228">
      <c r="A1228" s="730"/>
      <c r="B1228" s="731"/>
      <c r="C1228" s="732"/>
      <c r="D1228" s="733"/>
      <c r="E1228" s="734"/>
      <c r="F1228" s="437"/>
      <c r="G1228" s="454"/>
      <c r="H1228" s="735"/>
    </row>
    <row r="1229">
      <c r="A1229" s="730"/>
      <c r="B1229" s="731"/>
      <c r="C1229" s="732"/>
      <c r="D1229" s="733"/>
      <c r="E1229" s="734"/>
      <c r="F1229" s="437"/>
      <c r="G1229" s="454"/>
      <c r="H1229" s="735"/>
    </row>
    <row r="1230">
      <c r="A1230" s="730"/>
      <c r="B1230" s="731"/>
      <c r="C1230" s="732"/>
      <c r="D1230" s="733"/>
      <c r="E1230" s="734"/>
      <c r="F1230" s="437"/>
      <c r="G1230" s="454"/>
      <c r="H1230" s="735"/>
    </row>
    <row r="1231">
      <c r="A1231" s="730"/>
      <c r="B1231" s="731"/>
      <c r="C1231" s="732"/>
      <c r="D1231" s="733"/>
      <c r="E1231" s="734"/>
      <c r="F1231" s="437"/>
      <c r="G1231" s="454"/>
      <c r="H1231" s="735"/>
    </row>
    <row r="1232">
      <c r="A1232" s="730"/>
      <c r="B1232" s="731"/>
      <c r="C1232" s="732"/>
      <c r="D1232" s="733"/>
      <c r="E1232" s="734"/>
      <c r="F1232" s="437"/>
      <c r="G1232" s="454"/>
      <c r="H1232" s="735"/>
    </row>
    <row r="1233">
      <c r="A1233" s="730"/>
      <c r="B1233" s="731"/>
      <c r="C1233" s="732"/>
      <c r="D1233" s="733"/>
      <c r="E1233" s="734"/>
      <c r="F1233" s="437"/>
      <c r="G1233" s="454"/>
      <c r="H1233" s="735"/>
    </row>
    <row r="1234">
      <c r="A1234" s="730"/>
      <c r="B1234" s="731"/>
      <c r="C1234" s="732"/>
      <c r="D1234" s="733"/>
      <c r="E1234" s="734"/>
      <c r="F1234" s="437"/>
      <c r="G1234" s="454"/>
      <c r="H1234" s="735"/>
    </row>
    <row r="1235">
      <c r="A1235" s="730"/>
      <c r="B1235" s="731"/>
      <c r="C1235" s="732"/>
      <c r="D1235" s="733"/>
      <c r="E1235" s="734"/>
      <c r="F1235" s="437"/>
      <c r="G1235" s="454"/>
      <c r="H1235" s="735"/>
    </row>
    <row r="1236">
      <c r="A1236" s="730"/>
      <c r="B1236" s="731"/>
      <c r="C1236" s="732"/>
      <c r="D1236" s="733"/>
      <c r="E1236" s="734"/>
      <c r="F1236" s="437"/>
      <c r="G1236" s="454"/>
      <c r="H1236" s="735"/>
    </row>
    <row r="1237">
      <c r="A1237" s="730"/>
      <c r="B1237" s="731"/>
      <c r="C1237" s="732"/>
      <c r="D1237" s="733"/>
      <c r="E1237" s="734"/>
      <c r="F1237" s="437"/>
      <c r="G1237" s="454"/>
      <c r="H1237" s="735"/>
    </row>
    <row r="1238">
      <c r="A1238" s="730"/>
      <c r="B1238" s="731"/>
      <c r="C1238" s="732"/>
      <c r="D1238" s="733"/>
      <c r="E1238" s="734"/>
      <c r="F1238" s="437"/>
      <c r="G1238" s="454"/>
      <c r="H1238" s="735"/>
    </row>
    <row r="1239">
      <c r="A1239" s="730"/>
      <c r="B1239" s="731"/>
      <c r="C1239" s="732"/>
      <c r="D1239" s="733"/>
      <c r="E1239" s="734"/>
      <c r="F1239" s="437"/>
      <c r="G1239" s="454"/>
      <c r="H1239" s="735"/>
    </row>
    <row r="1240">
      <c r="A1240" s="730"/>
      <c r="B1240" s="731"/>
      <c r="C1240" s="732"/>
      <c r="D1240" s="733"/>
      <c r="E1240" s="734"/>
      <c r="F1240" s="437"/>
      <c r="G1240" s="454"/>
      <c r="H1240" s="735"/>
    </row>
    <row r="1241">
      <c r="A1241" s="730"/>
      <c r="B1241" s="731"/>
      <c r="C1241" s="732"/>
      <c r="D1241" s="733"/>
      <c r="E1241" s="734"/>
      <c r="F1241" s="437"/>
      <c r="G1241" s="454"/>
      <c r="H1241" s="735"/>
    </row>
    <row r="1242">
      <c r="A1242" s="730"/>
      <c r="B1242" s="731"/>
      <c r="C1242" s="732"/>
      <c r="D1242" s="733"/>
      <c r="E1242" s="734"/>
      <c r="F1242" s="437"/>
      <c r="G1242" s="454"/>
      <c r="H1242" s="735"/>
    </row>
    <row r="1243">
      <c r="A1243" s="730"/>
      <c r="B1243" s="731"/>
      <c r="C1243" s="732"/>
      <c r="D1243" s="733"/>
      <c r="E1243" s="734"/>
      <c r="F1243" s="437"/>
      <c r="G1243" s="454"/>
      <c r="H1243" s="735"/>
    </row>
    <row r="1244">
      <c r="A1244" s="730"/>
      <c r="B1244" s="731"/>
      <c r="C1244" s="732"/>
      <c r="D1244" s="733"/>
      <c r="E1244" s="734"/>
      <c r="F1244" s="437"/>
      <c r="G1244" s="454"/>
      <c r="H1244" s="735"/>
    </row>
    <row r="1245">
      <c r="A1245" s="730"/>
      <c r="B1245" s="731"/>
      <c r="C1245" s="732"/>
      <c r="D1245" s="733"/>
      <c r="E1245" s="734"/>
      <c r="F1245" s="437"/>
      <c r="G1245" s="454"/>
      <c r="H1245" s="735"/>
    </row>
    <row r="1246">
      <c r="A1246" s="730"/>
      <c r="B1246" s="731"/>
      <c r="C1246" s="732"/>
      <c r="D1246" s="733"/>
      <c r="E1246" s="734"/>
      <c r="F1246" s="437"/>
      <c r="G1246" s="454"/>
      <c r="H1246" s="735"/>
    </row>
    <row r="1247">
      <c r="A1247" s="730"/>
      <c r="B1247" s="731"/>
      <c r="C1247" s="732"/>
      <c r="D1247" s="733"/>
      <c r="E1247" s="734"/>
      <c r="F1247" s="437"/>
      <c r="G1247" s="454"/>
      <c r="H1247" s="735"/>
    </row>
    <row r="1248">
      <c r="A1248" s="730"/>
      <c r="B1248" s="731"/>
      <c r="C1248" s="732"/>
      <c r="D1248" s="733"/>
      <c r="E1248" s="734"/>
      <c r="F1248" s="437"/>
      <c r="G1248" s="454"/>
      <c r="H1248" s="735"/>
    </row>
    <row r="1249">
      <c r="A1249" s="730"/>
      <c r="B1249" s="731"/>
      <c r="C1249" s="732"/>
      <c r="D1249" s="733"/>
      <c r="E1249" s="734"/>
      <c r="F1249" s="437"/>
      <c r="G1249" s="454"/>
      <c r="H1249" s="735"/>
    </row>
    <row r="1250">
      <c r="A1250" s="730"/>
      <c r="B1250" s="731"/>
      <c r="C1250" s="732"/>
      <c r="D1250" s="733"/>
      <c r="E1250" s="734"/>
      <c r="F1250" s="437"/>
      <c r="G1250" s="454"/>
      <c r="H1250" s="735"/>
    </row>
    <row r="1251">
      <c r="A1251" s="730"/>
      <c r="B1251" s="731"/>
      <c r="C1251" s="732"/>
      <c r="D1251" s="733"/>
      <c r="E1251" s="734"/>
      <c r="F1251" s="437"/>
      <c r="G1251" s="454"/>
      <c r="H1251" s="735"/>
    </row>
    <row r="1252">
      <c r="A1252" s="730"/>
      <c r="B1252" s="731"/>
      <c r="C1252" s="732"/>
      <c r="D1252" s="733"/>
      <c r="E1252" s="734"/>
      <c r="F1252" s="437"/>
      <c r="G1252" s="454"/>
      <c r="H1252" s="735"/>
    </row>
    <row r="1253">
      <c r="A1253" s="730"/>
      <c r="B1253" s="731"/>
      <c r="C1253" s="732"/>
      <c r="D1253" s="733"/>
      <c r="E1253" s="734"/>
      <c r="F1253" s="437"/>
      <c r="G1253" s="454"/>
      <c r="H1253" s="735"/>
    </row>
    <row r="1254">
      <c r="A1254" s="730"/>
      <c r="B1254" s="731"/>
      <c r="C1254" s="732"/>
      <c r="D1254" s="733"/>
      <c r="E1254" s="734"/>
      <c r="F1254" s="437"/>
      <c r="G1254" s="454"/>
      <c r="H1254" s="735"/>
    </row>
    <row r="1255">
      <c r="A1255" s="730"/>
      <c r="B1255" s="731"/>
      <c r="C1255" s="732"/>
      <c r="D1255" s="733"/>
      <c r="E1255" s="734"/>
      <c r="F1255" s="437"/>
      <c r="G1255" s="454"/>
      <c r="H1255" s="735"/>
    </row>
    <row r="1256">
      <c r="A1256" s="730"/>
      <c r="B1256" s="731"/>
      <c r="C1256" s="732"/>
      <c r="D1256" s="733"/>
      <c r="E1256" s="734"/>
      <c r="F1256" s="437"/>
      <c r="G1256" s="454"/>
      <c r="H1256" s="735"/>
    </row>
    <row r="1257">
      <c r="A1257" s="730"/>
      <c r="B1257" s="731"/>
      <c r="C1257" s="732"/>
      <c r="D1257" s="733"/>
      <c r="E1257" s="734"/>
      <c r="F1257" s="437"/>
      <c r="G1257" s="454"/>
      <c r="H1257" s="735"/>
    </row>
    <row r="1258">
      <c r="A1258" s="730"/>
      <c r="B1258" s="731"/>
      <c r="C1258" s="732"/>
      <c r="D1258" s="733"/>
      <c r="E1258" s="734"/>
      <c r="F1258" s="437"/>
      <c r="G1258" s="454"/>
      <c r="H1258" s="735"/>
    </row>
    <row r="1259">
      <c r="A1259" s="730"/>
      <c r="B1259" s="731"/>
      <c r="C1259" s="732"/>
      <c r="D1259" s="733"/>
      <c r="E1259" s="734"/>
      <c r="F1259" s="437"/>
      <c r="G1259" s="454"/>
      <c r="H1259" s="735"/>
    </row>
    <row r="1260">
      <c r="A1260" s="730"/>
      <c r="B1260" s="731"/>
      <c r="C1260" s="732"/>
      <c r="D1260" s="733"/>
      <c r="E1260" s="734"/>
      <c r="F1260" s="437"/>
      <c r="G1260" s="454"/>
      <c r="H1260" s="735"/>
    </row>
    <row r="1261">
      <c r="A1261" s="730"/>
      <c r="B1261" s="731"/>
      <c r="C1261" s="732"/>
      <c r="D1261" s="733"/>
      <c r="E1261" s="734"/>
      <c r="F1261" s="437"/>
      <c r="G1261" s="454"/>
      <c r="H1261" s="735"/>
    </row>
    <row r="1262">
      <c r="A1262" s="730"/>
      <c r="B1262" s="731"/>
      <c r="C1262" s="732"/>
      <c r="D1262" s="733"/>
      <c r="E1262" s="734"/>
      <c r="F1262" s="437"/>
      <c r="G1262" s="454"/>
      <c r="H1262" s="735"/>
    </row>
    <row r="1263">
      <c r="A1263" s="730"/>
      <c r="B1263" s="731"/>
      <c r="C1263" s="732"/>
      <c r="D1263" s="733"/>
      <c r="E1263" s="734"/>
      <c r="F1263" s="437"/>
      <c r="G1263" s="454"/>
      <c r="H1263" s="735"/>
    </row>
    <row r="1264">
      <c r="A1264" s="730"/>
      <c r="B1264" s="731"/>
      <c r="C1264" s="732"/>
      <c r="D1264" s="733"/>
      <c r="E1264" s="734"/>
      <c r="F1264" s="437"/>
      <c r="G1264" s="454"/>
      <c r="H1264" s="735"/>
    </row>
    <row r="1265">
      <c r="A1265" s="730"/>
      <c r="B1265" s="731"/>
      <c r="C1265" s="732"/>
      <c r="D1265" s="733"/>
      <c r="E1265" s="734"/>
      <c r="F1265" s="437"/>
      <c r="G1265" s="454"/>
      <c r="H1265" s="735"/>
    </row>
    <row r="1266">
      <c r="A1266" s="730"/>
      <c r="B1266" s="731"/>
      <c r="C1266" s="732"/>
      <c r="D1266" s="733"/>
      <c r="E1266" s="734"/>
      <c r="F1266" s="437"/>
      <c r="G1266" s="454"/>
      <c r="H1266" s="735"/>
    </row>
    <row r="1267">
      <c r="A1267" s="730"/>
      <c r="B1267" s="731"/>
      <c r="C1267" s="732"/>
      <c r="D1267" s="733"/>
      <c r="E1267" s="734"/>
      <c r="F1267" s="437"/>
      <c r="G1267" s="454"/>
      <c r="H1267" s="735"/>
    </row>
    <row r="1268">
      <c r="A1268" s="730"/>
      <c r="B1268" s="731"/>
      <c r="C1268" s="732"/>
      <c r="D1268" s="733"/>
      <c r="E1268" s="734"/>
      <c r="F1268" s="437"/>
      <c r="G1268" s="454"/>
      <c r="H1268" s="735"/>
    </row>
    <row r="1269">
      <c r="A1269" s="730"/>
      <c r="B1269" s="731"/>
      <c r="C1269" s="732"/>
      <c r="D1269" s="733"/>
      <c r="E1269" s="734"/>
      <c r="F1269" s="437"/>
      <c r="G1269" s="454"/>
      <c r="H1269" s="735"/>
    </row>
    <row r="1270">
      <c r="A1270" s="730"/>
      <c r="B1270" s="731"/>
      <c r="C1270" s="732"/>
      <c r="D1270" s="733"/>
      <c r="E1270" s="734"/>
      <c r="F1270" s="437"/>
      <c r="G1270" s="454"/>
      <c r="H1270" s="735"/>
    </row>
    <row r="1271">
      <c r="A1271" s="730"/>
      <c r="B1271" s="731"/>
      <c r="C1271" s="732"/>
      <c r="D1271" s="733"/>
      <c r="E1271" s="734"/>
      <c r="F1271" s="437"/>
      <c r="G1271" s="454"/>
      <c r="H1271" s="735"/>
    </row>
    <row r="1272">
      <c r="A1272" s="730"/>
      <c r="B1272" s="731"/>
      <c r="C1272" s="732"/>
      <c r="D1272" s="733"/>
      <c r="E1272" s="734"/>
      <c r="F1272" s="437"/>
      <c r="G1272" s="454"/>
      <c r="H1272" s="735"/>
    </row>
    <row r="1273">
      <c r="A1273" s="730"/>
      <c r="B1273" s="731"/>
      <c r="C1273" s="732"/>
      <c r="D1273" s="733"/>
      <c r="E1273" s="734"/>
      <c r="F1273" s="437"/>
      <c r="G1273" s="454"/>
      <c r="H1273" s="735"/>
    </row>
    <row r="1274">
      <c r="A1274" s="730"/>
      <c r="B1274" s="731"/>
      <c r="C1274" s="732"/>
      <c r="D1274" s="733"/>
      <c r="E1274" s="734"/>
      <c r="F1274" s="437"/>
      <c r="G1274" s="454"/>
      <c r="H1274" s="735"/>
    </row>
    <row r="1275">
      <c r="A1275" s="730"/>
      <c r="B1275" s="731"/>
      <c r="C1275" s="732"/>
      <c r="D1275" s="733"/>
      <c r="E1275" s="734"/>
      <c r="F1275" s="437"/>
      <c r="G1275" s="454"/>
      <c r="H1275" s="735"/>
    </row>
    <row r="1276">
      <c r="A1276" s="730"/>
      <c r="B1276" s="731"/>
      <c r="C1276" s="732"/>
      <c r="D1276" s="733"/>
      <c r="E1276" s="734"/>
      <c r="F1276" s="437"/>
      <c r="G1276" s="454"/>
      <c r="H1276" s="735"/>
    </row>
    <row r="1277">
      <c r="A1277" s="730"/>
      <c r="B1277" s="731"/>
      <c r="C1277" s="732"/>
      <c r="D1277" s="733"/>
      <c r="E1277" s="734"/>
      <c r="F1277" s="437"/>
      <c r="G1277" s="454"/>
      <c r="H1277" s="735"/>
    </row>
    <row r="1278">
      <c r="A1278" s="730"/>
      <c r="B1278" s="731"/>
      <c r="C1278" s="732"/>
      <c r="D1278" s="733"/>
      <c r="E1278" s="734"/>
      <c r="F1278" s="437"/>
      <c r="G1278" s="454"/>
      <c r="H1278" s="735"/>
    </row>
    <row r="1279">
      <c r="A1279" s="730"/>
      <c r="B1279" s="731"/>
      <c r="C1279" s="732"/>
      <c r="D1279" s="733"/>
      <c r="E1279" s="734"/>
      <c r="F1279" s="437"/>
      <c r="G1279" s="454"/>
      <c r="H1279" s="735"/>
    </row>
    <row r="1280">
      <c r="A1280" s="730"/>
      <c r="B1280" s="731"/>
      <c r="C1280" s="732"/>
      <c r="D1280" s="733"/>
      <c r="E1280" s="734"/>
      <c r="F1280" s="437"/>
      <c r="G1280" s="454"/>
      <c r="H1280" s="735"/>
    </row>
    <row r="1281">
      <c r="A1281" s="730"/>
      <c r="B1281" s="731"/>
      <c r="C1281" s="732"/>
      <c r="D1281" s="733"/>
      <c r="E1281" s="734"/>
      <c r="F1281" s="437"/>
      <c r="G1281" s="454"/>
      <c r="H1281" s="735"/>
    </row>
    <row r="1282">
      <c r="A1282" s="730"/>
      <c r="B1282" s="731"/>
      <c r="C1282" s="732"/>
      <c r="D1282" s="733"/>
      <c r="E1282" s="734"/>
      <c r="F1282" s="437"/>
      <c r="G1282" s="454"/>
      <c r="H1282" s="735"/>
    </row>
    <row r="1283">
      <c r="A1283" s="730"/>
      <c r="B1283" s="731"/>
      <c r="C1283" s="732"/>
      <c r="D1283" s="733"/>
      <c r="E1283" s="734"/>
      <c r="F1283" s="437"/>
      <c r="G1283" s="454"/>
      <c r="H1283" s="735"/>
    </row>
    <row r="1284">
      <c r="A1284" s="730"/>
      <c r="B1284" s="731"/>
      <c r="C1284" s="732"/>
      <c r="D1284" s="733"/>
      <c r="E1284" s="734"/>
      <c r="F1284" s="437"/>
      <c r="G1284" s="454"/>
      <c r="H1284" s="735"/>
    </row>
    <row r="1285">
      <c r="A1285" s="730"/>
      <c r="B1285" s="731"/>
      <c r="C1285" s="732"/>
      <c r="D1285" s="733"/>
      <c r="E1285" s="734"/>
      <c r="F1285" s="437"/>
      <c r="G1285" s="454"/>
      <c r="H1285" s="735"/>
    </row>
    <row r="1286">
      <c r="A1286" s="730"/>
      <c r="B1286" s="731"/>
      <c r="C1286" s="732"/>
      <c r="D1286" s="733"/>
      <c r="E1286" s="734"/>
      <c r="F1286" s="437"/>
      <c r="G1286" s="454"/>
      <c r="H1286" s="735"/>
    </row>
    <row r="1287">
      <c r="A1287" s="730"/>
      <c r="B1287" s="731"/>
      <c r="C1287" s="732"/>
      <c r="D1287" s="733"/>
      <c r="E1287" s="734"/>
      <c r="F1287" s="437"/>
      <c r="G1287" s="454"/>
      <c r="H1287" s="735"/>
    </row>
    <row r="1288">
      <c r="A1288" s="730"/>
      <c r="B1288" s="731"/>
      <c r="C1288" s="732"/>
      <c r="D1288" s="733"/>
      <c r="E1288" s="734"/>
      <c r="F1288" s="437"/>
      <c r="G1288" s="454"/>
      <c r="H1288" s="735"/>
    </row>
    <row r="1289">
      <c r="A1289" s="730"/>
      <c r="B1289" s="731"/>
      <c r="C1289" s="732"/>
      <c r="D1289" s="733"/>
      <c r="E1289" s="734"/>
      <c r="F1289" s="437"/>
      <c r="G1289" s="454"/>
      <c r="H1289" s="735"/>
    </row>
    <row r="1290">
      <c r="A1290" s="730"/>
      <c r="B1290" s="731"/>
      <c r="C1290" s="732"/>
      <c r="D1290" s="733"/>
      <c r="E1290" s="734"/>
      <c r="F1290" s="437"/>
      <c r="G1290" s="454"/>
      <c r="H1290" s="735"/>
    </row>
    <row r="1291">
      <c r="A1291" s="730"/>
      <c r="B1291" s="731"/>
      <c r="C1291" s="732"/>
      <c r="D1291" s="733"/>
      <c r="E1291" s="734"/>
      <c r="F1291" s="437"/>
      <c r="G1291" s="454"/>
      <c r="H1291" s="735"/>
    </row>
    <row r="1292">
      <c r="A1292" s="730"/>
      <c r="B1292" s="731"/>
      <c r="C1292" s="732"/>
      <c r="D1292" s="733"/>
      <c r="E1292" s="734"/>
      <c r="F1292" s="437"/>
      <c r="G1292" s="454"/>
      <c r="H1292" s="735"/>
    </row>
    <row r="1293">
      <c r="A1293" s="730"/>
      <c r="B1293" s="731"/>
      <c r="C1293" s="732"/>
      <c r="D1293" s="733"/>
      <c r="E1293" s="734"/>
      <c r="F1293" s="437"/>
      <c r="G1293" s="454"/>
      <c r="H1293" s="735"/>
    </row>
    <row r="1294">
      <c r="A1294" s="730"/>
      <c r="B1294" s="731"/>
      <c r="C1294" s="732"/>
      <c r="D1294" s="733"/>
      <c r="E1294" s="734"/>
      <c r="F1294" s="437"/>
      <c r="G1294" s="454"/>
      <c r="H1294" s="735"/>
    </row>
    <row r="1295">
      <c r="A1295" s="730"/>
      <c r="B1295" s="731"/>
      <c r="C1295" s="732"/>
      <c r="D1295" s="733"/>
      <c r="E1295" s="734"/>
      <c r="F1295" s="437"/>
      <c r="G1295" s="454"/>
      <c r="H1295" s="735"/>
    </row>
    <row r="1296">
      <c r="A1296" s="730"/>
      <c r="B1296" s="731"/>
      <c r="C1296" s="732"/>
      <c r="D1296" s="733"/>
      <c r="E1296" s="734"/>
      <c r="F1296" s="437"/>
      <c r="G1296" s="454"/>
      <c r="H1296" s="735"/>
    </row>
    <row r="1297">
      <c r="A1297" s="730"/>
      <c r="B1297" s="731"/>
      <c r="C1297" s="732"/>
      <c r="D1297" s="733"/>
      <c r="E1297" s="734"/>
      <c r="F1297" s="437"/>
      <c r="G1297" s="454"/>
      <c r="H1297" s="735"/>
    </row>
    <row r="1298">
      <c r="A1298" s="730"/>
      <c r="B1298" s="731"/>
      <c r="C1298" s="732"/>
      <c r="D1298" s="733"/>
      <c r="E1298" s="734"/>
      <c r="F1298" s="437"/>
      <c r="G1298" s="454"/>
      <c r="H1298" s="735"/>
    </row>
    <row r="1299">
      <c r="A1299" s="730"/>
      <c r="B1299" s="731"/>
      <c r="C1299" s="732"/>
      <c r="D1299" s="733"/>
      <c r="E1299" s="734"/>
      <c r="F1299" s="437"/>
      <c r="G1299" s="454"/>
      <c r="H1299" s="735"/>
    </row>
    <row r="1300">
      <c r="A1300" s="730"/>
      <c r="B1300" s="731"/>
      <c r="C1300" s="732"/>
      <c r="D1300" s="733"/>
      <c r="E1300" s="734"/>
      <c r="F1300" s="437"/>
      <c r="G1300" s="454"/>
      <c r="H1300" s="735"/>
    </row>
    <row r="1301">
      <c r="A1301" s="730"/>
      <c r="B1301" s="731"/>
      <c r="C1301" s="732"/>
      <c r="D1301" s="733"/>
      <c r="E1301" s="734"/>
      <c r="F1301" s="437"/>
      <c r="G1301" s="454"/>
      <c r="H1301" s="735"/>
    </row>
    <row r="1302">
      <c r="A1302" s="730"/>
      <c r="B1302" s="731"/>
      <c r="C1302" s="732"/>
      <c r="D1302" s="733"/>
      <c r="E1302" s="734"/>
      <c r="F1302" s="437"/>
      <c r="G1302" s="454"/>
      <c r="H1302" s="735"/>
    </row>
    <row r="1303">
      <c r="A1303" s="730"/>
      <c r="B1303" s="731"/>
      <c r="C1303" s="732"/>
      <c r="D1303" s="733"/>
      <c r="E1303" s="734"/>
      <c r="F1303" s="437"/>
      <c r="G1303" s="454"/>
      <c r="H1303" s="735"/>
    </row>
    <row r="1304">
      <c r="A1304" s="730"/>
      <c r="B1304" s="731"/>
      <c r="C1304" s="732"/>
      <c r="D1304" s="733"/>
      <c r="E1304" s="734"/>
      <c r="F1304" s="437"/>
      <c r="G1304" s="454"/>
      <c r="H1304" s="735"/>
    </row>
    <row r="1305">
      <c r="A1305" s="730"/>
      <c r="B1305" s="731"/>
      <c r="C1305" s="732"/>
      <c r="D1305" s="733"/>
      <c r="E1305" s="734"/>
      <c r="F1305" s="437"/>
      <c r="G1305" s="454"/>
      <c r="H1305" s="735"/>
    </row>
    <row r="1306">
      <c r="A1306" s="730"/>
      <c r="B1306" s="731"/>
      <c r="C1306" s="732"/>
      <c r="D1306" s="733"/>
      <c r="E1306" s="734"/>
      <c r="F1306" s="437"/>
      <c r="G1306" s="454"/>
      <c r="H1306" s="735"/>
    </row>
    <row r="1307">
      <c r="A1307" s="730"/>
      <c r="B1307" s="731"/>
      <c r="C1307" s="732"/>
      <c r="D1307" s="733"/>
      <c r="E1307" s="734"/>
      <c r="F1307" s="437"/>
      <c r="G1307" s="454"/>
      <c r="H1307" s="735"/>
    </row>
    <row r="1308">
      <c r="A1308" s="730"/>
      <c r="B1308" s="731"/>
      <c r="C1308" s="732"/>
      <c r="D1308" s="733"/>
      <c r="E1308" s="734"/>
      <c r="F1308" s="437"/>
      <c r="G1308" s="454"/>
      <c r="H1308" s="735"/>
    </row>
    <row r="1309">
      <c r="A1309" s="730"/>
      <c r="B1309" s="731"/>
      <c r="C1309" s="732"/>
      <c r="D1309" s="733"/>
      <c r="E1309" s="734"/>
      <c r="F1309" s="437"/>
      <c r="G1309" s="454"/>
      <c r="H1309" s="735"/>
    </row>
    <row r="1310">
      <c r="A1310" s="730"/>
      <c r="B1310" s="731"/>
      <c r="C1310" s="732"/>
      <c r="D1310" s="733"/>
      <c r="E1310" s="734"/>
      <c r="F1310" s="437"/>
      <c r="G1310" s="454"/>
      <c r="H1310" s="735"/>
    </row>
    <row r="1311">
      <c r="A1311" s="730"/>
      <c r="B1311" s="731"/>
      <c r="C1311" s="732"/>
      <c r="D1311" s="733"/>
      <c r="E1311" s="734"/>
      <c r="F1311" s="437"/>
      <c r="G1311" s="454"/>
      <c r="H1311" s="735"/>
    </row>
    <row r="1312">
      <c r="A1312" s="730"/>
      <c r="B1312" s="731"/>
      <c r="C1312" s="732"/>
      <c r="D1312" s="733"/>
      <c r="E1312" s="734"/>
      <c r="F1312" s="437"/>
      <c r="G1312" s="454"/>
      <c r="H1312" s="735"/>
    </row>
    <row r="1313">
      <c r="A1313" s="730"/>
      <c r="B1313" s="731"/>
      <c r="C1313" s="732"/>
      <c r="D1313" s="733"/>
      <c r="E1313" s="734"/>
      <c r="F1313" s="437"/>
      <c r="G1313" s="454"/>
      <c r="H1313" s="735"/>
    </row>
    <row r="1314">
      <c r="A1314" s="730"/>
      <c r="B1314" s="731"/>
      <c r="C1314" s="732"/>
      <c r="D1314" s="733"/>
      <c r="E1314" s="734"/>
      <c r="F1314" s="437"/>
      <c r="G1314" s="454"/>
      <c r="H1314" s="735"/>
    </row>
    <row r="1315">
      <c r="A1315" s="730"/>
      <c r="B1315" s="731"/>
      <c r="C1315" s="732"/>
      <c r="D1315" s="733"/>
      <c r="E1315" s="734"/>
      <c r="F1315" s="437"/>
      <c r="G1315" s="454"/>
      <c r="H1315" s="735"/>
    </row>
    <row r="1316">
      <c r="A1316" s="730"/>
      <c r="B1316" s="731"/>
      <c r="C1316" s="732"/>
      <c r="D1316" s="733"/>
      <c r="E1316" s="734"/>
      <c r="F1316" s="437"/>
      <c r="G1316" s="454"/>
      <c r="H1316" s="735"/>
    </row>
    <row r="1317">
      <c r="A1317" s="730"/>
      <c r="B1317" s="731"/>
      <c r="C1317" s="732"/>
      <c r="D1317" s="733"/>
      <c r="E1317" s="734"/>
      <c r="F1317" s="437"/>
      <c r="G1317" s="454"/>
      <c r="H1317" s="735"/>
    </row>
    <row r="1318">
      <c r="A1318" s="730"/>
      <c r="B1318" s="731"/>
      <c r="C1318" s="732"/>
      <c r="D1318" s="733"/>
      <c r="E1318" s="734"/>
      <c r="F1318" s="437"/>
      <c r="G1318" s="454"/>
      <c r="H1318" s="735"/>
    </row>
    <row r="1319">
      <c r="A1319" s="730"/>
      <c r="B1319" s="731"/>
      <c r="C1319" s="732"/>
      <c r="D1319" s="733"/>
      <c r="E1319" s="734"/>
      <c r="F1319" s="437"/>
      <c r="G1319" s="454"/>
      <c r="H1319" s="735"/>
    </row>
    <row r="1320">
      <c r="A1320" s="730"/>
      <c r="B1320" s="731"/>
      <c r="C1320" s="732"/>
      <c r="D1320" s="733"/>
      <c r="E1320" s="734"/>
      <c r="F1320" s="437"/>
      <c r="G1320" s="454"/>
      <c r="H1320" s="735"/>
    </row>
    <row r="1321">
      <c r="A1321" s="730"/>
      <c r="B1321" s="731"/>
      <c r="C1321" s="732"/>
      <c r="D1321" s="733"/>
      <c r="E1321" s="734"/>
      <c r="F1321" s="437"/>
      <c r="G1321" s="454"/>
      <c r="H1321" s="735"/>
    </row>
    <row r="1322">
      <c r="A1322" s="730"/>
      <c r="B1322" s="731"/>
      <c r="C1322" s="732"/>
      <c r="D1322" s="733"/>
      <c r="E1322" s="734"/>
      <c r="F1322" s="437"/>
      <c r="G1322" s="454"/>
      <c r="H1322" s="735"/>
    </row>
    <row r="1323">
      <c r="A1323" s="730"/>
      <c r="B1323" s="731"/>
      <c r="C1323" s="732"/>
      <c r="D1323" s="733"/>
      <c r="E1323" s="734"/>
      <c r="F1323" s="437"/>
      <c r="G1323" s="454"/>
      <c r="H1323" s="735"/>
    </row>
    <row r="1324">
      <c r="A1324" s="730"/>
      <c r="B1324" s="731"/>
      <c r="C1324" s="732"/>
      <c r="D1324" s="733"/>
      <c r="E1324" s="734"/>
      <c r="F1324" s="437"/>
      <c r="G1324" s="454"/>
      <c r="H1324" s="735"/>
    </row>
    <row r="1325">
      <c r="A1325" s="730"/>
      <c r="B1325" s="731"/>
      <c r="C1325" s="732"/>
      <c r="D1325" s="733"/>
      <c r="E1325" s="734"/>
      <c r="F1325" s="437"/>
      <c r="G1325" s="454"/>
      <c r="H1325" s="735"/>
    </row>
    <row r="1326">
      <c r="A1326" s="730"/>
      <c r="B1326" s="731"/>
      <c r="C1326" s="732"/>
      <c r="D1326" s="733"/>
      <c r="E1326" s="734"/>
      <c r="F1326" s="437"/>
      <c r="G1326" s="454"/>
      <c r="H1326" s="735"/>
    </row>
    <row r="1327">
      <c r="A1327" s="730"/>
      <c r="B1327" s="731"/>
      <c r="C1327" s="732"/>
      <c r="D1327" s="733"/>
      <c r="E1327" s="734"/>
      <c r="F1327" s="437"/>
      <c r="G1327" s="454"/>
      <c r="H1327" s="735"/>
    </row>
    <row r="1328">
      <c r="A1328" s="730"/>
      <c r="B1328" s="731"/>
      <c r="C1328" s="732"/>
      <c r="D1328" s="733"/>
      <c r="E1328" s="734"/>
      <c r="F1328" s="437"/>
      <c r="G1328" s="454"/>
      <c r="H1328" s="735"/>
    </row>
    <row r="1329">
      <c r="A1329" s="730"/>
      <c r="B1329" s="731"/>
      <c r="C1329" s="732"/>
      <c r="D1329" s="733"/>
      <c r="E1329" s="734"/>
      <c r="F1329" s="437"/>
      <c r="G1329" s="454"/>
      <c r="H1329" s="735"/>
    </row>
    <row r="1330">
      <c r="A1330" s="730"/>
      <c r="B1330" s="731"/>
      <c r="C1330" s="732"/>
      <c r="D1330" s="733"/>
      <c r="E1330" s="734"/>
      <c r="F1330" s="437"/>
      <c r="G1330" s="454"/>
      <c r="H1330" s="735"/>
    </row>
    <row r="1331">
      <c r="A1331" s="730"/>
      <c r="B1331" s="731"/>
      <c r="C1331" s="732"/>
      <c r="D1331" s="733"/>
      <c r="E1331" s="734"/>
      <c r="F1331" s="437"/>
      <c r="G1331" s="454"/>
      <c r="H1331" s="735"/>
    </row>
    <row r="1332">
      <c r="A1332" s="730"/>
      <c r="B1332" s="731"/>
      <c r="C1332" s="732"/>
      <c r="D1332" s="733"/>
      <c r="E1332" s="734"/>
      <c r="F1332" s="437"/>
      <c r="G1332" s="454"/>
      <c r="H1332" s="735"/>
    </row>
    <row r="1333">
      <c r="A1333" s="730"/>
      <c r="B1333" s="731"/>
      <c r="C1333" s="732"/>
      <c r="D1333" s="733"/>
      <c r="E1333" s="734"/>
      <c r="F1333" s="437"/>
      <c r="G1333" s="454"/>
      <c r="H1333" s="735"/>
    </row>
    <row r="1334">
      <c r="A1334" s="730"/>
      <c r="B1334" s="731"/>
      <c r="C1334" s="732"/>
      <c r="D1334" s="733"/>
      <c r="E1334" s="734"/>
      <c r="F1334" s="437"/>
      <c r="G1334" s="454"/>
      <c r="H1334" s="735"/>
    </row>
    <row r="1335">
      <c r="A1335" s="730"/>
      <c r="B1335" s="731"/>
      <c r="C1335" s="732"/>
      <c r="D1335" s="733"/>
      <c r="E1335" s="734"/>
      <c r="F1335" s="437"/>
      <c r="G1335" s="454"/>
      <c r="H1335" s="735"/>
    </row>
    <row r="1336">
      <c r="A1336" s="730"/>
      <c r="B1336" s="731"/>
      <c r="C1336" s="732"/>
      <c r="D1336" s="733"/>
      <c r="E1336" s="734"/>
      <c r="F1336" s="437"/>
      <c r="G1336" s="454"/>
      <c r="H1336" s="735"/>
    </row>
    <row r="1337">
      <c r="A1337" s="730"/>
      <c r="B1337" s="731"/>
      <c r="C1337" s="732"/>
      <c r="D1337" s="733"/>
      <c r="E1337" s="734"/>
      <c r="F1337" s="437"/>
      <c r="G1337" s="454"/>
      <c r="H1337" s="735"/>
    </row>
    <row r="1338">
      <c r="A1338" s="730"/>
      <c r="B1338" s="731"/>
      <c r="C1338" s="732"/>
      <c r="D1338" s="733"/>
      <c r="E1338" s="734"/>
      <c r="F1338" s="437"/>
      <c r="G1338" s="454"/>
      <c r="H1338" s="735"/>
    </row>
    <row r="1339">
      <c r="A1339" s="730"/>
      <c r="B1339" s="731"/>
      <c r="C1339" s="732"/>
      <c r="D1339" s="733"/>
      <c r="E1339" s="734"/>
      <c r="F1339" s="437"/>
      <c r="G1339" s="454"/>
      <c r="H1339" s="735"/>
    </row>
    <row r="1340">
      <c r="A1340" s="730"/>
      <c r="B1340" s="731"/>
      <c r="C1340" s="732"/>
      <c r="D1340" s="733"/>
      <c r="E1340" s="734"/>
      <c r="F1340" s="437"/>
      <c r="G1340" s="454"/>
      <c r="H1340" s="735"/>
    </row>
    <row r="1341">
      <c r="A1341" s="730"/>
      <c r="B1341" s="731"/>
      <c r="C1341" s="732"/>
      <c r="D1341" s="733"/>
      <c r="E1341" s="734"/>
      <c r="F1341" s="437"/>
      <c r="G1341" s="454"/>
      <c r="H1341" s="735"/>
    </row>
    <row r="1342">
      <c r="A1342" s="730"/>
      <c r="B1342" s="731"/>
      <c r="C1342" s="732"/>
      <c r="D1342" s="733"/>
      <c r="E1342" s="734"/>
      <c r="F1342" s="437"/>
      <c r="G1342" s="454"/>
      <c r="H1342" s="735"/>
    </row>
    <row r="1343">
      <c r="A1343" s="730"/>
      <c r="B1343" s="731"/>
      <c r="C1343" s="732"/>
      <c r="D1343" s="733"/>
      <c r="E1343" s="734"/>
      <c r="F1343" s="437"/>
      <c r="G1343" s="454"/>
      <c r="H1343" s="735"/>
    </row>
    <row r="1344">
      <c r="A1344" s="730"/>
      <c r="B1344" s="731"/>
      <c r="C1344" s="732"/>
      <c r="D1344" s="733"/>
      <c r="E1344" s="734"/>
      <c r="F1344" s="437"/>
      <c r="G1344" s="454"/>
      <c r="H1344" s="735"/>
    </row>
    <row r="1345">
      <c r="A1345" s="730"/>
      <c r="B1345" s="731"/>
      <c r="C1345" s="732"/>
      <c r="D1345" s="733"/>
      <c r="E1345" s="734"/>
      <c r="F1345" s="437"/>
      <c r="G1345" s="454"/>
      <c r="H1345" s="735"/>
    </row>
    <row r="1346">
      <c r="A1346" s="730"/>
      <c r="B1346" s="731"/>
      <c r="C1346" s="732"/>
      <c r="D1346" s="733"/>
      <c r="E1346" s="734"/>
      <c r="F1346" s="437"/>
      <c r="G1346" s="454"/>
      <c r="H1346" s="735"/>
    </row>
    <row r="1347">
      <c r="A1347" s="730"/>
      <c r="B1347" s="731"/>
      <c r="C1347" s="732"/>
      <c r="D1347" s="733"/>
      <c r="E1347" s="734"/>
      <c r="F1347" s="437"/>
      <c r="G1347" s="454"/>
      <c r="H1347" s="735"/>
    </row>
    <row r="1348">
      <c r="A1348" s="730"/>
      <c r="B1348" s="731"/>
      <c r="C1348" s="732"/>
      <c r="D1348" s="733"/>
      <c r="E1348" s="734"/>
      <c r="F1348" s="437"/>
      <c r="G1348" s="454"/>
      <c r="H1348" s="735"/>
    </row>
    <row r="1349">
      <c r="A1349" s="730"/>
      <c r="B1349" s="731"/>
      <c r="C1349" s="732"/>
      <c r="D1349" s="733"/>
      <c r="E1349" s="734"/>
      <c r="F1349" s="437"/>
      <c r="G1349" s="454"/>
      <c r="H1349" s="735"/>
    </row>
    <row r="1350">
      <c r="A1350" s="730"/>
      <c r="B1350" s="731"/>
      <c r="C1350" s="732"/>
      <c r="D1350" s="733"/>
      <c r="E1350" s="734"/>
      <c r="F1350" s="437"/>
      <c r="G1350" s="454"/>
      <c r="H1350" s="735"/>
    </row>
    <row r="1351">
      <c r="A1351" s="730"/>
      <c r="B1351" s="731"/>
      <c r="C1351" s="732"/>
      <c r="D1351" s="733"/>
      <c r="E1351" s="734"/>
      <c r="F1351" s="437"/>
      <c r="G1351" s="454"/>
      <c r="H1351" s="735"/>
    </row>
    <row r="1352">
      <c r="A1352" s="730"/>
      <c r="B1352" s="731"/>
      <c r="C1352" s="732"/>
      <c r="D1352" s="733"/>
      <c r="E1352" s="734"/>
      <c r="F1352" s="437"/>
      <c r="G1352" s="454"/>
      <c r="H1352" s="735"/>
    </row>
    <row r="1353">
      <c r="A1353" s="730"/>
      <c r="B1353" s="731"/>
      <c r="C1353" s="732"/>
      <c r="D1353" s="733"/>
      <c r="E1353" s="734"/>
      <c r="F1353" s="437"/>
      <c r="G1353" s="454"/>
      <c r="H1353" s="735"/>
    </row>
    <row r="1354">
      <c r="A1354" s="730"/>
      <c r="B1354" s="731"/>
      <c r="C1354" s="732"/>
      <c r="D1354" s="733"/>
      <c r="E1354" s="734"/>
      <c r="F1354" s="437"/>
      <c r="G1354" s="454"/>
      <c r="H1354" s="735"/>
    </row>
    <row r="1355">
      <c r="A1355" s="730"/>
      <c r="B1355" s="731"/>
      <c r="C1355" s="732"/>
      <c r="D1355" s="733"/>
      <c r="E1355" s="734"/>
      <c r="F1355" s="437"/>
      <c r="G1355" s="454"/>
      <c r="H1355" s="735"/>
    </row>
    <row r="1356">
      <c r="A1356" s="730"/>
      <c r="B1356" s="731"/>
      <c r="C1356" s="732"/>
      <c r="D1356" s="733"/>
      <c r="E1356" s="734"/>
      <c r="F1356" s="437"/>
      <c r="G1356" s="454"/>
      <c r="H1356" s="735"/>
    </row>
    <row r="1357">
      <c r="A1357" s="730"/>
      <c r="B1357" s="731"/>
      <c r="C1357" s="732"/>
      <c r="D1357" s="733"/>
      <c r="E1357" s="734"/>
      <c r="F1357" s="437"/>
      <c r="G1357" s="454"/>
      <c r="H1357" s="735"/>
    </row>
    <row r="1358">
      <c r="A1358" s="730"/>
      <c r="B1358" s="731"/>
      <c r="C1358" s="732"/>
      <c r="D1358" s="733"/>
      <c r="E1358" s="734"/>
      <c r="F1358" s="437"/>
      <c r="G1358" s="454"/>
      <c r="H1358" s="735"/>
    </row>
    <row r="1359">
      <c r="A1359" s="730"/>
      <c r="B1359" s="731"/>
      <c r="C1359" s="732"/>
      <c r="D1359" s="733"/>
      <c r="E1359" s="734"/>
      <c r="F1359" s="437"/>
      <c r="G1359" s="454"/>
      <c r="H1359" s="735"/>
    </row>
    <row r="1360">
      <c r="A1360" s="730"/>
      <c r="B1360" s="731"/>
      <c r="C1360" s="732"/>
      <c r="D1360" s="733"/>
      <c r="E1360" s="734"/>
      <c r="F1360" s="437"/>
      <c r="G1360" s="454"/>
      <c r="H1360" s="735"/>
    </row>
    <row r="1361">
      <c r="A1361" s="730"/>
      <c r="B1361" s="731"/>
      <c r="C1361" s="732"/>
      <c r="D1361" s="733"/>
      <c r="E1361" s="734"/>
      <c r="F1361" s="437"/>
      <c r="G1361" s="454"/>
      <c r="H1361" s="735"/>
    </row>
    <row r="1362">
      <c r="A1362" s="730"/>
      <c r="B1362" s="731"/>
      <c r="C1362" s="732"/>
      <c r="D1362" s="733"/>
      <c r="E1362" s="734"/>
      <c r="F1362" s="437"/>
      <c r="G1362" s="454"/>
      <c r="H1362" s="735"/>
    </row>
    <row r="1363">
      <c r="A1363" s="730"/>
      <c r="B1363" s="731"/>
      <c r="C1363" s="732"/>
      <c r="D1363" s="733"/>
      <c r="E1363" s="734"/>
      <c r="F1363" s="437"/>
      <c r="G1363" s="454"/>
      <c r="H1363" s="735"/>
    </row>
    <row r="1364">
      <c r="A1364" s="730"/>
      <c r="B1364" s="731"/>
      <c r="C1364" s="732"/>
      <c r="D1364" s="733"/>
      <c r="E1364" s="734"/>
      <c r="F1364" s="437"/>
      <c r="G1364" s="454"/>
      <c r="H1364" s="735"/>
    </row>
    <row r="1365">
      <c r="A1365" s="730"/>
      <c r="B1365" s="731"/>
      <c r="C1365" s="732"/>
      <c r="D1365" s="733"/>
      <c r="E1365" s="734"/>
      <c r="F1365" s="437"/>
      <c r="G1365" s="454"/>
      <c r="H1365" s="735"/>
    </row>
    <row r="1366">
      <c r="A1366" s="730"/>
      <c r="B1366" s="731"/>
      <c r="C1366" s="732"/>
      <c r="D1366" s="733"/>
      <c r="E1366" s="734"/>
      <c r="F1366" s="437"/>
      <c r="G1366" s="454"/>
      <c r="H1366" s="735"/>
    </row>
    <row r="1367">
      <c r="A1367" s="730"/>
      <c r="B1367" s="731"/>
      <c r="C1367" s="732"/>
      <c r="D1367" s="733"/>
      <c r="E1367" s="734"/>
      <c r="F1367" s="437"/>
      <c r="G1367" s="454"/>
      <c r="H1367" s="735"/>
    </row>
    <row r="1368">
      <c r="A1368" s="730"/>
      <c r="B1368" s="731"/>
      <c r="C1368" s="732"/>
      <c r="D1368" s="733"/>
      <c r="E1368" s="734"/>
      <c r="F1368" s="437"/>
      <c r="G1368" s="454"/>
      <c r="H1368" s="735"/>
    </row>
    <row r="1369">
      <c r="A1369" s="730"/>
      <c r="B1369" s="731"/>
      <c r="C1369" s="732"/>
      <c r="D1369" s="733"/>
      <c r="E1369" s="734"/>
      <c r="F1369" s="437"/>
      <c r="G1369" s="454"/>
      <c r="H1369" s="735"/>
    </row>
    <row r="1370">
      <c r="A1370" s="730"/>
      <c r="B1370" s="731"/>
      <c r="C1370" s="732"/>
      <c r="D1370" s="733"/>
      <c r="E1370" s="734"/>
      <c r="F1370" s="437"/>
      <c r="G1370" s="454"/>
      <c r="H1370" s="735"/>
    </row>
    <row r="1371">
      <c r="A1371" s="730"/>
      <c r="B1371" s="731"/>
      <c r="C1371" s="732"/>
      <c r="D1371" s="733"/>
      <c r="E1371" s="734"/>
      <c r="F1371" s="437"/>
      <c r="G1371" s="454"/>
      <c r="H1371" s="735"/>
    </row>
    <row r="1372">
      <c r="A1372" s="730"/>
      <c r="B1372" s="731"/>
      <c r="C1372" s="732"/>
      <c r="D1372" s="733"/>
      <c r="E1372" s="734"/>
      <c r="F1372" s="437"/>
      <c r="G1372" s="454"/>
      <c r="H1372" s="735"/>
    </row>
    <row r="1373">
      <c r="A1373" s="730"/>
      <c r="B1373" s="731"/>
      <c r="C1373" s="732"/>
      <c r="D1373" s="733"/>
      <c r="E1373" s="734"/>
      <c r="F1373" s="437"/>
      <c r="G1373" s="454"/>
      <c r="H1373" s="735"/>
    </row>
    <row r="1374">
      <c r="A1374" s="730"/>
      <c r="B1374" s="731"/>
      <c r="C1374" s="732"/>
      <c r="D1374" s="733"/>
      <c r="E1374" s="734"/>
      <c r="F1374" s="437"/>
      <c r="G1374" s="454"/>
      <c r="H1374" s="735"/>
    </row>
    <row r="1375">
      <c r="A1375" s="730"/>
      <c r="B1375" s="731"/>
      <c r="C1375" s="732"/>
      <c r="D1375" s="733"/>
      <c r="E1375" s="734"/>
      <c r="F1375" s="437"/>
      <c r="G1375" s="454"/>
      <c r="H1375" s="735"/>
    </row>
    <row r="1376">
      <c r="A1376" s="730"/>
      <c r="B1376" s="731"/>
      <c r="C1376" s="732"/>
      <c r="D1376" s="733"/>
      <c r="E1376" s="734"/>
      <c r="F1376" s="437"/>
      <c r="G1376" s="454"/>
      <c r="H1376" s="735"/>
    </row>
    <row r="1377">
      <c r="A1377" s="730"/>
      <c r="B1377" s="731"/>
      <c r="C1377" s="732"/>
      <c r="D1377" s="733"/>
      <c r="E1377" s="734"/>
      <c r="F1377" s="437"/>
      <c r="G1377" s="454"/>
      <c r="H1377" s="735"/>
    </row>
    <row r="1378">
      <c r="A1378" s="730"/>
      <c r="B1378" s="731"/>
      <c r="C1378" s="732"/>
      <c r="D1378" s="733"/>
      <c r="E1378" s="734"/>
      <c r="F1378" s="437"/>
      <c r="G1378" s="454"/>
      <c r="H1378" s="735"/>
    </row>
    <row r="1379">
      <c r="A1379" s="730"/>
      <c r="B1379" s="731"/>
      <c r="C1379" s="732"/>
      <c r="D1379" s="733"/>
      <c r="E1379" s="734"/>
      <c r="F1379" s="437"/>
      <c r="G1379" s="454"/>
      <c r="H1379" s="735"/>
    </row>
    <row r="1380">
      <c r="A1380" s="730"/>
      <c r="B1380" s="731"/>
      <c r="C1380" s="732"/>
      <c r="D1380" s="733"/>
      <c r="E1380" s="734"/>
      <c r="F1380" s="437"/>
      <c r="G1380" s="454"/>
      <c r="H1380" s="735"/>
    </row>
    <row r="1381">
      <c r="A1381" s="730"/>
      <c r="B1381" s="731"/>
      <c r="C1381" s="732"/>
      <c r="D1381" s="733"/>
      <c r="E1381" s="734"/>
      <c r="F1381" s="437"/>
      <c r="G1381" s="454"/>
      <c r="H1381" s="735"/>
    </row>
    <row r="1382">
      <c r="A1382" s="730"/>
      <c r="B1382" s="731"/>
      <c r="C1382" s="732"/>
      <c r="D1382" s="733"/>
      <c r="E1382" s="734"/>
      <c r="F1382" s="437"/>
      <c r="G1382" s="454"/>
      <c r="H1382" s="735"/>
    </row>
    <row r="1383">
      <c r="A1383" s="730"/>
      <c r="B1383" s="731"/>
      <c r="C1383" s="732"/>
      <c r="D1383" s="733"/>
      <c r="E1383" s="734"/>
      <c r="F1383" s="437"/>
      <c r="G1383" s="454"/>
      <c r="H1383" s="735"/>
    </row>
    <row r="1384">
      <c r="A1384" s="730"/>
      <c r="B1384" s="731"/>
      <c r="C1384" s="732"/>
      <c r="D1384" s="733"/>
      <c r="E1384" s="734"/>
      <c r="F1384" s="437"/>
      <c r="G1384" s="454"/>
      <c r="H1384" s="735"/>
    </row>
    <row r="1385">
      <c r="A1385" s="730"/>
      <c r="B1385" s="731"/>
      <c r="C1385" s="732"/>
      <c r="D1385" s="733"/>
      <c r="E1385" s="734"/>
      <c r="F1385" s="437"/>
      <c r="G1385" s="454"/>
      <c r="H1385" s="735"/>
    </row>
    <row r="1386">
      <c r="A1386" s="730"/>
      <c r="B1386" s="731"/>
      <c r="C1386" s="732"/>
      <c r="D1386" s="733"/>
      <c r="E1386" s="734"/>
      <c r="F1386" s="437"/>
      <c r="G1386" s="454"/>
      <c r="H1386" s="735"/>
    </row>
    <row r="1387">
      <c r="A1387" s="730"/>
      <c r="B1387" s="731"/>
      <c r="C1387" s="732"/>
      <c r="D1387" s="733"/>
      <c r="E1387" s="734"/>
      <c r="F1387" s="437"/>
      <c r="G1387" s="454"/>
      <c r="H1387" s="735"/>
    </row>
    <row r="1388">
      <c r="A1388" s="730"/>
      <c r="B1388" s="731"/>
      <c r="C1388" s="732"/>
      <c r="D1388" s="733"/>
      <c r="E1388" s="734"/>
      <c r="F1388" s="437"/>
      <c r="G1388" s="454"/>
      <c r="H1388" s="735"/>
    </row>
    <row r="1389">
      <c r="A1389" s="730"/>
      <c r="B1389" s="731"/>
      <c r="C1389" s="732"/>
      <c r="D1389" s="733"/>
      <c r="E1389" s="734"/>
      <c r="F1389" s="437"/>
      <c r="G1389" s="454"/>
      <c r="H1389" s="735"/>
    </row>
    <row r="1390">
      <c r="A1390" s="730"/>
      <c r="B1390" s="731"/>
      <c r="C1390" s="732"/>
      <c r="D1390" s="733"/>
      <c r="E1390" s="734"/>
      <c r="F1390" s="437"/>
      <c r="G1390" s="454"/>
      <c r="H1390" s="735"/>
    </row>
    <row r="1391">
      <c r="A1391" s="730"/>
      <c r="B1391" s="731"/>
      <c r="C1391" s="732"/>
      <c r="D1391" s="733"/>
      <c r="E1391" s="734"/>
      <c r="F1391" s="437"/>
      <c r="G1391" s="454"/>
      <c r="H1391" s="735"/>
    </row>
    <row r="1392">
      <c r="A1392" s="730"/>
      <c r="B1392" s="731"/>
      <c r="C1392" s="732"/>
      <c r="D1392" s="733"/>
      <c r="E1392" s="734"/>
      <c r="F1392" s="437"/>
      <c r="G1392" s="454"/>
      <c r="H1392" s="735"/>
    </row>
    <row r="1393">
      <c r="A1393" s="730"/>
      <c r="B1393" s="731"/>
      <c r="C1393" s="732"/>
      <c r="D1393" s="733"/>
      <c r="E1393" s="734"/>
      <c r="F1393" s="437"/>
      <c r="G1393" s="454"/>
      <c r="H1393" s="735"/>
    </row>
    <row r="1394">
      <c r="A1394" s="730"/>
      <c r="B1394" s="731"/>
      <c r="C1394" s="732"/>
      <c r="D1394" s="733"/>
      <c r="E1394" s="734"/>
      <c r="F1394" s="437"/>
      <c r="G1394" s="454"/>
      <c r="H1394" s="735"/>
    </row>
    <row r="1395">
      <c r="A1395" s="730"/>
      <c r="B1395" s="731"/>
      <c r="C1395" s="732"/>
      <c r="D1395" s="733"/>
      <c r="E1395" s="734"/>
      <c r="F1395" s="437"/>
      <c r="G1395" s="454"/>
      <c r="H1395" s="735"/>
    </row>
    <row r="1396">
      <c r="A1396" s="730"/>
      <c r="B1396" s="731"/>
      <c r="C1396" s="732"/>
      <c r="D1396" s="733"/>
      <c r="E1396" s="734"/>
      <c r="F1396" s="437"/>
      <c r="G1396" s="454"/>
      <c r="H1396" s="735"/>
    </row>
    <row r="1397">
      <c r="A1397" s="730"/>
      <c r="B1397" s="731"/>
      <c r="C1397" s="732"/>
      <c r="D1397" s="733"/>
      <c r="E1397" s="734"/>
      <c r="F1397" s="437"/>
      <c r="G1397" s="454"/>
      <c r="H1397" s="735"/>
    </row>
    <row r="1398">
      <c r="A1398" s="730"/>
      <c r="B1398" s="731"/>
      <c r="C1398" s="732"/>
      <c r="D1398" s="733"/>
      <c r="E1398" s="734"/>
      <c r="F1398" s="437"/>
      <c r="G1398" s="454"/>
      <c r="H1398" s="735"/>
    </row>
    <row r="1399">
      <c r="A1399" s="730"/>
      <c r="B1399" s="731"/>
      <c r="C1399" s="732"/>
      <c r="D1399" s="733"/>
      <c r="E1399" s="734"/>
      <c r="F1399" s="437"/>
      <c r="G1399" s="454"/>
      <c r="H1399" s="735"/>
    </row>
    <row r="1400">
      <c r="A1400" s="730"/>
      <c r="B1400" s="731"/>
      <c r="C1400" s="732"/>
      <c r="D1400" s="733"/>
      <c r="E1400" s="734"/>
      <c r="F1400" s="437"/>
      <c r="G1400" s="454"/>
      <c r="H1400" s="735"/>
    </row>
    <row r="1401">
      <c r="A1401" s="730"/>
      <c r="B1401" s="731"/>
      <c r="C1401" s="732"/>
      <c r="D1401" s="733"/>
      <c r="E1401" s="734"/>
      <c r="F1401" s="437"/>
      <c r="G1401" s="454"/>
      <c r="H1401" s="735"/>
    </row>
    <row r="1402">
      <c r="A1402" s="730"/>
      <c r="B1402" s="731"/>
      <c r="C1402" s="732"/>
      <c r="D1402" s="733"/>
      <c r="E1402" s="734"/>
      <c r="F1402" s="437"/>
      <c r="G1402" s="454"/>
      <c r="H1402" s="735"/>
    </row>
    <row r="1403">
      <c r="A1403" s="730"/>
      <c r="B1403" s="731"/>
      <c r="C1403" s="732"/>
      <c r="D1403" s="733"/>
      <c r="E1403" s="734"/>
      <c r="F1403" s="437"/>
      <c r="G1403" s="454"/>
      <c r="H1403" s="735"/>
    </row>
    <row r="1404">
      <c r="A1404" s="730"/>
      <c r="B1404" s="731"/>
      <c r="C1404" s="732"/>
      <c r="D1404" s="733"/>
      <c r="E1404" s="734"/>
      <c r="F1404" s="437"/>
      <c r="G1404" s="454"/>
      <c r="H1404" s="735"/>
    </row>
    <row r="1405">
      <c r="A1405" s="730"/>
      <c r="B1405" s="731"/>
      <c r="C1405" s="732"/>
      <c r="D1405" s="733"/>
      <c r="E1405" s="734"/>
      <c r="F1405" s="437"/>
      <c r="G1405" s="454"/>
      <c r="H1405" s="735"/>
    </row>
    <row r="1406">
      <c r="A1406" s="730"/>
      <c r="B1406" s="731"/>
      <c r="C1406" s="732"/>
      <c r="D1406" s="733"/>
      <c r="E1406" s="734"/>
      <c r="F1406" s="437"/>
      <c r="G1406" s="454"/>
      <c r="H1406" s="735"/>
    </row>
    <row r="1407">
      <c r="A1407" s="730"/>
      <c r="B1407" s="731"/>
      <c r="C1407" s="732"/>
      <c r="D1407" s="733"/>
      <c r="E1407" s="734"/>
      <c r="F1407" s="437"/>
      <c r="G1407" s="454"/>
      <c r="H1407" s="735"/>
    </row>
    <row r="1408">
      <c r="A1408" s="730"/>
      <c r="B1408" s="731"/>
      <c r="C1408" s="732"/>
      <c r="D1408" s="733"/>
      <c r="E1408" s="734"/>
      <c r="F1408" s="437"/>
      <c r="G1408" s="454"/>
      <c r="H1408" s="735"/>
    </row>
    <row r="1409">
      <c r="A1409" s="730"/>
      <c r="B1409" s="731"/>
      <c r="C1409" s="732"/>
      <c r="D1409" s="733"/>
      <c r="E1409" s="734"/>
      <c r="F1409" s="437"/>
      <c r="G1409" s="454"/>
      <c r="H1409" s="735"/>
    </row>
    <row r="1410">
      <c r="A1410" s="730"/>
      <c r="B1410" s="731"/>
      <c r="C1410" s="732"/>
      <c r="D1410" s="733"/>
      <c r="E1410" s="734"/>
      <c r="F1410" s="437"/>
      <c r="G1410" s="454"/>
      <c r="H1410" s="735"/>
    </row>
    <row r="1411">
      <c r="A1411" s="730"/>
      <c r="B1411" s="731"/>
      <c r="C1411" s="732"/>
      <c r="D1411" s="733"/>
      <c r="E1411" s="734"/>
      <c r="F1411" s="437"/>
      <c r="G1411" s="454"/>
      <c r="H1411" s="735"/>
    </row>
    <row r="1412">
      <c r="A1412" s="730"/>
      <c r="B1412" s="731"/>
      <c r="C1412" s="732"/>
      <c r="D1412" s="733"/>
      <c r="E1412" s="734"/>
      <c r="F1412" s="437"/>
      <c r="G1412" s="454"/>
      <c r="H1412" s="735"/>
    </row>
    <row r="1413">
      <c r="A1413" s="730"/>
      <c r="B1413" s="731"/>
      <c r="C1413" s="732"/>
      <c r="D1413" s="733"/>
      <c r="E1413" s="734"/>
      <c r="F1413" s="437"/>
      <c r="G1413" s="454"/>
      <c r="H1413" s="735"/>
    </row>
    <row r="1414">
      <c r="A1414" s="730"/>
      <c r="B1414" s="731"/>
      <c r="C1414" s="732"/>
      <c r="D1414" s="733"/>
      <c r="E1414" s="734"/>
      <c r="F1414" s="437"/>
      <c r="G1414" s="454"/>
      <c r="H1414" s="735"/>
    </row>
    <row r="1415">
      <c r="A1415" s="730"/>
      <c r="B1415" s="731"/>
      <c r="C1415" s="732"/>
      <c r="D1415" s="733"/>
      <c r="E1415" s="734"/>
      <c r="F1415" s="437"/>
      <c r="G1415" s="454"/>
      <c r="H1415" s="735"/>
    </row>
    <row r="1416">
      <c r="A1416" s="730"/>
      <c r="B1416" s="731"/>
      <c r="C1416" s="732"/>
      <c r="D1416" s="733"/>
      <c r="E1416" s="734"/>
      <c r="F1416" s="437"/>
      <c r="G1416" s="454"/>
      <c r="H1416" s="735"/>
    </row>
    <row r="1417">
      <c r="A1417" s="730"/>
      <c r="B1417" s="731"/>
      <c r="C1417" s="732"/>
      <c r="D1417" s="733"/>
      <c r="E1417" s="734"/>
      <c r="F1417" s="437"/>
      <c r="G1417" s="454"/>
      <c r="H1417" s="735"/>
    </row>
    <row r="1418">
      <c r="A1418" s="730"/>
      <c r="B1418" s="731"/>
      <c r="C1418" s="732"/>
      <c r="D1418" s="733"/>
      <c r="E1418" s="734"/>
      <c r="F1418" s="437"/>
      <c r="G1418" s="454"/>
      <c r="H1418" s="735"/>
    </row>
    <row r="1419">
      <c r="A1419" s="730"/>
      <c r="B1419" s="731"/>
      <c r="C1419" s="732"/>
      <c r="D1419" s="733"/>
      <c r="E1419" s="734"/>
      <c r="F1419" s="437"/>
      <c r="G1419" s="454"/>
      <c r="H1419" s="735"/>
    </row>
    <row r="1420">
      <c r="A1420" s="730"/>
      <c r="B1420" s="731"/>
      <c r="C1420" s="732"/>
      <c r="D1420" s="733"/>
      <c r="E1420" s="734"/>
      <c r="F1420" s="437"/>
      <c r="G1420" s="454"/>
      <c r="H1420" s="735"/>
    </row>
    <row r="1421">
      <c r="A1421" s="730"/>
      <c r="B1421" s="731"/>
      <c r="C1421" s="732"/>
      <c r="D1421" s="733"/>
      <c r="E1421" s="734"/>
      <c r="F1421" s="437"/>
      <c r="G1421" s="454"/>
      <c r="H1421" s="735"/>
    </row>
    <row r="1422">
      <c r="A1422" s="730"/>
      <c r="B1422" s="731"/>
      <c r="C1422" s="732"/>
      <c r="D1422" s="733"/>
      <c r="E1422" s="734"/>
      <c r="F1422" s="437"/>
      <c r="G1422" s="454"/>
      <c r="H1422" s="735"/>
    </row>
    <row r="1423">
      <c r="A1423" s="730"/>
      <c r="B1423" s="731"/>
      <c r="C1423" s="732"/>
      <c r="D1423" s="733"/>
      <c r="E1423" s="734"/>
      <c r="F1423" s="437"/>
      <c r="G1423" s="454"/>
      <c r="H1423" s="735"/>
    </row>
    <row r="1424">
      <c r="A1424" s="730"/>
      <c r="B1424" s="731"/>
      <c r="C1424" s="732"/>
      <c r="D1424" s="733"/>
      <c r="E1424" s="734"/>
      <c r="F1424" s="437"/>
      <c r="G1424" s="454"/>
      <c r="H1424" s="735"/>
    </row>
    <row r="1425">
      <c r="A1425" s="730"/>
      <c r="B1425" s="731"/>
      <c r="C1425" s="732"/>
      <c r="D1425" s="733"/>
      <c r="E1425" s="734"/>
      <c r="F1425" s="437"/>
      <c r="G1425" s="454"/>
      <c r="H1425" s="735"/>
    </row>
    <row r="1426">
      <c r="A1426" s="730"/>
      <c r="B1426" s="731"/>
      <c r="C1426" s="732"/>
      <c r="D1426" s="733"/>
      <c r="E1426" s="734"/>
      <c r="F1426" s="437"/>
      <c r="G1426" s="454"/>
      <c r="H1426" s="735"/>
    </row>
    <row r="1427">
      <c r="A1427" s="730"/>
      <c r="B1427" s="731"/>
      <c r="C1427" s="732"/>
      <c r="D1427" s="733"/>
      <c r="E1427" s="734"/>
      <c r="F1427" s="437"/>
      <c r="G1427" s="454"/>
      <c r="H1427" s="735"/>
    </row>
    <row r="1428">
      <c r="A1428" s="730"/>
      <c r="B1428" s="731"/>
      <c r="C1428" s="732"/>
      <c r="D1428" s="733"/>
      <c r="E1428" s="734"/>
      <c r="F1428" s="437"/>
      <c r="G1428" s="454"/>
      <c r="H1428" s="735"/>
    </row>
    <row r="1429">
      <c r="A1429" s="730"/>
      <c r="B1429" s="731"/>
      <c r="C1429" s="732"/>
      <c r="D1429" s="733"/>
      <c r="E1429" s="734"/>
      <c r="F1429" s="437"/>
      <c r="G1429" s="454"/>
      <c r="H1429" s="735"/>
    </row>
    <row r="1430">
      <c r="A1430" s="730"/>
      <c r="B1430" s="731"/>
      <c r="C1430" s="732"/>
      <c r="D1430" s="733"/>
      <c r="E1430" s="734"/>
      <c r="F1430" s="437"/>
      <c r="G1430" s="454"/>
      <c r="H1430" s="735"/>
    </row>
    <row r="1431">
      <c r="A1431" s="730"/>
      <c r="B1431" s="731"/>
      <c r="C1431" s="732"/>
      <c r="D1431" s="733"/>
      <c r="E1431" s="734"/>
      <c r="F1431" s="437"/>
      <c r="G1431" s="454"/>
      <c r="H1431" s="735"/>
    </row>
    <row r="1432">
      <c r="A1432" s="730"/>
      <c r="B1432" s="731"/>
      <c r="C1432" s="732"/>
      <c r="D1432" s="733"/>
      <c r="E1432" s="734"/>
      <c r="F1432" s="437"/>
      <c r="G1432" s="454"/>
      <c r="H1432" s="735"/>
    </row>
    <row r="1433">
      <c r="A1433" s="730"/>
      <c r="B1433" s="731"/>
      <c r="C1433" s="732"/>
      <c r="D1433" s="733"/>
      <c r="E1433" s="734"/>
      <c r="F1433" s="437"/>
      <c r="G1433" s="454"/>
      <c r="H1433" s="735"/>
    </row>
    <row r="1434">
      <c r="A1434" s="730"/>
      <c r="B1434" s="731"/>
      <c r="C1434" s="732"/>
      <c r="D1434" s="733"/>
      <c r="E1434" s="734"/>
      <c r="F1434" s="437"/>
      <c r="G1434" s="454"/>
      <c r="H1434" s="735"/>
    </row>
    <row r="1435">
      <c r="A1435" s="730"/>
      <c r="B1435" s="731"/>
      <c r="C1435" s="732"/>
      <c r="D1435" s="733"/>
      <c r="E1435" s="734"/>
      <c r="F1435" s="437"/>
      <c r="G1435" s="454"/>
      <c r="H1435" s="735"/>
    </row>
    <row r="1436">
      <c r="A1436" s="730"/>
      <c r="B1436" s="731"/>
      <c r="C1436" s="732"/>
      <c r="D1436" s="733"/>
      <c r="E1436" s="734"/>
      <c r="F1436" s="437"/>
      <c r="G1436" s="454"/>
      <c r="H1436" s="735"/>
    </row>
    <row r="1437">
      <c r="A1437" s="730"/>
      <c r="B1437" s="731"/>
      <c r="C1437" s="732"/>
      <c r="D1437" s="733"/>
      <c r="E1437" s="734"/>
      <c r="F1437" s="437"/>
      <c r="G1437" s="454"/>
      <c r="H1437" s="735"/>
    </row>
    <row r="1438">
      <c r="A1438" s="730"/>
      <c r="B1438" s="731"/>
      <c r="C1438" s="732"/>
      <c r="D1438" s="733"/>
      <c r="E1438" s="734"/>
      <c r="F1438" s="437"/>
      <c r="G1438" s="454"/>
      <c r="H1438" s="735"/>
    </row>
    <row r="1439">
      <c r="A1439" s="730"/>
      <c r="B1439" s="731"/>
      <c r="C1439" s="732"/>
      <c r="D1439" s="733"/>
      <c r="E1439" s="734"/>
      <c r="F1439" s="437"/>
      <c r="G1439" s="454"/>
      <c r="H1439" s="735"/>
    </row>
    <row r="1440">
      <c r="A1440" s="730"/>
      <c r="B1440" s="731"/>
      <c r="C1440" s="732"/>
      <c r="D1440" s="733"/>
      <c r="E1440" s="734"/>
      <c r="F1440" s="437"/>
      <c r="G1440" s="454"/>
      <c r="H1440" s="735"/>
    </row>
    <row r="1441">
      <c r="A1441" s="730"/>
      <c r="B1441" s="731"/>
      <c r="C1441" s="732"/>
      <c r="D1441" s="733"/>
      <c r="E1441" s="734"/>
      <c r="F1441" s="437"/>
      <c r="G1441" s="454"/>
      <c r="H1441" s="735"/>
    </row>
    <row r="1442">
      <c r="A1442" s="730"/>
      <c r="B1442" s="731"/>
      <c r="C1442" s="732"/>
      <c r="D1442" s="733"/>
      <c r="E1442" s="734"/>
      <c r="F1442" s="437"/>
      <c r="G1442" s="454"/>
      <c r="H1442" s="735"/>
    </row>
    <row r="1443">
      <c r="A1443" s="730"/>
      <c r="B1443" s="731"/>
      <c r="C1443" s="732"/>
      <c r="D1443" s="733"/>
      <c r="E1443" s="734"/>
      <c r="F1443" s="437"/>
      <c r="G1443" s="454"/>
      <c r="H1443" s="735"/>
    </row>
    <row r="1444">
      <c r="A1444" s="730"/>
      <c r="B1444" s="731"/>
      <c r="C1444" s="732"/>
      <c r="D1444" s="733"/>
      <c r="E1444" s="734"/>
      <c r="F1444" s="437"/>
      <c r="G1444" s="454"/>
      <c r="H1444" s="735"/>
    </row>
    <row r="1445">
      <c r="A1445" s="730"/>
      <c r="B1445" s="731"/>
      <c r="C1445" s="732"/>
      <c r="D1445" s="733"/>
      <c r="E1445" s="734"/>
      <c r="F1445" s="437"/>
      <c r="G1445" s="454"/>
      <c r="H1445" s="735"/>
    </row>
    <row r="1446">
      <c r="A1446" s="730"/>
      <c r="B1446" s="731"/>
      <c r="C1446" s="732"/>
      <c r="D1446" s="733"/>
      <c r="E1446" s="734"/>
      <c r="F1446" s="437"/>
      <c r="G1446" s="454"/>
      <c r="H1446" s="735"/>
    </row>
    <row r="1447">
      <c r="A1447" s="730"/>
      <c r="B1447" s="731"/>
      <c r="C1447" s="732"/>
      <c r="D1447" s="733"/>
      <c r="E1447" s="734"/>
      <c r="F1447" s="437"/>
      <c r="G1447" s="454"/>
      <c r="H1447" s="735"/>
    </row>
    <row r="1448">
      <c r="A1448" s="730"/>
      <c r="B1448" s="731"/>
      <c r="C1448" s="732"/>
      <c r="D1448" s="733"/>
      <c r="E1448" s="734"/>
      <c r="F1448" s="437"/>
      <c r="G1448" s="454"/>
      <c r="H1448" s="735"/>
    </row>
    <row r="1449">
      <c r="A1449" s="730"/>
      <c r="B1449" s="731"/>
      <c r="C1449" s="732"/>
      <c r="D1449" s="733"/>
      <c r="E1449" s="734"/>
      <c r="F1449" s="437"/>
      <c r="G1449" s="454"/>
      <c r="H1449" s="735"/>
    </row>
    <row r="1450">
      <c r="A1450" s="730"/>
      <c r="B1450" s="731"/>
      <c r="C1450" s="732"/>
      <c r="D1450" s="733"/>
      <c r="E1450" s="734"/>
      <c r="F1450" s="437"/>
      <c r="G1450" s="454"/>
      <c r="H1450" s="735"/>
    </row>
    <row r="1451">
      <c r="A1451" s="730"/>
      <c r="B1451" s="731"/>
      <c r="C1451" s="732"/>
      <c r="D1451" s="733"/>
      <c r="E1451" s="734"/>
      <c r="F1451" s="437"/>
      <c r="G1451" s="454"/>
      <c r="H1451" s="735"/>
    </row>
    <row r="1452">
      <c r="A1452" s="730"/>
      <c r="B1452" s="731"/>
      <c r="C1452" s="732"/>
      <c r="D1452" s="733"/>
      <c r="E1452" s="734"/>
      <c r="F1452" s="437"/>
      <c r="G1452" s="454"/>
      <c r="H1452" s="735"/>
    </row>
    <row r="1453">
      <c r="A1453" s="730"/>
      <c r="B1453" s="731"/>
      <c r="C1453" s="732"/>
      <c r="D1453" s="733"/>
      <c r="E1453" s="734"/>
      <c r="F1453" s="437"/>
      <c r="G1453" s="454"/>
      <c r="H1453" s="735"/>
    </row>
    <row r="1454">
      <c r="A1454" s="730"/>
      <c r="B1454" s="731"/>
      <c r="C1454" s="732"/>
      <c r="D1454" s="733"/>
      <c r="E1454" s="734"/>
      <c r="F1454" s="437"/>
      <c r="G1454" s="454"/>
      <c r="H1454" s="735"/>
    </row>
    <row r="1455">
      <c r="A1455" s="730"/>
      <c r="B1455" s="731"/>
      <c r="C1455" s="732"/>
      <c r="D1455" s="733"/>
      <c r="E1455" s="734"/>
      <c r="F1455" s="437"/>
      <c r="G1455" s="454"/>
      <c r="H1455" s="735"/>
    </row>
    <row r="1456">
      <c r="A1456" s="730"/>
      <c r="B1456" s="731"/>
      <c r="C1456" s="732"/>
      <c r="D1456" s="733"/>
      <c r="E1456" s="734"/>
      <c r="F1456" s="437"/>
      <c r="G1456" s="454"/>
      <c r="H1456" s="735"/>
    </row>
    <row r="1457">
      <c r="A1457" s="730"/>
      <c r="B1457" s="731"/>
      <c r="C1457" s="732"/>
      <c r="D1457" s="733"/>
      <c r="E1457" s="734"/>
      <c r="F1457" s="437"/>
      <c r="G1457" s="454"/>
      <c r="H1457" s="735"/>
    </row>
    <row r="1458">
      <c r="A1458" s="730"/>
      <c r="B1458" s="731"/>
      <c r="C1458" s="732"/>
      <c r="D1458" s="733"/>
      <c r="E1458" s="734"/>
      <c r="F1458" s="437"/>
      <c r="G1458" s="454"/>
      <c r="H1458" s="735"/>
    </row>
    <row r="1459">
      <c r="A1459" s="730"/>
      <c r="B1459" s="731"/>
      <c r="C1459" s="732"/>
      <c r="D1459" s="733"/>
      <c r="E1459" s="734"/>
      <c r="F1459" s="437"/>
      <c r="G1459" s="454"/>
      <c r="H1459" s="735"/>
    </row>
    <row r="1460">
      <c r="A1460" s="730"/>
      <c r="B1460" s="731"/>
      <c r="C1460" s="732"/>
      <c r="D1460" s="733"/>
      <c r="E1460" s="734"/>
      <c r="F1460" s="437"/>
      <c r="G1460" s="454"/>
      <c r="H1460" s="735"/>
    </row>
    <row r="1461">
      <c r="A1461" s="730"/>
      <c r="B1461" s="731"/>
      <c r="C1461" s="732"/>
      <c r="D1461" s="733"/>
      <c r="E1461" s="734"/>
      <c r="F1461" s="437"/>
      <c r="G1461" s="454"/>
      <c r="H1461" s="735"/>
    </row>
    <row r="1462">
      <c r="A1462" s="730"/>
      <c r="B1462" s="731"/>
      <c r="C1462" s="732"/>
      <c r="D1462" s="733"/>
      <c r="E1462" s="734"/>
      <c r="F1462" s="437"/>
      <c r="G1462" s="454"/>
      <c r="H1462" s="735"/>
    </row>
    <row r="1463">
      <c r="A1463" s="730"/>
      <c r="B1463" s="731"/>
      <c r="C1463" s="732"/>
      <c r="D1463" s="733"/>
      <c r="E1463" s="734"/>
      <c r="F1463" s="437"/>
      <c r="G1463" s="454"/>
      <c r="H1463" s="735"/>
    </row>
    <row r="1464">
      <c r="A1464" s="730"/>
      <c r="B1464" s="731"/>
      <c r="C1464" s="732"/>
      <c r="D1464" s="733"/>
      <c r="E1464" s="734"/>
      <c r="F1464" s="437"/>
      <c r="G1464" s="454"/>
      <c r="H1464" s="735"/>
    </row>
    <row r="1465">
      <c r="A1465" s="730"/>
      <c r="B1465" s="731"/>
      <c r="C1465" s="732"/>
      <c r="D1465" s="733"/>
      <c r="E1465" s="734"/>
      <c r="F1465" s="437"/>
      <c r="G1465" s="454"/>
      <c r="H1465" s="735"/>
    </row>
    <row r="1466">
      <c r="A1466" s="730"/>
      <c r="B1466" s="731"/>
      <c r="C1466" s="732"/>
      <c r="D1466" s="733"/>
      <c r="E1466" s="734"/>
      <c r="F1466" s="437"/>
      <c r="G1466" s="454"/>
      <c r="H1466" s="735"/>
    </row>
    <row r="1467">
      <c r="A1467" s="730"/>
      <c r="B1467" s="731"/>
      <c r="C1467" s="732"/>
      <c r="D1467" s="733"/>
      <c r="E1467" s="734"/>
      <c r="F1467" s="437"/>
      <c r="G1467" s="454"/>
      <c r="H1467" s="735"/>
    </row>
    <row r="1468">
      <c r="A1468" s="730"/>
      <c r="B1468" s="731"/>
      <c r="C1468" s="732"/>
      <c r="D1468" s="733"/>
      <c r="E1468" s="734"/>
      <c r="F1468" s="437"/>
      <c r="G1468" s="454"/>
      <c r="H1468" s="735"/>
    </row>
    <row r="1469">
      <c r="A1469" s="730"/>
      <c r="B1469" s="731"/>
      <c r="C1469" s="732"/>
      <c r="D1469" s="733"/>
      <c r="E1469" s="734"/>
      <c r="F1469" s="437"/>
      <c r="G1469" s="454"/>
      <c r="H1469" s="735"/>
    </row>
    <row r="1470">
      <c r="A1470" s="730"/>
      <c r="B1470" s="731"/>
      <c r="C1470" s="732"/>
      <c r="D1470" s="733"/>
      <c r="E1470" s="734"/>
      <c r="F1470" s="437"/>
      <c r="G1470" s="454"/>
      <c r="H1470" s="735"/>
    </row>
    <row r="1471">
      <c r="A1471" s="730"/>
      <c r="B1471" s="731"/>
      <c r="C1471" s="732"/>
      <c r="D1471" s="733"/>
      <c r="E1471" s="734"/>
      <c r="F1471" s="437"/>
      <c r="G1471" s="454"/>
      <c r="H1471" s="735"/>
    </row>
    <row r="1472">
      <c r="A1472" s="730"/>
      <c r="B1472" s="731"/>
      <c r="C1472" s="732"/>
      <c r="D1472" s="733"/>
      <c r="E1472" s="734"/>
      <c r="F1472" s="437"/>
      <c r="G1472" s="454"/>
      <c r="H1472" s="735"/>
    </row>
    <row r="1473">
      <c r="A1473" s="730"/>
      <c r="B1473" s="731"/>
      <c r="C1473" s="732"/>
      <c r="D1473" s="733"/>
      <c r="E1473" s="734"/>
      <c r="F1473" s="437"/>
      <c r="G1473" s="454"/>
      <c r="H1473" s="735"/>
    </row>
    <row r="1474">
      <c r="A1474" s="730"/>
      <c r="B1474" s="731"/>
      <c r="C1474" s="732"/>
      <c r="D1474" s="733"/>
      <c r="E1474" s="734"/>
      <c r="F1474" s="437"/>
      <c r="G1474" s="454"/>
      <c r="H1474" s="735"/>
    </row>
    <row r="1475">
      <c r="A1475" s="730"/>
      <c r="B1475" s="731"/>
      <c r="C1475" s="732"/>
      <c r="D1475" s="733"/>
      <c r="E1475" s="734"/>
      <c r="F1475" s="437"/>
      <c r="G1475" s="454"/>
      <c r="H1475" s="735"/>
    </row>
    <row r="1476">
      <c r="A1476" s="730"/>
      <c r="B1476" s="731"/>
      <c r="C1476" s="732"/>
      <c r="D1476" s="733"/>
      <c r="E1476" s="734"/>
      <c r="F1476" s="437"/>
      <c r="G1476" s="454"/>
      <c r="H1476" s="735"/>
    </row>
    <row r="1477">
      <c r="A1477" s="730"/>
      <c r="B1477" s="731"/>
      <c r="C1477" s="732"/>
      <c r="D1477" s="733"/>
      <c r="E1477" s="734"/>
      <c r="F1477" s="437"/>
      <c r="G1477" s="454"/>
      <c r="H1477" s="735"/>
    </row>
    <row r="1478">
      <c r="A1478" s="730"/>
      <c r="B1478" s="731"/>
      <c r="C1478" s="732"/>
      <c r="D1478" s="733"/>
      <c r="E1478" s="734"/>
      <c r="F1478" s="437"/>
      <c r="G1478" s="454"/>
      <c r="H1478" s="735"/>
    </row>
    <row r="1479">
      <c r="A1479" s="730"/>
      <c r="B1479" s="731"/>
      <c r="C1479" s="732"/>
      <c r="D1479" s="733"/>
      <c r="E1479" s="734"/>
      <c r="F1479" s="437"/>
      <c r="G1479" s="454"/>
      <c r="H1479" s="735"/>
    </row>
    <row r="1480">
      <c r="A1480" s="730"/>
      <c r="B1480" s="731"/>
      <c r="C1480" s="732"/>
      <c r="D1480" s="733"/>
      <c r="E1480" s="734"/>
      <c r="F1480" s="437"/>
      <c r="G1480" s="454"/>
      <c r="H1480" s="735"/>
    </row>
    <row r="1481">
      <c r="A1481" s="730"/>
      <c r="B1481" s="731"/>
      <c r="C1481" s="732"/>
      <c r="D1481" s="733"/>
      <c r="E1481" s="734"/>
      <c r="F1481" s="437"/>
      <c r="G1481" s="454"/>
      <c r="H1481" s="735"/>
    </row>
    <row r="1482">
      <c r="A1482" s="730"/>
      <c r="B1482" s="731"/>
      <c r="C1482" s="732"/>
      <c r="D1482" s="733"/>
      <c r="E1482" s="734"/>
      <c r="F1482" s="437"/>
      <c r="G1482" s="454"/>
      <c r="H1482" s="735"/>
    </row>
  </sheetData>
  <autoFilter ref="$A$74:$F$88">
    <sortState ref="A74:F88">
      <sortCondition ref="A74:A88"/>
    </sortState>
  </autoFilter>
  <mergeCells count="28">
    <mergeCell ref="A2:C2"/>
    <mergeCell ref="A31:C31"/>
    <mergeCell ref="A94:C94"/>
    <mergeCell ref="A108:C108"/>
    <mergeCell ref="A125:C125"/>
    <mergeCell ref="A132:C132"/>
    <mergeCell ref="A148:C148"/>
    <mergeCell ref="A159:C159"/>
    <mergeCell ref="A168:C168"/>
    <mergeCell ref="A170:C170"/>
    <mergeCell ref="A179:C179"/>
    <mergeCell ref="A200:C200"/>
    <mergeCell ref="A215:C215"/>
    <mergeCell ref="A237:C237"/>
    <mergeCell ref="A431:C431"/>
    <mergeCell ref="A443:C443"/>
    <mergeCell ref="A483:C483"/>
    <mergeCell ref="A537:C537"/>
    <mergeCell ref="A605:C605"/>
    <mergeCell ref="A627:C627"/>
    <mergeCell ref="A637:C637"/>
    <mergeCell ref="A257:C257"/>
    <mergeCell ref="A291:C291"/>
    <mergeCell ref="A332:C332"/>
    <mergeCell ref="A338:C338"/>
    <mergeCell ref="A365:E365"/>
    <mergeCell ref="A398:C398"/>
    <mergeCell ref="A419:C419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736" t="s">
        <v>1973</v>
      </c>
      <c r="B1" s="737"/>
      <c r="C1" s="737"/>
      <c r="D1" s="737"/>
      <c r="E1" s="737"/>
      <c r="F1" s="737"/>
      <c r="G1" s="738"/>
    </row>
    <row r="2">
      <c r="A2" s="739"/>
      <c r="B2" s="740"/>
      <c r="C2" s="740"/>
      <c r="D2" s="740"/>
      <c r="E2" s="740"/>
      <c r="F2" s="740"/>
      <c r="G2" s="741"/>
    </row>
    <row r="3" ht="15.0" customHeight="1">
      <c r="A3" s="742"/>
      <c r="B3" s="742"/>
      <c r="C3" s="742"/>
      <c r="D3" s="742"/>
      <c r="E3" s="742"/>
      <c r="F3" s="742"/>
      <c r="G3" s="742"/>
    </row>
    <row r="4">
      <c r="A4" s="743" t="s">
        <v>1974</v>
      </c>
      <c r="B4" s="744"/>
      <c r="C4" s="744"/>
      <c r="D4" s="744"/>
      <c r="E4" s="744"/>
      <c r="F4" s="744"/>
      <c r="G4" s="745"/>
    </row>
    <row r="5">
      <c r="A5" s="746"/>
      <c r="B5" s="747">
        <v>45748.0</v>
      </c>
      <c r="C5" s="748">
        <v>45925.0</v>
      </c>
      <c r="D5" s="749">
        <v>2026.0</v>
      </c>
      <c r="E5" s="750">
        <v>46023.0</v>
      </c>
      <c r="F5" s="751"/>
      <c r="G5" s="752"/>
    </row>
    <row r="6">
      <c r="A6" s="753" t="s">
        <v>1975</v>
      </c>
      <c r="B6" s="754">
        <v>390000.0</v>
      </c>
      <c r="C6" s="755">
        <v>430000.0</v>
      </c>
      <c r="D6" s="755">
        <v>450000.0</v>
      </c>
      <c r="E6" s="755">
        <v>450000.0</v>
      </c>
      <c r="F6" s="754"/>
      <c r="G6" s="756"/>
    </row>
    <row r="7">
      <c r="A7" s="753" t="s">
        <v>1976</v>
      </c>
      <c r="B7" s="754">
        <v>280000.0</v>
      </c>
      <c r="C7" s="754">
        <f t="shared" ref="C7:D7" si="1">B7</f>
        <v>280000</v>
      </c>
      <c r="D7" s="754">
        <f t="shared" si="1"/>
        <v>280000</v>
      </c>
      <c r="E7" s="755">
        <v>290000.0</v>
      </c>
      <c r="F7" s="754"/>
      <c r="G7" s="756"/>
    </row>
    <row r="8">
      <c r="A8" s="757" t="s">
        <v>1977</v>
      </c>
      <c r="B8" s="758">
        <f t="shared" ref="B8:E8" si="2">B6-B7</f>
        <v>110000</v>
      </c>
      <c r="C8" s="758">
        <f t="shared" si="2"/>
        <v>150000</v>
      </c>
      <c r="D8" s="758">
        <f t="shared" si="2"/>
        <v>170000</v>
      </c>
      <c r="E8" s="758">
        <f t="shared" si="2"/>
        <v>160000</v>
      </c>
      <c r="F8" s="758"/>
      <c r="G8" s="759"/>
    </row>
    <row r="9">
      <c r="A9" s="760"/>
      <c r="B9" s="760"/>
      <c r="C9" s="760"/>
      <c r="D9" s="760"/>
      <c r="E9" s="760"/>
      <c r="F9" s="760"/>
      <c r="G9" s="760"/>
    </row>
    <row r="10">
      <c r="A10" s="743" t="s">
        <v>554</v>
      </c>
      <c r="B10" s="744"/>
      <c r="C10" s="744"/>
      <c r="D10" s="744"/>
      <c r="E10" s="744"/>
      <c r="F10" s="744"/>
      <c r="G10" s="745"/>
    </row>
    <row r="11">
      <c r="A11" s="746"/>
      <c r="B11" s="747">
        <v>45748.0</v>
      </c>
      <c r="C11" s="749">
        <v>2026.0</v>
      </c>
      <c r="D11" s="748">
        <v>45925.0</v>
      </c>
      <c r="E11" s="761">
        <v>46023.0</v>
      </c>
      <c r="F11" s="751"/>
      <c r="G11" s="752"/>
    </row>
    <row r="12">
      <c r="A12" s="753" t="s">
        <v>1975</v>
      </c>
      <c r="B12" s="754">
        <v>490000.0</v>
      </c>
      <c r="C12" s="755">
        <v>510000.0</v>
      </c>
      <c r="D12" s="755">
        <v>510000.0</v>
      </c>
      <c r="E12" s="762">
        <v>550000.0</v>
      </c>
      <c r="F12" s="754"/>
      <c r="G12" s="756"/>
    </row>
    <row r="13">
      <c r="A13" s="753" t="s">
        <v>1976</v>
      </c>
      <c r="B13" s="754">
        <v>370000.0</v>
      </c>
      <c r="C13" s="754">
        <f>B13</f>
        <v>370000</v>
      </c>
      <c r="D13" s="754">
        <f>B13</f>
        <v>370000</v>
      </c>
      <c r="E13" s="762">
        <v>380000.0</v>
      </c>
      <c r="F13" s="754"/>
      <c r="G13" s="756"/>
    </row>
    <row r="14">
      <c r="A14" s="757" t="s">
        <v>1977</v>
      </c>
      <c r="B14" s="758">
        <f t="shared" ref="B14:E14" si="3">B12-B13</f>
        <v>120000</v>
      </c>
      <c r="C14" s="758">
        <f t="shared" si="3"/>
        <v>140000</v>
      </c>
      <c r="D14" s="758">
        <f t="shared" si="3"/>
        <v>140000</v>
      </c>
      <c r="E14" s="763">
        <f t="shared" si="3"/>
        <v>170000</v>
      </c>
      <c r="F14" s="758"/>
      <c r="G14" s="759"/>
    </row>
    <row r="16">
      <c r="A16" s="743" t="s">
        <v>1680</v>
      </c>
      <c r="B16" s="744"/>
      <c r="C16" s="744"/>
      <c r="D16" s="744"/>
      <c r="E16" s="744"/>
      <c r="F16" s="744"/>
      <c r="G16" s="745"/>
    </row>
    <row r="17">
      <c r="A17" s="746"/>
      <c r="B17" s="747">
        <v>45748.0</v>
      </c>
      <c r="C17" s="748">
        <v>45925.0</v>
      </c>
      <c r="D17" s="749">
        <v>2026.0</v>
      </c>
      <c r="E17" s="761">
        <v>46023.0</v>
      </c>
      <c r="F17" s="751"/>
      <c r="G17" s="752"/>
    </row>
    <row r="18">
      <c r="A18" s="753" t="s">
        <v>1975</v>
      </c>
      <c r="B18" s="755">
        <v>390000.0</v>
      </c>
      <c r="C18" s="755">
        <v>430000.0</v>
      </c>
      <c r="D18" s="755">
        <v>450000.0</v>
      </c>
      <c r="E18" s="755">
        <v>450000.0</v>
      </c>
      <c r="F18" s="754"/>
      <c r="G18" s="756"/>
    </row>
    <row r="19">
      <c r="A19" s="753" t="s">
        <v>1976</v>
      </c>
      <c r="B19" s="754">
        <v>270000.0</v>
      </c>
      <c r="C19" s="754">
        <f t="shared" ref="C19:D19" si="4">B19</f>
        <v>270000</v>
      </c>
      <c r="D19" s="754">
        <f t="shared" si="4"/>
        <v>270000</v>
      </c>
      <c r="E19" s="755">
        <v>280000.0</v>
      </c>
      <c r="F19" s="754"/>
      <c r="G19" s="756"/>
    </row>
    <row r="20">
      <c r="A20" s="757" t="s">
        <v>1977</v>
      </c>
      <c r="B20" s="758">
        <f t="shared" ref="B20:C20" si="5">B18-B19</f>
        <v>120000</v>
      </c>
      <c r="C20" s="758">
        <f t="shared" si="5"/>
        <v>160000</v>
      </c>
      <c r="D20" s="758">
        <f>D18-D21</f>
        <v>450000</v>
      </c>
      <c r="E20" s="758">
        <f>E18-E19</f>
        <v>170000</v>
      </c>
      <c r="F20" s="758"/>
      <c r="G20" s="759"/>
    </row>
    <row r="22">
      <c r="A22" s="743" t="s">
        <v>1978</v>
      </c>
      <c r="B22" s="744"/>
      <c r="C22" s="744"/>
      <c r="D22" s="744"/>
      <c r="E22" s="744"/>
      <c r="F22" s="744"/>
      <c r="G22" s="745"/>
    </row>
    <row r="23">
      <c r="A23" s="746"/>
      <c r="B23" s="747">
        <v>45748.0</v>
      </c>
      <c r="C23" s="748">
        <v>45925.0</v>
      </c>
      <c r="D23" s="749">
        <v>2026.0</v>
      </c>
      <c r="E23" s="751"/>
      <c r="F23" s="751"/>
      <c r="G23" s="752"/>
    </row>
    <row r="24">
      <c r="A24" s="753" t="s">
        <v>1975</v>
      </c>
      <c r="B24" s="754">
        <v>440000.0</v>
      </c>
      <c r="C24" s="755">
        <v>430000.0</v>
      </c>
      <c r="D24" s="755">
        <v>450000.0</v>
      </c>
      <c r="E24" s="755">
        <v>500000.0</v>
      </c>
      <c r="F24" s="754"/>
      <c r="G24" s="756"/>
    </row>
    <row r="25">
      <c r="A25" s="753" t="s">
        <v>1976</v>
      </c>
      <c r="B25" s="754">
        <v>330000.0</v>
      </c>
      <c r="C25" s="754">
        <f t="shared" ref="C25:D25" si="6">B25</f>
        <v>330000</v>
      </c>
      <c r="D25" s="754">
        <f t="shared" si="6"/>
        <v>330000</v>
      </c>
      <c r="E25" s="755">
        <v>360000.0</v>
      </c>
      <c r="F25" s="754"/>
      <c r="G25" s="756"/>
    </row>
    <row r="26">
      <c r="A26" s="757" t="s">
        <v>1977</v>
      </c>
      <c r="B26" s="758">
        <f t="shared" ref="B26:E26" si="7">B24-B25</f>
        <v>110000</v>
      </c>
      <c r="C26" s="758">
        <f t="shared" si="7"/>
        <v>100000</v>
      </c>
      <c r="D26" s="758">
        <f t="shared" si="7"/>
        <v>120000</v>
      </c>
      <c r="E26" s="758">
        <f t="shared" si="7"/>
        <v>140000</v>
      </c>
      <c r="F26" s="758"/>
      <c r="G26" s="759"/>
    </row>
  </sheetData>
  <mergeCells count="5">
    <mergeCell ref="A1:G2"/>
    <mergeCell ref="A4:G4"/>
    <mergeCell ref="A10:G10"/>
    <mergeCell ref="A16:G16"/>
    <mergeCell ref="A22:G22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2" max="2" width="15.14"/>
    <col customWidth="1" min="3" max="3" width="56.43"/>
    <col customWidth="1" min="4" max="4" width="20.29"/>
    <col customWidth="1" min="5" max="5" width="18.71"/>
    <col customWidth="1" min="6" max="6" width="18.86"/>
    <col hidden="1" min="8" max="19" width="14.43"/>
    <col customWidth="1" min="20" max="20" width="15.14"/>
    <col hidden="1" min="21" max="22" width="14.43"/>
    <col hidden="1" min="25" max="25" width="14.43"/>
    <col hidden="1" min="27" max="35" width="14.43"/>
  </cols>
  <sheetData>
    <row r="1">
      <c r="A1" s="269"/>
      <c r="B1" s="269"/>
      <c r="C1" s="269"/>
      <c r="D1" s="270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2"/>
      <c r="Y1" s="272"/>
      <c r="Z1" s="272"/>
      <c r="AA1" s="271"/>
      <c r="AB1" s="271"/>
      <c r="AC1" s="271"/>
      <c r="AD1" s="271"/>
      <c r="AE1" s="271"/>
      <c r="AF1" s="271"/>
      <c r="AG1" s="271"/>
      <c r="AH1" s="271"/>
      <c r="AI1" s="271"/>
    </row>
    <row r="2">
      <c r="A2" s="273"/>
      <c r="B2" s="273"/>
      <c r="C2" s="273"/>
      <c r="D2" s="274"/>
      <c r="E2" s="275" t="s">
        <v>822</v>
      </c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7"/>
      <c r="X2" s="278" t="s">
        <v>823</v>
      </c>
      <c r="Y2" s="276"/>
      <c r="Z2" s="277"/>
      <c r="AA2" s="275" t="s">
        <v>824</v>
      </c>
      <c r="AB2" s="276"/>
      <c r="AC2" s="276"/>
      <c r="AD2" s="277"/>
      <c r="AE2" s="275" t="s">
        <v>825</v>
      </c>
      <c r="AF2" s="276"/>
      <c r="AG2" s="276"/>
      <c r="AH2" s="276"/>
      <c r="AI2" s="277"/>
    </row>
    <row r="3">
      <c r="A3" s="273" t="s">
        <v>826</v>
      </c>
      <c r="B3" s="273" t="s">
        <v>1</v>
      </c>
      <c r="C3" s="273" t="s">
        <v>119</v>
      </c>
      <c r="D3" s="274" t="s">
        <v>2</v>
      </c>
      <c r="E3" s="279" t="s">
        <v>3</v>
      </c>
      <c r="F3" s="280" t="s">
        <v>4</v>
      </c>
      <c r="G3" s="279" t="s">
        <v>827</v>
      </c>
      <c r="H3" s="279" t="s">
        <v>5</v>
      </c>
      <c r="I3" s="281" t="s">
        <v>6</v>
      </c>
      <c r="J3" s="281" t="s">
        <v>7</v>
      </c>
      <c r="K3" s="281" t="s">
        <v>8</v>
      </c>
      <c r="L3" s="281" t="s">
        <v>9</v>
      </c>
      <c r="M3" s="281" t="s">
        <v>10</v>
      </c>
      <c r="N3" s="282" t="s">
        <v>11</v>
      </c>
      <c r="O3" s="279" t="s">
        <v>12</v>
      </c>
      <c r="P3" s="282" t="s">
        <v>13</v>
      </c>
      <c r="Q3" s="281" t="s">
        <v>14</v>
      </c>
      <c r="R3" s="282" t="s">
        <v>15</v>
      </c>
      <c r="S3" s="283" t="s">
        <v>16</v>
      </c>
      <c r="T3" s="284" t="s">
        <v>215</v>
      </c>
      <c r="U3" s="285"/>
      <c r="V3" s="284" t="s">
        <v>828</v>
      </c>
      <c r="W3" s="281" t="s">
        <v>18</v>
      </c>
      <c r="X3" s="286" t="s">
        <v>19</v>
      </c>
      <c r="Y3" s="286" t="s">
        <v>20</v>
      </c>
      <c r="Z3" s="286" t="s">
        <v>21</v>
      </c>
      <c r="AA3" s="281" t="s">
        <v>829</v>
      </c>
      <c r="AB3" s="281" t="s">
        <v>830</v>
      </c>
      <c r="AC3" s="281" t="s">
        <v>831</v>
      </c>
      <c r="AD3" s="281" t="s">
        <v>832</v>
      </c>
      <c r="AE3" s="287" t="s">
        <v>833</v>
      </c>
      <c r="AF3" s="281" t="s">
        <v>834</v>
      </c>
      <c r="AG3" s="281" t="s">
        <v>835</v>
      </c>
      <c r="AH3" s="281" t="s">
        <v>836</v>
      </c>
      <c r="AI3" s="281" t="s">
        <v>837</v>
      </c>
    </row>
    <row r="4">
      <c r="A4" s="288" t="s">
        <v>838</v>
      </c>
      <c r="E4" s="289"/>
      <c r="F4" s="290"/>
      <c r="G4" s="291"/>
      <c r="H4" s="292"/>
      <c r="I4" s="293"/>
      <c r="J4" s="294"/>
      <c r="K4" s="295"/>
      <c r="L4" s="296"/>
      <c r="M4" s="293"/>
      <c r="N4" s="297"/>
      <c r="O4" s="294"/>
      <c r="P4" s="294"/>
      <c r="Q4" s="292"/>
      <c r="R4" s="293"/>
      <c r="S4" s="298"/>
      <c r="T4" s="299">
        <f t="shared" ref="T4:T63" si="1">F4-E4</f>
        <v>0</v>
      </c>
      <c r="U4" s="294"/>
      <c r="V4" s="294"/>
      <c r="W4" s="300"/>
      <c r="X4" s="301"/>
      <c r="Y4" s="301"/>
      <c r="Z4" s="301"/>
      <c r="AA4" s="302"/>
      <c r="AB4" s="302"/>
      <c r="AC4" s="302"/>
      <c r="AD4" s="303"/>
      <c r="AE4" s="302"/>
      <c r="AF4" s="302"/>
      <c r="AG4" s="302"/>
      <c r="AH4" s="303"/>
      <c r="AI4" s="300"/>
    </row>
    <row r="5">
      <c r="A5" s="304"/>
      <c r="B5" s="304"/>
      <c r="C5" s="305"/>
      <c r="D5" s="304"/>
      <c r="E5" s="289"/>
      <c r="F5" s="290"/>
      <c r="G5" s="291"/>
      <c r="H5" s="292"/>
      <c r="I5" s="293"/>
      <c r="J5" s="294"/>
      <c r="K5" s="295"/>
      <c r="L5" s="296"/>
      <c r="M5" s="293"/>
      <c r="N5" s="297"/>
      <c r="O5" s="294"/>
      <c r="P5" s="294"/>
      <c r="Q5" s="292"/>
      <c r="R5" s="293"/>
      <c r="S5" s="298"/>
      <c r="T5" s="299">
        <f t="shared" si="1"/>
        <v>0</v>
      </c>
      <c r="U5" s="294"/>
      <c r="V5" s="294"/>
      <c r="W5" s="306"/>
      <c r="X5" s="307"/>
      <c r="Y5" s="307"/>
      <c r="Z5" s="307"/>
      <c r="AA5" s="302"/>
      <c r="AB5" s="302"/>
      <c r="AC5" s="302"/>
      <c r="AD5" s="308"/>
      <c r="AE5" s="302"/>
      <c r="AF5" s="302"/>
      <c r="AG5" s="302"/>
      <c r="AH5" s="308"/>
      <c r="AI5" s="306"/>
    </row>
    <row r="6">
      <c r="A6" s="309">
        <v>2026.0</v>
      </c>
      <c r="B6" s="310"/>
      <c r="C6" s="305" t="s">
        <v>839</v>
      </c>
      <c r="D6" s="310" t="s">
        <v>840</v>
      </c>
      <c r="E6" s="311">
        <v>119200.0</v>
      </c>
      <c r="F6" s="311">
        <v>300000.0</v>
      </c>
      <c r="G6" s="312">
        <v>1.0</v>
      </c>
      <c r="H6" s="313">
        <f t="shared" ref="H6:H22" si="2">((E6*N6)*(1+I6))*G6</f>
        <v>176.0562237</v>
      </c>
      <c r="I6" s="314">
        <v>0.035</v>
      </c>
      <c r="J6" s="315">
        <f t="shared" ref="J6:J22" si="3">H6*(1-I6)</f>
        <v>169.8942559</v>
      </c>
      <c r="K6" s="316">
        <f t="shared" ref="K6:K22" si="4">H6-J6</f>
        <v>6.16196783</v>
      </c>
      <c r="L6" s="317">
        <v>0.001397</v>
      </c>
      <c r="M6" s="314">
        <v>0.0215</v>
      </c>
      <c r="N6" s="318">
        <f t="shared" ref="N6:N22" si="5">L6*(1+M6)</f>
        <v>0.0014270355</v>
      </c>
      <c r="O6" s="315">
        <f t="shared" ref="O6:O22" si="6">(J6*M6)+15</f>
        <v>18.6527265</v>
      </c>
      <c r="P6" s="315">
        <f t="shared" ref="P6:P22" si="7">(J6*N6)+M6</f>
        <v>0.2639451344</v>
      </c>
      <c r="Q6" s="313">
        <f t="shared" ref="Q6:Q22" si="8">((F6*N6)*(1+I6))*G6</f>
        <v>443.0945228</v>
      </c>
      <c r="R6" s="314">
        <v>0.06</v>
      </c>
      <c r="S6" s="319"/>
      <c r="T6" s="299">
        <f t="shared" si="1"/>
        <v>180800</v>
      </c>
      <c r="U6" s="315">
        <f t="shared" ref="U6:U63" si="9">T6*(1-I6-M6)</f>
        <v>170584.8</v>
      </c>
      <c r="V6" s="315">
        <f t="shared" ref="V6:V63" si="10">(F6-E6)*0.2</f>
        <v>36160</v>
      </c>
      <c r="W6" s="320">
        <f>(F6*(1-I6-M6)-(E6+V6)-(F6*S6)-(F6*R6))</f>
        <v>109690</v>
      </c>
      <c r="X6" s="321">
        <f t="shared" ref="X6:X63" si="11">IFERROR((F6-E6)/E6,"")</f>
        <v>1.516778523</v>
      </c>
      <c r="Y6" s="321">
        <f t="shared" ref="Y6:Y22" si="12">IFERROR((Q6-H6)/Q6,"")</f>
        <v>0.6026666667</v>
      </c>
      <c r="Z6" s="321">
        <f t="shared" ref="Z6:Z63" si="13">IFERROR(W6/F6,"")</f>
        <v>0.3656333333</v>
      </c>
      <c r="AA6" s="322"/>
      <c r="AB6" s="322"/>
      <c r="AC6" s="322"/>
      <c r="AD6" s="323"/>
      <c r="AE6" s="322"/>
      <c r="AF6" s="322"/>
      <c r="AG6" s="322"/>
      <c r="AH6" s="323"/>
      <c r="AI6" s="323"/>
    </row>
    <row r="7">
      <c r="A7" s="309">
        <v>2026.0</v>
      </c>
      <c r="B7" s="310"/>
      <c r="C7" s="305" t="s">
        <v>841</v>
      </c>
      <c r="D7" s="310" t="s">
        <v>840</v>
      </c>
      <c r="E7" s="311">
        <v>119200.0</v>
      </c>
      <c r="F7" s="311">
        <v>300000.0</v>
      </c>
      <c r="G7" s="312">
        <v>1.0</v>
      </c>
      <c r="H7" s="313">
        <f t="shared" si="2"/>
        <v>176.0562237</v>
      </c>
      <c r="I7" s="314">
        <v>0.035</v>
      </c>
      <c r="J7" s="315">
        <f t="shared" si="3"/>
        <v>169.8942559</v>
      </c>
      <c r="K7" s="316">
        <f t="shared" si="4"/>
        <v>6.16196783</v>
      </c>
      <c r="L7" s="317">
        <v>0.001397</v>
      </c>
      <c r="M7" s="314">
        <v>0.0215</v>
      </c>
      <c r="N7" s="318">
        <f t="shared" si="5"/>
        <v>0.0014270355</v>
      </c>
      <c r="O7" s="315">
        <f t="shared" si="6"/>
        <v>18.6527265</v>
      </c>
      <c r="P7" s="315">
        <f t="shared" si="7"/>
        <v>0.2639451344</v>
      </c>
      <c r="Q7" s="313">
        <f t="shared" si="8"/>
        <v>443.0945228</v>
      </c>
      <c r="R7" s="314">
        <v>0.06</v>
      </c>
      <c r="S7" s="319"/>
      <c r="T7" s="299">
        <f t="shared" si="1"/>
        <v>180800</v>
      </c>
      <c r="U7" s="315">
        <f t="shared" si="9"/>
        <v>170584.8</v>
      </c>
      <c r="V7" s="315">
        <f t="shared" si="10"/>
        <v>36160</v>
      </c>
      <c r="W7" s="320">
        <f t="shared" ref="W7:W63" si="14">F7-(E7+V7)-(F7*S7)-(F7*R7)</f>
        <v>126640</v>
      </c>
      <c r="X7" s="321">
        <f t="shared" si="11"/>
        <v>1.516778523</v>
      </c>
      <c r="Y7" s="321">
        <f t="shared" si="12"/>
        <v>0.6026666667</v>
      </c>
      <c r="Z7" s="321">
        <f t="shared" si="13"/>
        <v>0.4221333333</v>
      </c>
      <c r="AA7" s="322"/>
      <c r="AB7" s="322"/>
      <c r="AC7" s="322"/>
      <c r="AD7" s="323"/>
      <c r="AE7" s="322"/>
      <c r="AF7" s="322"/>
      <c r="AG7" s="322"/>
      <c r="AH7" s="323"/>
      <c r="AI7" s="323"/>
    </row>
    <row r="8">
      <c r="A8" s="305">
        <v>2026.0</v>
      </c>
      <c r="B8" s="305"/>
      <c r="C8" s="305" t="s">
        <v>842</v>
      </c>
      <c r="D8" s="305" t="s">
        <v>840</v>
      </c>
      <c r="E8" s="324">
        <v>263200.0</v>
      </c>
      <c r="F8" s="325">
        <v>380000.0</v>
      </c>
      <c r="G8" s="326">
        <v>1.0</v>
      </c>
      <c r="H8" s="313">
        <f t="shared" si="2"/>
        <v>388.7415946</v>
      </c>
      <c r="I8" s="327">
        <v>0.035</v>
      </c>
      <c r="J8" s="328">
        <f t="shared" si="3"/>
        <v>375.1356388</v>
      </c>
      <c r="K8" s="329">
        <f t="shared" si="4"/>
        <v>13.60595581</v>
      </c>
      <c r="L8" s="330">
        <v>0.001397</v>
      </c>
      <c r="M8" s="327">
        <v>0.0215</v>
      </c>
      <c r="N8" s="331">
        <f t="shared" si="5"/>
        <v>0.0014270355</v>
      </c>
      <c r="O8" s="328">
        <f t="shared" si="6"/>
        <v>23.06541623</v>
      </c>
      <c r="P8" s="328">
        <f t="shared" si="7"/>
        <v>0.5568318739</v>
      </c>
      <c r="Q8" s="313">
        <f t="shared" si="8"/>
        <v>561.2530622</v>
      </c>
      <c r="R8" s="327">
        <v>0.06</v>
      </c>
      <c r="S8" s="332"/>
      <c r="T8" s="299">
        <f t="shared" si="1"/>
        <v>116800</v>
      </c>
      <c r="U8" s="315">
        <f t="shared" si="9"/>
        <v>110200.8</v>
      </c>
      <c r="V8" s="315">
        <f t="shared" si="10"/>
        <v>23360</v>
      </c>
      <c r="W8" s="320">
        <f t="shared" si="14"/>
        <v>70640</v>
      </c>
      <c r="X8" s="321">
        <f t="shared" si="11"/>
        <v>0.443768997</v>
      </c>
      <c r="Y8" s="333">
        <f t="shared" si="12"/>
        <v>0.3073684211</v>
      </c>
      <c r="Z8" s="321">
        <f t="shared" si="13"/>
        <v>0.1858947368</v>
      </c>
      <c r="AA8" s="334"/>
      <c r="AB8" s="334"/>
      <c r="AC8" s="334"/>
      <c r="AD8" s="335"/>
      <c r="AE8" s="334"/>
      <c r="AF8" s="334"/>
      <c r="AG8" s="334"/>
      <c r="AH8" s="335"/>
      <c r="AI8" s="335"/>
    </row>
    <row r="9">
      <c r="A9" s="305">
        <v>2026.0</v>
      </c>
      <c r="B9" s="305"/>
      <c r="C9" s="305" t="s">
        <v>843</v>
      </c>
      <c r="D9" s="305" t="s">
        <v>840</v>
      </c>
      <c r="E9" s="324">
        <v>343200.0</v>
      </c>
      <c r="F9" s="325">
        <v>600000.0</v>
      </c>
      <c r="G9" s="326">
        <v>1.0</v>
      </c>
      <c r="H9" s="313">
        <f t="shared" si="2"/>
        <v>506.900134</v>
      </c>
      <c r="I9" s="327">
        <v>0.035</v>
      </c>
      <c r="J9" s="328">
        <f t="shared" si="3"/>
        <v>489.1586293</v>
      </c>
      <c r="K9" s="329">
        <f t="shared" si="4"/>
        <v>17.74150469</v>
      </c>
      <c r="L9" s="330">
        <v>0.001397</v>
      </c>
      <c r="M9" s="327">
        <v>0.0215</v>
      </c>
      <c r="N9" s="331">
        <f t="shared" si="5"/>
        <v>0.0014270355</v>
      </c>
      <c r="O9" s="328">
        <f t="shared" si="6"/>
        <v>25.51691053</v>
      </c>
      <c r="P9" s="328">
        <f t="shared" si="7"/>
        <v>0.7195467292</v>
      </c>
      <c r="Q9" s="313">
        <f t="shared" si="8"/>
        <v>886.1890455</v>
      </c>
      <c r="R9" s="327">
        <v>0.06</v>
      </c>
      <c r="S9" s="332"/>
      <c r="T9" s="299">
        <f t="shared" si="1"/>
        <v>256800</v>
      </c>
      <c r="U9" s="315">
        <f t="shared" si="9"/>
        <v>242290.8</v>
      </c>
      <c r="V9" s="315">
        <f t="shared" si="10"/>
        <v>51360</v>
      </c>
      <c r="W9" s="320">
        <f t="shared" si="14"/>
        <v>169440</v>
      </c>
      <c r="X9" s="321">
        <f t="shared" si="11"/>
        <v>0.7482517483</v>
      </c>
      <c r="Y9" s="333">
        <f t="shared" si="12"/>
        <v>0.428</v>
      </c>
      <c r="Z9" s="321">
        <f t="shared" si="13"/>
        <v>0.2824</v>
      </c>
      <c r="AA9" s="334"/>
      <c r="AB9" s="334"/>
      <c r="AC9" s="334"/>
      <c r="AD9" s="335"/>
      <c r="AE9" s="334"/>
      <c r="AF9" s="334"/>
      <c r="AG9" s="334"/>
      <c r="AH9" s="335"/>
      <c r="AI9" s="335"/>
    </row>
    <row r="10">
      <c r="A10" s="309">
        <v>2026.0</v>
      </c>
      <c r="B10" s="310"/>
      <c r="C10" s="310" t="s">
        <v>844</v>
      </c>
      <c r="D10" s="310" t="s">
        <v>840</v>
      </c>
      <c r="E10" s="311">
        <v>343200.0</v>
      </c>
      <c r="F10" s="311">
        <v>650000.0</v>
      </c>
      <c r="G10" s="312">
        <v>1.0</v>
      </c>
      <c r="H10" s="313">
        <f t="shared" si="2"/>
        <v>506.900134</v>
      </c>
      <c r="I10" s="314">
        <v>0.035</v>
      </c>
      <c r="J10" s="315">
        <f t="shared" si="3"/>
        <v>489.1586293</v>
      </c>
      <c r="K10" s="316">
        <f t="shared" si="4"/>
        <v>17.74150469</v>
      </c>
      <c r="L10" s="317">
        <v>0.001397</v>
      </c>
      <c r="M10" s="314">
        <v>0.0215</v>
      </c>
      <c r="N10" s="318">
        <f t="shared" si="5"/>
        <v>0.0014270355</v>
      </c>
      <c r="O10" s="315">
        <f t="shared" si="6"/>
        <v>25.51691053</v>
      </c>
      <c r="P10" s="315">
        <f t="shared" si="7"/>
        <v>0.7195467292</v>
      </c>
      <c r="Q10" s="313">
        <f t="shared" si="8"/>
        <v>960.0381326</v>
      </c>
      <c r="R10" s="314">
        <v>0.06</v>
      </c>
      <c r="S10" s="319"/>
      <c r="T10" s="299">
        <f t="shared" si="1"/>
        <v>306800</v>
      </c>
      <c r="U10" s="315">
        <f t="shared" si="9"/>
        <v>289465.8</v>
      </c>
      <c r="V10" s="315">
        <f t="shared" si="10"/>
        <v>61360</v>
      </c>
      <c r="W10" s="320">
        <f t="shared" si="14"/>
        <v>206440</v>
      </c>
      <c r="X10" s="321">
        <f t="shared" si="11"/>
        <v>0.8939393939</v>
      </c>
      <c r="Y10" s="321">
        <f t="shared" si="12"/>
        <v>0.472</v>
      </c>
      <c r="Z10" s="321">
        <f t="shared" si="13"/>
        <v>0.3176</v>
      </c>
      <c r="AA10" s="322"/>
      <c r="AB10" s="322"/>
      <c r="AC10" s="322"/>
      <c r="AD10" s="323"/>
      <c r="AE10" s="322"/>
      <c r="AF10" s="322"/>
      <c r="AG10" s="322"/>
      <c r="AH10" s="323"/>
      <c r="AI10" s="323"/>
    </row>
    <row r="11">
      <c r="A11" s="309">
        <v>2026.0</v>
      </c>
      <c r="B11" s="336"/>
      <c r="C11" s="337" t="s">
        <v>845</v>
      </c>
      <c r="D11" s="310" t="s">
        <v>846</v>
      </c>
      <c r="E11" s="338">
        <v>112000.0</v>
      </c>
      <c r="F11" s="311">
        <v>360000.0</v>
      </c>
      <c r="G11" s="312">
        <v>1.0</v>
      </c>
      <c r="H11" s="313">
        <f t="shared" si="2"/>
        <v>165.4219552</v>
      </c>
      <c r="I11" s="314">
        <v>0.035</v>
      </c>
      <c r="J11" s="315">
        <f t="shared" si="3"/>
        <v>159.6321867</v>
      </c>
      <c r="K11" s="316">
        <f t="shared" si="4"/>
        <v>5.789768431</v>
      </c>
      <c r="L11" s="317">
        <v>0.001397</v>
      </c>
      <c r="M11" s="314">
        <v>0.0215</v>
      </c>
      <c r="N11" s="318">
        <f t="shared" si="5"/>
        <v>0.0014270355</v>
      </c>
      <c r="O11" s="315">
        <f t="shared" si="6"/>
        <v>18.43209201</v>
      </c>
      <c r="P11" s="315">
        <f t="shared" si="7"/>
        <v>0.2493007974</v>
      </c>
      <c r="Q11" s="313">
        <f t="shared" si="8"/>
        <v>531.7134273</v>
      </c>
      <c r="R11" s="314">
        <v>0.06</v>
      </c>
      <c r="S11" s="319"/>
      <c r="T11" s="299">
        <f t="shared" si="1"/>
        <v>248000</v>
      </c>
      <c r="U11" s="315">
        <f t="shared" si="9"/>
        <v>233988</v>
      </c>
      <c r="V11" s="315">
        <f t="shared" si="10"/>
        <v>49600</v>
      </c>
      <c r="W11" s="320">
        <f t="shared" si="14"/>
        <v>176800</v>
      </c>
      <c r="X11" s="321">
        <f t="shared" si="11"/>
        <v>2.214285714</v>
      </c>
      <c r="Y11" s="321">
        <f t="shared" si="12"/>
        <v>0.6888888889</v>
      </c>
      <c r="Z11" s="321">
        <f t="shared" si="13"/>
        <v>0.4911111111</v>
      </c>
      <c r="AA11" s="339"/>
      <c r="AB11" s="339"/>
      <c r="AC11" s="339"/>
      <c r="AD11" s="340"/>
      <c r="AE11" s="339"/>
      <c r="AF11" s="339"/>
      <c r="AG11" s="339"/>
      <c r="AH11" s="340"/>
      <c r="AI11" s="340"/>
    </row>
    <row r="12">
      <c r="A12" s="309">
        <v>2026.0</v>
      </c>
      <c r="B12" s="336"/>
      <c r="C12" s="337" t="s">
        <v>845</v>
      </c>
      <c r="D12" s="341" t="s">
        <v>847</v>
      </c>
      <c r="E12" s="338">
        <v>173600.0</v>
      </c>
      <c r="F12" s="311">
        <v>550000.0</v>
      </c>
      <c r="G12" s="312">
        <v>1.0</v>
      </c>
      <c r="H12" s="313">
        <f t="shared" si="2"/>
        <v>256.4040305</v>
      </c>
      <c r="I12" s="314">
        <v>0.035</v>
      </c>
      <c r="J12" s="315">
        <f t="shared" si="3"/>
        <v>247.4298894</v>
      </c>
      <c r="K12" s="316">
        <f t="shared" si="4"/>
        <v>8.974141067</v>
      </c>
      <c r="L12" s="317">
        <v>0.001397</v>
      </c>
      <c r="M12" s="314">
        <v>0.0215</v>
      </c>
      <c r="N12" s="318">
        <f t="shared" si="5"/>
        <v>0.0014270355</v>
      </c>
      <c r="O12" s="315">
        <f t="shared" si="6"/>
        <v>20.31974262</v>
      </c>
      <c r="P12" s="315">
        <f t="shared" si="7"/>
        <v>0.374591236</v>
      </c>
      <c r="Q12" s="313">
        <f t="shared" si="8"/>
        <v>812.3399584</v>
      </c>
      <c r="R12" s="314">
        <v>0.06</v>
      </c>
      <c r="S12" s="319"/>
      <c r="T12" s="299">
        <f t="shared" si="1"/>
        <v>376400</v>
      </c>
      <c r="U12" s="315">
        <f t="shared" si="9"/>
        <v>355133.4</v>
      </c>
      <c r="V12" s="315">
        <f t="shared" si="10"/>
        <v>75280</v>
      </c>
      <c r="W12" s="320">
        <f t="shared" si="14"/>
        <v>268120</v>
      </c>
      <c r="X12" s="321">
        <f t="shared" si="11"/>
        <v>2.168202765</v>
      </c>
      <c r="Y12" s="321">
        <f t="shared" si="12"/>
        <v>0.6843636364</v>
      </c>
      <c r="Z12" s="321">
        <f t="shared" si="13"/>
        <v>0.4874909091</v>
      </c>
      <c r="AA12" s="339"/>
      <c r="AB12" s="339"/>
      <c r="AC12" s="339"/>
      <c r="AD12" s="340"/>
      <c r="AE12" s="339"/>
      <c r="AF12" s="339"/>
      <c r="AG12" s="339"/>
      <c r="AH12" s="340"/>
      <c r="AI12" s="340"/>
    </row>
    <row r="13">
      <c r="A13" s="309">
        <v>2026.0</v>
      </c>
      <c r="B13" s="336"/>
      <c r="C13" s="337" t="s">
        <v>848</v>
      </c>
      <c r="D13" s="342" t="s">
        <v>849</v>
      </c>
      <c r="E13" s="338">
        <v>260800.0</v>
      </c>
      <c r="F13" s="311">
        <v>770000.0</v>
      </c>
      <c r="G13" s="312">
        <v>1.0</v>
      </c>
      <c r="H13" s="313">
        <f t="shared" si="2"/>
        <v>385.1968384</v>
      </c>
      <c r="I13" s="314">
        <v>0.035</v>
      </c>
      <c r="J13" s="315">
        <f t="shared" si="3"/>
        <v>371.7149491</v>
      </c>
      <c r="K13" s="316">
        <f t="shared" si="4"/>
        <v>13.48188935</v>
      </c>
      <c r="L13" s="317">
        <v>0.001397</v>
      </c>
      <c r="M13" s="314">
        <v>0.0215</v>
      </c>
      <c r="N13" s="318">
        <f t="shared" si="5"/>
        <v>0.0014270355</v>
      </c>
      <c r="O13" s="315">
        <f t="shared" si="6"/>
        <v>22.99187141</v>
      </c>
      <c r="P13" s="315">
        <f t="shared" si="7"/>
        <v>0.5519504282</v>
      </c>
      <c r="Q13" s="313">
        <f t="shared" si="8"/>
        <v>1137.275942</v>
      </c>
      <c r="R13" s="314">
        <v>0.06</v>
      </c>
      <c r="S13" s="319"/>
      <c r="T13" s="299">
        <f t="shared" si="1"/>
        <v>509200</v>
      </c>
      <c r="U13" s="315">
        <f t="shared" si="9"/>
        <v>480430.2</v>
      </c>
      <c r="V13" s="315">
        <f t="shared" si="10"/>
        <v>101840</v>
      </c>
      <c r="W13" s="320">
        <f t="shared" si="14"/>
        <v>361160</v>
      </c>
      <c r="X13" s="321">
        <f t="shared" si="11"/>
        <v>1.952453988</v>
      </c>
      <c r="Y13" s="321">
        <f t="shared" si="12"/>
        <v>0.6612987013</v>
      </c>
      <c r="Z13" s="321">
        <f t="shared" si="13"/>
        <v>0.469038961</v>
      </c>
      <c r="AA13" s="339"/>
      <c r="AB13" s="339"/>
      <c r="AC13" s="339"/>
      <c r="AD13" s="340"/>
      <c r="AE13" s="339"/>
      <c r="AF13" s="339"/>
      <c r="AG13" s="339"/>
      <c r="AH13" s="340"/>
      <c r="AI13" s="340"/>
    </row>
    <row r="14">
      <c r="A14" s="309">
        <v>2026.0</v>
      </c>
      <c r="B14" s="336"/>
      <c r="C14" s="337" t="s">
        <v>850</v>
      </c>
      <c r="D14" s="310" t="s">
        <v>846</v>
      </c>
      <c r="E14" s="338">
        <v>127200.0</v>
      </c>
      <c r="F14" s="311">
        <v>360000.0</v>
      </c>
      <c r="G14" s="312">
        <v>1.0</v>
      </c>
      <c r="H14" s="313">
        <f t="shared" si="2"/>
        <v>187.8720776</v>
      </c>
      <c r="I14" s="314">
        <v>0.035</v>
      </c>
      <c r="J14" s="315">
        <f t="shared" si="3"/>
        <v>181.2965549</v>
      </c>
      <c r="K14" s="316">
        <f t="shared" si="4"/>
        <v>6.575522718</v>
      </c>
      <c r="L14" s="317">
        <v>0.001397</v>
      </c>
      <c r="M14" s="314">
        <v>0.0215</v>
      </c>
      <c r="N14" s="318">
        <f t="shared" si="5"/>
        <v>0.0014270355</v>
      </c>
      <c r="O14" s="315">
        <f t="shared" si="6"/>
        <v>18.89787593</v>
      </c>
      <c r="P14" s="315">
        <f t="shared" si="7"/>
        <v>0.2802166199</v>
      </c>
      <c r="Q14" s="313">
        <f t="shared" si="8"/>
        <v>531.7134273</v>
      </c>
      <c r="R14" s="314">
        <v>0.06</v>
      </c>
      <c r="S14" s="319"/>
      <c r="T14" s="299">
        <f t="shared" si="1"/>
        <v>232800</v>
      </c>
      <c r="U14" s="315">
        <f t="shared" si="9"/>
        <v>219646.8</v>
      </c>
      <c r="V14" s="315">
        <f t="shared" si="10"/>
        <v>46560</v>
      </c>
      <c r="W14" s="320">
        <f t="shared" si="14"/>
        <v>164640</v>
      </c>
      <c r="X14" s="321">
        <f t="shared" si="11"/>
        <v>1.830188679</v>
      </c>
      <c r="Y14" s="321">
        <f t="shared" si="12"/>
        <v>0.6466666667</v>
      </c>
      <c r="Z14" s="321">
        <f t="shared" si="13"/>
        <v>0.4573333333</v>
      </c>
      <c r="AA14" s="339"/>
      <c r="AB14" s="339"/>
      <c r="AC14" s="339"/>
      <c r="AD14" s="340"/>
      <c r="AE14" s="339"/>
      <c r="AF14" s="339"/>
      <c r="AG14" s="339"/>
      <c r="AH14" s="340"/>
      <c r="AI14" s="340"/>
    </row>
    <row r="15">
      <c r="A15" s="309">
        <v>2026.0</v>
      </c>
      <c r="B15" s="336"/>
      <c r="C15" s="337" t="s">
        <v>851</v>
      </c>
      <c r="D15" s="341" t="s">
        <v>847</v>
      </c>
      <c r="E15" s="338">
        <v>216800.0</v>
      </c>
      <c r="F15" s="311">
        <v>550000.0</v>
      </c>
      <c r="G15" s="312">
        <v>1.0</v>
      </c>
      <c r="H15" s="313">
        <f t="shared" si="2"/>
        <v>320.2096418</v>
      </c>
      <c r="I15" s="314">
        <v>0.035</v>
      </c>
      <c r="J15" s="315">
        <f t="shared" si="3"/>
        <v>309.0023043</v>
      </c>
      <c r="K15" s="316">
        <f t="shared" si="4"/>
        <v>11.20733746</v>
      </c>
      <c r="L15" s="317">
        <v>0.001397</v>
      </c>
      <c r="M15" s="314">
        <v>0.0215</v>
      </c>
      <c r="N15" s="318">
        <f t="shared" si="5"/>
        <v>0.0014270355</v>
      </c>
      <c r="O15" s="315">
        <f t="shared" si="6"/>
        <v>21.64354954</v>
      </c>
      <c r="P15" s="315">
        <f t="shared" si="7"/>
        <v>0.4624572578</v>
      </c>
      <c r="Q15" s="313">
        <f t="shared" si="8"/>
        <v>812.3399584</v>
      </c>
      <c r="R15" s="314">
        <v>0.06</v>
      </c>
      <c r="S15" s="319"/>
      <c r="T15" s="299">
        <f t="shared" si="1"/>
        <v>333200</v>
      </c>
      <c r="U15" s="315">
        <f t="shared" si="9"/>
        <v>314374.2</v>
      </c>
      <c r="V15" s="315">
        <f t="shared" si="10"/>
        <v>66640</v>
      </c>
      <c r="W15" s="320">
        <f t="shared" si="14"/>
        <v>233560</v>
      </c>
      <c r="X15" s="321">
        <f t="shared" si="11"/>
        <v>1.536900369</v>
      </c>
      <c r="Y15" s="321">
        <f t="shared" si="12"/>
        <v>0.6058181818</v>
      </c>
      <c r="Z15" s="321">
        <f t="shared" si="13"/>
        <v>0.4246545455</v>
      </c>
      <c r="AA15" s="339"/>
      <c r="AB15" s="339"/>
      <c r="AC15" s="339"/>
      <c r="AD15" s="340"/>
      <c r="AE15" s="339"/>
      <c r="AF15" s="339"/>
      <c r="AG15" s="339"/>
      <c r="AH15" s="340"/>
      <c r="AI15" s="340"/>
    </row>
    <row r="16">
      <c r="A16" s="309">
        <v>2026.0</v>
      </c>
      <c r="B16" s="336"/>
      <c r="C16" s="337" t="s">
        <v>850</v>
      </c>
      <c r="D16" s="342" t="s">
        <v>849</v>
      </c>
      <c r="E16" s="338">
        <v>292000.0</v>
      </c>
      <c r="F16" s="311">
        <v>770000.0</v>
      </c>
      <c r="G16" s="312">
        <v>1.0</v>
      </c>
      <c r="H16" s="313">
        <f t="shared" si="2"/>
        <v>431.2786688</v>
      </c>
      <c r="I16" s="314">
        <v>0.035</v>
      </c>
      <c r="J16" s="315">
        <f t="shared" si="3"/>
        <v>416.1839154</v>
      </c>
      <c r="K16" s="316">
        <f t="shared" si="4"/>
        <v>15.09475341</v>
      </c>
      <c r="L16" s="317">
        <v>0.001397</v>
      </c>
      <c r="M16" s="314">
        <v>0.0215</v>
      </c>
      <c r="N16" s="318">
        <f t="shared" si="5"/>
        <v>0.0014270355</v>
      </c>
      <c r="O16" s="315">
        <f t="shared" si="6"/>
        <v>23.94795418</v>
      </c>
      <c r="P16" s="315">
        <f t="shared" si="7"/>
        <v>0.6154092218</v>
      </c>
      <c r="Q16" s="313">
        <f t="shared" si="8"/>
        <v>1137.275942</v>
      </c>
      <c r="R16" s="314">
        <v>0.06</v>
      </c>
      <c r="S16" s="319"/>
      <c r="T16" s="299">
        <f t="shared" si="1"/>
        <v>478000</v>
      </c>
      <c r="U16" s="315">
        <f t="shared" si="9"/>
        <v>450993</v>
      </c>
      <c r="V16" s="315">
        <f t="shared" si="10"/>
        <v>95600</v>
      </c>
      <c r="W16" s="320">
        <f t="shared" si="14"/>
        <v>336200</v>
      </c>
      <c r="X16" s="321">
        <f t="shared" si="11"/>
        <v>1.636986301</v>
      </c>
      <c r="Y16" s="321">
        <f t="shared" si="12"/>
        <v>0.6207792208</v>
      </c>
      <c r="Z16" s="321">
        <f t="shared" si="13"/>
        <v>0.4366233766</v>
      </c>
      <c r="AA16" s="339"/>
      <c r="AB16" s="339"/>
      <c r="AC16" s="339"/>
      <c r="AD16" s="340"/>
      <c r="AE16" s="339"/>
      <c r="AF16" s="339"/>
      <c r="AG16" s="339"/>
      <c r="AH16" s="340"/>
      <c r="AI16" s="340"/>
    </row>
    <row r="17">
      <c r="A17" s="309">
        <v>2026.0</v>
      </c>
      <c r="B17" s="336"/>
      <c r="C17" s="337" t="s">
        <v>852</v>
      </c>
      <c r="D17" s="310" t="s">
        <v>846</v>
      </c>
      <c r="E17" s="338">
        <v>80000.0</v>
      </c>
      <c r="F17" s="311">
        <v>360000.0</v>
      </c>
      <c r="G17" s="312">
        <v>1.0</v>
      </c>
      <c r="H17" s="313">
        <f t="shared" si="2"/>
        <v>118.1585394</v>
      </c>
      <c r="I17" s="314">
        <v>0.035</v>
      </c>
      <c r="J17" s="315">
        <f t="shared" si="3"/>
        <v>114.0229905</v>
      </c>
      <c r="K17" s="316">
        <f t="shared" si="4"/>
        <v>4.135548879</v>
      </c>
      <c r="L17" s="317">
        <v>0.001397</v>
      </c>
      <c r="M17" s="314">
        <v>0.0215</v>
      </c>
      <c r="N17" s="318">
        <f t="shared" si="5"/>
        <v>0.0014270355</v>
      </c>
      <c r="O17" s="315">
        <f t="shared" si="6"/>
        <v>17.4514943</v>
      </c>
      <c r="P17" s="315">
        <f t="shared" si="7"/>
        <v>0.1842148553</v>
      </c>
      <c r="Q17" s="313">
        <f t="shared" si="8"/>
        <v>531.7134273</v>
      </c>
      <c r="R17" s="314">
        <v>0.06</v>
      </c>
      <c r="S17" s="319"/>
      <c r="T17" s="299">
        <f t="shared" si="1"/>
        <v>280000</v>
      </c>
      <c r="U17" s="315">
        <f t="shared" si="9"/>
        <v>264180</v>
      </c>
      <c r="V17" s="315">
        <f t="shared" si="10"/>
        <v>56000</v>
      </c>
      <c r="W17" s="320">
        <f t="shared" si="14"/>
        <v>202400</v>
      </c>
      <c r="X17" s="321">
        <f t="shared" si="11"/>
        <v>3.5</v>
      </c>
      <c r="Y17" s="321">
        <f t="shared" si="12"/>
        <v>0.7777777778</v>
      </c>
      <c r="Z17" s="321">
        <f t="shared" si="13"/>
        <v>0.5622222222</v>
      </c>
      <c r="AA17" s="339"/>
      <c r="AB17" s="339"/>
      <c r="AC17" s="339"/>
      <c r="AD17" s="340"/>
      <c r="AE17" s="339"/>
      <c r="AF17" s="339"/>
      <c r="AG17" s="339"/>
      <c r="AH17" s="340"/>
      <c r="AI17" s="340"/>
    </row>
    <row r="18">
      <c r="A18" s="309">
        <v>2026.0</v>
      </c>
      <c r="B18" s="336"/>
      <c r="C18" s="337" t="s">
        <v>852</v>
      </c>
      <c r="D18" s="341" t="s">
        <v>847</v>
      </c>
      <c r="E18" s="338">
        <v>140000.0</v>
      </c>
      <c r="F18" s="311">
        <v>550000.0</v>
      </c>
      <c r="G18" s="312">
        <v>1.0</v>
      </c>
      <c r="H18" s="313">
        <f t="shared" si="2"/>
        <v>206.777444</v>
      </c>
      <c r="I18" s="314">
        <v>0.035</v>
      </c>
      <c r="J18" s="315">
        <f t="shared" si="3"/>
        <v>199.5402334</v>
      </c>
      <c r="K18" s="316">
        <f t="shared" si="4"/>
        <v>7.237210538</v>
      </c>
      <c r="L18" s="317">
        <v>0.001397</v>
      </c>
      <c r="M18" s="314">
        <v>0.0215</v>
      </c>
      <c r="N18" s="318">
        <f t="shared" si="5"/>
        <v>0.0014270355</v>
      </c>
      <c r="O18" s="315">
        <f t="shared" si="6"/>
        <v>19.29011502</v>
      </c>
      <c r="P18" s="315">
        <f t="shared" si="7"/>
        <v>0.3062509968</v>
      </c>
      <c r="Q18" s="313">
        <f t="shared" si="8"/>
        <v>812.3399584</v>
      </c>
      <c r="R18" s="314">
        <v>0.06</v>
      </c>
      <c r="S18" s="319"/>
      <c r="T18" s="299">
        <f t="shared" si="1"/>
        <v>410000</v>
      </c>
      <c r="U18" s="315">
        <f t="shared" si="9"/>
        <v>386835</v>
      </c>
      <c r="V18" s="315">
        <f t="shared" si="10"/>
        <v>82000</v>
      </c>
      <c r="W18" s="320">
        <f t="shared" si="14"/>
        <v>295000</v>
      </c>
      <c r="X18" s="321">
        <f t="shared" si="11"/>
        <v>2.928571429</v>
      </c>
      <c r="Y18" s="321">
        <f t="shared" si="12"/>
        <v>0.7454545455</v>
      </c>
      <c r="Z18" s="321">
        <f t="shared" si="13"/>
        <v>0.5363636364</v>
      </c>
      <c r="AA18" s="339"/>
      <c r="AB18" s="339"/>
      <c r="AC18" s="339"/>
      <c r="AD18" s="340"/>
      <c r="AE18" s="339"/>
      <c r="AF18" s="339"/>
      <c r="AG18" s="339"/>
      <c r="AH18" s="340"/>
      <c r="AI18" s="340"/>
    </row>
    <row r="19">
      <c r="A19" s="309">
        <v>2026.0</v>
      </c>
      <c r="B19" s="336"/>
      <c r="C19" s="337" t="s">
        <v>853</v>
      </c>
      <c r="D19" s="342" t="s">
        <v>849</v>
      </c>
      <c r="E19" s="338">
        <v>212800.0</v>
      </c>
      <c r="F19" s="311">
        <v>770000.0</v>
      </c>
      <c r="G19" s="312">
        <v>1.0</v>
      </c>
      <c r="H19" s="313">
        <f t="shared" si="2"/>
        <v>314.3017148</v>
      </c>
      <c r="I19" s="314">
        <v>0.035</v>
      </c>
      <c r="J19" s="315">
        <f t="shared" si="3"/>
        <v>303.3011548</v>
      </c>
      <c r="K19" s="316">
        <f t="shared" si="4"/>
        <v>11.00056002</v>
      </c>
      <c r="L19" s="317">
        <v>0.001397</v>
      </c>
      <c r="M19" s="314">
        <v>0.0215</v>
      </c>
      <c r="N19" s="318">
        <f t="shared" si="5"/>
        <v>0.0014270355</v>
      </c>
      <c r="O19" s="315">
        <f t="shared" si="6"/>
        <v>21.52097483</v>
      </c>
      <c r="P19" s="315">
        <f t="shared" si="7"/>
        <v>0.4543215151</v>
      </c>
      <c r="Q19" s="313">
        <f t="shared" si="8"/>
        <v>1137.275942</v>
      </c>
      <c r="R19" s="314">
        <v>0.06</v>
      </c>
      <c r="S19" s="319"/>
      <c r="T19" s="299">
        <f t="shared" si="1"/>
        <v>557200</v>
      </c>
      <c r="U19" s="315">
        <f t="shared" si="9"/>
        <v>525718.2</v>
      </c>
      <c r="V19" s="315">
        <f t="shared" si="10"/>
        <v>111440</v>
      </c>
      <c r="W19" s="320">
        <f t="shared" si="14"/>
        <v>399560</v>
      </c>
      <c r="X19" s="321">
        <f t="shared" si="11"/>
        <v>2.618421053</v>
      </c>
      <c r="Y19" s="321">
        <f t="shared" si="12"/>
        <v>0.7236363636</v>
      </c>
      <c r="Z19" s="321">
        <f t="shared" si="13"/>
        <v>0.5189090909</v>
      </c>
      <c r="AA19" s="339"/>
      <c r="AB19" s="339"/>
      <c r="AC19" s="339"/>
      <c r="AD19" s="340"/>
      <c r="AE19" s="339"/>
      <c r="AF19" s="339"/>
      <c r="AG19" s="339"/>
      <c r="AH19" s="340"/>
      <c r="AI19" s="340"/>
    </row>
    <row r="20">
      <c r="A20" s="309">
        <v>2026.0</v>
      </c>
      <c r="B20" s="336"/>
      <c r="C20" s="337" t="s">
        <v>854</v>
      </c>
      <c r="D20" s="310" t="s">
        <v>846</v>
      </c>
      <c r="E20" s="338">
        <v>91200.0</v>
      </c>
      <c r="F20" s="311">
        <v>360000.0</v>
      </c>
      <c r="G20" s="312">
        <v>1.0</v>
      </c>
      <c r="H20" s="313">
        <f t="shared" si="2"/>
        <v>134.7007349</v>
      </c>
      <c r="I20" s="314">
        <v>0.035</v>
      </c>
      <c r="J20" s="315">
        <f t="shared" si="3"/>
        <v>129.9862092</v>
      </c>
      <c r="K20" s="316">
        <f t="shared" si="4"/>
        <v>4.714525722</v>
      </c>
      <c r="L20" s="317">
        <v>0.001397</v>
      </c>
      <c r="M20" s="314">
        <v>0.0215</v>
      </c>
      <c r="N20" s="318">
        <f t="shared" si="5"/>
        <v>0.0014270355</v>
      </c>
      <c r="O20" s="315">
        <f t="shared" si="6"/>
        <v>17.7947035</v>
      </c>
      <c r="P20" s="315">
        <f t="shared" si="7"/>
        <v>0.206994935</v>
      </c>
      <c r="Q20" s="313">
        <f t="shared" si="8"/>
        <v>531.7134273</v>
      </c>
      <c r="R20" s="314">
        <v>0.06</v>
      </c>
      <c r="S20" s="319"/>
      <c r="T20" s="299">
        <f t="shared" si="1"/>
        <v>268800</v>
      </c>
      <c r="U20" s="315">
        <f t="shared" si="9"/>
        <v>253612.8</v>
      </c>
      <c r="V20" s="315">
        <f t="shared" si="10"/>
        <v>53760</v>
      </c>
      <c r="W20" s="320">
        <f t="shared" si="14"/>
        <v>193440</v>
      </c>
      <c r="X20" s="321">
        <f t="shared" si="11"/>
        <v>2.947368421</v>
      </c>
      <c r="Y20" s="321">
        <f t="shared" si="12"/>
        <v>0.7466666667</v>
      </c>
      <c r="Z20" s="321">
        <f t="shared" si="13"/>
        <v>0.5373333333</v>
      </c>
      <c r="AA20" s="339"/>
      <c r="AB20" s="339"/>
      <c r="AC20" s="339"/>
      <c r="AD20" s="340"/>
      <c r="AE20" s="339"/>
      <c r="AF20" s="339"/>
      <c r="AG20" s="339"/>
      <c r="AH20" s="340"/>
      <c r="AI20" s="340"/>
    </row>
    <row r="21">
      <c r="A21" s="309">
        <v>2026.0</v>
      </c>
      <c r="B21" s="336"/>
      <c r="C21" s="337" t="s">
        <v>855</v>
      </c>
      <c r="D21" s="341" t="s">
        <v>847</v>
      </c>
      <c r="E21" s="338">
        <v>160800.0</v>
      </c>
      <c r="F21" s="311">
        <v>550000.0</v>
      </c>
      <c r="G21" s="312">
        <v>1.0</v>
      </c>
      <c r="H21" s="313">
        <f t="shared" si="2"/>
        <v>237.4986642</v>
      </c>
      <c r="I21" s="314">
        <v>0.035</v>
      </c>
      <c r="J21" s="315">
        <f t="shared" si="3"/>
        <v>229.1862109</v>
      </c>
      <c r="K21" s="316">
        <f t="shared" si="4"/>
        <v>8.312453247</v>
      </c>
      <c r="L21" s="317">
        <v>0.001397</v>
      </c>
      <c r="M21" s="314">
        <v>0.0215</v>
      </c>
      <c r="N21" s="318">
        <f t="shared" si="5"/>
        <v>0.0014270355</v>
      </c>
      <c r="O21" s="315">
        <f t="shared" si="6"/>
        <v>19.92750354</v>
      </c>
      <c r="P21" s="315">
        <f t="shared" si="7"/>
        <v>0.3485568591</v>
      </c>
      <c r="Q21" s="313">
        <f t="shared" si="8"/>
        <v>812.3399584</v>
      </c>
      <c r="R21" s="314">
        <v>0.06</v>
      </c>
      <c r="S21" s="319"/>
      <c r="T21" s="299">
        <f t="shared" si="1"/>
        <v>389200</v>
      </c>
      <c r="U21" s="315">
        <f t="shared" si="9"/>
        <v>367210.2</v>
      </c>
      <c r="V21" s="315">
        <f t="shared" si="10"/>
        <v>77840</v>
      </c>
      <c r="W21" s="320">
        <f t="shared" si="14"/>
        <v>278360</v>
      </c>
      <c r="X21" s="321">
        <f t="shared" si="11"/>
        <v>2.42039801</v>
      </c>
      <c r="Y21" s="321">
        <f t="shared" si="12"/>
        <v>0.7076363636</v>
      </c>
      <c r="Z21" s="321">
        <f t="shared" si="13"/>
        <v>0.5061090909</v>
      </c>
      <c r="AA21" s="339"/>
      <c r="AB21" s="339"/>
      <c r="AC21" s="339"/>
      <c r="AD21" s="340"/>
      <c r="AE21" s="339"/>
      <c r="AF21" s="339"/>
      <c r="AG21" s="339"/>
      <c r="AH21" s="340"/>
      <c r="AI21" s="340"/>
    </row>
    <row r="22">
      <c r="A22" s="309">
        <v>2026.0</v>
      </c>
      <c r="B22" s="336"/>
      <c r="C22" s="337" t="s">
        <v>854</v>
      </c>
      <c r="D22" s="342" t="s">
        <v>849</v>
      </c>
      <c r="E22" s="338">
        <v>244000.0</v>
      </c>
      <c r="F22" s="311">
        <v>770000.0</v>
      </c>
      <c r="G22" s="312">
        <v>1.0</v>
      </c>
      <c r="H22" s="313">
        <f t="shared" si="2"/>
        <v>360.3835452</v>
      </c>
      <c r="I22" s="314">
        <v>0.035</v>
      </c>
      <c r="J22" s="315">
        <f t="shared" si="3"/>
        <v>347.7701211</v>
      </c>
      <c r="K22" s="316">
        <f t="shared" si="4"/>
        <v>12.61342408</v>
      </c>
      <c r="L22" s="317">
        <v>0.001397</v>
      </c>
      <c r="M22" s="314">
        <v>0.0215</v>
      </c>
      <c r="N22" s="318">
        <f t="shared" si="5"/>
        <v>0.0014270355</v>
      </c>
      <c r="O22" s="315">
        <f t="shared" si="6"/>
        <v>22.4770576</v>
      </c>
      <c r="P22" s="315">
        <f t="shared" si="7"/>
        <v>0.5177803086</v>
      </c>
      <c r="Q22" s="313">
        <f t="shared" si="8"/>
        <v>1137.275942</v>
      </c>
      <c r="R22" s="314">
        <v>0.06</v>
      </c>
      <c r="S22" s="319"/>
      <c r="T22" s="299">
        <f t="shared" si="1"/>
        <v>526000</v>
      </c>
      <c r="U22" s="315">
        <f t="shared" si="9"/>
        <v>496281</v>
      </c>
      <c r="V22" s="315">
        <f t="shared" si="10"/>
        <v>105200</v>
      </c>
      <c r="W22" s="320">
        <f t="shared" si="14"/>
        <v>374600</v>
      </c>
      <c r="X22" s="321">
        <f t="shared" si="11"/>
        <v>2.155737705</v>
      </c>
      <c r="Y22" s="321">
        <f t="shared" si="12"/>
        <v>0.6831168831</v>
      </c>
      <c r="Z22" s="321">
        <f t="shared" si="13"/>
        <v>0.4864935065</v>
      </c>
      <c r="AA22" s="339"/>
      <c r="AB22" s="339"/>
      <c r="AC22" s="339"/>
      <c r="AD22" s="340"/>
      <c r="AE22" s="339"/>
      <c r="AF22" s="339"/>
      <c r="AG22" s="339"/>
      <c r="AH22" s="340"/>
      <c r="AI22" s="340"/>
    </row>
    <row r="23">
      <c r="A23" s="305"/>
      <c r="B23" s="305"/>
      <c r="C23" s="305"/>
      <c r="D23" s="305"/>
      <c r="E23" s="325"/>
      <c r="F23" s="325"/>
      <c r="G23" s="326"/>
      <c r="H23" s="313"/>
      <c r="I23" s="327"/>
      <c r="J23" s="328"/>
      <c r="K23" s="329"/>
      <c r="L23" s="330"/>
      <c r="M23" s="327"/>
      <c r="N23" s="331"/>
      <c r="O23" s="328"/>
      <c r="P23" s="328"/>
      <c r="Q23" s="313"/>
      <c r="R23" s="327"/>
      <c r="S23" s="332"/>
      <c r="T23" s="299">
        <f t="shared" si="1"/>
        <v>0</v>
      </c>
      <c r="U23" s="315">
        <f t="shared" si="9"/>
        <v>0</v>
      </c>
      <c r="V23" s="315">
        <f t="shared" si="10"/>
        <v>0</v>
      </c>
      <c r="W23" s="320">
        <f t="shared" si="14"/>
        <v>0</v>
      </c>
      <c r="X23" s="321" t="str">
        <f t="shared" si="11"/>
        <v/>
      </c>
      <c r="Y23" s="333"/>
      <c r="Z23" s="321" t="str">
        <f t="shared" si="13"/>
        <v/>
      </c>
      <c r="AA23" s="334"/>
      <c r="AB23" s="334"/>
      <c r="AC23" s="334"/>
      <c r="AD23" s="335"/>
      <c r="AE23" s="334"/>
      <c r="AF23" s="334"/>
      <c r="AG23" s="334"/>
      <c r="AH23" s="335"/>
      <c r="AI23" s="335"/>
    </row>
    <row r="24">
      <c r="A24" s="343" t="s">
        <v>856</v>
      </c>
      <c r="E24" s="325"/>
      <c r="F24" s="325"/>
      <c r="G24" s="326"/>
      <c r="H24" s="313"/>
      <c r="I24" s="327"/>
      <c r="J24" s="328"/>
      <c r="K24" s="329"/>
      <c r="L24" s="330"/>
      <c r="M24" s="327"/>
      <c r="N24" s="331"/>
      <c r="O24" s="328"/>
      <c r="P24" s="328"/>
      <c r="Q24" s="313"/>
      <c r="R24" s="327"/>
      <c r="S24" s="332"/>
      <c r="T24" s="299">
        <f t="shared" si="1"/>
        <v>0</v>
      </c>
      <c r="U24" s="315">
        <f t="shared" si="9"/>
        <v>0</v>
      </c>
      <c r="V24" s="315">
        <f t="shared" si="10"/>
        <v>0</v>
      </c>
      <c r="W24" s="320">
        <f t="shared" si="14"/>
        <v>0</v>
      </c>
      <c r="X24" s="321" t="str">
        <f t="shared" si="11"/>
        <v/>
      </c>
      <c r="Y24" s="333"/>
      <c r="Z24" s="321" t="str">
        <f t="shared" si="13"/>
        <v/>
      </c>
      <c r="AA24" s="334"/>
      <c r="AB24" s="334"/>
      <c r="AC24" s="334"/>
      <c r="AD24" s="335"/>
      <c r="AE24" s="334"/>
      <c r="AF24" s="334"/>
      <c r="AG24" s="334"/>
      <c r="AH24" s="335"/>
      <c r="AI24" s="335"/>
    </row>
    <row r="25">
      <c r="A25" s="344">
        <v>2026.0</v>
      </c>
      <c r="B25" s="344"/>
      <c r="C25" s="344" t="s">
        <v>857</v>
      </c>
      <c r="D25" s="344"/>
      <c r="E25" s="290">
        <v>225000.0</v>
      </c>
      <c r="F25" s="345">
        <v>370000.0</v>
      </c>
      <c r="G25" s="346">
        <v>1.0</v>
      </c>
      <c r="H25" s="292">
        <f t="shared" ref="H25:H37" si="15">((E25*N25)*(1+I25))*G25</f>
        <v>332.3208921</v>
      </c>
      <c r="I25" s="347">
        <v>0.035</v>
      </c>
      <c r="J25" s="348">
        <f t="shared" ref="J25:J37" si="16">H25*(1-I25)</f>
        <v>320.6896608</v>
      </c>
      <c r="K25" s="349">
        <f t="shared" ref="K25:K37" si="17">H25-J25</f>
        <v>11.63123122</v>
      </c>
      <c r="L25" s="296">
        <v>0.001397</v>
      </c>
      <c r="M25" s="347">
        <v>0.0215</v>
      </c>
      <c r="N25" s="350">
        <f t="shared" ref="N25:N37" si="18">L25*(1+M25)</f>
        <v>0.0014270355</v>
      </c>
      <c r="O25" s="348">
        <f t="shared" ref="O25:O37" si="19">(J25*M25)+15</f>
        <v>21.89482771</v>
      </c>
      <c r="P25" s="348">
        <f t="shared" ref="P25:P37" si="20">(J25*N25)+M25</f>
        <v>0.4791355305</v>
      </c>
      <c r="Q25" s="292">
        <f t="shared" ref="Q25:Q37" si="21">((F25*N25)*(1+I25))*G25</f>
        <v>546.4832447</v>
      </c>
      <c r="R25" s="347">
        <v>0.06</v>
      </c>
      <c r="S25" s="351"/>
      <c r="T25" s="299">
        <f t="shared" si="1"/>
        <v>145000</v>
      </c>
      <c r="U25" s="315">
        <f t="shared" si="9"/>
        <v>136807.5</v>
      </c>
      <c r="V25" s="315">
        <f t="shared" si="10"/>
        <v>29000</v>
      </c>
      <c r="W25" s="320">
        <f t="shared" si="14"/>
        <v>93800</v>
      </c>
      <c r="X25" s="321">
        <f t="shared" si="11"/>
        <v>0.6444444444</v>
      </c>
      <c r="Y25" s="352">
        <f t="shared" ref="Y25:Y37" si="22">IFERROR((Q25-H25)/Q25,"")</f>
        <v>0.3918918919</v>
      </c>
      <c r="Z25" s="321">
        <f t="shared" si="13"/>
        <v>0.2535135135</v>
      </c>
      <c r="AA25" s="353"/>
      <c r="AB25" s="353"/>
      <c r="AC25" s="353"/>
      <c r="AD25" s="354"/>
      <c r="AE25" s="353"/>
      <c r="AF25" s="353"/>
      <c r="AG25" s="353"/>
      <c r="AH25" s="354" t="str">
        <f t="shared" ref="AH25:AH37" si="23">IFERROR(AVERAGE(AE25:AG25),"")</f>
        <v/>
      </c>
      <c r="AI25" s="355">
        <f t="shared" ref="AI25:AI37" si="24">AE25+AF25+AG25</f>
        <v>0</v>
      </c>
    </row>
    <row r="26">
      <c r="A26" s="305">
        <v>2026.0</v>
      </c>
      <c r="B26" s="305"/>
      <c r="C26" s="305" t="s">
        <v>857</v>
      </c>
      <c r="D26" s="305"/>
      <c r="E26" s="325">
        <v>150000.0</v>
      </c>
      <c r="F26" s="325">
        <v>300000.0</v>
      </c>
      <c r="G26" s="356">
        <v>1.0</v>
      </c>
      <c r="H26" s="292">
        <f t="shared" si="15"/>
        <v>221.5472614</v>
      </c>
      <c r="I26" s="327">
        <v>0.035</v>
      </c>
      <c r="J26" s="328">
        <f t="shared" si="16"/>
        <v>213.7931072</v>
      </c>
      <c r="K26" s="329">
        <f t="shared" si="17"/>
        <v>7.754154148</v>
      </c>
      <c r="L26" s="330">
        <v>0.001397</v>
      </c>
      <c r="M26" s="327">
        <v>0.0215</v>
      </c>
      <c r="N26" s="331">
        <f t="shared" si="18"/>
        <v>0.0014270355</v>
      </c>
      <c r="O26" s="328">
        <f t="shared" si="19"/>
        <v>19.59655181</v>
      </c>
      <c r="P26" s="328">
        <f t="shared" si="20"/>
        <v>0.3265903537</v>
      </c>
      <c r="Q26" s="292">
        <f t="shared" si="21"/>
        <v>443.0945228</v>
      </c>
      <c r="R26" s="347">
        <v>0.06</v>
      </c>
      <c r="S26" s="332"/>
      <c r="T26" s="299">
        <f t="shared" si="1"/>
        <v>150000</v>
      </c>
      <c r="U26" s="315">
        <f t="shared" si="9"/>
        <v>141525</v>
      </c>
      <c r="V26" s="315">
        <f t="shared" si="10"/>
        <v>30000</v>
      </c>
      <c r="W26" s="320">
        <f t="shared" si="14"/>
        <v>102000</v>
      </c>
      <c r="X26" s="321">
        <f t="shared" si="11"/>
        <v>1</v>
      </c>
      <c r="Y26" s="333">
        <f t="shared" si="22"/>
        <v>0.5</v>
      </c>
      <c r="Z26" s="321">
        <f t="shared" si="13"/>
        <v>0.34</v>
      </c>
      <c r="AA26" s="334"/>
      <c r="AB26" s="334"/>
      <c r="AC26" s="334"/>
      <c r="AD26" s="335"/>
      <c r="AE26" s="334"/>
      <c r="AF26" s="334"/>
      <c r="AG26" s="334"/>
      <c r="AH26" s="335" t="str">
        <f t="shared" si="23"/>
        <v/>
      </c>
      <c r="AI26" s="335">
        <f t="shared" si="24"/>
        <v>0</v>
      </c>
    </row>
    <row r="27">
      <c r="A27" s="305">
        <v>2026.0</v>
      </c>
      <c r="B27" s="305"/>
      <c r="C27" s="305" t="s">
        <v>858</v>
      </c>
      <c r="D27" s="305"/>
      <c r="E27" s="325">
        <v>633000.0</v>
      </c>
      <c r="F27" s="325">
        <v>850000.0</v>
      </c>
      <c r="G27" s="326">
        <v>1.0</v>
      </c>
      <c r="H27" s="292">
        <f t="shared" si="15"/>
        <v>934.929443</v>
      </c>
      <c r="I27" s="327">
        <v>0.035</v>
      </c>
      <c r="J27" s="328">
        <f t="shared" si="16"/>
        <v>902.2069125</v>
      </c>
      <c r="K27" s="329">
        <f t="shared" si="17"/>
        <v>32.72253051</v>
      </c>
      <c r="L27" s="330">
        <v>0.001397</v>
      </c>
      <c r="M27" s="327">
        <v>0.0215</v>
      </c>
      <c r="N27" s="331">
        <f t="shared" si="18"/>
        <v>0.0014270355</v>
      </c>
      <c r="O27" s="328">
        <f t="shared" si="19"/>
        <v>34.39744862</v>
      </c>
      <c r="P27" s="328">
        <f t="shared" si="20"/>
        <v>1.308981292</v>
      </c>
      <c r="Q27" s="292">
        <f t="shared" si="21"/>
        <v>1255.434481</v>
      </c>
      <c r="R27" s="347">
        <v>0.06</v>
      </c>
      <c r="S27" s="332"/>
      <c r="T27" s="299">
        <f t="shared" si="1"/>
        <v>217000</v>
      </c>
      <c r="U27" s="315">
        <f t="shared" si="9"/>
        <v>204739.5</v>
      </c>
      <c r="V27" s="315">
        <f t="shared" si="10"/>
        <v>43400</v>
      </c>
      <c r="W27" s="320">
        <f t="shared" si="14"/>
        <v>122600</v>
      </c>
      <c r="X27" s="321">
        <f t="shared" si="11"/>
        <v>0.3428120063</v>
      </c>
      <c r="Y27" s="333">
        <f t="shared" si="22"/>
        <v>0.2552941176</v>
      </c>
      <c r="Z27" s="321">
        <f t="shared" si="13"/>
        <v>0.1442352941</v>
      </c>
      <c r="AA27" s="334"/>
      <c r="AB27" s="334"/>
      <c r="AC27" s="334"/>
      <c r="AD27" s="335"/>
      <c r="AE27" s="334"/>
      <c r="AF27" s="334"/>
      <c r="AG27" s="334"/>
      <c r="AH27" s="335" t="str">
        <f t="shared" si="23"/>
        <v/>
      </c>
      <c r="AI27" s="335">
        <f t="shared" si="24"/>
        <v>0</v>
      </c>
    </row>
    <row r="28">
      <c r="A28" s="305">
        <v>2026.0</v>
      </c>
      <c r="B28" s="305"/>
      <c r="C28" s="305" t="s">
        <v>798</v>
      </c>
      <c r="D28" s="305"/>
      <c r="E28" s="325">
        <v>390000.0</v>
      </c>
      <c r="F28" s="325">
        <v>610000.0</v>
      </c>
      <c r="G28" s="326">
        <v>1.0</v>
      </c>
      <c r="H28" s="292">
        <f t="shared" si="15"/>
        <v>576.0228796</v>
      </c>
      <c r="I28" s="327">
        <v>0.035</v>
      </c>
      <c r="J28" s="328">
        <f t="shared" si="16"/>
        <v>555.8620788</v>
      </c>
      <c r="K28" s="329">
        <f t="shared" si="17"/>
        <v>20.16080079</v>
      </c>
      <c r="L28" s="330">
        <v>0.001397</v>
      </c>
      <c r="M28" s="327">
        <v>0.0215</v>
      </c>
      <c r="N28" s="331">
        <f t="shared" si="18"/>
        <v>0.0014270355</v>
      </c>
      <c r="O28" s="328">
        <f t="shared" si="19"/>
        <v>26.95103469</v>
      </c>
      <c r="P28" s="328">
        <f t="shared" si="20"/>
        <v>0.8147349195</v>
      </c>
      <c r="Q28" s="292">
        <f t="shared" si="21"/>
        <v>900.9588629</v>
      </c>
      <c r="R28" s="347">
        <v>0.06</v>
      </c>
      <c r="S28" s="332"/>
      <c r="T28" s="299">
        <f t="shared" si="1"/>
        <v>220000</v>
      </c>
      <c r="U28" s="315">
        <f t="shared" si="9"/>
        <v>207570</v>
      </c>
      <c r="V28" s="315">
        <f t="shared" si="10"/>
        <v>44000</v>
      </c>
      <c r="W28" s="320">
        <f t="shared" si="14"/>
        <v>139400</v>
      </c>
      <c r="X28" s="321">
        <f t="shared" si="11"/>
        <v>0.5641025641</v>
      </c>
      <c r="Y28" s="333">
        <f t="shared" si="22"/>
        <v>0.3606557377</v>
      </c>
      <c r="Z28" s="321">
        <f t="shared" si="13"/>
        <v>0.2285245902</v>
      </c>
      <c r="AA28" s="334"/>
      <c r="AB28" s="334"/>
      <c r="AC28" s="334"/>
      <c r="AD28" s="335"/>
      <c r="AE28" s="334"/>
      <c r="AF28" s="334"/>
      <c r="AG28" s="334"/>
      <c r="AH28" s="335" t="str">
        <f t="shared" si="23"/>
        <v/>
      </c>
      <c r="AI28" s="335">
        <f t="shared" si="24"/>
        <v>0</v>
      </c>
    </row>
    <row r="29">
      <c r="A29" s="305">
        <v>2026.0</v>
      </c>
      <c r="B29" s="305"/>
      <c r="C29" s="305" t="s">
        <v>859</v>
      </c>
      <c r="D29" s="305"/>
      <c r="E29" s="325">
        <v>330000.0</v>
      </c>
      <c r="F29" s="325">
        <v>510000.0</v>
      </c>
      <c r="G29" s="326">
        <v>1.0</v>
      </c>
      <c r="H29" s="292">
        <f t="shared" si="15"/>
        <v>487.403975</v>
      </c>
      <c r="I29" s="327">
        <v>0.035</v>
      </c>
      <c r="J29" s="328">
        <f t="shared" si="16"/>
        <v>470.3448359</v>
      </c>
      <c r="K29" s="329">
        <f t="shared" si="17"/>
        <v>17.05913913</v>
      </c>
      <c r="L29" s="330">
        <v>0.001397</v>
      </c>
      <c r="M29" s="327">
        <v>0.0215</v>
      </c>
      <c r="N29" s="331">
        <f t="shared" si="18"/>
        <v>0.0014270355</v>
      </c>
      <c r="O29" s="328">
        <f t="shared" si="19"/>
        <v>25.11241397</v>
      </c>
      <c r="P29" s="328">
        <f t="shared" si="20"/>
        <v>0.6926987781</v>
      </c>
      <c r="Q29" s="292">
        <f t="shared" si="21"/>
        <v>753.2606887</v>
      </c>
      <c r="R29" s="347">
        <v>0.06</v>
      </c>
      <c r="S29" s="332"/>
      <c r="T29" s="299">
        <f t="shared" si="1"/>
        <v>180000</v>
      </c>
      <c r="U29" s="315">
        <f t="shared" si="9"/>
        <v>169830</v>
      </c>
      <c r="V29" s="315">
        <f t="shared" si="10"/>
        <v>36000</v>
      </c>
      <c r="W29" s="320">
        <f t="shared" si="14"/>
        <v>113400</v>
      </c>
      <c r="X29" s="321">
        <f t="shared" si="11"/>
        <v>0.5454545455</v>
      </c>
      <c r="Y29" s="333">
        <f t="shared" si="22"/>
        <v>0.3529411765</v>
      </c>
      <c r="Z29" s="321">
        <f t="shared" si="13"/>
        <v>0.2223529412</v>
      </c>
      <c r="AA29" s="334"/>
      <c r="AB29" s="334"/>
      <c r="AC29" s="334"/>
      <c r="AD29" s="335"/>
      <c r="AE29" s="334"/>
      <c r="AF29" s="334"/>
      <c r="AG29" s="334"/>
      <c r="AH29" s="335" t="str">
        <f t="shared" si="23"/>
        <v/>
      </c>
      <c r="AI29" s="335">
        <f t="shared" si="24"/>
        <v>0</v>
      </c>
    </row>
    <row r="30">
      <c r="A30" s="305">
        <v>2026.0</v>
      </c>
      <c r="B30" s="305"/>
      <c r="C30" s="305" t="s">
        <v>860</v>
      </c>
      <c r="D30" s="305"/>
      <c r="E30" s="325">
        <v>300000.0</v>
      </c>
      <c r="F30" s="325">
        <v>490000.0</v>
      </c>
      <c r="G30" s="326">
        <v>1.0</v>
      </c>
      <c r="H30" s="292">
        <f t="shared" si="15"/>
        <v>443.0945228</v>
      </c>
      <c r="I30" s="327">
        <v>0.035</v>
      </c>
      <c r="J30" s="328">
        <f t="shared" si="16"/>
        <v>427.5862145</v>
      </c>
      <c r="K30" s="329">
        <f t="shared" si="17"/>
        <v>15.5083083</v>
      </c>
      <c r="L30" s="330">
        <v>0.001397</v>
      </c>
      <c r="M30" s="327">
        <v>0.0215</v>
      </c>
      <c r="N30" s="331">
        <f t="shared" si="18"/>
        <v>0.0014270355</v>
      </c>
      <c r="O30" s="328">
        <f t="shared" si="19"/>
        <v>24.19310361</v>
      </c>
      <c r="P30" s="328">
        <f t="shared" si="20"/>
        <v>0.6316807073</v>
      </c>
      <c r="Q30" s="292">
        <f t="shared" si="21"/>
        <v>723.7210538</v>
      </c>
      <c r="R30" s="347">
        <v>0.06</v>
      </c>
      <c r="S30" s="332"/>
      <c r="T30" s="299">
        <f t="shared" si="1"/>
        <v>190000</v>
      </c>
      <c r="U30" s="315">
        <f t="shared" si="9"/>
        <v>179265</v>
      </c>
      <c r="V30" s="315">
        <f t="shared" si="10"/>
        <v>38000</v>
      </c>
      <c r="W30" s="320">
        <f t="shared" si="14"/>
        <v>122600</v>
      </c>
      <c r="X30" s="321">
        <f t="shared" si="11"/>
        <v>0.6333333333</v>
      </c>
      <c r="Y30" s="333">
        <f t="shared" si="22"/>
        <v>0.387755102</v>
      </c>
      <c r="Z30" s="321">
        <f t="shared" si="13"/>
        <v>0.2502040816</v>
      </c>
      <c r="AA30" s="334"/>
      <c r="AB30" s="334"/>
      <c r="AC30" s="334"/>
      <c r="AD30" s="335"/>
      <c r="AE30" s="334"/>
      <c r="AF30" s="334"/>
      <c r="AG30" s="334"/>
      <c r="AH30" s="335" t="str">
        <f t="shared" si="23"/>
        <v/>
      </c>
      <c r="AI30" s="335">
        <f t="shared" si="24"/>
        <v>0</v>
      </c>
    </row>
    <row r="31">
      <c r="A31" s="305">
        <v>2026.0</v>
      </c>
      <c r="B31" s="305"/>
      <c r="C31" s="305" t="s">
        <v>861</v>
      </c>
      <c r="D31" s="305"/>
      <c r="E31" s="325">
        <v>260000.0</v>
      </c>
      <c r="F31" s="325">
        <v>390000.0</v>
      </c>
      <c r="G31" s="326">
        <v>1.0</v>
      </c>
      <c r="H31" s="292">
        <f t="shared" si="15"/>
        <v>384.0152531</v>
      </c>
      <c r="I31" s="327">
        <v>0.035</v>
      </c>
      <c r="J31" s="328">
        <f t="shared" si="16"/>
        <v>370.5747192</v>
      </c>
      <c r="K31" s="329">
        <f t="shared" si="17"/>
        <v>13.44053386</v>
      </c>
      <c r="L31" s="330">
        <v>0.001397</v>
      </c>
      <c r="M31" s="327">
        <v>0.0215</v>
      </c>
      <c r="N31" s="331">
        <f t="shared" si="18"/>
        <v>0.0014270355</v>
      </c>
      <c r="O31" s="328">
        <f t="shared" si="19"/>
        <v>22.96735646</v>
      </c>
      <c r="P31" s="328">
        <f t="shared" si="20"/>
        <v>0.5503232797</v>
      </c>
      <c r="Q31" s="292">
        <f t="shared" si="21"/>
        <v>576.0228796</v>
      </c>
      <c r="R31" s="347">
        <v>0.06</v>
      </c>
      <c r="S31" s="332"/>
      <c r="T31" s="299">
        <f t="shared" si="1"/>
        <v>130000</v>
      </c>
      <c r="U31" s="315">
        <f t="shared" si="9"/>
        <v>122655</v>
      </c>
      <c r="V31" s="315">
        <f t="shared" si="10"/>
        <v>26000</v>
      </c>
      <c r="W31" s="320">
        <f t="shared" si="14"/>
        <v>80600</v>
      </c>
      <c r="X31" s="321">
        <f t="shared" si="11"/>
        <v>0.5</v>
      </c>
      <c r="Y31" s="333">
        <f t="shared" si="22"/>
        <v>0.3333333333</v>
      </c>
      <c r="Z31" s="321">
        <f t="shared" si="13"/>
        <v>0.2066666667</v>
      </c>
      <c r="AA31" s="334"/>
      <c r="AB31" s="334"/>
      <c r="AC31" s="334"/>
      <c r="AD31" s="335"/>
      <c r="AE31" s="334"/>
      <c r="AF31" s="334"/>
      <c r="AG31" s="334"/>
      <c r="AH31" s="335" t="str">
        <f t="shared" si="23"/>
        <v/>
      </c>
      <c r="AI31" s="335">
        <f t="shared" si="24"/>
        <v>0</v>
      </c>
    </row>
    <row r="32">
      <c r="A32" s="305">
        <v>2026.0</v>
      </c>
      <c r="B32" s="305"/>
      <c r="C32" s="305" t="s">
        <v>862</v>
      </c>
      <c r="D32" s="305"/>
      <c r="E32" s="325">
        <v>620000.0</v>
      </c>
      <c r="F32" s="325">
        <v>890000.0</v>
      </c>
      <c r="G32" s="326">
        <v>1.0</v>
      </c>
      <c r="H32" s="292">
        <f t="shared" si="15"/>
        <v>915.7286804</v>
      </c>
      <c r="I32" s="327">
        <v>0.035</v>
      </c>
      <c r="J32" s="328">
        <f t="shared" si="16"/>
        <v>883.6781765</v>
      </c>
      <c r="K32" s="329">
        <f t="shared" si="17"/>
        <v>32.05050381</v>
      </c>
      <c r="L32" s="330">
        <v>0.001397</v>
      </c>
      <c r="M32" s="327">
        <v>0.0215</v>
      </c>
      <c r="N32" s="331">
        <f t="shared" si="18"/>
        <v>0.0014270355</v>
      </c>
      <c r="O32" s="328">
        <f t="shared" si="19"/>
        <v>33.9990808</v>
      </c>
      <c r="P32" s="328">
        <f t="shared" si="20"/>
        <v>1.282540128</v>
      </c>
      <c r="Q32" s="292">
        <f t="shared" si="21"/>
        <v>1314.513751</v>
      </c>
      <c r="R32" s="347">
        <v>0.06</v>
      </c>
      <c r="S32" s="332"/>
      <c r="T32" s="299">
        <f t="shared" si="1"/>
        <v>270000</v>
      </c>
      <c r="U32" s="315">
        <f t="shared" si="9"/>
        <v>254745</v>
      </c>
      <c r="V32" s="315">
        <f t="shared" si="10"/>
        <v>54000</v>
      </c>
      <c r="W32" s="320">
        <f t="shared" si="14"/>
        <v>162600</v>
      </c>
      <c r="X32" s="321">
        <f t="shared" si="11"/>
        <v>0.435483871</v>
      </c>
      <c r="Y32" s="333">
        <f t="shared" si="22"/>
        <v>0.3033707865</v>
      </c>
      <c r="Z32" s="321">
        <f t="shared" si="13"/>
        <v>0.1826966292</v>
      </c>
      <c r="AA32" s="334"/>
      <c r="AB32" s="334"/>
      <c r="AC32" s="334"/>
      <c r="AD32" s="335"/>
      <c r="AE32" s="334"/>
      <c r="AF32" s="334"/>
      <c r="AG32" s="334"/>
      <c r="AH32" s="335" t="str">
        <f t="shared" si="23"/>
        <v/>
      </c>
      <c r="AI32" s="335">
        <f t="shared" si="24"/>
        <v>0</v>
      </c>
    </row>
    <row r="33">
      <c r="A33" s="305">
        <v>2026.0</v>
      </c>
      <c r="B33" s="305"/>
      <c r="C33" s="305" t="s">
        <v>863</v>
      </c>
      <c r="D33" s="305"/>
      <c r="E33" s="325">
        <v>570000.0</v>
      </c>
      <c r="F33" s="325">
        <v>800000.0</v>
      </c>
      <c r="G33" s="326">
        <v>1.0</v>
      </c>
      <c r="H33" s="292">
        <f t="shared" si="15"/>
        <v>841.8795932</v>
      </c>
      <c r="I33" s="327">
        <v>0.035</v>
      </c>
      <c r="J33" s="328">
        <f t="shared" si="16"/>
        <v>812.4138075</v>
      </c>
      <c r="K33" s="329">
        <f t="shared" si="17"/>
        <v>29.46578576</v>
      </c>
      <c r="L33" s="330">
        <v>0.001397</v>
      </c>
      <c r="M33" s="327">
        <v>0.0215</v>
      </c>
      <c r="N33" s="331">
        <f t="shared" si="18"/>
        <v>0.0014270355</v>
      </c>
      <c r="O33" s="328">
        <f t="shared" si="19"/>
        <v>32.46689686</v>
      </c>
      <c r="P33" s="328">
        <f t="shared" si="20"/>
        <v>1.180843344</v>
      </c>
      <c r="Q33" s="292">
        <f t="shared" si="21"/>
        <v>1181.585394</v>
      </c>
      <c r="R33" s="347">
        <v>0.06</v>
      </c>
      <c r="S33" s="332"/>
      <c r="T33" s="299">
        <f t="shared" si="1"/>
        <v>230000</v>
      </c>
      <c r="U33" s="315">
        <f t="shared" si="9"/>
        <v>217005</v>
      </c>
      <c r="V33" s="315">
        <f t="shared" si="10"/>
        <v>46000</v>
      </c>
      <c r="W33" s="320">
        <f t="shared" si="14"/>
        <v>136000</v>
      </c>
      <c r="X33" s="321">
        <f t="shared" si="11"/>
        <v>0.4035087719</v>
      </c>
      <c r="Y33" s="333">
        <f t="shared" si="22"/>
        <v>0.2875</v>
      </c>
      <c r="Z33" s="321">
        <f t="shared" si="13"/>
        <v>0.17</v>
      </c>
      <c r="AA33" s="334"/>
      <c r="AB33" s="334"/>
      <c r="AC33" s="334"/>
      <c r="AD33" s="335"/>
      <c r="AE33" s="334"/>
      <c r="AF33" s="334"/>
      <c r="AG33" s="334"/>
      <c r="AH33" s="335" t="str">
        <f t="shared" si="23"/>
        <v/>
      </c>
      <c r="AI33" s="335">
        <f t="shared" si="24"/>
        <v>0</v>
      </c>
    </row>
    <row r="34">
      <c r="A34" s="305">
        <v>2026.0</v>
      </c>
      <c r="B34" s="305"/>
      <c r="C34" s="305" t="s">
        <v>864</v>
      </c>
      <c r="D34" s="305"/>
      <c r="E34" s="325">
        <v>134000.0</v>
      </c>
      <c r="F34" s="325">
        <v>230000.0</v>
      </c>
      <c r="G34" s="326">
        <v>1.0</v>
      </c>
      <c r="H34" s="292">
        <f t="shared" si="15"/>
        <v>197.9155535</v>
      </c>
      <c r="I34" s="327">
        <v>0.035</v>
      </c>
      <c r="J34" s="328">
        <f t="shared" si="16"/>
        <v>190.9885091</v>
      </c>
      <c r="K34" s="329">
        <f t="shared" si="17"/>
        <v>6.927044372</v>
      </c>
      <c r="L34" s="330">
        <v>0.001397</v>
      </c>
      <c r="M34" s="327">
        <v>0.0215</v>
      </c>
      <c r="N34" s="331">
        <f t="shared" si="18"/>
        <v>0.0014270355</v>
      </c>
      <c r="O34" s="328">
        <f t="shared" si="19"/>
        <v>19.10625295</v>
      </c>
      <c r="P34" s="328">
        <f t="shared" si="20"/>
        <v>0.2940473826</v>
      </c>
      <c r="Q34" s="292">
        <f t="shared" si="21"/>
        <v>339.7058008</v>
      </c>
      <c r="R34" s="347">
        <v>0.06</v>
      </c>
      <c r="S34" s="332"/>
      <c r="T34" s="299">
        <f t="shared" si="1"/>
        <v>96000</v>
      </c>
      <c r="U34" s="315">
        <f t="shared" si="9"/>
        <v>90576</v>
      </c>
      <c r="V34" s="315">
        <f t="shared" si="10"/>
        <v>19200</v>
      </c>
      <c r="W34" s="320">
        <f t="shared" si="14"/>
        <v>63000</v>
      </c>
      <c r="X34" s="321">
        <f t="shared" si="11"/>
        <v>0.7164179104</v>
      </c>
      <c r="Y34" s="333">
        <f t="shared" si="22"/>
        <v>0.4173913043</v>
      </c>
      <c r="Z34" s="321">
        <f t="shared" si="13"/>
        <v>0.2739130435</v>
      </c>
      <c r="AA34" s="334"/>
      <c r="AB34" s="334"/>
      <c r="AC34" s="334"/>
      <c r="AD34" s="335"/>
      <c r="AE34" s="334"/>
      <c r="AF34" s="334"/>
      <c r="AG34" s="334"/>
      <c r="AH34" s="335" t="str">
        <f t="shared" si="23"/>
        <v/>
      </c>
      <c r="AI34" s="335">
        <f t="shared" si="24"/>
        <v>0</v>
      </c>
    </row>
    <row r="35">
      <c r="A35" s="305">
        <v>2026.0</v>
      </c>
      <c r="B35" s="305"/>
      <c r="C35" s="305" t="s">
        <v>865</v>
      </c>
      <c r="D35" s="305"/>
      <c r="E35" s="325">
        <v>67000.0</v>
      </c>
      <c r="F35" s="325">
        <v>190000.0</v>
      </c>
      <c r="G35" s="326">
        <v>1.0</v>
      </c>
      <c r="H35" s="292">
        <f t="shared" si="15"/>
        <v>98.95777675</v>
      </c>
      <c r="I35" s="327">
        <v>0.035</v>
      </c>
      <c r="J35" s="328">
        <f t="shared" si="16"/>
        <v>95.49425456</v>
      </c>
      <c r="K35" s="329">
        <f t="shared" si="17"/>
        <v>3.463522186</v>
      </c>
      <c r="L35" s="330">
        <v>0.001397</v>
      </c>
      <c r="M35" s="327">
        <v>0.0215</v>
      </c>
      <c r="N35" s="331">
        <f t="shared" si="18"/>
        <v>0.0014270355</v>
      </c>
      <c r="O35" s="328">
        <f t="shared" si="19"/>
        <v>17.05312647</v>
      </c>
      <c r="P35" s="328">
        <f t="shared" si="20"/>
        <v>0.1577736913</v>
      </c>
      <c r="Q35" s="292">
        <f t="shared" si="21"/>
        <v>280.6265311</v>
      </c>
      <c r="R35" s="347">
        <v>0.06</v>
      </c>
      <c r="S35" s="332"/>
      <c r="T35" s="299">
        <f t="shared" si="1"/>
        <v>123000</v>
      </c>
      <c r="U35" s="315">
        <f t="shared" si="9"/>
        <v>116050.5</v>
      </c>
      <c r="V35" s="315">
        <f t="shared" si="10"/>
        <v>24600</v>
      </c>
      <c r="W35" s="320">
        <f t="shared" si="14"/>
        <v>87000</v>
      </c>
      <c r="X35" s="321">
        <f t="shared" si="11"/>
        <v>1.835820896</v>
      </c>
      <c r="Y35" s="333">
        <f t="shared" si="22"/>
        <v>0.6473684211</v>
      </c>
      <c r="Z35" s="321">
        <f t="shared" si="13"/>
        <v>0.4578947368</v>
      </c>
      <c r="AA35" s="334"/>
      <c r="AB35" s="334"/>
      <c r="AC35" s="334"/>
      <c r="AD35" s="335"/>
      <c r="AE35" s="334"/>
      <c r="AF35" s="334"/>
      <c r="AG35" s="334"/>
      <c r="AH35" s="335" t="str">
        <f t="shared" si="23"/>
        <v/>
      </c>
      <c r="AI35" s="335">
        <f t="shared" si="24"/>
        <v>0</v>
      </c>
    </row>
    <row r="36">
      <c r="A36" s="305">
        <v>2026.0</v>
      </c>
      <c r="B36" s="305"/>
      <c r="C36" s="305" t="s">
        <v>866</v>
      </c>
      <c r="D36" s="305"/>
      <c r="E36" s="325">
        <v>390000.0</v>
      </c>
      <c r="F36" s="325">
        <v>510000.0</v>
      </c>
      <c r="G36" s="326">
        <v>1.0</v>
      </c>
      <c r="H36" s="292">
        <f t="shared" si="15"/>
        <v>576.0228796</v>
      </c>
      <c r="I36" s="327">
        <v>0.035</v>
      </c>
      <c r="J36" s="328">
        <f t="shared" si="16"/>
        <v>555.8620788</v>
      </c>
      <c r="K36" s="329">
        <f t="shared" si="17"/>
        <v>20.16080079</v>
      </c>
      <c r="L36" s="330">
        <v>0.001397</v>
      </c>
      <c r="M36" s="327">
        <v>0.0215</v>
      </c>
      <c r="N36" s="331">
        <f t="shared" si="18"/>
        <v>0.0014270355</v>
      </c>
      <c r="O36" s="328">
        <f t="shared" si="19"/>
        <v>26.95103469</v>
      </c>
      <c r="P36" s="328">
        <f t="shared" si="20"/>
        <v>0.8147349195</v>
      </c>
      <c r="Q36" s="292">
        <f t="shared" si="21"/>
        <v>753.2606887</v>
      </c>
      <c r="R36" s="347">
        <v>0.06</v>
      </c>
      <c r="S36" s="332"/>
      <c r="T36" s="299">
        <f t="shared" si="1"/>
        <v>120000</v>
      </c>
      <c r="U36" s="315">
        <f t="shared" si="9"/>
        <v>113220</v>
      </c>
      <c r="V36" s="315">
        <f t="shared" si="10"/>
        <v>24000</v>
      </c>
      <c r="W36" s="320">
        <f t="shared" si="14"/>
        <v>65400</v>
      </c>
      <c r="X36" s="321">
        <f t="shared" si="11"/>
        <v>0.3076923077</v>
      </c>
      <c r="Y36" s="333">
        <f t="shared" si="22"/>
        <v>0.2352941176</v>
      </c>
      <c r="Z36" s="321">
        <f t="shared" si="13"/>
        <v>0.1282352941</v>
      </c>
      <c r="AA36" s="334"/>
      <c r="AB36" s="334"/>
      <c r="AC36" s="334"/>
      <c r="AD36" s="335"/>
      <c r="AE36" s="334"/>
      <c r="AF36" s="334"/>
      <c r="AG36" s="334"/>
      <c r="AH36" s="335" t="str">
        <f t="shared" si="23"/>
        <v/>
      </c>
      <c r="AI36" s="335">
        <f t="shared" si="24"/>
        <v>0</v>
      </c>
    </row>
    <row r="37">
      <c r="A37" s="305">
        <v>2026.0</v>
      </c>
      <c r="B37" s="305"/>
      <c r="C37" s="305" t="s">
        <v>867</v>
      </c>
      <c r="D37" s="305"/>
      <c r="E37" s="325">
        <v>67000.0</v>
      </c>
      <c r="F37" s="325">
        <v>190000.0</v>
      </c>
      <c r="G37" s="326">
        <v>1.0</v>
      </c>
      <c r="H37" s="292">
        <f t="shared" si="15"/>
        <v>98.95777675</v>
      </c>
      <c r="I37" s="327">
        <v>0.035</v>
      </c>
      <c r="J37" s="328">
        <f t="shared" si="16"/>
        <v>95.49425456</v>
      </c>
      <c r="K37" s="329">
        <f t="shared" si="17"/>
        <v>3.463522186</v>
      </c>
      <c r="L37" s="330">
        <v>0.001397</v>
      </c>
      <c r="M37" s="327">
        <v>0.0215</v>
      </c>
      <c r="N37" s="331">
        <f t="shared" si="18"/>
        <v>0.0014270355</v>
      </c>
      <c r="O37" s="328">
        <f t="shared" si="19"/>
        <v>17.05312647</v>
      </c>
      <c r="P37" s="328">
        <f t="shared" si="20"/>
        <v>0.1577736913</v>
      </c>
      <c r="Q37" s="292">
        <f t="shared" si="21"/>
        <v>280.6265311</v>
      </c>
      <c r="R37" s="347">
        <v>0.06</v>
      </c>
      <c r="S37" s="332"/>
      <c r="T37" s="299">
        <f t="shared" si="1"/>
        <v>123000</v>
      </c>
      <c r="U37" s="315">
        <f t="shared" si="9"/>
        <v>116050.5</v>
      </c>
      <c r="V37" s="315">
        <f t="shared" si="10"/>
        <v>24600</v>
      </c>
      <c r="W37" s="320">
        <f t="shared" si="14"/>
        <v>87000</v>
      </c>
      <c r="X37" s="321">
        <f t="shared" si="11"/>
        <v>1.835820896</v>
      </c>
      <c r="Y37" s="333">
        <f t="shared" si="22"/>
        <v>0.6473684211</v>
      </c>
      <c r="Z37" s="321">
        <f t="shared" si="13"/>
        <v>0.4578947368</v>
      </c>
      <c r="AA37" s="334"/>
      <c r="AB37" s="334"/>
      <c r="AC37" s="334"/>
      <c r="AD37" s="335"/>
      <c r="AE37" s="334"/>
      <c r="AF37" s="334"/>
      <c r="AG37" s="334"/>
      <c r="AH37" s="335" t="str">
        <f t="shared" si="23"/>
        <v/>
      </c>
      <c r="AI37" s="335">
        <f t="shared" si="24"/>
        <v>0</v>
      </c>
    </row>
    <row r="38">
      <c r="A38" s="305"/>
      <c r="B38" s="305"/>
      <c r="C38" s="305"/>
      <c r="D38" s="305"/>
      <c r="E38" s="325"/>
      <c r="F38" s="325"/>
      <c r="G38" s="326"/>
      <c r="H38" s="313"/>
      <c r="I38" s="327"/>
      <c r="J38" s="328"/>
      <c r="K38" s="329"/>
      <c r="L38" s="330"/>
      <c r="M38" s="327"/>
      <c r="N38" s="331"/>
      <c r="O38" s="328"/>
      <c r="P38" s="328"/>
      <c r="Q38" s="313"/>
      <c r="R38" s="327"/>
      <c r="S38" s="332"/>
      <c r="T38" s="299">
        <f t="shared" si="1"/>
        <v>0</v>
      </c>
      <c r="U38" s="315">
        <f t="shared" si="9"/>
        <v>0</v>
      </c>
      <c r="V38" s="315">
        <f t="shared" si="10"/>
        <v>0</v>
      </c>
      <c r="W38" s="320">
        <f t="shared" si="14"/>
        <v>0</v>
      </c>
      <c r="X38" s="321" t="str">
        <f t="shared" si="11"/>
        <v/>
      </c>
      <c r="Y38" s="333"/>
      <c r="Z38" s="321" t="str">
        <f t="shared" si="13"/>
        <v/>
      </c>
      <c r="AA38" s="334"/>
      <c r="AB38" s="334"/>
      <c r="AC38" s="334"/>
      <c r="AD38" s="335"/>
      <c r="AE38" s="334"/>
      <c r="AF38" s="334"/>
      <c r="AG38" s="334"/>
      <c r="AH38" s="335"/>
      <c r="AI38" s="335"/>
    </row>
    <row r="39">
      <c r="A39" s="305">
        <v>2026.0</v>
      </c>
      <c r="B39" s="305"/>
      <c r="C39" s="357" t="s">
        <v>868</v>
      </c>
      <c r="D39" s="305"/>
      <c r="E39" s="325">
        <v>290000.0</v>
      </c>
      <c r="F39" s="325">
        <v>450000.0</v>
      </c>
      <c r="G39" s="326">
        <v>1.0</v>
      </c>
      <c r="H39" s="292">
        <f t="shared" ref="H39:H42" si="25">((E39*N39)*(1+I39))*G39</f>
        <v>428.3247053</v>
      </c>
      <c r="I39" s="327">
        <v>0.035</v>
      </c>
      <c r="J39" s="328">
        <f t="shared" ref="J39:J42" si="26">H39*(1-I39)</f>
        <v>413.3333406</v>
      </c>
      <c r="K39" s="329">
        <f t="shared" ref="K39:K42" si="27">H39-J39</f>
        <v>14.99136469</v>
      </c>
      <c r="L39" s="330">
        <v>0.001397</v>
      </c>
      <c r="M39" s="327">
        <v>0.0215</v>
      </c>
      <c r="N39" s="331">
        <f t="shared" ref="N39:N42" si="28">L39*(1+M39)</f>
        <v>0.0014270355</v>
      </c>
      <c r="O39" s="328">
        <f t="shared" ref="O39:O42" si="29">(J39*M39)+15</f>
        <v>23.88666682</v>
      </c>
      <c r="P39" s="328">
        <f t="shared" ref="P39:P42" si="30">(J39*N39)+M39</f>
        <v>0.6113413504</v>
      </c>
      <c r="Q39" s="292">
        <f t="shared" ref="Q39:Q42" si="31">((F39*N39)*(1+I39))*G39</f>
        <v>664.6417841</v>
      </c>
      <c r="R39" s="347">
        <v>0.06</v>
      </c>
      <c r="S39" s="332"/>
      <c r="T39" s="299">
        <f t="shared" si="1"/>
        <v>160000</v>
      </c>
      <c r="U39" s="315">
        <f t="shared" si="9"/>
        <v>150960</v>
      </c>
      <c r="V39" s="315">
        <f t="shared" si="10"/>
        <v>32000</v>
      </c>
      <c r="W39" s="320">
        <f t="shared" si="14"/>
        <v>101000</v>
      </c>
      <c r="X39" s="321">
        <f t="shared" si="11"/>
        <v>0.5517241379</v>
      </c>
      <c r="Y39" s="333">
        <f t="shared" ref="Y39:Y42" si="32">IFERROR((Q39-H39)/Q39,"")</f>
        <v>0.3555555556</v>
      </c>
      <c r="Z39" s="321">
        <f t="shared" si="13"/>
        <v>0.2244444444</v>
      </c>
      <c r="AA39" s="334"/>
      <c r="AB39" s="334"/>
      <c r="AC39" s="334"/>
      <c r="AD39" s="335"/>
      <c r="AE39" s="334"/>
      <c r="AF39" s="334"/>
      <c r="AG39" s="334"/>
      <c r="AH39" s="335" t="str">
        <f t="shared" ref="AH39:AH42" si="33">IFERROR(AVERAGE(AE39:AG39),"")</f>
        <v/>
      </c>
      <c r="AI39" s="335">
        <f t="shared" ref="AI39:AI42" si="34">AE39+AF39+AG39</f>
        <v>0</v>
      </c>
    </row>
    <row r="40">
      <c r="A40" s="305">
        <v>2026.0</v>
      </c>
      <c r="B40" s="305"/>
      <c r="C40" s="357" t="s">
        <v>869</v>
      </c>
      <c r="D40" s="305"/>
      <c r="E40" s="325">
        <v>380000.0</v>
      </c>
      <c r="F40" s="325">
        <v>540000.0</v>
      </c>
      <c r="G40" s="326">
        <v>1.0</v>
      </c>
      <c r="H40" s="292">
        <f t="shared" si="25"/>
        <v>561.2530622</v>
      </c>
      <c r="I40" s="327">
        <v>0.035</v>
      </c>
      <c r="J40" s="328">
        <f t="shared" si="26"/>
        <v>541.609205</v>
      </c>
      <c r="K40" s="329">
        <f t="shared" si="27"/>
        <v>19.64385718</v>
      </c>
      <c r="L40" s="330">
        <v>0.001397</v>
      </c>
      <c r="M40" s="327">
        <v>0.0215</v>
      </c>
      <c r="N40" s="331">
        <f t="shared" si="28"/>
        <v>0.0014270355</v>
      </c>
      <c r="O40" s="328">
        <f t="shared" si="29"/>
        <v>26.64459791</v>
      </c>
      <c r="P40" s="328">
        <f t="shared" si="30"/>
        <v>0.7943955626</v>
      </c>
      <c r="Q40" s="292">
        <f t="shared" si="31"/>
        <v>797.570141</v>
      </c>
      <c r="R40" s="347">
        <v>0.06</v>
      </c>
      <c r="S40" s="332"/>
      <c r="T40" s="299">
        <f t="shared" si="1"/>
        <v>160000</v>
      </c>
      <c r="U40" s="315">
        <f t="shared" si="9"/>
        <v>150960</v>
      </c>
      <c r="V40" s="315">
        <f t="shared" si="10"/>
        <v>32000</v>
      </c>
      <c r="W40" s="320">
        <f t="shared" si="14"/>
        <v>95600</v>
      </c>
      <c r="X40" s="321">
        <f t="shared" si="11"/>
        <v>0.4210526316</v>
      </c>
      <c r="Y40" s="333">
        <f t="shared" si="32"/>
        <v>0.2962962963</v>
      </c>
      <c r="Z40" s="321">
        <f t="shared" si="13"/>
        <v>0.177037037</v>
      </c>
      <c r="AA40" s="334"/>
      <c r="AB40" s="334"/>
      <c r="AC40" s="334"/>
      <c r="AD40" s="335"/>
      <c r="AE40" s="334"/>
      <c r="AF40" s="334"/>
      <c r="AG40" s="334"/>
      <c r="AH40" s="335" t="str">
        <f t="shared" si="33"/>
        <v/>
      </c>
      <c r="AI40" s="335">
        <f t="shared" si="34"/>
        <v>0</v>
      </c>
    </row>
    <row r="41">
      <c r="A41" s="305">
        <v>2026.0</v>
      </c>
      <c r="B41" s="305"/>
      <c r="C41" s="357" t="s">
        <v>586</v>
      </c>
      <c r="D41" s="305"/>
      <c r="E41" s="325">
        <v>360000.0</v>
      </c>
      <c r="F41" s="325">
        <v>500000.0</v>
      </c>
      <c r="G41" s="326">
        <v>1.0</v>
      </c>
      <c r="H41" s="292">
        <f t="shared" si="25"/>
        <v>531.7134273</v>
      </c>
      <c r="I41" s="327">
        <v>0.035</v>
      </c>
      <c r="J41" s="328">
        <f t="shared" si="26"/>
        <v>513.1034573</v>
      </c>
      <c r="K41" s="329">
        <f t="shared" si="27"/>
        <v>18.60996996</v>
      </c>
      <c r="L41" s="330">
        <v>0.001397</v>
      </c>
      <c r="M41" s="327">
        <v>0.0215</v>
      </c>
      <c r="N41" s="331">
        <f t="shared" si="28"/>
        <v>0.0014270355</v>
      </c>
      <c r="O41" s="328">
        <f t="shared" si="29"/>
        <v>26.03172433</v>
      </c>
      <c r="P41" s="328">
        <f t="shared" si="30"/>
        <v>0.7537168488</v>
      </c>
      <c r="Q41" s="292">
        <f t="shared" si="31"/>
        <v>738.4908713</v>
      </c>
      <c r="R41" s="347">
        <v>0.06</v>
      </c>
      <c r="S41" s="332"/>
      <c r="T41" s="299">
        <f t="shared" si="1"/>
        <v>140000</v>
      </c>
      <c r="U41" s="315">
        <f t="shared" si="9"/>
        <v>132090</v>
      </c>
      <c r="V41" s="315">
        <f t="shared" si="10"/>
        <v>28000</v>
      </c>
      <c r="W41" s="320">
        <f t="shared" si="14"/>
        <v>82000</v>
      </c>
      <c r="X41" s="321">
        <f t="shared" si="11"/>
        <v>0.3888888889</v>
      </c>
      <c r="Y41" s="333">
        <f t="shared" si="32"/>
        <v>0.28</v>
      </c>
      <c r="Z41" s="321">
        <f t="shared" si="13"/>
        <v>0.164</v>
      </c>
      <c r="AA41" s="334"/>
      <c r="AB41" s="334"/>
      <c r="AC41" s="334"/>
      <c r="AD41" s="335"/>
      <c r="AE41" s="334"/>
      <c r="AF41" s="334"/>
      <c r="AG41" s="334"/>
      <c r="AH41" s="335" t="str">
        <f t="shared" si="33"/>
        <v/>
      </c>
      <c r="AI41" s="335">
        <f t="shared" si="34"/>
        <v>0</v>
      </c>
    </row>
    <row r="42">
      <c r="A42" s="305">
        <v>2026.0</v>
      </c>
      <c r="B42" s="305"/>
      <c r="C42" s="357" t="s">
        <v>870</v>
      </c>
      <c r="D42" s="305"/>
      <c r="E42" s="325">
        <v>280000.0</v>
      </c>
      <c r="F42" s="325">
        <v>450000.0</v>
      </c>
      <c r="G42" s="326">
        <v>1.0</v>
      </c>
      <c r="H42" s="292">
        <f t="shared" si="25"/>
        <v>413.5548879</v>
      </c>
      <c r="I42" s="327">
        <v>0.035</v>
      </c>
      <c r="J42" s="328">
        <f t="shared" si="26"/>
        <v>399.0804668</v>
      </c>
      <c r="K42" s="329">
        <f t="shared" si="27"/>
        <v>14.47442108</v>
      </c>
      <c r="L42" s="330">
        <v>0.001397</v>
      </c>
      <c r="M42" s="327">
        <v>0.0215</v>
      </c>
      <c r="N42" s="331">
        <f t="shared" si="28"/>
        <v>0.0014270355</v>
      </c>
      <c r="O42" s="328">
        <f t="shared" si="29"/>
        <v>23.58023004</v>
      </c>
      <c r="P42" s="328">
        <f t="shared" si="30"/>
        <v>0.5910019935</v>
      </c>
      <c r="Q42" s="292">
        <f t="shared" si="31"/>
        <v>664.6417841</v>
      </c>
      <c r="R42" s="347">
        <v>0.06</v>
      </c>
      <c r="S42" s="332"/>
      <c r="T42" s="299">
        <f t="shared" si="1"/>
        <v>170000</v>
      </c>
      <c r="U42" s="315">
        <f t="shared" si="9"/>
        <v>160395</v>
      </c>
      <c r="V42" s="315">
        <f t="shared" si="10"/>
        <v>34000</v>
      </c>
      <c r="W42" s="320">
        <f t="shared" si="14"/>
        <v>109000</v>
      </c>
      <c r="X42" s="321">
        <f t="shared" si="11"/>
        <v>0.6071428571</v>
      </c>
      <c r="Y42" s="333">
        <f t="shared" si="32"/>
        <v>0.3777777778</v>
      </c>
      <c r="Z42" s="321">
        <f t="shared" si="13"/>
        <v>0.2422222222</v>
      </c>
      <c r="AA42" s="334"/>
      <c r="AB42" s="334"/>
      <c r="AC42" s="334"/>
      <c r="AD42" s="335"/>
      <c r="AE42" s="334"/>
      <c r="AF42" s="334"/>
      <c r="AG42" s="334"/>
      <c r="AH42" s="335" t="str">
        <f t="shared" si="33"/>
        <v/>
      </c>
      <c r="AI42" s="335">
        <f t="shared" si="34"/>
        <v>0</v>
      </c>
    </row>
    <row r="43">
      <c r="A43" s="305"/>
      <c r="B43" s="305"/>
      <c r="C43" s="305"/>
      <c r="D43" s="305"/>
      <c r="E43" s="325"/>
      <c r="F43" s="325"/>
      <c r="G43" s="326"/>
      <c r="H43" s="313"/>
      <c r="I43" s="327"/>
      <c r="J43" s="328"/>
      <c r="K43" s="329"/>
      <c r="L43" s="330"/>
      <c r="M43" s="327"/>
      <c r="N43" s="331"/>
      <c r="O43" s="328"/>
      <c r="P43" s="328"/>
      <c r="Q43" s="313"/>
      <c r="R43" s="327"/>
      <c r="S43" s="332"/>
      <c r="T43" s="299">
        <f t="shared" si="1"/>
        <v>0</v>
      </c>
      <c r="U43" s="315">
        <f t="shared" si="9"/>
        <v>0</v>
      </c>
      <c r="V43" s="315">
        <f t="shared" si="10"/>
        <v>0</v>
      </c>
      <c r="W43" s="320">
        <f t="shared" si="14"/>
        <v>0</v>
      </c>
      <c r="X43" s="321" t="str">
        <f t="shared" si="11"/>
        <v/>
      </c>
      <c r="Y43" s="333"/>
      <c r="Z43" s="321" t="str">
        <f t="shared" si="13"/>
        <v/>
      </c>
      <c r="AA43" s="334"/>
      <c r="AB43" s="334"/>
      <c r="AC43" s="334"/>
      <c r="AD43" s="335"/>
      <c r="AE43" s="334"/>
      <c r="AF43" s="334"/>
      <c r="AG43" s="334"/>
      <c r="AH43" s="335"/>
      <c r="AI43" s="335"/>
    </row>
    <row r="44">
      <c r="A44" s="305">
        <v>2026.0</v>
      </c>
      <c r="B44" s="305"/>
      <c r="C44" s="357" t="s">
        <v>476</v>
      </c>
      <c r="D44" s="305"/>
      <c r="E44" s="325">
        <v>370000.0</v>
      </c>
      <c r="F44" s="325">
        <v>520000.0</v>
      </c>
      <c r="G44" s="326">
        <v>1.0</v>
      </c>
      <c r="H44" s="292">
        <f t="shared" ref="H44:H45" si="35">((E44*N44)*(1+I44))*G44</f>
        <v>546.4832447</v>
      </c>
      <c r="I44" s="327">
        <v>0.035</v>
      </c>
      <c r="J44" s="328">
        <f t="shared" ref="J44:J45" si="36">H44*(1-I44)</f>
        <v>527.3563312</v>
      </c>
      <c r="K44" s="329">
        <f t="shared" ref="K44:K45" si="37">H44-J44</f>
        <v>19.12691357</v>
      </c>
      <c r="L44" s="330">
        <v>0.001397</v>
      </c>
      <c r="M44" s="327">
        <v>0.0215</v>
      </c>
      <c r="N44" s="331">
        <f t="shared" ref="N44:N45" si="38">L44*(1+M44)</f>
        <v>0.0014270355</v>
      </c>
      <c r="O44" s="328">
        <f t="shared" ref="O44:O45" si="39">(J44*M44)+15</f>
        <v>26.33816112</v>
      </c>
      <c r="P44" s="328">
        <f t="shared" ref="P44:P45" si="40">(J44*N44)+M44</f>
        <v>0.7740562057</v>
      </c>
      <c r="Q44" s="292">
        <f t="shared" ref="Q44:Q45" si="41">((F44*N44)*(1+I44))*G44</f>
        <v>768.0305061</v>
      </c>
      <c r="R44" s="347">
        <v>0.06</v>
      </c>
      <c r="S44" s="332"/>
      <c r="T44" s="299">
        <f t="shared" si="1"/>
        <v>150000</v>
      </c>
      <c r="U44" s="315">
        <f t="shared" si="9"/>
        <v>141525</v>
      </c>
      <c r="V44" s="315">
        <f t="shared" si="10"/>
        <v>30000</v>
      </c>
      <c r="W44" s="320">
        <f t="shared" si="14"/>
        <v>88800</v>
      </c>
      <c r="X44" s="321">
        <f t="shared" si="11"/>
        <v>0.4054054054</v>
      </c>
      <c r="Y44" s="333">
        <f t="shared" ref="Y44:Y45" si="42">IFERROR((Q44-H44)/Q44,"")</f>
        <v>0.2884615385</v>
      </c>
      <c r="Z44" s="321">
        <f t="shared" si="13"/>
        <v>0.1707692308</v>
      </c>
      <c r="AA44" s="334"/>
      <c r="AB44" s="334"/>
      <c r="AC44" s="334"/>
      <c r="AD44" s="335"/>
      <c r="AE44" s="334"/>
      <c r="AF44" s="334"/>
      <c r="AG44" s="334"/>
      <c r="AH44" s="335" t="str">
        <f t="shared" ref="AH44:AH45" si="43">IFERROR(AVERAGE(AE44:AG44),"")</f>
        <v/>
      </c>
      <c r="AI44" s="335">
        <f t="shared" ref="AI44:AI45" si="44">AE44+AF44+AG44</f>
        <v>0</v>
      </c>
    </row>
    <row r="45">
      <c r="A45" s="305">
        <v>2026.0</v>
      </c>
      <c r="B45" s="305"/>
      <c r="C45" s="357" t="s">
        <v>871</v>
      </c>
      <c r="D45" s="305"/>
      <c r="E45" s="325">
        <v>250000.0</v>
      </c>
      <c r="F45" s="325">
        <v>370000.0</v>
      </c>
      <c r="G45" s="326">
        <v>1.0</v>
      </c>
      <c r="H45" s="292">
        <f t="shared" si="35"/>
        <v>369.2454356</v>
      </c>
      <c r="I45" s="327">
        <v>0.035</v>
      </c>
      <c r="J45" s="328">
        <f t="shared" si="36"/>
        <v>356.3218454</v>
      </c>
      <c r="K45" s="329">
        <f t="shared" si="37"/>
        <v>12.92359025</v>
      </c>
      <c r="L45" s="330">
        <v>0.001397</v>
      </c>
      <c r="M45" s="327">
        <v>0.0215</v>
      </c>
      <c r="N45" s="331">
        <f t="shared" si="38"/>
        <v>0.0014270355</v>
      </c>
      <c r="O45" s="328">
        <f t="shared" si="39"/>
        <v>22.66091968</v>
      </c>
      <c r="P45" s="328">
        <f t="shared" si="40"/>
        <v>0.5299839228</v>
      </c>
      <c r="Q45" s="292">
        <f t="shared" si="41"/>
        <v>546.4832447</v>
      </c>
      <c r="R45" s="347">
        <v>0.06</v>
      </c>
      <c r="S45" s="332"/>
      <c r="T45" s="299">
        <f t="shared" si="1"/>
        <v>120000</v>
      </c>
      <c r="U45" s="315">
        <f t="shared" si="9"/>
        <v>113220</v>
      </c>
      <c r="V45" s="315">
        <f t="shared" si="10"/>
        <v>24000</v>
      </c>
      <c r="W45" s="320">
        <f t="shared" si="14"/>
        <v>73800</v>
      </c>
      <c r="X45" s="321">
        <f t="shared" si="11"/>
        <v>0.48</v>
      </c>
      <c r="Y45" s="333">
        <f t="shared" si="42"/>
        <v>0.3243243243</v>
      </c>
      <c r="Z45" s="321">
        <f t="shared" si="13"/>
        <v>0.1994594595</v>
      </c>
      <c r="AA45" s="334"/>
      <c r="AB45" s="334"/>
      <c r="AC45" s="334"/>
      <c r="AD45" s="335"/>
      <c r="AE45" s="334"/>
      <c r="AF45" s="334"/>
      <c r="AG45" s="334"/>
      <c r="AH45" s="335" t="str">
        <f t="shared" si="43"/>
        <v/>
      </c>
      <c r="AI45" s="335">
        <f t="shared" si="44"/>
        <v>0</v>
      </c>
    </row>
    <row r="46">
      <c r="A46" s="305"/>
      <c r="B46" s="305"/>
      <c r="C46" s="305"/>
      <c r="D46" s="305"/>
      <c r="E46" s="325"/>
      <c r="F46" s="325"/>
      <c r="G46" s="326"/>
      <c r="H46" s="313"/>
      <c r="I46" s="327"/>
      <c r="J46" s="328"/>
      <c r="K46" s="329"/>
      <c r="L46" s="330"/>
      <c r="M46" s="327"/>
      <c r="N46" s="331"/>
      <c r="O46" s="328"/>
      <c r="P46" s="328"/>
      <c r="Q46" s="313"/>
      <c r="R46" s="327"/>
      <c r="S46" s="332"/>
      <c r="T46" s="299">
        <f t="shared" si="1"/>
        <v>0</v>
      </c>
      <c r="U46" s="315">
        <f t="shared" si="9"/>
        <v>0</v>
      </c>
      <c r="V46" s="315">
        <f t="shared" si="10"/>
        <v>0</v>
      </c>
      <c r="W46" s="320">
        <f t="shared" si="14"/>
        <v>0</v>
      </c>
      <c r="X46" s="321" t="str">
        <f t="shared" si="11"/>
        <v/>
      </c>
      <c r="Y46" s="333"/>
      <c r="Z46" s="321" t="str">
        <f t="shared" si="13"/>
        <v/>
      </c>
      <c r="AA46" s="334"/>
      <c r="AB46" s="334"/>
      <c r="AC46" s="334"/>
      <c r="AD46" s="335"/>
      <c r="AE46" s="334"/>
      <c r="AF46" s="334"/>
      <c r="AG46" s="334"/>
      <c r="AH46" s="335"/>
      <c r="AI46" s="335"/>
    </row>
    <row r="47">
      <c r="A47" s="305">
        <v>2026.0</v>
      </c>
      <c r="B47" s="305"/>
      <c r="C47" s="357" t="s">
        <v>872</v>
      </c>
      <c r="D47" s="305"/>
      <c r="E47" s="325">
        <v>300000.0</v>
      </c>
      <c r="F47" s="325">
        <v>450000.0</v>
      </c>
      <c r="G47" s="326">
        <v>1.0</v>
      </c>
      <c r="H47" s="292">
        <f t="shared" ref="H47:H48" si="45">((E47*N47)*(1+I47))*G47</f>
        <v>443.0945228</v>
      </c>
      <c r="I47" s="327">
        <v>0.035</v>
      </c>
      <c r="J47" s="328">
        <f t="shared" ref="J47:J48" si="46">H47*(1-I47)</f>
        <v>427.5862145</v>
      </c>
      <c r="K47" s="329">
        <f t="shared" ref="K47:K48" si="47">H47-J47</f>
        <v>15.5083083</v>
      </c>
      <c r="L47" s="330">
        <v>0.001397</v>
      </c>
      <c r="M47" s="327">
        <v>0.0215</v>
      </c>
      <c r="N47" s="331">
        <f t="shared" ref="N47:N48" si="48">L47*(1+M47)</f>
        <v>0.0014270355</v>
      </c>
      <c r="O47" s="328">
        <f t="shared" ref="O47:O48" si="49">(J47*M47)+15</f>
        <v>24.19310361</v>
      </c>
      <c r="P47" s="328">
        <f t="shared" ref="P47:P48" si="50">(J47*N47)+M47</f>
        <v>0.6316807073</v>
      </c>
      <c r="Q47" s="292">
        <f t="shared" ref="Q47:Q48" si="51">((F47*N47)*(1+I47))*G47</f>
        <v>664.6417841</v>
      </c>
      <c r="R47" s="347">
        <v>0.06</v>
      </c>
      <c r="S47" s="332"/>
      <c r="T47" s="299">
        <f t="shared" si="1"/>
        <v>150000</v>
      </c>
      <c r="U47" s="315">
        <f t="shared" si="9"/>
        <v>141525</v>
      </c>
      <c r="V47" s="315">
        <f t="shared" si="10"/>
        <v>30000</v>
      </c>
      <c r="W47" s="320">
        <f t="shared" si="14"/>
        <v>93000</v>
      </c>
      <c r="X47" s="321">
        <f t="shared" si="11"/>
        <v>0.5</v>
      </c>
      <c r="Y47" s="333">
        <f t="shared" ref="Y47:Y48" si="52">IFERROR((Q47-H47)/Q47,"")</f>
        <v>0.3333333333</v>
      </c>
      <c r="Z47" s="321">
        <f t="shared" si="13"/>
        <v>0.2066666667</v>
      </c>
      <c r="AA47" s="334"/>
      <c r="AB47" s="334"/>
      <c r="AC47" s="334"/>
      <c r="AD47" s="335"/>
      <c r="AE47" s="334"/>
      <c r="AF47" s="334"/>
      <c r="AG47" s="334"/>
      <c r="AH47" s="335" t="str">
        <f t="shared" ref="AH47:AH48" si="53">IFERROR(AVERAGE(AE47:AG47),"")</f>
        <v/>
      </c>
      <c r="AI47" s="335">
        <f t="shared" ref="AI47:AI48" si="54">AE47+AF47+AG47</f>
        <v>0</v>
      </c>
    </row>
    <row r="48">
      <c r="A48" s="305">
        <v>2026.0</v>
      </c>
      <c r="B48" s="305"/>
      <c r="C48" s="357" t="s">
        <v>873</v>
      </c>
      <c r="D48" s="305"/>
      <c r="E48" s="325">
        <v>220000.0</v>
      </c>
      <c r="F48" s="325">
        <v>370000.0</v>
      </c>
      <c r="G48" s="326">
        <v>1.0</v>
      </c>
      <c r="H48" s="292">
        <f t="shared" si="45"/>
        <v>324.9359834</v>
      </c>
      <c r="I48" s="327">
        <v>0.035</v>
      </c>
      <c r="J48" s="328">
        <f t="shared" si="46"/>
        <v>313.5632239</v>
      </c>
      <c r="K48" s="329">
        <f t="shared" si="47"/>
        <v>11.37275942</v>
      </c>
      <c r="L48" s="330">
        <v>0.001397</v>
      </c>
      <c r="M48" s="327">
        <v>0.0215</v>
      </c>
      <c r="N48" s="331">
        <f t="shared" si="48"/>
        <v>0.0014270355</v>
      </c>
      <c r="O48" s="328">
        <f t="shared" si="49"/>
        <v>21.74160931</v>
      </c>
      <c r="P48" s="328">
        <f t="shared" si="50"/>
        <v>0.468965852</v>
      </c>
      <c r="Q48" s="292">
        <f t="shared" si="51"/>
        <v>546.4832447</v>
      </c>
      <c r="R48" s="347">
        <v>0.06</v>
      </c>
      <c r="S48" s="332"/>
      <c r="T48" s="299">
        <f t="shared" si="1"/>
        <v>150000</v>
      </c>
      <c r="U48" s="315">
        <f t="shared" si="9"/>
        <v>141525</v>
      </c>
      <c r="V48" s="315">
        <f t="shared" si="10"/>
        <v>30000</v>
      </c>
      <c r="W48" s="320">
        <f t="shared" si="14"/>
        <v>97800</v>
      </c>
      <c r="X48" s="321">
        <f t="shared" si="11"/>
        <v>0.6818181818</v>
      </c>
      <c r="Y48" s="333">
        <f t="shared" si="52"/>
        <v>0.4054054054</v>
      </c>
      <c r="Z48" s="321">
        <f t="shared" si="13"/>
        <v>0.2643243243</v>
      </c>
      <c r="AA48" s="334"/>
      <c r="AB48" s="334"/>
      <c r="AC48" s="334"/>
      <c r="AD48" s="335"/>
      <c r="AE48" s="334"/>
      <c r="AF48" s="334"/>
      <c r="AG48" s="334"/>
      <c r="AH48" s="335" t="str">
        <f t="shared" si="53"/>
        <v/>
      </c>
      <c r="AI48" s="335">
        <f t="shared" si="54"/>
        <v>0</v>
      </c>
    </row>
    <row r="49">
      <c r="A49" s="305"/>
      <c r="B49" s="305"/>
      <c r="C49" s="305"/>
      <c r="D49" s="305"/>
      <c r="E49" s="325"/>
      <c r="F49" s="325"/>
      <c r="G49" s="326"/>
      <c r="H49" s="313"/>
      <c r="I49" s="327"/>
      <c r="J49" s="328"/>
      <c r="K49" s="329"/>
      <c r="L49" s="330"/>
      <c r="M49" s="327"/>
      <c r="N49" s="331"/>
      <c r="O49" s="328"/>
      <c r="P49" s="328"/>
      <c r="Q49" s="313"/>
      <c r="R49" s="327"/>
      <c r="S49" s="332"/>
      <c r="T49" s="299">
        <f t="shared" si="1"/>
        <v>0</v>
      </c>
      <c r="U49" s="315">
        <f t="shared" si="9"/>
        <v>0</v>
      </c>
      <c r="V49" s="315">
        <f t="shared" si="10"/>
        <v>0</v>
      </c>
      <c r="W49" s="320">
        <f t="shared" si="14"/>
        <v>0</v>
      </c>
      <c r="X49" s="321" t="str">
        <f t="shared" si="11"/>
        <v/>
      </c>
      <c r="Y49" s="333"/>
      <c r="Z49" s="321" t="str">
        <f t="shared" si="13"/>
        <v/>
      </c>
      <c r="AA49" s="334"/>
      <c r="AB49" s="334"/>
      <c r="AC49" s="334"/>
      <c r="AD49" s="335"/>
      <c r="AE49" s="334"/>
      <c r="AF49" s="334"/>
      <c r="AG49" s="334"/>
      <c r="AH49" s="335"/>
      <c r="AI49" s="335"/>
    </row>
    <row r="50">
      <c r="A50" s="305">
        <v>2026.0</v>
      </c>
      <c r="B50" s="305"/>
      <c r="C50" s="357" t="s">
        <v>874</v>
      </c>
      <c r="D50" s="305"/>
      <c r="E50" s="325">
        <v>400000.0</v>
      </c>
      <c r="F50" s="325">
        <v>580000.0</v>
      </c>
      <c r="G50" s="326">
        <v>1.0</v>
      </c>
      <c r="H50" s="292">
        <f>((E50*N50)*(1+I50))*G50</f>
        <v>590.792697</v>
      </c>
      <c r="I50" s="327">
        <v>0.035</v>
      </c>
      <c r="J50" s="328">
        <f>H50*(1-I50)</f>
        <v>570.1149526</v>
      </c>
      <c r="K50" s="329">
        <f>H50-J50</f>
        <v>20.6777444</v>
      </c>
      <c r="L50" s="330">
        <v>0.001397</v>
      </c>
      <c r="M50" s="327">
        <v>0.0215</v>
      </c>
      <c r="N50" s="331">
        <f>L50*(1+M50)</f>
        <v>0.0014270355</v>
      </c>
      <c r="O50" s="328">
        <f>(J50*M50)+15</f>
        <v>27.25747148</v>
      </c>
      <c r="P50" s="328">
        <f>(J50*N50)+M50</f>
        <v>0.8350742764</v>
      </c>
      <c r="Q50" s="292">
        <f>((F50*N50)*(1+I50))*G50</f>
        <v>856.6494107</v>
      </c>
      <c r="R50" s="347">
        <v>0.06</v>
      </c>
      <c r="S50" s="332"/>
      <c r="T50" s="299">
        <f t="shared" si="1"/>
        <v>180000</v>
      </c>
      <c r="U50" s="315">
        <f t="shared" si="9"/>
        <v>169830</v>
      </c>
      <c r="V50" s="315">
        <f t="shared" si="10"/>
        <v>36000</v>
      </c>
      <c r="W50" s="320">
        <f t="shared" si="14"/>
        <v>109200</v>
      </c>
      <c r="X50" s="321">
        <f t="shared" si="11"/>
        <v>0.45</v>
      </c>
      <c r="Y50" s="333">
        <f>IFERROR((Q50-H50)/Q50,"")</f>
        <v>0.3103448276</v>
      </c>
      <c r="Z50" s="321">
        <f t="shared" si="13"/>
        <v>0.1882758621</v>
      </c>
      <c r="AA50" s="334"/>
      <c r="AB50" s="334"/>
      <c r="AC50" s="334"/>
      <c r="AD50" s="335"/>
      <c r="AE50" s="334"/>
      <c r="AF50" s="334"/>
      <c r="AG50" s="334"/>
      <c r="AH50" s="335" t="str">
        <f>IFERROR(AVERAGE(AE50:AG50),"")</f>
        <v/>
      </c>
      <c r="AI50" s="335">
        <f>AE50+AF50+AG50</f>
        <v>0</v>
      </c>
    </row>
    <row r="51">
      <c r="A51" s="305"/>
      <c r="B51" s="305"/>
      <c r="C51" s="357"/>
      <c r="D51" s="305"/>
      <c r="E51" s="325"/>
      <c r="F51" s="325"/>
      <c r="G51" s="326"/>
      <c r="H51" s="292"/>
      <c r="I51" s="327"/>
      <c r="J51" s="328"/>
      <c r="K51" s="329"/>
      <c r="L51" s="330"/>
      <c r="M51" s="327"/>
      <c r="N51" s="331"/>
      <c r="O51" s="328"/>
      <c r="P51" s="328"/>
      <c r="Q51" s="292"/>
      <c r="R51" s="347"/>
      <c r="S51" s="332"/>
      <c r="T51" s="299">
        <f t="shared" si="1"/>
        <v>0</v>
      </c>
      <c r="U51" s="315">
        <f t="shared" si="9"/>
        <v>0</v>
      </c>
      <c r="V51" s="315">
        <f t="shared" si="10"/>
        <v>0</v>
      </c>
      <c r="W51" s="320">
        <f t="shared" si="14"/>
        <v>0</v>
      </c>
      <c r="X51" s="321" t="str">
        <f t="shared" si="11"/>
        <v/>
      </c>
      <c r="Y51" s="333"/>
      <c r="Z51" s="321" t="str">
        <f t="shared" si="13"/>
        <v/>
      </c>
      <c r="AA51" s="334"/>
      <c r="AB51" s="334"/>
      <c r="AC51" s="334"/>
      <c r="AD51" s="335"/>
      <c r="AE51" s="334"/>
      <c r="AF51" s="334"/>
      <c r="AG51" s="334"/>
      <c r="AH51" s="335"/>
      <c r="AI51" s="335"/>
    </row>
    <row r="52">
      <c r="A52" s="305">
        <v>2026.0</v>
      </c>
      <c r="B52" s="305"/>
      <c r="C52" s="357" t="s">
        <v>231</v>
      </c>
      <c r="D52" s="305"/>
      <c r="E52" s="325">
        <v>390000.0</v>
      </c>
      <c r="F52" s="325">
        <v>520000.0</v>
      </c>
      <c r="G52" s="326">
        <v>1.0</v>
      </c>
      <c r="H52" s="292">
        <f t="shared" ref="H52:H53" si="55">((E52*N52)*(1+I52))*G52</f>
        <v>576.0228796</v>
      </c>
      <c r="I52" s="327">
        <v>0.035</v>
      </c>
      <c r="J52" s="328">
        <f t="shared" ref="J52:J53" si="56">H52*(1-I52)</f>
        <v>555.8620788</v>
      </c>
      <c r="K52" s="329">
        <f t="shared" ref="K52:K53" si="57">H52-J52</f>
        <v>20.16080079</v>
      </c>
      <c r="L52" s="330">
        <v>0.001397</v>
      </c>
      <c r="M52" s="327">
        <v>0.0215</v>
      </c>
      <c r="N52" s="331">
        <f t="shared" ref="N52:N53" si="58">L52*(1+M52)</f>
        <v>0.0014270355</v>
      </c>
      <c r="O52" s="328">
        <f t="shared" ref="O52:O53" si="59">(J52*M52)+15</f>
        <v>26.95103469</v>
      </c>
      <c r="P52" s="328">
        <f t="shared" ref="P52:P53" si="60">(J52*N52)+M52</f>
        <v>0.8147349195</v>
      </c>
      <c r="Q52" s="292">
        <f t="shared" ref="Q52:Q53" si="61">((F52*N52)*(1+I52))*G52</f>
        <v>768.0305061</v>
      </c>
      <c r="R52" s="347">
        <v>0.06</v>
      </c>
      <c r="S52" s="332"/>
      <c r="T52" s="299">
        <f t="shared" si="1"/>
        <v>130000</v>
      </c>
      <c r="U52" s="315">
        <f t="shared" si="9"/>
        <v>122655</v>
      </c>
      <c r="V52" s="315">
        <f t="shared" si="10"/>
        <v>26000</v>
      </c>
      <c r="W52" s="320">
        <f t="shared" si="14"/>
        <v>72800</v>
      </c>
      <c r="X52" s="321">
        <f t="shared" si="11"/>
        <v>0.3333333333</v>
      </c>
      <c r="Y52" s="333">
        <f t="shared" ref="Y52:Y53" si="62">IFERROR((Q52-H52)/Q52,"")</f>
        <v>0.25</v>
      </c>
      <c r="Z52" s="321">
        <f t="shared" si="13"/>
        <v>0.14</v>
      </c>
      <c r="AA52" s="334"/>
      <c r="AB52" s="334"/>
      <c r="AC52" s="334"/>
      <c r="AD52" s="335"/>
      <c r="AE52" s="334"/>
      <c r="AF52" s="334"/>
      <c r="AG52" s="334"/>
      <c r="AH52" s="335" t="str">
        <f t="shared" ref="AH52:AH53" si="63">IFERROR(AVERAGE(AE52:AG52),"")</f>
        <v/>
      </c>
      <c r="AI52" s="335">
        <f t="shared" ref="AI52:AI53" si="64">AE52+AF52+AG52</f>
        <v>0</v>
      </c>
    </row>
    <row r="53">
      <c r="A53" s="305">
        <v>2026.0</v>
      </c>
      <c r="B53" s="305"/>
      <c r="C53" s="357" t="s">
        <v>875</v>
      </c>
      <c r="D53" s="305"/>
      <c r="E53" s="325">
        <v>130000.0</v>
      </c>
      <c r="F53" s="325">
        <v>380000.0</v>
      </c>
      <c r="G53" s="326">
        <v>1.0</v>
      </c>
      <c r="H53" s="292">
        <f t="shared" si="55"/>
        <v>192.0076265</v>
      </c>
      <c r="I53" s="327">
        <v>0.035</v>
      </c>
      <c r="J53" s="328">
        <f t="shared" si="56"/>
        <v>185.2873596</v>
      </c>
      <c r="K53" s="329">
        <f t="shared" si="57"/>
        <v>6.720266928</v>
      </c>
      <c r="L53" s="330">
        <v>0.001397</v>
      </c>
      <c r="M53" s="327">
        <v>0.0215</v>
      </c>
      <c r="N53" s="331">
        <f t="shared" si="58"/>
        <v>0.0014270355</v>
      </c>
      <c r="O53" s="328">
        <f t="shared" si="59"/>
        <v>18.98367823</v>
      </c>
      <c r="P53" s="328">
        <f t="shared" si="60"/>
        <v>0.2859116398</v>
      </c>
      <c r="Q53" s="292">
        <f t="shared" si="61"/>
        <v>561.2530622</v>
      </c>
      <c r="R53" s="347">
        <v>0.06</v>
      </c>
      <c r="S53" s="332"/>
      <c r="T53" s="299">
        <f t="shared" si="1"/>
        <v>250000</v>
      </c>
      <c r="U53" s="315">
        <f t="shared" si="9"/>
        <v>235875</v>
      </c>
      <c r="V53" s="315">
        <f t="shared" si="10"/>
        <v>50000</v>
      </c>
      <c r="W53" s="320">
        <f t="shared" si="14"/>
        <v>177200</v>
      </c>
      <c r="X53" s="321">
        <f t="shared" si="11"/>
        <v>1.923076923</v>
      </c>
      <c r="Y53" s="333">
        <f t="shared" si="62"/>
        <v>0.6578947368</v>
      </c>
      <c r="Z53" s="321">
        <f t="shared" si="13"/>
        <v>0.4663157895</v>
      </c>
      <c r="AA53" s="334"/>
      <c r="AB53" s="334"/>
      <c r="AC53" s="334"/>
      <c r="AD53" s="335"/>
      <c r="AE53" s="334"/>
      <c r="AF53" s="334"/>
      <c r="AG53" s="334"/>
      <c r="AH53" s="335" t="str">
        <f t="shared" si="63"/>
        <v/>
      </c>
      <c r="AI53" s="335">
        <f t="shared" si="64"/>
        <v>0</v>
      </c>
    </row>
    <row r="54">
      <c r="A54" s="305"/>
      <c r="B54" s="305"/>
      <c r="C54" s="305"/>
      <c r="D54" s="305"/>
      <c r="E54" s="325"/>
      <c r="F54" s="325"/>
      <c r="G54" s="326"/>
      <c r="H54" s="313"/>
      <c r="I54" s="327"/>
      <c r="J54" s="328"/>
      <c r="K54" s="329"/>
      <c r="L54" s="330"/>
      <c r="M54" s="327"/>
      <c r="N54" s="331"/>
      <c r="O54" s="328"/>
      <c r="P54" s="328"/>
      <c r="Q54" s="313"/>
      <c r="R54" s="327"/>
      <c r="S54" s="332"/>
      <c r="T54" s="299">
        <f t="shared" si="1"/>
        <v>0</v>
      </c>
      <c r="U54" s="315">
        <f t="shared" si="9"/>
        <v>0</v>
      </c>
      <c r="V54" s="315">
        <f t="shared" si="10"/>
        <v>0</v>
      </c>
      <c r="W54" s="320">
        <f t="shared" si="14"/>
        <v>0</v>
      </c>
      <c r="X54" s="321" t="str">
        <f t="shared" si="11"/>
        <v/>
      </c>
      <c r="Y54" s="333"/>
      <c r="Z54" s="321" t="str">
        <f t="shared" si="13"/>
        <v/>
      </c>
      <c r="AA54" s="334"/>
      <c r="AB54" s="334"/>
      <c r="AC54" s="334"/>
      <c r="AD54" s="335"/>
      <c r="AE54" s="334"/>
      <c r="AF54" s="334"/>
      <c r="AG54" s="334"/>
      <c r="AH54" s="335"/>
      <c r="AI54" s="335"/>
    </row>
    <row r="55">
      <c r="A55" s="305">
        <v>2026.0</v>
      </c>
      <c r="B55" s="305"/>
      <c r="C55" s="357" t="s">
        <v>876</v>
      </c>
      <c r="D55" s="305"/>
      <c r="E55" s="325">
        <v>61000.0</v>
      </c>
      <c r="F55" s="325">
        <v>160000.0</v>
      </c>
      <c r="G55" s="326">
        <v>1.0</v>
      </c>
      <c r="H55" s="292">
        <f t="shared" ref="H55:H63" si="65">((E55*N55)*(1+I55))*G55</f>
        <v>90.09588629</v>
      </c>
      <c r="I55" s="327">
        <v>0.035</v>
      </c>
      <c r="J55" s="328">
        <f t="shared" ref="J55:J63" si="66">H55*(1-I55)</f>
        <v>86.94253027</v>
      </c>
      <c r="K55" s="329">
        <f t="shared" ref="K55:K63" si="67">H55-J55</f>
        <v>3.15335602</v>
      </c>
      <c r="L55" s="330">
        <v>0.001397</v>
      </c>
      <c r="M55" s="327">
        <v>0.0215</v>
      </c>
      <c r="N55" s="331">
        <f t="shared" ref="N55:N63" si="68">L55*(1+M55)</f>
        <v>0.0014270355</v>
      </c>
      <c r="O55" s="328">
        <f t="shared" ref="O55:O63" si="69">(J55*M55)+15</f>
        <v>16.8692644</v>
      </c>
      <c r="P55" s="328">
        <f t="shared" ref="P55:P63" si="70">(J55*N55)+M55</f>
        <v>0.1455700772</v>
      </c>
      <c r="Q55" s="292">
        <f t="shared" ref="Q55:Q63" si="71">((F55*N55)*(1+I55))*G55</f>
        <v>236.3170788</v>
      </c>
      <c r="R55" s="347">
        <v>0.06</v>
      </c>
      <c r="S55" s="332"/>
      <c r="T55" s="299">
        <f t="shared" si="1"/>
        <v>99000</v>
      </c>
      <c r="U55" s="315">
        <f t="shared" si="9"/>
        <v>93406.5</v>
      </c>
      <c r="V55" s="315">
        <f t="shared" si="10"/>
        <v>19800</v>
      </c>
      <c r="W55" s="320">
        <f t="shared" si="14"/>
        <v>69600</v>
      </c>
      <c r="X55" s="321">
        <f t="shared" si="11"/>
        <v>1.62295082</v>
      </c>
      <c r="Y55" s="333">
        <f t="shared" ref="Y55:Y63" si="72">IFERROR((Q55-H55)/Q55,"")</f>
        <v>0.61875</v>
      </c>
      <c r="Z55" s="321">
        <f t="shared" si="13"/>
        <v>0.435</v>
      </c>
      <c r="AA55" s="334"/>
      <c r="AB55" s="334"/>
      <c r="AC55" s="334"/>
      <c r="AD55" s="335"/>
      <c r="AE55" s="334"/>
      <c r="AF55" s="334"/>
      <c r="AG55" s="334"/>
      <c r="AH55" s="335" t="str">
        <f t="shared" ref="AH55:AH63" si="73">IFERROR(AVERAGE(AE55:AG55),"")</f>
        <v/>
      </c>
      <c r="AI55" s="335">
        <f t="shared" ref="AI55:AI63" si="74">AE55+AF55+AG55</f>
        <v>0</v>
      </c>
    </row>
    <row r="56">
      <c r="A56" s="305">
        <v>2026.0</v>
      </c>
      <c r="B56" s="305"/>
      <c r="C56" s="357" t="s">
        <v>877</v>
      </c>
      <c r="D56" s="305"/>
      <c r="E56" s="325">
        <v>61000.0</v>
      </c>
      <c r="F56" s="325">
        <v>140000.0</v>
      </c>
      <c r="G56" s="326">
        <v>1.0</v>
      </c>
      <c r="H56" s="292">
        <f t="shared" si="65"/>
        <v>90.09588629</v>
      </c>
      <c r="I56" s="327">
        <v>0.035</v>
      </c>
      <c r="J56" s="328">
        <f t="shared" si="66"/>
        <v>86.94253027</v>
      </c>
      <c r="K56" s="329">
        <f t="shared" si="67"/>
        <v>3.15335602</v>
      </c>
      <c r="L56" s="330">
        <v>0.001397</v>
      </c>
      <c r="M56" s="327">
        <v>0.0215</v>
      </c>
      <c r="N56" s="331">
        <f t="shared" si="68"/>
        <v>0.0014270355</v>
      </c>
      <c r="O56" s="328">
        <f t="shared" si="69"/>
        <v>16.8692644</v>
      </c>
      <c r="P56" s="328">
        <f t="shared" si="70"/>
        <v>0.1455700772</v>
      </c>
      <c r="Q56" s="292">
        <f t="shared" si="71"/>
        <v>206.777444</v>
      </c>
      <c r="R56" s="347">
        <v>0.06</v>
      </c>
      <c r="S56" s="332"/>
      <c r="T56" s="299">
        <f t="shared" si="1"/>
        <v>79000</v>
      </c>
      <c r="U56" s="315">
        <f t="shared" si="9"/>
        <v>74536.5</v>
      </c>
      <c r="V56" s="315">
        <f t="shared" si="10"/>
        <v>15800</v>
      </c>
      <c r="W56" s="320">
        <f t="shared" si="14"/>
        <v>54800</v>
      </c>
      <c r="X56" s="321">
        <f t="shared" si="11"/>
        <v>1.295081967</v>
      </c>
      <c r="Y56" s="333">
        <f t="shared" si="72"/>
        <v>0.5642857143</v>
      </c>
      <c r="Z56" s="321">
        <f t="shared" si="13"/>
        <v>0.3914285714</v>
      </c>
      <c r="AA56" s="334"/>
      <c r="AB56" s="334"/>
      <c r="AC56" s="334"/>
      <c r="AD56" s="335"/>
      <c r="AE56" s="334"/>
      <c r="AF56" s="334"/>
      <c r="AG56" s="334"/>
      <c r="AH56" s="335" t="str">
        <f t="shared" si="73"/>
        <v/>
      </c>
      <c r="AI56" s="335">
        <f t="shared" si="74"/>
        <v>0</v>
      </c>
    </row>
    <row r="57">
      <c r="A57" s="305">
        <v>2026.0</v>
      </c>
      <c r="B57" s="305"/>
      <c r="C57" s="357" t="s">
        <v>878</v>
      </c>
      <c r="D57" s="305"/>
      <c r="E57" s="325">
        <f>E55+E56</f>
        <v>122000</v>
      </c>
      <c r="F57" s="325">
        <v>250000.0</v>
      </c>
      <c r="G57" s="326">
        <v>1.0</v>
      </c>
      <c r="H57" s="292">
        <f t="shared" si="65"/>
        <v>180.1917726</v>
      </c>
      <c r="I57" s="327">
        <v>0.035</v>
      </c>
      <c r="J57" s="328">
        <f t="shared" si="66"/>
        <v>173.8850605</v>
      </c>
      <c r="K57" s="329">
        <f t="shared" si="67"/>
        <v>6.30671204</v>
      </c>
      <c r="L57" s="330">
        <v>0.001397</v>
      </c>
      <c r="M57" s="327">
        <v>0.0215</v>
      </c>
      <c r="N57" s="331">
        <f t="shared" si="68"/>
        <v>0.0014270355</v>
      </c>
      <c r="O57" s="328">
        <f t="shared" si="69"/>
        <v>18.7385288</v>
      </c>
      <c r="P57" s="328">
        <f t="shared" si="70"/>
        <v>0.2696401543</v>
      </c>
      <c r="Q57" s="292">
        <f t="shared" si="71"/>
        <v>369.2454356</v>
      </c>
      <c r="R57" s="347">
        <v>0.06</v>
      </c>
      <c r="S57" s="332"/>
      <c r="T57" s="299">
        <f t="shared" si="1"/>
        <v>128000</v>
      </c>
      <c r="U57" s="315">
        <f t="shared" si="9"/>
        <v>120768</v>
      </c>
      <c r="V57" s="315">
        <f t="shared" si="10"/>
        <v>25600</v>
      </c>
      <c r="W57" s="320">
        <f t="shared" si="14"/>
        <v>87400</v>
      </c>
      <c r="X57" s="321">
        <f t="shared" si="11"/>
        <v>1.049180328</v>
      </c>
      <c r="Y57" s="333">
        <f t="shared" si="72"/>
        <v>0.512</v>
      </c>
      <c r="Z57" s="321">
        <f t="shared" si="13"/>
        <v>0.3496</v>
      </c>
      <c r="AA57" s="334"/>
      <c r="AB57" s="334"/>
      <c r="AC57" s="334"/>
      <c r="AD57" s="335"/>
      <c r="AE57" s="334"/>
      <c r="AF57" s="334"/>
      <c r="AG57" s="334"/>
      <c r="AH57" s="335" t="str">
        <f t="shared" si="73"/>
        <v/>
      </c>
      <c r="AI57" s="335">
        <f t="shared" si="74"/>
        <v>0</v>
      </c>
    </row>
    <row r="58">
      <c r="A58" s="305">
        <v>2026.0</v>
      </c>
      <c r="B58" s="305"/>
      <c r="C58" s="357" t="s">
        <v>879</v>
      </c>
      <c r="D58" s="305"/>
      <c r="E58" s="325">
        <v>160000.0</v>
      </c>
      <c r="F58" s="325">
        <v>300000.0</v>
      </c>
      <c r="G58" s="326">
        <v>1.0</v>
      </c>
      <c r="H58" s="292">
        <f t="shared" si="65"/>
        <v>236.3170788</v>
      </c>
      <c r="I58" s="327">
        <v>0.035</v>
      </c>
      <c r="J58" s="328">
        <f t="shared" si="66"/>
        <v>228.045981</v>
      </c>
      <c r="K58" s="329">
        <f t="shared" si="67"/>
        <v>8.271097758</v>
      </c>
      <c r="L58" s="330">
        <v>0.001397</v>
      </c>
      <c r="M58" s="327">
        <v>0.0215</v>
      </c>
      <c r="N58" s="331">
        <f t="shared" si="68"/>
        <v>0.0014270355</v>
      </c>
      <c r="O58" s="328">
        <f t="shared" si="69"/>
        <v>19.90298859</v>
      </c>
      <c r="P58" s="328">
        <f t="shared" si="70"/>
        <v>0.3469297106</v>
      </c>
      <c r="Q58" s="292">
        <f t="shared" si="71"/>
        <v>443.0945228</v>
      </c>
      <c r="R58" s="347">
        <v>0.06</v>
      </c>
      <c r="S58" s="332"/>
      <c r="T58" s="299">
        <f t="shared" si="1"/>
        <v>140000</v>
      </c>
      <c r="U58" s="315">
        <f t="shared" si="9"/>
        <v>132090</v>
      </c>
      <c r="V58" s="315">
        <f t="shared" si="10"/>
        <v>28000</v>
      </c>
      <c r="W58" s="320">
        <f t="shared" si="14"/>
        <v>94000</v>
      </c>
      <c r="X58" s="321">
        <f t="shared" si="11"/>
        <v>0.875</v>
      </c>
      <c r="Y58" s="333">
        <f t="shared" si="72"/>
        <v>0.4666666667</v>
      </c>
      <c r="Z58" s="321">
        <f t="shared" si="13"/>
        <v>0.3133333333</v>
      </c>
      <c r="AA58" s="334"/>
      <c r="AB58" s="334"/>
      <c r="AC58" s="334"/>
      <c r="AD58" s="335"/>
      <c r="AE58" s="334"/>
      <c r="AF58" s="334"/>
      <c r="AG58" s="334"/>
      <c r="AH58" s="335" t="str">
        <f t="shared" si="73"/>
        <v/>
      </c>
      <c r="AI58" s="335">
        <f t="shared" si="74"/>
        <v>0</v>
      </c>
    </row>
    <row r="59">
      <c r="A59" s="305">
        <v>2026.0</v>
      </c>
      <c r="B59" s="305"/>
      <c r="C59" s="357" t="s">
        <v>880</v>
      </c>
      <c r="D59" s="305"/>
      <c r="E59" s="325">
        <v>160000.0</v>
      </c>
      <c r="F59" s="325">
        <v>340000.0</v>
      </c>
      <c r="G59" s="326">
        <v>1.0</v>
      </c>
      <c r="H59" s="292">
        <f t="shared" si="65"/>
        <v>236.3170788</v>
      </c>
      <c r="I59" s="327">
        <v>0.035</v>
      </c>
      <c r="J59" s="328">
        <f t="shared" si="66"/>
        <v>228.045981</v>
      </c>
      <c r="K59" s="329">
        <f t="shared" si="67"/>
        <v>8.271097758</v>
      </c>
      <c r="L59" s="330">
        <v>0.001397</v>
      </c>
      <c r="M59" s="327">
        <v>0.0215</v>
      </c>
      <c r="N59" s="331">
        <f t="shared" si="68"/>
        <v>0.0014270355</v>
      </c>
      <c r="O59" s="328">
        <f t="shared" si="69"/>
        <v>19.90298859</v>
      </c>
      <c r="P59" s="328">
        <f t="shared" si="70"/>
        <v>0.3469297106</v>
      </c>
      <c r="Q59" s="292">
        <f t="shared" si="71"/>
        <v>502.1737925</v>
      </c>
      <c r="R59" s="347">
        <v>0.06</v>
      </c>
      <c r="S59" s="332"/>
      <c r="T59" s="299">
        <f t="shared" si="1"/>
        <v>180000</v>
      </c>
      <c r="U59" s="315">
        <f t="shared" si="9"/>
        <v>169830</v>
      </c>
      <c r="V59" s="315">
        <f t="shared" si="10"/>
        <v>36000</v>
      </c>
      <c r="W59" s="320">
        <f t="shared" si="14"/>
        <v>123600</v>
      </c>
      <c r="X59" s="321">
        <f t="shared" si="11"/>
        <v>1.125</v>
      </c>
      <c r="Y59" s="333">
        <f t="shared" si="72"/>
        <v>0.5294117647</v>
      </c>
      <c r="Z59" s="321">
        <f t="shared" si="13"/>
        <v>0.3635294118</v>
      </c>
      <c r="AA59" s="334"/>
      <c r="AB59" s="334"/>
      <c r="AC59" s="334"/>
      <c r="AD59" s="335"/>
      <c r="AE59" s="334"/>
      <c r="AF59" s="334"/>
      <c r="AG59" s="334"/>
      <c r="AH59" s="335" t="str">
        <f t="shared" si="73"/>
        <v/>
      </c>
      <c r="AI59" s="335">
        <f t="shared" si="74"/>
        <v>0</v>
      </c>
    </row>
    <row r="60">
      <c r="A60" s="305">
        <v>2026.0</v>
      </c>
      <c r="B60" s="305"/>
      <c r="C60" s="357" t="s">
        <v>881</v>
      </c>
      <c r="D60" s="305"/>
      <c r="E60" s="325">
        <f>160000*2</f>
        <v>320000</v>
      </c>
      <c r="F60" s="325">
        <v>580000.0</v>
      </c>
      <c r="G60" s="326">
        <v>1.0</v>
      </c>
      <c r="H60" s="292">
        <f t="shared" si="65"/>
        <v>472.6341576</v>
      </c>
      <c r="I60" s="327">
        <v>0.035</v>
      </c>
      <c r="J60" s="328">
        <f t="shared" si="66"/>
        <v>456.0919621</v>
      </c>
      <c r="K60" s="329">
        <f t="shared" si="67"/>
        <v>16.54219552</v>
      </c>
      <c r="L60" s="330">
        <v>0.001397</v>
      </c>
      <c r="M60" s="327">
        <v>0.0215</v>
      </c>
      <c r="N60" s="331">
        <f t="shared" si="68"/>
        <v>0.0014270355</v>
      </c>
      <c r="O60" s="328">
        <f t="shared" si="69"/>
        <v>24.80597718</v>
      </c>
      <c r="P60" s="328">
        <f t="shared" si="70"/>
        <v>0.6723594212</v>
      </c>
      <c r="Q60" s="292">
        <f t="shared" si="71"/>
        <v>856.6494107</v>
      </c>
      <c r="R60" s="347">
        <v>0.06</v>
      </c>
      <c r="S60" s="332"/>
      <c r="T60" s="299">
        <f t="shared" si="1"/>
        <v>260000</v>
      </c>
      <c r="U60" s="315">
        <f t="shared" si="9"/>
        <v>245310</v>
      </c>
      <c r="V60" s="315">
        <f t="shared" si="10"/>
        <v>52000</v>
      </c>
      <c r="W60" s="320">
        <f t="shared" si="14"/>
        <v>173200</v>
      </c>
      <c r="X60" s="321">
        <f t="shared" si="11"/>
        <v>0.8125</v>
      </c>
      <c r="Y60" s="333">
        <f t="shared" si="72"/>
        <v>0.4482758621</v>
      </c>
      <c r="Z60" s="321">
        <f t="shared" si="13"/>
        <v>0.2986206897</v>
      </c>
      <c r="AA60" s="334"/>
      <c r="AB60" s="334"/>
      <c r="AC60" s="334"/>
      <c r="AD60" s="335"/>
      <c r="AE60" s="334"/>
      <c r="AF60" s="334"/>
      <c r="AG60" s="334"/>
      <c r="AH60" s="335" t="str">
        <f t="shared" si="73"/>
        <v/>
      </c>
      <c r="AI60" s="335">
        <f t="shared" si="74"/>
        <v>0</v>
      </c>
    </row>
    <row r="61">
      <c r="A61" s="305">
        <v>2026.0</v>
      </c>
      <c r="B61" s="305"/>
      <c r="C61" s="357" t="s">
        <v>882</v>
      </c>
      <c r="D61" s="305"/>
      <c r="E61" s="325">
        <v>160000.0</v>
      </c>
      <c r="F61" s="325">
        <v>300000.0</v>
      </c>
      <c r="G61" s="326">
        <v>1.0</v>
      </c>
      <c r="H61" s="292">
        <f t="shared" si="65"/>
        <v>236.3170788</v>
      </c>
      <c r="I61" s="327">
        <v>0.035</v>
      </c>
      <c r="J61" s="328">
        <f t="shared" si="66"/>
        <v>228.045981</v>
      </c>
      <c r="K61" s="329">
        <f t="shared" si="67"/>
        <v>8.271097758</v>
      </c>
      <c r="L61" s="330">
        <v>0.001397</v>
      </c>
      <c r="M61" s="327">
        <v>0.0215</v>
      </c>
      <c r="N61" s="331">
        <f t="shared" si="68"/>
        <v>0.0014270355</v>
      </c>
      <c r="O61" s="328">
        <f t="shared" si="69"/>
        <v>19.90298859</v>
      </c>
      <c r="P61" s="328">
        <f t="shared" si="70"/>
        <v>0.3469297106</v>
      </c>
      <c r="Q61" s="292">
        <f t="shared" si="71"/>
        <v>443.0945228</v>
      </c>
      <c r="R61" s="347">
        <v>0.06</v>
      </c>
      <c r="S61" s="332"/>
      <c r="T61" s="299">
        <f t="shared" si="1"/>
        <v>140000</v>
      </c>
      <c r="U61" s="315">
        <f t="shared" si="9"/>
        <v>132090</v>
      </c>
      <c r="V61" s="315">
        <f t="shared" si="10"/>
        <v>28000</v>
      </c>
      <c r="W61" s="320">
        <f t="shared" si="14"/>
        <v>94000</v>
      </c>
      <c r="X61" s="321">
        <f t="shared" si="11"/>
        <v>0.875</v>
      </c>
      <c r="Y61" s="333">
        <f t="shared" si="72"/>
        <v>0.4666666667</v>
      </c>
      <c r="Z61" s="321">
        <f t="shared" si="13"/>
        <v>0.3133333333</v>
      </c>
      <c r="AA61" s="334"/>
      <c r="AB61" s="334"/>
      <c r="AC61" s="334"/>
      <c r="AD61" s="335"/>
      <c r="AE61" s="334"/>
      <c r="AF61" s="334"/>
      <c r="AG61" s="334"/>
      <c r="AH61" s="335" t="str">
        <f t="shared" si="73"/>
        <v/>
      </c>
      <c r="AI61" s="335">
        <f t="shared" si="74"/>
        <v>0</v>
      </c>
    </row>
    <row r="62">
      <c r="A62" s="305">
        <v>2026.0</v>
      </c>
      <c r="B62" s="305"/>
      <c r="C62" s="357" t="s">
        <v>883</v>
      </c>
      <c r="D62" s="305"/>
      <c r="E62" s="325">
        <v>160000.0</v>
      </c>
      <c r="F62" s="325">
        <v>340000.0</v>
      </c>
      <c r="G62" s="326">
        <v>1.0</v>
      </c>
      <c r="H62" s="292">
        <f t="shared" si="65"/>
        <v>236.3170788</v>
      </c>
      <c r="I62" s="327">
        <v>0.035</v>
      </c>
      <c r="J62" s="328">
        <f t="shared" si="66"/>
        <v>228.045981</v>
      </c>
      <c r="K62" s="329">
        <f t="shared" si="67"/>
        <v>8.271097758</v>
      </c>
      <c r="L62" s="330">
        <v>0.001397</v>
      </c>
      <c r="M62" s="327">
        <v>0.0215</v>
      </c>
      <c r="N62" s="331">
        <f t="shared" si="68"/>
        <v>0.0014270355</v>
      </c>
      <c r="O62" s="328">
        <f t="shared" si="69"/>
        <v>19.90298859</v>
      </c>
      <c r="P62" s="328">
        <f t="shared" si="70"/>
        <v>0.3469297106</v>
      </c>
      <c r="Q62" s="292">
        <f t="shared" si="71"/>
        <v>502.1737925</v>
      </c>
      <c r="R62" s="347">
        <v>0.06</v>
      </c>
      <c r="S62" s="332"/>
      <c r="T62" s="299">
        <f t="shared" si="1"/>
        <v>180000</v>
      </c>
      <c r="U62" s="315">
        <f t="shared" si="9"/>
        <v>169830</v>
      </c>
      <c r="V62" s="315">
        <f t="shared" si="10"/>
        <v>36000</v>
      </c>
      <c r="W62" s="320">
        <f t="shared" si="14"/>
        <v>123600</v>
      </c>
      <c r="X62" s="321">
        <f t="shared" si="11"/>
        <v>1.125</v>
      </c>
      <c r="Y62" s="333">
        <f t="shared" si="72"/>
        <v>0.5294117647</v>
      </c>
      <c r="Z62" s="321">
        <f t="shared" si="13"/>
        <v>0.3635294118</v>
      </c>
      <c r="AA62" s="334"/>
      <c r="AB62" s="334"/>
      <c r="AC62" s="334"/>
      <c r="AD62" s="335"/>
      <c r="AE62" s="334"/>
      <c r="AF62" s="334"/>
      <c r="AG62" s="334"/>
      <c r="AH62" s="335" t="str">
        <f t="shared" si="73"/>
        <v/>
      </c>
      <c r="AI62" s="335">
        <f t="shared" si="74"/>
        <v>0</v>
      </c>
    </row>
    <row r="63">
      <c r="A63" s="305">
        <v>2026.0</v>
      </c>
      <c r="B63" s="305"/>
      <c r="C63" s="357" t="s">
        <v>884</v>
      </c>
      <c r="D63" s="305"/>
      <c r="E63" s="325">
        <f>160000*2</f>
        <v>320000</v>
      </c>
      <c r="F63" s="325">
        <v>580000.0</v>
      </c>
      <c r="G63" s="326">
        <v>1.0</v>
      </c>
      <c r="H63" s="292">
        <f t="shared" si="65"/>
        <v>472.6341576</v>
      </c>
      <c r="I63" s="327">
        <v>0.035</v>
      </c>
      <c r="J63" s="328">
        <f t="shared" si="66"/>
        <v>456.0919621</v>
      </c>
      <c r="K63" s="329">
        <f t="shared" si="67"/>
        <v>16.54219552</v>
      </c>
      <c r="L63" s="330">
        <v>0.001397</v>
      </c>
      <c r="M63" s="327">
        <v>0.0215</v>
      </c>
      <c r="N63" s="331">
        <f t="shared" si="68"/>
        <v>0.0014270355</v>
      </c>
      <c r="O63" s="328">
        <f t="shared" si="69"/>
        <v>24.80597718</v>
      </c>
      <c r="P63" s="328">
        <f t="shared" si="70"/>
        <v>0.6723594212</v>
      </c>
      <c r="Q63" s="292">
        <f t="shared" si="71"/>
        <v>856.6494107</v>
      </c>
      <c r="R63" s="347">
        <v>0.06</v>
      </c>
      <c r="S63" s="332"/>
      <c r="T63" s="299">
        <f t="shared" si="1"/>
        <v>260000</v>
      </c>
      <c r="U63" s="315">
        <f t="shared" si="9"/>
        <v>245310</v>
      </c>
      <c r="V63" s="315">
        <f t="shared" si="10"/>
        <v>52000</v>
      </c>
      <c r="W63" s="320">
        <f t="shared" si="14"/>
        <v>173200</v>
      </c>
      <c r="X63" s="321">
        <f t="shared" si="11"/>
        <v>0.8125</v>
      </c>
      <c r="Y63" s="333">
        <f t="shared" si="72"/>
        <v>0.4482758621</v>
      </c>
      <c r="Z63" s="321">
        <f t="shared" si="13"/>
        <v>0.2986206897</v>
      </c>
      <c r="AA63" s="334"/>
      <c r="AB63" s="334"/>
      <c r="AC63" s="334"/>
      <c r="AD63" s="335"/>
      <c r="AE63" s="334"/>
      <c r="AF63" s="334"/>
      <c r="AG63" s="334"/>
      <c r="AH63" s="335" t="str">
        <f t="shared" si="73"/>
        <v/>
      </c>
      <c r="AI63" s="335">
        <f t="shared" si="74"/>
        <v>0</v>
      </c>
    </row>
    <row r="64">
      <c r="A64" s="305"/>
      <c r="B64" s="305"/>
      <c r="C64" s="305"/>
      <c r="D64" s="305"/>
      <c r="E64" s="325"/>
      <c r="F64" s="325"/>
      <c r="G64" s="326"/>
      <c r="H64" s="313"/>
      <c r="I64" s="327"/>
      <c r="J64" s="328"/>
      <c r="K64" s="329"/>
      <c r="L64" s="330"/>
      <c r="M64" s="327"/>
      <c r="N64" s="331"/>
      <c r="O64" s="328"/>
      <c r="P64" s="328"/>
      <c r="Q64" s="313"/>
      <c r="R64" s="327"/>
      <c r="S64" s="332"/>
      <c r="T64" s="299"/>
      <c r="U64" s="315"/>
      <c r="V64" s="315"/>
      <c r="W64" s="320"/>
      <c r="X64" s="321"/>
      <c r="Y64" s="333"/>
      <c r="Z64" s="321"/>
      <c r="AA64" s="334"/>
      <c r="AB64" s="334"/>
      <c r="AC64" s="334"/>
      <c r="AD64" s="335"/>
      <c r="AE64" s="334"/>
      <c r="AF64" s="334"/>
      <c r="AG64" s="334"/>
      <c r="AH64" s="335"/>
      <c r="AI64" s="335"/>
    </row>
    <row r="65">
      <c r="A65" s="305">
        <v>2026.0</v>
      </c>
      <c r="B65" s="305"/>
      <c r="C65" s="357" t="s">
        <v>885</v>
      </c>
      <c r="D65" s="305"/>
      <c r="E65" s="325">
        <v>385000.0</v>
      </c>
      <c r="F65" s="325">
        <v>580000.0</v>
      </c>
      <c r="G65" s="326">
        <v>1.0</v>
      </c>
      <c r="H65" s="292">
        <f t="shared" ref="H65:H67" si="75">((E65*N65)*(1+I65))*G65</f>
        <v>568.6379709</v>
      </c>
      <c r="I65" s="327">
        <v>0.035</v>
      </c>
      <c r="J65" s="328">
        <f t="shared" ref="J65:J67" si="76">H65*(1-I65)</f>
        <v>548.7356419</v>
      </c>
      <c r="K65" s="329">
        <f t="shared" ref="K65:K67" si="77">H65-J65</f>
        <v>19.90232898</v>
      </c>
      <c r="L65" s="330">
        <v>0.001397</v>
      </c>
      <c r="M65" s="327">
        <v>0.0215</v>
      </c>
      <c r="N65" s="331">
        <f t="shared" ref="N65:N67" si="78">L65*(1+M65)</f>
        <v>0.0014270355</v>
      </c>
      <c r="O65" s="328">
        <f t="shared" ref="O65:O67" si="79">(J65*M65)+15</f>
        <v>26.7978163</v>
      </c>
      <c r="P65" s="328">
        <f t="shared" ref="P65:P67" si="80">(J65*N65)+M65</f>
        <v>0.8045652411</v>
      </c>
      <c r="Q65" s="292">
        <f t="shared" ref="Q65:Q67" si="81">((F65*N65)*(1+I65))*G65</f>
        <v>856.6494107</v>
      </c>
      <c r="R65" s="347">
        <v>0.06</v>
      </c>
      <c r="S65" s="332"/>
      <c r="T65" s="299">
        <f t="shared" ref="T65:T67" si="82">F65-E65</f>
        <v>195000</v>
      </c>
      <c r="U65" s="315">
        <f t="shared" ref="U65:U67" si="83">T65*(1-I65-M65)</f>
        <v>183982.5</v>
      </c>
      <c r="V65" s="315">
        <f t="shared" ref="V65:V67" si="84">(F65-E65)*0.2</f>
        <v>39000</v>
      </c>
      <c r="W65" s="320">
        <f t="shared" ref="W65:W67" si="85">F65-(E65+V65)-(F65*S65)-(F65*R65)</f>
        <v>121200</v>
      </c>
      <c r="X65" s="321">
        <f t="shared" ref="X65:X67" si="86">IFERROR((F65-E65)/E65,"")</f>
        <v>0.5064935065</v>
      </c>
      <c r="Y65" s="333">
        <f t="shared" ref="Y65:Y67" si="87">IFERROR((Q65-H65)/Q65,"")</f>
        <v>0.3362068966</v>
      </c>
      <c r="Z65" s="321">
        <f t="shared" ref="Z65:Z67" si="88">IFERROR(W65/F65,"")</f>
        <v>0.2089655172</v>
      </c>
      <c r="AA65" s="334"/>
      <c r="AB65" s="334"/>
      <c r="AC65" s="334"/>
      <c r="AD65" s="335"/>
      <c r="AE65" s="334"/>
      <c r="AF65" s="334"/>
      <c r="AG65" s="334"/>
      <c r="AH65" s="335" t="str">
        <f t="shared" ref="AH65:AH67" si="89">IFERROR(AVERAGE(AE65:AG65),"")</f>
        <v/>
      </c>
      <c r="AI65" s="335">
        <f t="shared" ref="AI65:AI67" si="90">AE65+AF65+AG65</f>
        <v>0</v>
      </c>
    </row>
    <row r="66">
      <c r="A66" s="305">
        <v>2026.0</v>
      </c>
      <c r="B66" s="305"/>
      <c r="C66" s="357" t="s">
        <v>886</v>
      </c>
      <c r="D66" s="305"/>
      <c r="E66" s="325">
        <v>555000.0</v>
      </c>
      <c r="F66" s="325">
        <v>780000.0</v>
      </c>
      <c r="G66" s="326">
        <v>1.0</v>
      </c>
      <c r="H66" s="292">
        <f t="shared" si="75"/>
        <v>819.7248671</v>
      </c>
      <c r="I66" s="327">
        <v>0.035</v>
      </c>
      <c r="J66" s="328">
        <f t="shared" si="76"/>
        <v>791.0344967</v>
      </c>
      <c r="K66" s="329">
        <f t="shared" si="77"/>
        <v>28.69037035</v>
      </c>
      <c r="L66" s="330">
        <v>0.001397</v>
      </c>
      <c r="M66" s="327">
        <v>0.0215</v>
      </c>
      <c r="N66" s="331">
        <f t="shared" si="78"/>
        <v>0.0014270355</v>
      </c>
      <c r="O66" s="328">
        <f t="shared" si="79"/>
        <v>32.00724168</v>
      </c>
      <c r="P66" s="328">
        <f t="shared" si="80"/>
        <v>1.150334309</v>
      </c>
      <c r="Q66" s="292">
        <f t="shared" si="81"/>
        <v>1152.045759</v>
      </c>
      <c r="R66" s="347">
        <v>0.06</v>
      </c>
      <c r="S66" s="332"/>
      <c r="T66" s="299">
        <f t="shared" si="82"/>
        <v>225000</v>
      </c>
      <c r="U66" s="315">
        <f t="shared" si="83"/>
        <v>212287.5</v>
      </c>
      <c r="V66" s="315">
        <f t="shared" si="84"/>
        <v>45000</v>
      </c>
      <c r="W66" s="320">
        <f t="shared" si="85"/>
        <v>133200</v>
      </c>
      <c r="X66" s="321">
        <f t="shared" si="86"/>
        <v>0.4054054054</v>
      </c>
      <c r="Y66" s="333">
        <f t="shared" si="87"/>
        <v>0.2884615385</v>
      </c>
      <c r="Z66" s="321">
        <f t="shared" si="88"/>
        <v>0.1707692308</v>
      </c>
      <c r="AA66" s="334"/>
      <c r="AB66" s="334"/>
      <c r="AC66" s="334"/>
      <c r="AD66" s="335"/>
      <c r="AE66" s="334"/>
      <c r="AF66" s="334"/>
      <c r="AG66" s="334"/>
      <c r="AH66" s="335" t="str">
        <f t="shared" si="89"/>
        <v/>
      </c>
      <c r="AI66" s="335">
        <f t="shared" si="90"/>
        <v>0</v>
      </c>
    </row>
    <row r="67">
      <c r="A67" s="305">
        <v>2026.0</v>
      </c>
      <c r="B67" s="305"/>
      <c r="C67" s="357" t="s">
        <v>887</v>
      </c>
      <c r="D67" s="305"/>
      <c r="E67" s="325">
        <v>660000.0</v>
      </c>
      <c r="F67" s="325">
        <v>900000.0</v>
      </c>
      <c r="G67" s="326">
        <v>1.0</v>
      </c>
      <c r="H67" s="292">
        <f t="shared" si="75"/>
        <v>974.8079501</v>
      </c>
      <c r="I67" s="327">
        <v>0.035</v>
      </c>
      <c r="J67" s="328">
        <f t="shared" si="76"/>
        <v>940.6896718</v>
      </c>
      <c r="K67" s="329">
        <f t="shared" si="77"/>
        <v>34.11827825</v>
      </c>
      <c r="L67" s="330">
        <v>0.001397</v>
      </c>
      <c r="M67" s="327">
        <v>0.0215</v>
      </c>
      <c r="N67" s="331">
        <f t="shared" si="78"/>
        <v>0.0014270355</v>
      </c>
      <c r="O67" s="328">
        <f t="shared" si="79"/>
        <v>35.22482794</v>
      </c>
      <c r="P67" s="328">
        <f t="shared" si="80"/>
        <v>1.363897556</v>
      </c>
      <c r="Q67" s="292">
        <f t="shared" si="81"/>
        <v>1329.283568</v>
      </c>
      <c r="R67" s="347">
        <v>0.06</v>
      </c>
      <c r="S67" s="332"/>
      <c r="T67" s="299">
        <f t="shared" si="82"/>
        <v>240000</v>
      </c>
      <c r="U67" s="315">
        <f t="shared" si="83"/>
        <v>226440</v>
      </c>
      <c r="V67" s="315">
        <f t="shared" si="84"/>
        <v>48000</v>
      </c>
      <c r="W67" s="320">
        <f t="shared" si="85"/>
        <v>138000</v>
      </c>
      <c r="X67" s="321">
        <f t="shared" si="86"/>
        <v>0.3636363636</v>
      </c>
      <c r="Y67" s="333">
        <f t="shared" si="87"/>
        <v>0.2666666667</v>
      </c>
      <c r="Z67" s="321">
        <f t="shared" si="88"/>
        <v>0.1533333333</v>
      </c>
      <c r="AA67" s="334"/>
      <c r="AB67" s="334"/>
      <c r="AC67" s="334"/>
      <c r="AD67" s="335"/>
      <c r="AE67" s="334"/>
      <c r="AF67" s="334"/>
      <c r="AG67" s="334"/>
      <c r="AH67" s="335" t="str">
        <f t="shared" si="89"/>
        <v/>
      </c>
      <c r="AI67" s="335">
        <f t="shared" si="90"/>
        <v>0</v>
      </c>
    </row>
    <row r="68">
      <c r="A68" s="305"/>
      <c r="B68" s="305"/>
      <c r="C68" s="357"/>
      <c r="D68" s="305"/>
      <c r="E68" s="325"/>
      <c r="F68" s="325"/>
      <c r="G68" s="326"/>
      <c r="H68" s="292"/>
      <c r="I68" s="327"/>
      <c r="J68" s="328"/>
      <c r="K68" s="329"/>
      <c r="L68" s="330"/>
      <c r="M68" s="327"/>
      <c r="N68" s="331"/>
      <c r="O68" s="328"/>
      <c r="P68" s="328"/>
      <c r="Q68" s="292"/>
      <c r="R68" s="347"/>
      <c r="S68" s="332"/>
      <c r="T68" s="299"/>
      <c r="U68" s="315"/>
      <c r="V68" s="315"/>
      <c r="W68" s="320"/>
      <c r="X68" s="321"/>
      <c r="Y68" s="333"/>
      <c r="Z68" s="321"/>
      <c r="AA68" s="334"/>
      <c r="AB68" s="334"/>
      <c r="AC68" s="334"/>
      <c r="AD68" s="335"/>
      <c r="AE68" s="334"/>
      <c r="AF68" s="334"/>
      <c r="AG68" s="334"/>
      <c r="AH68" s="335"/>
      <c r="AI68" s="335"/>
    </row>
    <row r="69">
      <c r="A69" s="305">
        <v>2026.0</v>
      </c>
      <c r="B69" s="305"/>
      <c r="C69" s="357" t="s">
        <v>858</v>
      </c>
      <c r="D69" s="305"/>
      <c r="E69" s="325">
        <v>633000.0</v>
      </c>
      <c r="F69" s="325">
        <v>850000.0</v>
      </c>
      <c r="G69" s="326">
        <v>1.0</v>
      </c>
      <c r="H69" s="292">
        <f>((E69*N69)*(1+I69))*G69</f>
        <v>934.929443</v>
      </c>
      <c r="I69" s="327">
        <v>0.035</v>
      </c>
      <c r="J69" s="328">
        <f>H69*(1-I69)</f>
        <v>902.2069125</v>
      </c>
      <c r="K69" s="329">
        <f>H69-J69</f>
        <v>32.72253051</v>
      </c>
      <c r="L69" s="330">
        <v>0.001397</v>
      </c>
      <c r="M69" s="327">
        <v>0.0215</v>
      </c>
      <c r="N69" s="331">
        <f>L69*(1+M69)</f>
        <v>0.0014270355</v>
      </c>
      <c r="O69" s="328">
        <f>(J69*M69)+15</f>
        <v>34.39744862</v>
      </c>
      <c r="P69" s="328">
        <f>(J69*N69)+M69</f>
        <v>1.308981292</v>
      </c>
      <c r="Q69" s="292">
        <f>((F69*N69)*(1+I69))*G69</f>
        <v>1255.434481</v>
      </c>
      <c r="R69" s="347">
        <v>0.06</v>
      </c>
      <c r="S69" s="332"/>
      <c r="T69" s="299">
        <f t="shared" ref="T69:T73" si="91">F69-E69</f>
        <v>217000</v>
      </c>
      <c r="U69" s="315">
        <f t="shared" ref="U69:U73" si="92">T69*(1-I69-M69)</f>
        <v>204739.5</v>
      </c>
      <c r="V69" s="315">
        <f t="shared" ref="V69:V73" si="93">(F69-E69)*0.2</f>
        <v>43400</v>
      </c>
      <c r="W69" s="320">
        <f t="shared" ref="W69:W73" si="94">F69-(E69+V69)-(F69*S69)-(F69*R69)</f>
        <v>122600</v>
      </c>
      <c r="X69" s="321">
        <f t="shared" ref="X69:X73" si="95">IFERROR((F69-E69)/E69,"")</f>
        <v>0.3428120063</v>
      </c>
      <c r="Y69" s="333">
        <f>IFERROR((Q69-H69)/Q69,"")</f>
        <v>0.2552941176</v>
      </c>
      <c r="Z69" s="321">
        <f t="shared" ref="Z69:Z73" si="96">IFERROR(W69/F69,"")</f>
        <v>0.1442352941</v>
      </c>
      <c r="AA69" s="334"/>
      <c r="AB69" s="334"/>
      <c r="AC69" s="334"/>
      <c r="AD69" s="335"/>
      <c r="AE69" s="334"/>
      <c r="AF69" s="334"/>
      <c r="AG69" s="334"/>
      <c r="AH69" s="335" t="str">
        <f>IFERROR(AVERAGE(AE69:AG69),"")</f>
        <v/>
      </c>
      <c r="AI69" s="335">
        <f>AE69+AF69+AG69</f>
        <v>0</v>
      </c>
    </row>
    <row r="70">
      <c r="A70" s="305"/>
      <c r="B70" s="305"/>
      <c r="C70" s="358"/>
      <c r="D70" s="305"/>
      <c r="E70" s="325"/>
      <c r="F70" s="325"/>
      <c r="G70" s="326"/>
      <c r="H70" s="292"/>
      <c r="I70" s="327"/>
      <c r="J70" s="328"/>
      <c r="K70" s="329"/>
      <c r="L70" s="330"/>
      <c r="M70" s="327"/>
      <c r="N70" s="331"/>
      <c r="O70" s="328"/>
      <c r="P70" s="328"/>
      <c r="Q70" s="292"/>
      <c r="R70" s="347"/>
      <c r="S70" s="332"/>
      <c r="T70" s="299">
        <f t="shared" si="91"/>
        <v>0</v>
      </c>
      <c r="U70" s="315">
        <f t="shared" si="92"/>
        <v>0</v>
      </c>
      <c r="V70" s="315">
        <f t="shared" si="93"/>
        <v>0</v>
      </c>
      <c r="W70" s="320">
        <f t="shared" si="94"/>
        <v>0</v>
      </c>
      <c r="X70" s="321" t="str">
        <f t="shared" si="95"/>
        <v/>
      </c>
      <c r="Y70" s="333"/>
      <c r="Z70" s="321" t="str">
        <f t="shared" si="96"/>
        <v/>
      </c>
      <c r="AA70" s="334"/>
      <c r="AB70" s="334"/>
      <c r="AC70" s="334"/>
      <c r="AD70" s="335"/>
      <c r="AE70" s="334"/>
      <c r="AF70" s="334"/>
      <c r="AG70" s="334"/>
      <c r="AH70" s="335"/>
      <c r="AI70" s="335"/>
    </row>
    <row r="71">
      <c r="A71" s="305">
        <v>2026.0</v>
      </c>
      <c r="B71" s="305"/>
      <c r="C71" s="357" t="s">
        <v>158</v>
      </c>
      <c r="D71" s="305"/>
      <c r="E71" s="325">
        <v>420000.0</v>
      </c>
      <c r="F71" s="325">
        <v>550000.0</v>
      </c>
      <c r="G71" s="326">
        <v>1.0</v>
      </c>
      <c r="H71" s="292">
        <f t="shared" ref="H71:H72" si="97">((E71*N71)*(1+I71))*G71</f>
        <v>620.3323319</v>
      </c>
      <c r="I71" s="327">
        <v>0.035</v>
      </c>
      <c r="J71" s="328">
        <f t="shared" ref="J71:J72" si="98">H71*(1-I71)</f>
        <v>598.6207002</v>
      </c>
      <c r="K71" s="329">
        <f t="shared" ref="K71:K72" si="99">H71-J71</f>
        <v>21.71163161</v>
      </c>
      <c r="L71" s="330">
        <v>0.001397</v>
      </c>
      <c r="M71" s="327">
        <v>0.0215</v>
      </c>
      <c r="N71" s="331">
        <f t="shared" ref="N71:N72" si="100">L71*(1+M71)</f>
        <v>0.0014270355</v>
      </c>
      <c r="O71" s="328">
        <f t="shared" ref="O71:O72" si="101">(J71*M71)+15</f>
        <v>27.87034506</v>
      </c>
      <c r="P71" s="328">
        <f t="shared" ref="P71:P72" si="102">(J71*N71)+M71</f>
        <v>0.8757529903</v>
      </c>
      <c r="Q71" s="292">
        <f t="shared" ref="Q71:Q72" si="103">((F71*N71)*(1+I71))*G71</f>
        <v>812.3399584</v>
      </c>
      <c r="R71" s="347">
        <v>0.06</v>
      </c>
      <c r="S71" s="332"/>
      <c r="T71" s="299">
        <f t="shared" si="91"/>
        <v>130000</v>
      </c>
      <c r="U71" s="315">
        <f t="shared" si="92"/>
        <v>122655</v>
      </c>
      <c r="V71" s="315">
        <f t="shared" si="93"/>
        <v>26000</v>
      </c>
      <c r="W71" s="320">
        <f t="shared" si="94"/>
        <v>71000</v>
      </c>
      <c r="X71" s="321">
        <f t="shared" si="95"/>
        <v>0.3095238095</v>
      </c>
      <c r="Y71" s="333">
        <f t="shared" ref="Y71:Y72" si="104">IFERROR((Q71-H71)/Q71,"")</f>
        <v>0.2363636364</v>
      </c>
      <c r="Z71" s="321">
        <f t="shared" si="96"/>
        <v>0.1290909091</v>
      </c>
      <c r="AA71" s="334"/>
      <c r="AB71" s="334"/>
      <c r="AC71" s="334"/>
      <c r="AD71" s="335"/>
      <c r="AE71" s="334"/>
      <c r="AF71" s="334"/>
      <c r="AG71" s="334"/>
      <c r="AH71" s="335" t="str">
        <f t="shared" ref="AH71:AH72" si="105">IFERROR(AVERAGE(AE71:AG71),"")</f>
        <v/>
      </c>
      <c r="AI71" s="335">
        <f t="shared" ref="AI71:AI72" si="106">AE71+AF71+AG71</f>
        <v>0</v>
      </c>
    </row>
    <row r="72">
      <c r="A72" s="305">
        <v>2026.0</v>
      </c>
      <c r="B72" s="305"/>
      <c r="C72" s="357" t="s">
        <v>888</v>
      </c>
      <c r="D72" s="305"/>
      <c r="E72" s="325">
        <v>350000.0</v>
      </c>
      <c r="F72" s="325">
        <v>420000.0</v>
      </c>
      <c r="G72" s="326">
        <v>1.0</v>
      </c>
      <c r="H72" s="292">
        <f t="shared" si="97"/>
        <v>516.9436099</v>
      </c>
      <c r="I72" s="327">
        <v>0.035</v>
      </c>
      <c r="J72" s="328">
        <f t="shared" si="98"/>
        <v>498.8505835</v>
      </c>
      <c r="K72" s="329">
        <f t="shared" si="99"/>
        <v>18.09302635</v>
      </c>
      <c r="L72" s="330">
        <v>0.001397</v>
      </c>
      <c r="M72" s="327">
        <v>0.0215</v>
      </c>
      <c r="N72" s="331">
        <f t="shared" si="100"/>
        <v>0.0014270355</v>
      </c>
      <c r="O72" s="328">
        <f t="shared" si="101"/>
        <v>25.72528755</v>
      </c>
      <c r="P72" s="328">
        <f t="shared" si="102"/>
        <v>0.7333774919</v>
      </c>
      <c r="Q72" s="292">
        <f t="shared" si="103"/>
        <v>620.3323319</v>
      </c>
      <c r="R72" s="347">
        <v>0.06</v>
      </c>
      <c r="S72" s="332"/>
      <c r="T72" s="299">
        <f t="shared" si="91"/>
        <v>70000</v>
      </c>
      <c r="U72" s="315">
        <f t="shared" si="92"/>
        <v>66045</v>
      </c>
      <c r="V72" s="315">
        <f t="shared" si="93"/>
        <v>14000</v>
      </c>
      <c r="W72" s="320">
        <f t="shared" si="94"/>
        <v>30800</v>
      </c>
      <c r="X72" s="321">
        <f t="shared" si="95"/>
        <v>0.2</v>
      </c>
      <c r="Y72" s="333">
        <f t="shared" si="104"/>
        <v>0.1666666667</v>
      </c>
      <c r="Z72" s="321">
        <f t="shared" si="96"/>
        <v>0.07333333333</v>
      </c>
      <c r="AA72" s="334"/>
      <c r="AB72" s="334"/>
      <c r="AC72" s="334"/>
      <c r="AD72" s="335"/>
      <c r="AE72" s="334"/>
      <c r="AF72" s="334"/>
      <c r="AG72" s="334"/>
      <c r="AH72" s="335" t="str">
        <f t="shared" si="105"/>
        <v/>
      </c>
      <c r="AI72" s="335">
        <f t="shared" si="106"/>
        <v>0</v>
      </c>
    </row>
    <row r="73">
      <c r="A73" s="344"/>
      <c r="B73" s="344"/>
      <c r="C73" s="344"/>
      <c r="D73" s="344"/>
      <c r="E73" s="345"/>
      <c r="F73" s="345"/>
      <c r="G73" s="346"/>
      <c r="H73" s="764"/>
      <c r="I73" s="347"/>
      <c r="J73" s="348"/>
      <c r="K73" s="349"/>
      <c r="L73" s="296"/>
      <c r="M73" s="347"/>
      <c r="N73" s="350"/>
      <c r="O73" s="348"/>
      <c r="P73" s="348"/>
      <c r="Q73" s="764"/>
      <c r="R73" s="347"/>
      <c r="S73" s="351"/>
      <c r="T73" s="765">
        <f t="shared" si="91"/>
        <v>0</v>
      </c>
      <c r="U73" s="766">
        <f t="shared" si="92"/>
        <v>0</v>
      </c>
      <c r="V73" s="766">
        <f t="shared" si="93"/>
        <v>0</v>
      </c>
      <c r="W73" s="767">
        <f t="shared" si="94"/>
        <v>0</v>
      </c>
      <c r="X73" s="768" t="str">
        <f t="shared" si="95"/>
        <v/>
      </c>
      <c r="Y73" s="405"/>
      <c r="Z73" s="768" t="str">
        <f t="shared" si="96"/>
        <v/>
      </c>
      <c r="AA73" s="384"/>
      <c r="AB73" s="384"/>
      <c r="AC73" s="384"/>
      <c r="AD73" s="385"/>
      <c r="AE73" s="384"/>
      <c r="AF73" s="384"/>
      <c r="AG73" s="384"/>
      <c r="AH73" s="385"/>
      <c r="AI73" s="385"/>
    </row>
    <row r="74">
      <c r="A74" s="344"/>
      <c r="B74" s="344"/>
      <c r="C74" s="344"/>
      <c r="D74" s="344"/>
      <c r="E74" s="377"/>
      <c r="F74" s="345"/>
      <c r="G74" s="378"/>
      <c r="H74" s="404"/>
      <c r="I74" s="347"/>
      <c r="J74" s="348"/>
      <c r="K74" s="349"/>
      <c r="L74" s="296"/>
      <c r="M74" s="347"/>
      <c r="N74" s="350"/>
      <c r="O74" s="348"/>
      <c r="P74" s="348"/>
      <c r="Q74" s="404"/>
      <c r="R74" s="347"/>
      <c r="S74" s="351"/>
      <c r="T74" s="765"/>
      <c r="U74" s="766"/>
      <c r="V74" s="766"/>
      <c r="W74" s="767"/>
      <c r="X74" s="768"/>
      <c r="Y74" s="405"/>
      <c r="Z74" s="768"/>
      <c r="AA74" s="353"/>
      <c r="AB74" s="353"/>
      <c r="AC74" s="353"/>
      <c r="AD74" s="393"/>
      <c r="AE74" s="353"/>
      <c r="AF74" s="353"/>
      <c r="AG74" s="353"/>
      <c r="AH74" s="393"/>
      <c r="AI74" s="394"/>
    </row>
    <row r="75">
      <c r="A75" s="344"/>
      <c r="B75" s="344"/>
      <c r="C75" s="344"/>
      <c r="D75" s="344"/>
      <c r="E75" s="377"/>
      <c r="F75" s="345"/>
      <c r="G75" s="378"/>
      <c r="H75" s="404"/>
      <c r="I75" s="347"/>
      <c r="J75" s="348"/>
      <c r="K75" s="349"/>
      <c r="L75" s="296"/>
      <c r="M75" s="347"/>
      <c r="N75" s="350"/>
      <c r="O75" s="348"/>
      <c r="P75" s="348"/>
      <c r="Q75" s="404"/>
      <c r="R75" s="347"/>
      <c r="S75" s="351"/>
      <c r="T75" s="765"/>
      <c r="U75" s="766"/>
      <c r="V75" s="766"/>
      <c r="W75" s="767"/>
      <c r="X75" s="768"/>
      <c r="Y75" s="405"/>
      <c r="Z75" s="768"/>
      <c r="AA75" s="353"/>
      <c r="AB75" s="353"/>
      <c r="AC75" s="353"/>
      <c r="AD75" s="393"/>
      <c r="AE75" s="353"/>
      <c r="AF75" s="353"/>
      <c r="AG75" s="353"/>
      <c r="AH75" s="393"/>
      <c r="AI75" s="394"/>
    </row>
    <row r="76">
      <c r="A76" s="344"/>
      <c r="B76" s="344"/>
      <c r="C76" s="344"/>
      <c r="D76" s="344"/>
      <c r="E76" s="377"/>
      <c r="F76" s="345"/>
      <c r="G76" s="378"/>
      <c r="H76" s="404"/>
      <c r="I76" s="347"/>
      <c r="J76" s="348"/>
      <c r="K76" s="349"/>
      <c r="L76" s="296"/>
      <c r="M76" s="347"/>
      <c r="N76" s="350"/>
      <c r="O76" s="348"/>
      <c r="P76" s="348"/>
      <c r="Q76" s="404"/>
      <c r="R76" s="347"/>
      <c r="S76" s="351"/>
      <c r="T76" s="765"/>
      <c r="U76" s="766"/>
      <c r="V76" s="766"/>
      <c r="W76" s="767"/>
      <c r="X76" s="768"/>
      <c r="Y76" s="405"/>
      <c r="Z76" s="768"/>
      <c r="AA76" s="353"/>
      <c r="AB76" s="353"/>
      <c r="AC76" s="353"/>
      <c r="AD76" s="393"/>
      <c r="AE76" s="353"/>
      <c r="AF76" s="353"/>
      <c r="AG76" s="353"/>
      <c r="AH76" s="393"/>
      <c r="AI76" s="394"/>
    </row>
    <row r="77">
      <c r="A77" s="344"/>
      <c r="B77" s="344"/>
      <c r="C77" s="344"/>
      <c r="D77" s="344"/>
      <c r="E77" s="345"/>
      <c r="F77" s="345"/>
      <c r="G77" s="346"/>
      <c r="H77" s="404"/>
      <c r="I77" s="347"/>
      <c r="J77" s="348"/>
      <c r="K77" s="349"/>
      <c r="L77" s="296"/>
      <c r="M77" s="347"/>
      <c r="N77" s="350"/>
      <c r="O77" s="348"/>
      <c r="P77" s="348"/>
      <c r="Q77" s="404"/>
      <c r="R77" s="347"/>
      <c r="S77" s="351"/>
      <c r="T77" s="765"/>
      <c r="U77" s="766"/>
      <c r="V77" s="766"/>
      <c r="W77" s="767"/>
      <c r="X77" s="768"/>
      <c r="Y77" s="405"/>
      <c r="Z77" s="768"/>
      <c r="AA77" s="353"/>
      <c r="AB77" s="353"/>
      <c r="AC77" s="353"/>
      <c r="AD77" s="393"/>
      <c r="AE77" s="353"/>
      <c r="AF77" s="353"/>
      <c r="AG77" s="353"/>
      <c r="AH77" s="393"/>
      <c r="AI77" s="394"/>
    </row>
    <row r="78">
      <c r="A78" s="344"/>
      <c r="B78" s="344"/>
      <c r="C78" s="344"/>
      <c r="D78" s="344"/>
      <c r="E78" s="345"/>
      <c r="F78" s="345"/>
      <c r="G78" s="378"/>
      <c r="H78" s="404"/>
      <c r="I78" s="347"/>
      <c r="J78" s="348"/>
      <c r="K78" s="349"/>
      <c r="L78" s="296"/>
      <c r="M78" s="347"/>
      <c r="N78" s="350"/>
      <c r="O78" s="348"/>
      <c r="P78" s="348"/>
      <c r="Q78" s="404"/>
      <c r="R78" s="347"/>
      <c r="S78" s="351"/>
      <c r="T78" s="765"/>
      <c r="U78" s="766"/>
      <c r="V78" s="766"/>
      <c r="W78" s="767"/>
      <c r="X78" s="768"/>
      <c r="Y78" s="405"/>
      <c r="Z78" s="768"/>
      <c r="AA78" s="353"/>
      <c r="AB78" s="353"/>
      <c r="AC78" s="353"/>
      <c r="AD78" s="393"/>
      <c r="AE78" s="353"/>
      <c r="AF78" s="353"/>
      <c r="AG78" s="353"/>
      <c r="AH78" s="393"/>
      <c r="AI78" s="394"/>
    </row>
    <row r="79">
      <c r="A79" s="344"/>
      <c r="B79" s="344"/>
      <c r="C79" s="344"/>
      <c r="D79" s="344"/>
      <c r="E79" s="345"/>
      <c r="F79" s="345"/>
      <c r="G79" s="378"/>
      <c r="H79" s="404"/>
      <c r="I79" s="347"/>
      <c r="J79" s="348"/>
      <c r="K79" s="349"/>
      <c r="L79" s="296"/>
      <c r="M79" s="347"/>
      <c r="N79" s="350"/>
      <c r="O79" s="348"/>
      <c r="P79" s="348"/>
      <c r="Q79" s="404"/>
      <c r="R79" s="347"/>
      <c r="S79" s="351"/>
      <c r="T79" s="765"/>
      <c r="U79" s="766"/>
      <c r="V79" s="766"/>
      <c r="W79" s="767"/>
      <c r="X79" s="768"/>
      <c r="Y79" s="405"/>
      <c r="Z79" s="768"/>
      <c r="AA79" s="353"/>
      <c r="AB79" s="353"/>
      <c r="AC79" s="353"/>
      <c r="AD79" s="393"/>
      <c r="AE79" s="353"/>
      <c r="AF79" s="353"/>
      <c r="AG79" s="353"/>
      <c r="AH79" s="393"/>
      <c r="AI79" s="394"/>
    </row>
    <row r="80">
      <c r="A80" s="344"/>
      <c r="B80" s="344"/>
      <c r="C80" s="344"/>
      <c r="D80" s="344"/>
      <c r="E80" s="345"/>
      <c r="F80" s="345"/>
      <c r="G80" s="378"/>
      <c r="H80" s="404"/>
      <c r="I80" s="347"/>
      <c r="J80" s="348"/>
      <c r="K80" s="349"/>
      <c r="L80" s="296"/>
      <c r="M80" s="347"/>
      <c r="N80" s="350"/>
      <c r="O80" s="348"/>
      <c r="P80" s="348"/>
      <c r="Q80" s="404"/>
      <c r="R80" s="347"/>
      <c r="S80" s="351"/>
      <c r="T80" s="765"/>
      <c r="U80" s="766"/>
      <c r="V80" s="766"/>
      <c r="W80" s="767"/>
      <c r="X80" s="768"/>
      <c r="Y80" s="405"/>
      <c r="Z80" s="768"/>
      <c r="AA80" s="353"/>
      <c r="AB80" s="353"/>
      <c r="AC80" s="353"/>
      <c r="AD80" s="393"/>
      <c r="AE80" s="353"/>
      <c r="AF80" s="353"/>
      <c r="AG80" s="353"/>
      <c r="AH80" s="393"/>
      <c r="AI80" s="394"/>
    </row>
    <row r="81">
      <c r="A81" s="344"/>
      <c r="B81" s="344"/>
      <c r="C81" s="344"/>
      <c r="D81" s="344"/>
      <c r="E81" s="377"/>
      <c r="F81" s="345"/>
      <c r="G81" s="346"/>
      <c r="H81" s="404"/>
      <c r="I81" s="347"/>
      <c r="J81" s="348"/>
      <c r="K81" s="349"/>
      <c r="L81" s="296"/>
      <c r="M81" s="347"/>
      <c r="N81" s="350"/>
      <c r="O81" s="348"/>
      <c r="P81" s="348"/>
      <c r="Q81" s="404"/>
      <c r="R81" s="347"/>
      <c r="S81" s="351"/>
      <c r="T81" s="765"/>
      <c r="U81" s="766"/>
      <c r="V81" s="766"/>
      <c r="W81" s="767"/>
      <c r="X81" s="768"/>
      <c r="Y81" s="405"/>
      <c r="Z81" s="768"/>
      <c r="AA81" s="353"/>
      <c r="AB81" s="353"/>
      <c r="AC81" s="353"/>
      <c r="AD81" s="393"/>
      <c r="AE81" s="353"/>
      <c r="AF81" s="353"/>
      <c r="AG81" s="353"/>
      <c r="AH81" s="393"/>
      <c r="AI81" s="394"/>
    </row>
    <row r="82">
      <c r="A82" s="344"/>
      <c r="B82" s="344"/>
      <c r="C82" s="344"/>
      <c r="D82" s="344"/>
      <c r="E82" s="377"/>
      <c r="F82" s="345"/>
      <c r="G82" s="378"/>
      <c r="H82" s="404"/>
      <c r="I82" s="347"/>
      <c r="J82" s="348"/>
      <c r="K82" s="349"/>
      <c r="L82" s="296"/>
      <c r="M82" s="347"/>
      <c r="N82" s="350"/>
      <c r="O82" s="348"/>
      <c r="P82" s="348"/>
      <c r="Q82" s="404"/>
      <c r="R82" s="347"/>
      <c r="S82" s="351"/>
      <c r="T82" s="765"/>
      <c r="U82" s="766"/>
      <c r="V82" s="766"/>
      <c r="W82" s="767"/>
      <c r="X82" s="768"/>
      <c r="Y82" s="405"/>
      <c r="Z82" s="768"/>
      <c r="AA82" s="353"/>
      <c r="AB82" s="353"/>
      <c r="AC82" s="353"/>
      <c r="AD82" s="393"/>
      <c r="AE82" s="353"/>
      <c r="AF82" s="353"/>
      <c r="AG82" s="353"/>
      <c r="AH82" s="393"/>
      <c r="AI82" s="394"/>
    </row>
    <row r="83">
      <c r="A83" s="344"/>
      <c r="B83" s="344"/>
      <c r="C83" s="344"/>
      <c r="D83" s="344"/>
      <c r="E83" s="377"/>
      <c r="F83" s="345"/>
      <c r="G83" s="378"/>
      <c r="H83" s="404"/>
      <c r="I83" s="347"/>
      <c r="J83" s="348"/>
      <c r="K83" s="349"/>
      <c r="L83" s="296"/>
      <c r="M83" s="347"/>
      <c r="N83" s="350"/>
      <c r="O83" s="348"/>
      <c r="P83" s="348"/>
      <c r="Q83" s="404"/>
      <c r="R83" s="347"/>
      <c r="S83" s="351"/>
      <c r="T83" s="765"/>
      <c r="U83" s="766"/>
      <c r="V83" s="766"/>
      <c r="W83" s="767"/>
      <c r="X83" s="768"/>
      <c r="Y83" s="405"/>
      <c r="Z83" s="768"/>
      <c r="AA83" s="353"/>
      <c r="AB83" s="353"/>
      <c r="AC83" s="353"/>
      <c r="AD83" s="393"/>
      <c r="AE83" s="353"/>
      <c r="AF83" s="353"/>
      <c r="AG83" s="353"/>
      <c r="AH83" s="393"/>
      <c r="AI83" s="394"/>
    </row>
    <row r="84">
      <c r="A84" s="344"/>
      <c r="B84" s="344"/>
      <c r="C84" s="344"/>
      <c r="D84" s="344"/>
      <c r="E84" s="377"/>
      <c r="F84" s="345"/>
      <c r="G84" s="378"/>
      <c r="H84" s="404"/>
      <c r="I84" s="347"/>
      <c r="J84" s="348"/>
      <c r="K84" s="349"/>
      <c r="L84" s="296"/>
      <c r="M84" s="347"/>
      <c r="N84" s="350"/>
      <c r="O84" s="348"/>
      <c r="P84" s="348"/>
      <c r="Q84" s="404"/>
      <c r="R84" s="347"/>
      <c r="S84" s="351"/>
      <c r="T84" s="765"/>
      <c r="U84" s="766"/>
      <c r="V84" s="766"/>
      <c r="W84" s="767"/>
      <c r="X84" s="768"/>
      <c r="Y84" s="405"/>
      <c r="Z84" s="768"/>
      <c r="AA84" s="353"/>
      <c r="AB84" s="353"/>
      <c r="AC84" s="353"/>
      <c r="AD84" s="393"/>
      <c r="AE84" s="353"/>
      <c r="AF84" s="353"/>
      <c r="AG84" s="353"/>
      <c r="AH84" s="393"/>
      <c r="AI84" s="394"/>
    </row>
    <row r="85">
      <c r="A85" s="344"/>
      <c r="B85" s="344"/>
      <c r="C85" s="344"/>
      <c r="D85" s="344"/>
      <c r="E85" s="377"/>
      <c r="F85" s="345"/>
      <c r="G85" s="378"/>
      <c r="H85" s="404"/>
      <c r="I85" s="347"/>
      <c r="J85" s="348"/>
      <c r="K85" s="349"/>
      <c r="L85" s="296"/>
      <c r="M85" s="347"/>
      <c r="N85" s="350"/>
      <c r="O85" s="348"/>
      <c r="P85" s="348"/>
      <c r="Q85" s="404"/>
      <c r="R85" s="347"/>
      <c r="S85" s="351"/>
      <c r="T85" s="765"/>
      <c r="U85" s="766"/>
      <c r="V85" s="766"/>
      <c r="W85" s="767"/>
      <c r="X85" s="768"/>
      <c r="Y85" s="405"/>
      <c r="Z85" s="768"/>
      <c r="AA85" s="353"/>
      <c r="AB85" s="353"/>
      <c r="AC85" s="353"/>
      <c r="AD85" s="393"/>
      <c r="AE85" s="353"/>
      <c r="AF85" s="353"/>
      <c r="AG85" s="353"/>
      <c r="AH85" s="393"/>
      <c r="AI85" s="394"/>
    </row>
    <row r="86">
      <c r="A86" s="344"/>
      <c r="B86" s="344"/>
      <c r="C86" s="344"/>
      <c r="D86" s="344"/>
      <c r="E86" s="345"/>
      <c r="F86" s="345"/>
      <c r="G86" s="346"/>
      <c r="H86" s="404"/>
      <c r="I86" s="347"/>
      <c r="J86" s="348"/>
      <c r="K86" s="349"/>
      <c r="L86" s="296"/>
      <c r="M86" s="347"/>
      <c r="N86" s="350"/>
      <c r="O86" s="348"/>
      <c r="P86" s="348"/>
      <c r="Q86" s="404"/>
      <c r="R86" s="347"/>
      <c r="S86" s="351"/>
      <c r="T86" s="765"/>
      <c r="U86" s="766"/>
      <c r="V86" s="766"/>
      <c r="W86" s="767"/>
      <c r="X86" s="768"/>
      <c r="Y86" s="405"/>
      <c r="Z86" s="768"/>
      <c r="AA86" s="353"/>
      <c r="AB86" s="353"/>
      <c r="AC86" s="353"/>
      <c r="AD86" s="393"/>
      <c r="AE86" s="353"/>
      <c r="AF86" s="353"/>
      <c r="AG86" s="353"/>
      <c r="AH86" s="393"/>
      <c r="AI86" s="394"/>
    </row>
    <row r="87">
      <c r="A87" s="344"/>
      <c r="B87" s="344"/>
      <c r="C87" s="344"/>
      <c r="D87" s="344"/>
      <c r="E87" s="345"/>
      <c r="F87" s="345"/>
      <c r="G87" s="378"/>
      <c r="H87" s="404"/>
      <c r="I87" s="347"/>
      <c r="J87" s="348"/>
      <c r="K87" s="349"/>
      <c r="L87" s="296"/>
      <c r="M87" s="347"/>
      <c r="N87" s="350"/>
      <c r="O87" s="348"/>
      <c r="P87" s="348"/>
      <c r="Q87" s="404"/>
      <c r="R87" s="347"/>
      <c r="S87" s="351"/>
      <c r="T87" s="765"/>
      <c r="U87" s="766"/>
      <c r="V87" s="766"/>
      <c r="W87" s="767"/>
      <c r="X87" s="768"/>
      <c r="Y87" s="405"/>
      <c r="Z87" s="768"/>
      <c r="AA87" s="353"/>
      <c r="AB87" s="353"/>
      <c r="AC87" s="353"/>
      <c r="AD87" s="393"/>
      <c r="AE87" s="353"/>
      <c r="AF87" s="353"/>
      <c r="AG87" s="353"/>
      <c r="AH87" s="393"/>
      <c r="AI87" s="394"/>
    </row>
    <row r="88">
      <c r="A88" s="344"/>
      <c r="B88" s="344"/>
      <c r="C88" s="344"/>
      <c r="D88" s="344"/>
      <c r="E88" s="345"/>
      <c r="F88" s="345"/>
      <c r="G88" s="378"/>
      <c r="H88" s="404"/>
      <c r="I88" s="347"/>
      <c r="J88" s="348"/>
      <c r="K88" s="349"/>
      <c r="L88" s="296"/>
      <c r="M88" s="347"/>
      <c r="N88" s="350"/>
      <c r="O88" s="348"/>
      <c r="P88" s="348"/>
      <c r="Q88" s="404"/>
      <c r="R88" s="347"/>
      <c r="S88" s="351"/>
      <c r="T88" s="765"/>
      <c r="U88" s="766"/>
      <c r="V88" s="766"/>
      <c r="W88" s="767"/>
      <c r="X88" s="768"/>
      <c r="Y88" s="405"/>
      <c r="Z88" s="768"/>
      <c r="AA88" s="353"/>
      <c r="AB88" s="353"/>
      <c r="AC88" s="353"/>
      <c r="AD88" s="393"/>
      <c r="AE88" s="353"/>
      <c r="AF88" s="353"/>
      <c r="AG88" s="353"/>
      <c r="AH88" s="393"/>
      <c r="AI88" s="394"/>
    </row>
    <row r="89">
      <c r="A89" s="344"/>
      <c r="B89" s="344"/>
      <c r="C89" s="344"/>
      <c r="D89" s="344"/>
      <c r="E89" s="380"/>
      <c r="F89" s="345"/>
      <c r="G89" s="378"/>
      <c r="H89" s="404"/>
      <c r="I89" s="347"/>
      <c r="J89" s="348"/>
      <c r="K89" s="349"/>
      <c r="L89" s="296"/>
      <c r="M89" s="347"/>
      <c r="N89" s="350"/>
      <c r="O89" s="348"/>
      <c r="P89" s="348"/>
      <c r="Q89" s="404"/>
      <c r="R89" s="347"/>
      <c r="S89" s="351"/>
      <c r="T89" s="765"/>
      <c r="U89" s="766"/>
      <c r="V89" s="766"/>
      <c r="W89" s="767"/>
      <c r="X89" s="768"/>
      <c r="Y89" s="405"/>
      <c r="Z89" s="768"/>
      <c r="AA89" s="353"/>
      <c r="AB89" s="353"/>
      <c r="AC89" s="353"/>
      <c r="AD89" s="393"/>
      <c r="AE89" s="353"/>
      <c r="AF89" s="353"/>
      <c r="AG89" s="353"/>
      <c r="AH89" s="393"/>
      <c r="AI89" s="394"/>
    </row>
    <row r="90">
      <c r="A90" s="344"/>
      <c r="B90" s="344"/>
      <c r="C90" s="344"/>
      <c r="D90" s="344"/>
      <c r="E90" s="380"/>
      <c r="F90" s="345"/>
      <c r="G90" s="378"/>
      <c r="H90" s="404"/>
      <c r="I90" s="347"/>
      <c r="J90" s="348"/>
      <c r="K90" s="349"/>
      <c r="L90" s="296"/>
      <c r="M90" s="347"/>
      <c r="N90" s="350"/>
      <c r="O90" s="348"/>
      <c r="P90" s="348"/>
      <c r="Q90" s="404"/>
      <c r="R90" s="347"/>
      <c r="S90" s="351"/>
      <c r="T90" s="765"/>
      <c r="U90" s="766"/>
      <c r="V90" s="766"/>
      <c r="W90" s="767"/>
      <c r="X90" s="768"/>
      <c r="Y90" s="405"/>
      <c r="Z90" s="768"/>
      <c r="AA90" s="353"/>
      <c r="AB90" s="353"/>
      <c r="AC90" s="353"/>
      <c r="AD90" s="393"/>
      <c r="AE90" s="353"/>
      <c r="AF90" s="353"/>
      <c r="AG90" s="353"/>
      <c r="AH90" s="393"/>
      <c r="AI90" s="394"/>
    </row>
    <row r="91">
      <c r="A91" s="344"/>
      <c r="B91" s="344"/>
      <c r="C91" s="344"/>
      <c r="D91" s="344"/>
      <c r="E91" s="380"/>
      <c r="F91" s="345"/>
      <c r="G91" s="346"/>
      <c r="H91" s="404"/>
      <c r="I91" s="347"/>
      <c r="J91" s="348"/>
      <c r="K91" s="349"/>
      <c r="L91" s="296"/>
      <c r="M91" s="347"/>
      <c r="N91" s="350"/>
      <c r="O91" s="348"/>
      <c r="P91" s="348"/>
      <c r="Q91" s="404"/>
      <c r="R91" s="347"/>
      <c r="S91" s="351"/>
      <c r="T91" s="765"/>
      <c r="U91" s="766"/>
      <c r="V91" s="766"/>
      <c r="W91" s="767"/>
      <c r="X91" s="768"/>
      <c r="Y91" s="405"/>
      <c r="Z91" s="768"/>
      <c r="AA91" s="353"/>
      <c r="AB91" s="353"/>
      <c r="AC91" s="353"/>
      <c r="AD91" s="393"/>
      <c r="AE91" s="353"/>
      <c r="AF91" s="353"/>
      <c r="AG91" s="353"/>
      <c r="AH91" s="393"/>
      <c r="AI91" s="394"/>
    </row>
    <row r="92">
      <c r="A92" s="344"/>
      <c r="B92" s="344"/>
      <c r="C92" s="344"/>
      <c r="D92" s="344"/>
      <c r="E92" s="380"/>
      <c r="F92" s="345"/>
      <c r="G92" s="346"/>
      <c r="H92" s="404"/>
      <c r="I92" s="347"/>
      <c r="J92" s="348"/>
      <c r="K92" s="349"/>
      <c r="L92" s="296"/>
      <c r="M92" s="347"/>
      <c r="N92" s="350"/>
      <c r="O92" s="348"/>
      <c r="P92" s="348"/>
      <c r="Q92" s="404"/>
      <c r="R92" s="347"/>
      <c r="S92" s="351"/>
      <c r="T92" s="765"/>
      <c r="U92" s="766"/>
      <c r="V92" s="766"/>
      <c r="W92" s="767"/>
      <c r="X92" s="768"/>
      <c r="Y92" s="405"/>
      <c r="Z92" s="768"/>
      <c r="AA92" s="353"/>
      <c r="AB92" s="353"/>
      <c r="AC92" s="353"/>
      <c r="AD92" s="393"/>
      <c r="AE92" s="353"/>
      <c r="AF92" s="353"/>
      <c r="AG92" s="353"/>
      <c r="AH92" s="393"/>
      <c r="AI92" s="394"/>
    </row>
    <row r="93">
      <c r="A93" s="344"/>
      <c r="B93" s="344"/>
      <c r="C93" s="344"/>
      <c r="D93" s="344"/>
      <c r="E93" s="380"/>
      <c r="F93" s="345"/>
      <c r="G93" s="346"/>
      <c r="H93" s="404"/>
      <c r="I93" s="347"/>
      <c r="J93" s="348"/>
      <c r="K93" s="349"/>
      <c r="L93" s="296"/>
      <c r="M93" s="347"/>
      <c r="N93" s="350"/>
      <c r="O93" s="348"/>
      <c r="P93" s="348"/>
      <c r="Q93" s="404"/>
      <c r="R93" s="347"/>
      <c r="S93" s="351"/>
      <c r="T93" s="765"/>
      <c r="U93" s="766"/>
      <c r="V93" s="766"/>
      <c r="W93" s="767"/>
      <c r="X93" s="768"/>
      <c r="Y93" s="405"/>
      <c r="Z93" s="768"/>
      <c r="AA93" s="353"/>
      <c r="AB93" s="353"/>
      <c r="AC93" s="353"/>
      <c r="AD93" s="393"/>
      <c r="AE93" s="353"/>
      <c r="AF93" s="353"/>
      <c r="AG93" s="353"/>
      <c r="AH93" s="393"/>
      <c r="AI93" s="394"/>
    </row>
    <row r="94">
      <c r="A94" s="344"/>
      <c r="B94" s="344"/>
      <c r="C94" s="344"/>
      <c r="D94" s="344"/>
      <c r="E94" s="383"/>
      <c r="F94" s="345"/>
      <c r="G94" s="378"/>
      <c r="H94" s="404"/>
      <c r="I94" s="347"/>
      <c r="J94" s="348"/>
      <c r="K94" s="349"/>
      <c r="L94" s="296"/>
      <c r="M94" s="347"/>
      <c r="N94" s="350"/>
      <c r="O94" s="348"/>
      <c r="P94" s="348"/>
      <c r="Q94" s="404"/>
      <c r="R94" s="347"/>
      <c r="S94" s="351"/>
      <c r="T94" s="765"/>
      <c r="U94" s="766"/>
      <c r="V94" s="766"/>
      <c r="W94" s="767"/>
      <c r="X94" s="768"/>
      <c r="Y94" s="405"/>
      <c r="Z94" s="768"/>
      <c r="AA94" s="353"/>
      <c r="AB94" s="353"/>
      <c r="AC94" s="353"/>
      <c r="AD94" s="393"/>
      <c r="AE94" s="353"/>
      <c r="AF94" s="353"/>
      <c r="AG94" s="353"/>
      <c r="AH94" s="393"/>
      <c r="AI94" s="394"/>
    </row>
    <row r="95">
      <c r="A95" s="344"/>
      <c r="B95" s="344"/>
      <c r="C95" s="344"/>
      <c r="D95" s="344"/>
      <c r="E95" s="383"/>
      <c r="F95" s="345"/>
      <c r="G95" s="378"/>
      <c r="H95" s="404"/>
      <c r="I95" s="347"/>
      <c r="J95" s="348"/>
      <c r="K95" s="349"/>
      <c r="L95" s="296"/>
      <c r="M95" s="347"/>
      <c r="N95" s="350"/>
      <c r="O95" s="348"/>
      <c r="P95" s="348"/>
      <c r="Q95" s="404"/>
      <c r="R95" s="347"/>
      <c r="S95" s="351"/>
      <c r="T95" s="765"/>
      <c r="U95" s="766"/>
      <c r="V95" s="766"/>
      <c r="W95" s="767"/>
      <c r="X95" s="768"/>
      <c r="Y95" s="405"/>
      <c r="Z95" s="768"/>
      <c r="AA95" s="353"/>
      <c r="AB95" s="353"/>
      <c r="AC95" s="353"/>
      <c r="AD95" s="393"/>
      <c r="AE95" s="353"/>
      <c r="AF95" s="353"/>
      <c r="AG95" s="353"/>
      <c r="AH95" s="393"/>
      <c r="AI95" s="394"/>
    </row>
    <row r="96">
      <c r="A96" s="344"/>
      <c r="B96" s="344"/>
      <c r="C96" s="344"/>
      <c r="D96" s="344"/>
      <c r="E96" s="383"/>
      <c r="F96" s="345"/>
      <c r="G96" s="378"/>
      <c r="H96" s="404"/>
      <c r="I96" s="347"/>
      <c r="J96" s="348"/>
      <c r="K96" s="349"/>
      <c r="L96" s="296"/>
      <c r="M96" s="347"/>
      <c r="N96" s="350"/>
      <c r="O96" s="348"/>
      <c r="P96" s="348"/>
      <c r="Q96" s="404"/>
      <c r="R96" s="347"/>
      <c r="S96" s="351"/>
      <c r="T96" s="765"/>
      <c r="U96" s="766"/>
      <c r="V96" s="766"/>
      <c r="W96" s="767"/>
      <c r="X96" s="768"/>
      <c r="Y96" s="405"/>
      <c r="Z96" s="768"/>
      <c r="AA96" s="353"/>
      <c r="AB96" s="353"/>
      <c r="AC96" s="353"/>
      <c r="AD96" s="393"/>
      <c r="AE96" s="353"/>
      <c r="AF96" s="353"/>
      <c r="AG96" s="353"/>
      <c r="AH96" s="393"/>
      <c r="AI96" s="394"/>
    </row>
    <row r="97">
      <c r="A97" s="344"/>
      <c r="B97" s="344"/>
      <c r="C97" s="344"/>
      <c r="D97" s="344"/>
      <c r="E97" s="383"/>
      <c r="F97" s="345"/>
      <c r="G97" s="378"/>
      <c r="H97" s="404"/>
      <c r="I97" s="347"/>
      <c r="J97" s="348"/>
      <c r="K97" s="349"/>
      <c r="L97" s="296"/>
      <c r="M97" s="347"/>
      <c r="N97" s="350"/>
      <c r="O97" s="348"/>
      <c r="P97" s="348"/>
      <c r="Q97" s="404"/>
      <c r="R97" s="347"/>
      <c r="S97" s="351"/>
      <c r="T97" s="765"/>
      <c r="U97" s="766"/>
      <c r="V97" s="766"/>
      <c r="W97" s="767"/>
      <c r="X97" s="768"/>
      <c r="Y97" s="405"/>
      <c r="Z97" s="768"/>
      <c r="AA97" s="353"/>
      <c r="AB97" s="353"/>
      <c r="AC97" s="353"/>
      <c r="AD97" s="393"/>
      <c r="AE97" s="353"/>
      <c r="AF97" s="353"/>
      <c r="AG97" s="353"/>
      <c r="AH97" s="393"/>
      <c r="AI97" s="394"/>
    </row>
    <row r="98">
      <c r="A98" s="344"/>
      <c r="B98" s="344"/>
      <c r="C98" s="344"/>
      <c r="D98" s="344"/>
      <c r="E98" s="380"/>
      <c r="F98" s="345"/>
      <c r="G98" s="378"/>
      <c r="H98" s="404"/>
      <c r="I98" s="347"/>
      <c r="J98" s="348"/>
      <c r="K98" s="349"/>
      <c r="L98" s="296"/>
      <c r="M98" s="347"/>
      <c r="N98" s="350"/>
      <c r="O98" s="348"/>
      <c r="P98" s="348"/>
      <c r="Q98" s="404"/>
      <c r="R98" s="347"/>
      <c r="S98" s="351"/>
      <c r="T98" s="765"/>
      <c r="U98" s="766"/>
      <c r="V98" s="766"/>
      <c r="W98" s="767"/>
      <c r="X98" s="768"/>
      <c r="Y98" s="405"/>
      <c r="Z98" s="768"/>
      <c r="AA98" s="353"/>
      <c r="AB98" s="353"/>
      <c r="AC98" s="353"/>
      <c r="AD98" s="393"/>
      <c r="AE98" s="353"/>
      <c r="AF98" s="353"/>
      <c r="AG98" s="353"/>
      <c r="AH98" s="393"/>
      <c r="AI98" s="394"/>
    </row>
    <row r="99">
      <c r="A99" s="344"/>
      <c r="B99" s="344"/>
      <c r="C99" s="344"/>
      <c r="D99" s="344"/>
      <c r="E99" s="380"/>
      <c r="F99" s="345"/>
      <c r="G99" s="378"/>
      <c r="H99" s="404"/>
      <c r="I99" s="347"/>
      <c r="J99" s="348"/>
      <c r="K99" s="349"/>
      <c r="L99" s="296"/>
      <c r="M99" s="347"/>
      <c r="N99" s="350"/>
      <c r="O99" s="348"/>
      <c r="P99" s="348"/>
      <c r="Q99" s="404"/>
      <c r="R99" s="347"/>
      <c r="S99" s="351"/>
      <c r="T99" s="765"/>
      <c r="U99" s="766"/>
      <c r="V99" s="766"/>
      <c r="W99" s="767"/>
      <c r="X99" s="768"/>
      <c r="Y99" s="405"/>
      <c r="Z99" s="768"/>
      <c r="AA99" s="353"/>
      <c r="AB99" s="353"/>
      <c r="AC99" s="353"/>
      <c r="AD99" s="393"/>
      <c r="AE99" s="353"/>
      <c r="AF99" s="353"/>
      <c r="AG99" s="353"/>
      <c r="AH99" s="393"/>
      <c r="AI99" s="394"/>
    </row>
    <row r="100">
      <c r="A100" s="344"/>
      <c r="B100" s="344"/>
      <c r="C100" s="344"/>
      <c r="D100" s="344"/>
      <c r="E100" s="383"/>
      <c r="F100" s="345"/>
      <c r="G100" s="346"/>
      <c r="H100" s="404"/>
      <c r="I100" s="347"/>
      <c r="J100" s="348"/>
      <c r="K100" s="349"/>
      <c r="L100" s="296"/>
      <c r="M100" s="347"/>
      <c r="N100" s="350"/>
      <c r="O100" s="348"/>
      <c r="P100" s="348"/>
      <c r="Q100" s="404"/>
      <c r="R100" s="347"/>
      <c r="S100" s="351"/>
      <c r="T100" s="765"/>
      <c r="U100" s="766"/>
      <c r="V100" s="766"/>
      <c r="W100" s="767"/>
      <c r="X100" s="768"/>
      <c r="Y100" s="405"/>
      <c r="Z100" s="768"/>
      <c r="AA100" s="353"/>
      <c r="AB100" s="353"/>
      <c r="AC100" s="353"/>
      <c r="AD100" s="393"/>
      <c r="AE100" s="353"/>
      <c r="AF100" s="353"/>
      <c r="AG100" s="353"/>
      <c r="AH100" s="393"/>
      <c r="AI100" s="394"/>
    </row>
    <row r="101">
      <c r="A101" s="344"/>
      <c r="B101" s="344"/>
      <c r="C101" s="344"/>
      <c r="D101" s="344"/>
      <c r="E101" s="383"/>
      <c r="F101" s="345"/>
      <c r="G101" s="378"/>
      <c r="H101" s="404"/>
      <c r="I101" s="347"/>
      <c r="J101" s="348"/>
      <c r="K101" s="349"/>
      <c r="L101" s="296"/>
      <c r="M101" s="347"/>
      <c r="N101" s="350"/>
      <c r="O101" s="348"/>
      <c r="P101" s="348"/>
      <c r="Q101" s="404"/>
      <c r="R101" s="347"/>
      <c r="S101" s="351"/>
      <c r="T101" s="765"/>
      <c r="U101" s="766"/>
      <c r="V101" s="766"/>
      <c r="W101" s="767"/>
      <c r="X101" s="768"/>
      <c r="Y101" s="405"/>
      <c r="Z101" s="768"/>
      <c r="AA101" s="353"/>
      <c r="AB101" s="353"/>
      <c r="AC101" s="353"/>
      <c r="AD101" s="393"/>
      <c r="AE101" s="353"/>
      <c r="AF101" s="353"/>
      <c r="AG101" s="353"/>
      <c r="AH101" s="393"/>
      <c r="AI101" s="394"/>
    </row>
    <row r="102">
      <c r="A102" s="344"/>
      <c r="B102" s="344"/>
      <c r="C102" s="344"/>
      <c r="D102" s="344"/>
      <c r="E102" s="383"/>
      <c r="F102" s="345"/>
      <c r="G102" s="378"/>
      <c r="H102" s="404"/>
      <c r="I102" s="347"/>
      <c r="J102" s="348"/>
      <c r="K102" s="349"/>
      <c r="L102" s="296"/>
      <c r="M102" s="347"/>
      <c r="N102" s="350"/>
      <c r="O102" s="348"/>
      <c r="P102" s="348"/>
      <c r="Q102" s="404"/>
      <c r="R102" s="347"/>
      <c r="S102" s="351"/>
      <c r="T102" s="765"/>
      <c r="U102" s="766"/>
      <c r="V102" s="766"/>
      <c r="W102" s="767"/>
      <c r="X102" s="768"/>
      <c r="Y102" s="405"/>
      <c r="Z102" s="768"/>
      <c r="AA102" s="353"/>
      <c r="AB102" s="353"/>
      <c r="AC102" s="353"/>
      <c r="AD102" s="393"/>
      <c r="AE102" s="353"/>
      <c r="AF102" s="353"/>
      <c r="AG102" s="353"/>
      <c r="AH102" s="393"/>
      <c r="AI102" s="394"/>
    </row>
    <row r="103">
      <c r="A103" s="344"/>
      <c r="B103" s="344"/>
      <c r="C103" s="344"/>
      <c r="D103" s="344"/>
      <c r="E103" s="383"/>
      <c r="F103" s="345"/>
      <c r="G103" s="378"/>
      <c r="H103" s="404"/>
      <c r="I103" s="347"/>
      <c r="J103" s="348"/>
      <c r="K103" s="349"/>
      <c r="L103" s="296"/>
      <c r="M103" s="347"/>
      <c r="N103" s="350"/>
      <c r="O103" s="348"/>
      <c r="P103" s="348"/>
      <c r="Q103" s="404"/>
      <c r="R103" s="347"/>
      <c r="S103" s="351"/>
      <c r="T103" s="765"/>
      <c r="U103" s="766"/>
      <c r="V103" s="766"/>
      <c r="W103" s="767"/>
      <c r="X103" s="768"/>
      <c r="Y103" s="405"/>
      <c r="Z103" s="768"/>
      <c r="AA103" s="353"/>
      <c r="AB103" s="353"/>
      <c r="AC103" s="353"/>
      <c r="AD103" s="393"/>
      <c r="AE103" s="353"/>
      <c r="AF103" s="353"/>
      <c r="AG103" s="353"/>
      <c r="AH103" s="393"/>
      <c r="AI103" s="394"/>
    </row>
    <row r="104">
      <c r="A104" s="344"/>
      <c r="B104" s="344"/>
      <c r="C104" s="344"/>
      <c r="D104" s="344"/>
      <c r="E104" s="383"/>
      <c r="F104" s="345"/>
      <c r="G104" s="378"/>
      <c r="H104" s="404"/>
      <c r="I104" s="347"/>
      <c r="J104" s="348"/>
      <c r="K104" s="349"/>
      <c r="L104" s="296"/>
      <c r="M104" s="347"/>
      <c r="N104" s="350"/>
      <c r="O104" s="348"/>
      <c r="P104" s="348"/>
      <c r="Q104" s="404"/>
      <c r="R104" s="347"/>
      <c r="S104" s="351"/>
      <c r="T104" s="765"/>
      <c r="U104" s="766"/>
      <c r="V104" s="766"/>
      <c r="W104" s="767"/>
      <c r="X104" s="768"/>
      <c r="Y104" s="405"/>
      <c r="Z104" s="768"/>
      <c r="AA104" s="353"/>
      <c r="AB104" s="353"/>
      <c r="AC104" s="353"/>
      <c r="AD104" s="393"/>
      <c r="AE104" s="353"/>
      <c r="AF104" s="353"/>
      <c r="AG104" s="353"/>
      <c r="AH104" s="393"/>
      <c r="AI104" s="394"/>
    </row>
    <row r="105">
      <c r="A105" s="344"/>
      <c r="B105" s="344"/>
      <c r="C105" s="344"/>
      <c r="D105" s="344"/>
      <c r="E105" s="345"/>
      <c r="F105" s="345"/>
      <c r="G105" s="346"/>
      <c r="H105" s="404"/>
      <c r="I105" s="347"/>
      <c r="J105" s="348"/>
      <c r="K105" s="349"/>
      <c r="L105" s="296"/>
      <c r="M105" s="347"/>
      <c r="N105" s="350"/>
      <c r="O105" s="348"/>
      <c r="P105" s="348"/>
      <c r="Q105" s="404"/>
      <c r="R105" s="347"/>
      <c r="S105" s="351"/>
      <c r="T105" s="765"/>
      <c r="U105" s="766"/>
      <c r="V105" s="766"/>
      <c r="W105" s="767"/>
      <c r="X105" s="768"/>
      <c r="Y105" s="405"/>
      <c r="Z105" s="768"/>
      <c r="AA105" s="353"/>
      <c r="AB105" s="353"/>
      <c r="AC105" s="353"/>
      <c r="AD105" s="393"/>
      <c r="AE105" s="353"/>
      <c r="AF105" s="353"/>
      <c r="AG105" s="353"/>
      <c r="AH105" s="393"/>
      <c r="AI105" s="394"/>
    </row>
    <row r="106">
      <c r="A106" s="344"/>
      <c r="B106" s="344"/>
      <c r="C106" s="344"/>
      <c r="D106" s="344"/>
      <c r="E106" s="345"/>
      <c r="F106" s="345"/>
      <c r="G106" s="378"/>
      <c r="H106" s="404"/>
      <c r="I106" s="347"/>
      <c r="J106" s="348"/>
      <c r="K106" s="349"/>
      <c r="L106" s="296"/>
      <c r="M106" s="347"/>
      <c r="N106" s="350"/>
      <c r="O106" s="348"/>
      <c r="P106" s="348"/>
      <c r="Q106" s="404"/>
      <c r="R106" s="347"/>
      <c r="S106" s="351"/>
      <c r="T106" s="765"/>
      <c r="U106" s="766"/>
      <c r="V106" s="766"/>
      <c r="W106" s="767"/>
      <c r="X106" s="768"/>
      <c r="Y106" s="405"/>
      <c r="Z106" s="768"/>
      <c r="AA106" s="384"/>
      <c r="AB106" s="384"/>
      <c r="AC106" s="384"/>
      <c r="AD106" s="385"/>
      <c r="AE106" s="384"/>
      <c r="AF106" s="384"/>
      <c r="AG106" s="384"/>
      <c r="AH106" s="385"/>
      <c r="AI106" s="385"/>
    </row>
    <row r="107">
      <c r="A107" s="344"/>
      <c r="B107" s="344"/>
      <c r="C107" s="344"/>
      <c r="D107" s="344"/>
      <c r="E107" s="345"/>
      <c r="F107" s="345"/>
      <c r="G107" s="378"/>
      <c r="H107" s="404"/>
      <c r="I107" s="347"/>
      <c r="J107" s="348"/>
      <c r="K107" s="349"/>
      <c r="L107" s="296"/>
      <c r="M107" s="347"/>
      <c r="N107" s="350"/>
      <c r="O107" s="348"/>
      <c r="P107" s="348"/>
      <c r="Q107" s="404"/>
      <c r="R107" s="347"/>
      <c r="S107" s="351"/>
      <c r="T107" s="765"/>
      <c r="U107" s="766"/>
      <c r="V107" s="766"/>
      <c r="W107" s="767"/>
      <c r="X107" s="768"/>
      <c r="Y107" s="405"/>
      <c r="Z107" s="768"/>
      <c r="AA107" s="384"/>
      <c r="AB107" s="384"/>
      <c r="AC107" s="384"/>
      <c r="AD107" s="385"/>
      <c r="AE107" s="384"/>
      <c r="AF107" s="384"/>
      <c r="AG107" s="384"/>
      <c r="AH107" s="385"/>
      <c r="AI107" s="385"/>
    </row>
    <row r="108">
      <c r="A108" s="344"/>
      <c r="B108" s="344"/>
      <c r="C108" s="344"/>
      <c r="D108" s="344"/>
      <c r="E108" s="345"/>
      <c r="F108" s="345"/>
      <c r="G108" s="378"/>
      <c r="H108" s="404"/>
      <c r="I108" s="347"/>
      <c r="J108" s="348"/>
      <c r="K108" s="349"/>
      <c r="L108" s="296"/>
      <c r="M108" s="347"/>
      <c r="N108" s="350"/>
      <c r="O108" s="348"/>
      <c r="P108" s="348"/>
      <c r="Q108" s="404"/>
      <c r="R108" s="347"/>
      <c r="S108" s="351"/>
      <c r="T108" s="765"/>
      <c r="U108" s="766"/>
      <c r="V108" s="766"/>
      <c r="W108" s="767"/>
      <c r="X108" s="768"/>
      <c r="Y108" s="405"/>
      <c r="Z108" s="768"/>
      <c r="AA108" s="384"/>
      <c r="AB108" s="384"/>
      <c r="AC108" s="384"/>
      <c r="AD108" s="385"/>
      <c r="AE108" s="384"/>
      <c r="AF108" s="384"/>
      <c r="AG108" s="384"/>
      <c r="AH108" s="385"/>
      <c r="AI108" s="385"/>
    </row>
    <row r="109">
      <c r="A109" s="344"/>
      <c r="B109" s="344"/>
      <c r="C109" s="344"/>
      <c r="D109" s="344"/>
      <c r="E109" s="345"/>
      <c r="F109" s="345"/>
      <c r="G109" s="378"/>
      <c r="H109" s="404"/>
      <c r="I109" s="347"/>
      <c r="J109" s="348"/>
      <c r="K109" s="349"/>
      <c r="L109" s="296"/>
      <c r="M109" s="347"/>
      <c r="N109" s="350"/>
      <c r="O109" s="348"/>
      <c r="P109" s="348"/>
      <c r="Q109" s="404"/>
      <c r="R109" s="347"/>
      <c r="S109" s="351"/>
      <c r="T109" s="765"/>
      <c r="U109" s="766"/>
      <c r="V109" s="766"/>
      <c r="W109" s="767"/>
      <c r="X109" s="768"/>
      <c r="Y109" s="405"/>
      <c r="Z109" s="768"/>
      <c r="AA109" s="384"/>
      <c r="AB109" s="384"/>
      <c r="AC109" s="384"/>
      <c r="AD109" s="385"/>
      <c r="AE109" s="384"/>
      <c r="AF109" s="384"/>
      <c r="AG109" s="384"/>
      <c r="AH109" s="385"/>
      <c r="AI109" s="385"/>
    </row>
    <row r="110">
      <c r="A110" s="344"/>
      <c r="B110" s="344"/>
      <c r="C110" s="344"/>
      <c r="D110" s="344"/>
      <c r="E110" s="387"/>
      <c r="F110" s="387"/>
      <c r="G110" s="346"/>
      <c r="H110" s="404"/>
      <c r="I110" s="347"/>
      <c r="J110" s="348"/>
      <c r="K110" s="349"/>
      <c r="L110" s="296"/>
      <c r="M110" s="347"/>
      <c r="N110" s="350"/>
      <c r="O110" s="348"/>
      <c r="P110" s="348"/>
      <c r="Q110" s="404"/>
      <c r="R110" s="347"/>
      <c r="S110" s="351"/>
      <c r="T110" s="765"/>
      <c r="U110" s="766"/>
      <c r="V110" s="766"/>
      <c r="W110" s="767"/>
      <c r="X110" s="768"/>
      <c r="Y110" s="769"/>
      <c r="Z110" s="768"/>
      <c r="AA110" s="353"/>
      <c r="AB110" s="353"/>
      <c r="AC110" s="353"/>
      <c r="AD110" s="393"/>
      <c r="AE110" s="353"/>
      <c r="AF110" s="353"/>
      <c r="AG110" s="353"/>
      <c r="AH110" s="393"/>
      <c r="AI110" s="394"/>
    </row>
    <row r="111">
      <c r="A111" s="344"/>
      <c r="B111" s="344"/>
      <c r="C111" s="344"/>
      <c r="D111" s="344"/>
      <c r="E111" s="345"/>
      <c r="F111" s="345"/>
      <c r="G111" s="346"/>
      <c r="H111" s="404"/>
      <c r="I111" s="347"/>
      <c r="J111" s="348"/>
      <c r="K111" s="349"/>
      <c r="L111" s="296"/>
      <c r="M111" s="347"/>
      <c r="N111" s="350"/>
      <c r="O111" s="348"/>
      <c r="P111" s="348"/>
      <c r="Q111" s="404"/>
      <c r="R111" s="347"/>
      <c r="S111" s="351"/>
      <c r="T111" s="765"/>
      <c r="U111" s="766"/>
      <c r="V111" s="766"/>
      <c r="W111" s="767"/>
      <c r="X111" s="768"/>
      <c r="Y111" s="405"/>
      <c r="Z111" s="768"/>
      <c r="AA111" s="353"/>
      <c r="AB111" s="353"/>
      <c r="AC111" s="353"/>
      <c r="AD111" s="393"/>
      <c r="AE111" s="353"/>
      <c r="AF111" s="353"/>
      <c r="AG111" s="353"/>
      <c r="AH111" s="393"/>
      <c r="AI111" s="394"/>
    </row>
    <row r="112">
      <c r="A112" s="344"/>
      <c r="B112" s="344"/>
      <c r="C112" s="344"/>
      <c r="D112" s="344"/>
      <c r="E112" s="345"/>
      <c r="F112" s="345"/>
      <c r="G112" s="346"/>
      <c r="H112" s="404"/>
      <c r="I112" s="347"/>
      <c r="J112" s="348"/>
      <c r="K112" s="349"/>
      <c r="L112" s="296"/>
      <c r="M112" s="347"/>
      <c r="N112" s="350"/>
      <c r="O112" s="348"/>
      <c r="P112" s="348"/>
      <c r="Q112" s="404"/>
      <c r="R112" s="347"/>
      <c r="S112" s="351"/>
      <c r="T112" s="765"/>
      <c r="U112" s="766"/>
      <c r="V112" s="766"/>
      <c r="W112" s="767"/>
      <c r="X112" s="768"/>
      <c r="Y112" s="405"/>
      <c r="Z112" s="768"/>
      <c r="AA112" s="353"/>
      <c r="AB112" s="353"/>
      <c r="AC112" s="353"/>
      <c r="AD112" s="393"/>
      <c r="AE112" s="353"/>
      <c r="AF112" s="353"/>
      <c r="AG112" s="353"/>
      <c r="AH112" s="393"/>
      <c r="AI112" s="394"/>
    </row>
    <row r="113">
      <c r="A113" s="344"/>
      <c r="B113" s="344"/>
      <c r="C113" s="344"/>
      <c r="D113" s="344"/>
      <c r="E113" s="387"/>
      <c r="F113" s="387"/>
      <c r="G113" s="346"/>
      <c r="H113" s="404"/>
      <c r="I113" s="347"/>
      <c r="J113" s="348"/>
      <c r="K113" s="349"/>
      <c r="L113" s="296"/>
      <c r="M113" s="347"/>
      <c r="N113" s="350"/>
      <c r="O113" s="348"/>
      <c r="P113" s="348"/>
      <c r="Q113" s="404"/>
      <c r="R113" s="347"/>
      <c r="S113" s="351"/>
      <c r="T113" s="765"/>
      <c r="U113" s="766"/>
      <c r="V113" s="766"/>
      <c r="W113" s="767"/>
      <c r="X113" s="768"/>
      <c r="Y113" s="769"/>
      <c r="Z113" s="768"/>
      <c r="AA113" s="353"/>
      <c r="AB113" s="353"/>
      <c r="AC113" s="353"/>
      <c r="AD113" s="393"/>
      <c r="AE113" s="353"/>
      <c r="AF113" s="353"/>
      <c r="AG113" s="353"/>
      <c r="AH113" s="393"/>
      <c r="AI113" s="394"/>
    </row>
    <row r="114">
      <c r="A114" s="344"/>
      <c r="B114" s="344"/>
      <c r="C114" s="344"/>
      <c r="D114" s="389"/>
      <c r="E114" s="387"/>
      <c r="F114" s="387"/>
      <c r="G114" s="346"/>
      <c r="H114" s="404"/>
      <c r="I114" s="347"/>
      <c r="J114" s="348"/>
      <c r="K114" s="349"/>
      <c r="L114" s="296"/>
      <c r="M114" s="347"/>
      <c r="N114" s="350"/>
      <c r="O114" s="348"/>
      <c r="P114" s="348"/>
      <c r="Q114" s="404"/>
      <c r="R114" s="347"/>
      <c r="S114" s="351"/>
      <c r="T114" s="765"/>
      <c r="U114" s="766"/>
      <c r="V114" s="766"/>
      <c r="W114" s="767"/>
      <c r="X114" s="768"/>
      <c r="Y114" s="769"/>
      <c r="Z114" s="768"/>
      <c r="AA114" s="353"/>
      <c r="AB114" s="353"/>
      <c r="AC114" s="353"/>
      <c r="AD114" s="393"/>
      <c r="AE114" s="353"/>
      <c r="AF114" s="353"/>
      <c r="AG114" s="353"/>
      <c r="AH114" s="393"/>
      <c r="AI114" s="394"/>
    </row>
    <row r="115">
      <c r="A115" s="344"/>
      <c r="B115" s="344"/>
      <c r="C115" s="344"/>
      <c r="D115" s="389"/>
      <c r="E115" s="387"/>
      <c r="F115" s="387"/>
      <c r="G115" s="346"/>
      <c r="H115" s="404"/>
      <c r="I115" s="347"/>
      <c r="J115" s="348"/>
      <c r="K115" s="349"/>
      <c r="L115" s="296"/>
      <c r="M115" s="347"/>
      <c r="N115" s="350"/>
      <c r="O115" s="348"/>
      <c r="P115" s="348"/>
      <c r="Q115" s="404"/>
      <c r="R115" s="347"/>
      <c r="S115" s="351"/>
      <c r="T115" s="765"/>
      <c r="U115" s="766"/>
      <c r="V115" s="766"/>
      <c r="W115" s="767"/>
      <c r="X115" s="768"/>
      <c r="Y115" s="769"/>
      <c r="Z115" s="768"/>
      <c r="AA115" s="353"/>
      <c r="AB115" s="353"/>
      <c r="AC115" s="353"/>
      <c r="AD115" s="393"/>
      <c r="AE115" s="353"/>
      <c r="AF115" s="353"/>
      <c r="AG115" s="353"/>
      <c r="AH115" s="393"/>
      <c r="AI115" s="394"/>
    </row>
    <row r="116">
      <c r="A116" s="344"/>
      <c r="B116" s="344"/>
      <c r="C116" s="344"/>
      <c r="D116" s="389"/>
      <c r="E116" s="387"/>
      <c r="F116" s="387"/>
      <c r="G116" s="346"/>
      <c r="H116" s="404"/>
      <c r="I116" s="347"/>
      <c r="J116" s="348"/>
      <c r="K116" s="349"/>
      <c r="L116" s="296"/>
      <c r="M116" s="347"/>
      <c r="N116" s="350"/>
      <c r="O116" s="348"/>
      <c r="P116" s="348"/>
      <c r="Q116" s="404"/>
      <c r="R116" s="347"/>
      <c r="S116" s="351"/>
      <c r="T116" s="765"/>
      <c r="U116" s="766"/>
      <c r="V116" s="766"/>
      <c r="W116" s="767"/>
      <c r="X116" s="768"/>
      <c r="Y116" s="769"/>
      <c r="Z116" s="768"/>
      <c r="AA116" s="353"/>
      <c r="AB116" s="353"/>
      <c r="AC116" s="353"/>
      <c r="AD116" s="393"/>
      <c r="AE116" s="353"/>
      <c r="AF116" s="353"/>
      <c r="AG116" s="353"/>
      <c r="AH116" s="393"/>
      <c r="AI116" s="394"/>
    </row>
    <row r="117">
      <c r="A117" s="344"/>
      <c r="B117" s="344"/>
      <c r="C117" s="344"/>
      <c r="D117" s="390"/>
      <c r="E117" s="387"/>
      <c r="F117" s="387"/>
      <c r="G117" s="346"/>
      <c r="H117" s="404"/>
      <c r="I117" s="347"/>
      <c r="J117" s="348"/>
      <c r="K117" s="349"/>
      <c r="L117" s="296"/>
      <c r="M117" s="347"/>
      <c r="N117" s="350"/>
      <c r="O117" s="348"/>
      <c r="P117" s="348"/>
      <c r="Q117" s="404"/>
      <c r="R117" s="347"/>
      <c r="S117" s="351"/>
      <c r="T117" s="765"/>
      <c r="U117" s="766"/>
      <c r="V117" s="766"/>
      <c r="W117" s="767"/>
      <c r="X117" s="768"/>
      <c r="Y117" s="769"/>
      <c r="Z117" s="768"/>
      <c r="AA117" s="353"/>
      <c r="AB117" s="353"/>
      <c r="AC117" s="353"/>
      <c r="AD117" s="393"/>
      <c r="AE117" s="353"/>
      <c r="AF117" s="353"/>
      <c r="AG117" s="353"/>
      <c r="AH117" s="393"/>
      <c r="AI117" s="394"/>
    </row>
    <row r="118">
      <c r="A118" s="344"/>
      <c r="B118" s="344"/>
      <c r="C118" s="344"/>
      <c r="D118" s="390"/>
      <c r="E118" s="387"/>
      <c r="F118" s="387"/>
      <c r="G118" s="346"/>
      <c r="H118" s="404"/>
      <c r="I118" s="347"/>
      <c r="J118" s="348"/>
      <c r="K118" s="349"/>
      <c r="L118" s="296"/>
      <c r="M118" s="347"/>
      <c r="N118" s="350"/>
      <c r="O118" s="348"/>
      <c r="P118" s="348"/>
      <c r="Q118" s="404"/>
      <c r="R118" s="347"/>
      <c r="S118" s="351"/>
      <c r="T118" s="765"/>
      <c r="U118" s="766"/>
      <c r="V118" s="766"/>
      <c r="W118" s="767"/>
      <c r="X118" s="768"/>
      <c r="Y118" s="769"/>
      <c r="Z118" s="768"/>
      <c r="AA118" s="353"/>
      <c r="AB118" s="353"/>
      <c r="AC118" s="353"/>
      <c r="AD118" s="393"/>
      <c r="AE118" s="353"/>
      <c r="AF118" s="353"/>
      <c r="AG118" s="353"/>
      <c r="AH118" s="393"/>
      <c r="AI118" s="394"/>
    </row>
    <row r="119">
      <c r="A119" s="344"/>
      <c r="B119" s="344"/>
      <c r="C119" s="344"/>
      <c r="D119" s="344"/>
      <c r="E119" s="387"/>
      <c r="F119" s="387"/>
      <c r="G119" s="346"/>
      <c r="H119" s="404"/>
      <c r="I119" s="347"/>
      <c r="J119" s="348"/>
      <c r="K119" s="349"/>
      <c r="L119" s="296"/>
      <c r="M119" s="347"/>
      <c r="N119" s="350"/>
      <c r="O119" s="348"/>
      <c r="P119" s="348"/>
      <c r="Q119" s="404"/>
      <c r="R119" s="347"/>
      <c r="S119" s="351"/>
      <c r="T119" s="765"/>
      <c r="U119" s="766"/>
      <c r="V119" s="766"/>
      <c r="W119" s="767"/>
      <c r="X119" s="768"/>
      <c r="Y119" s="769"/>
      <c r="Z119" s="768"/>
      <c r="AA119" s="353"/>
      <c r="AB119" s="353"/>
      <c r="AC119" s="353"/>
      <c r="AD119" s="393"/>
      <c r="AE119" s="353"/>
      <c r="AF119" s="353"/>
      <c r="AG119" s="353"/>
      <c r="AH119" s="393"/>
      <c r="AI119" s="394"/>
    </row>
    <row r="120">
      <c r="A120" s="344"/>
      <c r="B120" s="344"/>
      <c r="C120" s="344"/>
      <c r="D120" s="389"/>
      <c r="E120" s="387"/>
      <c r="F120" s="387"/>
      <c r="G120" s="346"/>
      <c r="H120" s="404"/>
      <c r="I120" s="347"/>
      <c r="J120" s="348"/>
      <c r="K120" s="349"/>
      <c r="L120" s="296"/>
      <c r="M120" s="347"/>
      <c r="N120" s="350"/>
      <c r="O120" s="348"/>
      <c r="P120" s="348"/>
      <c r="Q120" s="404"/>
      <c r="R120" s="347"/>
      <c r="S120" s="351"/>
      <c r="T120" s="765"/>
      <c r="U120" s="766"/>
      <c r="V120" s="766"/>
      <c r="W120" s="767"/>
      <c r="X120" s="768"/>
      <c r="Y120" s="769"/>
      <c r="Z120" s="768"/>
      <c r="AA120" s="353"/>
      <c r="AB120" s="353"/>
      <c r="AC120" s="353"/>
      <c r="AD120" s="393"/>
      <c r="AE120" s="353"/>
      <c r="AF120" s="353"/>
      <c r="AG120" s="353"/>
      <c r="AH120" s="393"/>
      <c r="AI120" s="394"/>
    </row>
    <row r="121">
      <c r="A121" s="344"/>
      <c r="B121" s="344"/>
      <c r="C121" s="344"/>
      <c r="D121" s="389"/>
      <c r="E121" s="387"/>
      <c r="F121" s="387"/>
      <c r="G121" s="346"/>
      <c r="H121" s="404"/>
      <c r="I121" s="347"/>
      <c r="J121" s="348"/>
      <c r="K121" s="349"/>
      <c r="L121" s="296"/>
      <c r="M121" s="347"/>
      <c r="N121" s="350"/>
      <c r="O121" s="348"/>
      <c r="P121" s="348"/>
      <c r="Q121" s="404"/>
      <c r="R121" s="347"/>
      <c r="S121" s="351"/>
      <c r="T121" s="765"/>
      <c r="U121" s="766"/>
      <c r="V121" s="766"/>
      <c r="W121" s="767"/>
      <c r="X121" s="768"/>
      <c r="Y121" s="769"/>
      <c r="Z121" s="768"/>
      <c r="AA121" s="353"/>
      <c r="AB121" s="353"/>
      <c r="AC121" s="353"/>
      <c r="AD121" s="393"/>
      <c r="AE121" s="353"/>
      <c r="AF121" s="353"/>
      <c r="AG121" s="353"/>
      <c r="AH121" s="393"/>
      <c r="AI121" s="394"/>
    </row>
    <row r="122">
      <c r="A122" s="344"/>
      <c r="B122" s="344"/>
      <c r="C122" s="344"/>
      <c r="D122" s="389"/>
      <c r="E122" s="387"/>
      <c r="F122" s="387"/>
      <c r="G122" s="346"/>
      <c r="H122" s="404"/>
      <c r="I122" s="347"/>
      <c r="J122" s="348"/>
      <c r="K122" s="349"/>
      <c r="L122" s="296"/>
      <c r="M122" s="347"/>
      <c r="N122" s="350"/>
      <c r="O122" s="348"/>
      <c r="P122" s="348"/>
      <c r="Q122" s="404"/>
      <c r="R122" s="347"/>
      <c r="S122" s="351"/>
      <c r="T122" s="765"/>
      <c r="U122" s="766"/>
      <c r="V122" s="766"/>
      <c r="W122" s="767"/>
      <c r="X122" s="768"/>
      <c r="Y122" s="769"/>
      <c r="Z122" s="768"/>
      <c r="AA122" s="353"/>
      <c r="AB122" s="353"/>
      <c r="AC122" s="353"/>
      <c r="AD122" s="393"/>
      <c r="AE122" s="353"/>
      <c r="AF122" s="353"/>
      <c r="AG122" s="353"/>
      <c r="AH122" s="393"/>
      <c r="AI122" s="394"/>
    </row>
    <row r="123">
      <c r="A123" s="344"/>
      <c r="B123" s="344"/>
      <c r="C123" s="344"/>
      <c r="D123" s="390"/>
      <c r="E123" s="387"/>
      <c r="F123" s="387"/>
      <c r="G123" s="346"/>
      <c r="H123" s="404"/>
      <c r="I123" s="347"/>
      <c r="J123" s="348"/>
      <c r="K123" s="349"/>
      <c r="L123" s="296"/>
      <c r="M123" s="347"/>
      <c r="N123" s="350"/>
      <c r="O123" s="348"/>
      <c r="P123" s="348"/>
      <c r="Q123" s="404"/>
      <c r="R123" s="347"/>
      <c r="S123" s="351"/>
      <c r="T123" s="765"/>
      <c r="U123" s="766"/>
      <c r="V123" s="766"/>
      <c r="W123" s="767"/>
      <c r="X123" s="768"/>
      <c r="Y123" s="769"/>
      <c r="Z123" s="768"/>
      <c r="AA123" s="353"/>
      <c r="AB123" s="353"/>
      <c r="AC123" s="353"/>
      <c r="AD123" s="393"/>
      <c r="AE123" s="353"/>
      <c r="AF123" s="353"/>
      <c r="AG123" s="353"/>
      <c r="AH123" s="393"/>
      <c r="AI123" s="394"/>
    </row>
    <row r="124">
      <c r="A124" s="344"/>
      <c r="B124" s="344"/>
      <c r="C124" s="344"/>
      <c r="D124" s="390"/>
      <c r="E124" s="387"/>
      <c r="F124" s="387"/>
      <c r="G124" s="346"/>
      <c r="H124" s="404"/>
      <c r="I124" s="347"/>
      <c r="J124" s="348"/>
      <c r="K124" s="349"/>
      <c r="L124" s="296"/>
      <c r="M124" s="347"/>
      <c r="N124" s="350"/>
      <c r="O124" s="348"/>
      <c r="P124" s="348"/>
      <c r="Q124" s="404"/>
      <c r="R124" s="347"/>
      <c r="S124" s="351"/>
      <c r="T124" s="765"/>
      <c r="U124" s="766"/>
      <c r="V124" s="766"/>
      <c r="W124" s="767"/>
      <c r="X124" s="768"/>
      <c r="Y124" s="769"/>
      <c r="Z124" s="768"/>
      <c r="AA124" s="353"/>
      <c r="AB124" s="353"/>
      <c r="AC124" s="353"/>
      <c r="AD124" s="393"/>
      <c r="AE124" s="353"/>
      <c r="AF124" s="353"/>
      <c r="AG124" s="353"/>
      <c r="AH124" s="393"/>
      <c r="AI124" s="394"/>
    </row>
    <row r="125">
      <c r="A125" s="344"/>
      <c r="B125" s="344"/>
      <c r="C125" s="344"/>
      <c r="D125" s="344"/>
      <c r="E125" s="345"/>
      <c r="F125" s="345"/>
      <c r="G125" s="346"/>
      <c r="H125" s="404"/>
      <c r="I125" s="347"/>
      <c r="J125" s="348"/>
      <c r="K125" s="349"/>
      <c r="L125" s="296"/>
      <c r="M125" s="347"/>
      <c r="N125" s="350"/>
      <c r="O125" s="348"/>
      <c r="P125" s="348"/>
      <c r="Q125" s="404"/>
      <c r="R125" s="347"/>
      <c r="S125" s="351"/>
      <c r="T125" s="765"/>
      <c r="U125" s="766"/>
      <c r="V125" s="766"/>
      <c r="W125" s="767"/>
      <c r="X125" s="768"/>
      <c r="Y125" s="405"/>
      <c r="Z125" s="768"/>
      <c r="AA125" s="353"/>
      <c r="AB125" s="353"/>
      <c r="AC125" s="353"/>
      <c r="AD125" s="393"/>
      <c r="AE125" s="353"/>
      <c r="AF125" s="353"/>
      <c r="AG125" s="353"/>
      <c r="AH125" s="393"/>
      <c r="AI125" s="394"/>
    </row>
    <row r="126">
      <c r="A126" s="344"/>
      <c r="B126" s="344"/>
      <c r="C126" s="344"/>
      <c r="D126" s="344"/>
      <c r="E126" s="377"/>
      <c r="F126" s="345"/>
      <c r="G126" s="346"/>
      <c r="H126" s="404"/>
      <c r="I126" s="347"/>
      <c r="J126" s="348"/>
      <c r="K126" s="349"/>
      <c r="L126" s="296"/>
      <c r="M126" s="347"/>
      <c r="N126" s="350"/>
      <c r="O126" s="348"/>
      <c r="P126" s="348"/>
      <c r="Q126" s="404"/>
      <c r="R126" s="347"/>
      <c r="S126" s="351"/>
      <c r="T126" s="765"/>
      <c r="U126" s="766"/>
      <c r="V126" s="766"/>
      <c r="W126" s="767"/>
      <c r="X126" s="768"/>
      <c r="Y126" s="405"/>
      <c r="Z126" s="768"/>
      <c r="AA126" s="353"/>
      <c r="AB126" s="353"/>
      <c r="AC126" s="353"/>
      <c r="AD126" s="393"/>
      <c r="AE126" s="353"/>
      <c r="AF126" s="353"/>
      <c r="AG126" s="353"/>
      <c r="AH126" s="393"/>
      <c r="AI126" s="394"/>
    </row>
    <row r="127">
      <c r="A127" s="344"/>
      <c r="B127" s="344"/>
      <c r="C127" s="344"/>
      <c r="D127" s="344"/>
      <c r="E127" s="377"/>
      <c r="F127" s="345"/>
      <c r="G127" s="378"/>
      <c r="H127" s="404"/>
      <c r="I127" s="347"/>
      <c r="J127" s="348"/>
      <c r="K127" s="349"/>
      <c r="L127" s="296"/>
      <c r="M127" s="347"/>
      <c r="N127" s="350"/>
      <c r="O127" s="348"/>
      <c r="P127" s="348"/>
      <c r="Q127" s="404"/>
      <c r="R127" s="347"/>
      <c r="S127" s="351"/>
      <c r="T127" s="765"/>
      <c r="U127" s="766"/>
      <c r="V127" s="766"/>
      <c r="W127" s="767"/>
      <c r="X127" s="768"/>
      <c r="Y127" s="405"/>
      <c r="Z127" s="768"/>
      <c r="AA127" s="353"/>
      <c r="AB127" s="353"/>
      <c r="AC127" s="353"/>
      <c r="AD127" s="393"/>
      <c r="AE127" s="353"/>
      <c r="AF127" s="353"/>
      <c r="AG127" s="353"/>
      <c r="AH127" s="393"/>
      <c r="AI127" s="394"/>
    </row>
    <row r="128">
      <c r="A128" s="344"/>
      <c r="B128" s="344"/>
      <c r="C128" s="344"/>
      <c r="D128" s="344"/>
      <c r="E128" s="377"/>
      <c r="F128" s="345"/>
      <c r="G128" s="378"/>
      <c r="H128" s="404"/>
      <c r="I128" s="347"/>
      <c r="J128" s="348"/>
      <c r="K128" s="349"/>
      <c r="L128" s="296"/>
      <c r="M128" s="347"/>
      <c r="N128" s="350"/>
      <c r="O128" s="348"/>
      <c r="P128" s="348"/>
      <c r="Q128" s="404"/>
      <c r="R128" s="347"/>
      <c r="S128" s="351"/>
      <c r="T128" s="765"/>
      <c r="U128" s="766"/>
      <c r="V128" s="766"/>
      <c r="W128" s="767"/>
      <c r="X128" s="768"/>
      <c r="Y128" s="405"/>
      <c r="Z128" s="768"/>
      <c r="AA128" s="353"/>
      <c r="AB128" s="353"/>
      <c r="AC128" s="353"/>
      <c r="AD128" s="393"/>
      <c r="AE128" s="353"/>
      <c r="AF128" s="353"/>
      <c r="AG128" s="353"/>
      <c r="AH128" s="393"/>
      <c r="AI128" s="394"/>
    </row>
    <row r="129">
      <c r="A129" s="344"/>
      <c r="B129" s="344"/>
      <c r="C129" s="344"/>
      <c r="D129" s="344"/>
      <c r="E129" s="377"/>
      <c r="F129" s="345"/>
      <c r="G129" s="378"/>
      <c r="H129" s="404"/>
      <c r="I129" s="347"/>
      <c r="J129" s="348"/>
      <c r="K129" s="349"/>
      <c r="L129" s="296"/>
      <c r="M129" s="347"/>
      <c r="N129" s="350"/>
      <c r="O129" s="348"/>
      <c r="P129" s="348"/>
      <c r="Q129" s="404"/>
      <c r="R129" s="347"/>
      <c r="S129" s="351"/>
      <c r="T129" s="765"/>
      <c r="U129" s="766"/>
      <c r="V129" s="766"/>
      <c r="W129" s="767"/>
      <c r="X129" s="768"/>
      <c r="Y129" s="405"/>
      <c r="Z129" s="768"/>
      <c r="AA129" s="353"/>
      <c r="AB129" s="353"/>
      <c r="AC129" s="353"/>
      <c r="AD129" s="393"/>
      <c r="AE129" s="353"/>
      <c r="AF129" s="353"/>
      <c r="AG129" s="353"/>
      <c r="AH129" s="393"/>
      <c r="AI129" s="394"/>
    </row>
    <row r="130">
      <c r="A130" s="344"/>
      <c r="B130" s="344"/>
      <c r="C130" s="344"/>
      <c r="D130" s="344"/>
      <c r="E130" s="345"/>
      <c r="F130" s="345"/>
      <c r="G130" s="346"/>
      <c r="H130" s="404"/>
      <c r="I130" s="347"/>
      <c r="J130" s="348"/>
      <c r="K130" s="349"/>
      <c r="L130" s="296"/>
      <c r="M130" s="347"/>
      <c r="N130" s="350"/>
      <c r="O130" s="348"/>
      <c r="P130" s="348"/>
      <c r="Q130" s="404"/>
      <c r="R130" s="347"/>
      <c r="S130" s="351"/>
      <c r="T130" s="765"/>
      <c r="U130" s="766"/>
      <c r="V130" s="766"/>
      <c r="W130" s="767"/>
      <c r="X130" s="768"/>
      <c r="Y130" s="405"/>
      <c r="Z130" s="768"/>
      <c r="AA130" s="353"/>
      <c r="AB130" s="353"/>
      <c r="AC130" s="353"/>
      <c r="AD130" s="393"/>
      <c r="AE130" s="353"/>
      <c r="AF130" s="353"/>
      <c r="AG130" s="353"/>
      <c r="AH130" s="393"/>
      <c r="AI130" s="394"/>
    </row>
    <row r="131">
      <c r="A131" s="344"/>
      <c r="B131" s="344"/>
      <c r="C131" s="344"/>
      <c r="D131" s="344"/>
      <c r="E131" s="345"/>
      <c r="F131" s="345"/>
      <c r="G131" s="378"/>
      <c r="H131" s="404"/>
      <c r="I131" s="347"/>
      <c r="J131" s="348"/>
      <c r="K131" s="349"/>
      <c r="L131" s="296"/>
      <c r="M131" s="347"/>
      <c r="N131" s="350"/>
      <c r="O131" s="348"/>
      <c r="P131" s="348"/>
      <c r="Q131" s="404"/>
      <c r="R131" s="347"/>
      <c r="S131" s="351"/>
      <c r="T131" s="765"/>
      <c r="U131" s="766"/>
      <c r="V131" s="766"/>
      <c r="W131" s="767"/>
      <c r="X131" s="768"/>
      <c r="Y131" s="405"/>
      <c r="Z131" s="768"/>
      <c r="AA131" s="353"/>
      <c r="AB131" s="353"/>
      <c r="AC131" s="353"/>
      <c r="AD131" s="393"/>
      <c r="AE131" s="353"/>
      <c r="AF131" s="353"/>
      <c r="AG131" s="353"/>
      <c r="AH131" s="393"/>
      <c r="AI131" s="394"/>
    </row>
    <row r="132">
      <c r="A132" s="344"/>
      <c r="B132" s="344"/>
      <c r="C132" s="344"/>
      <c r="D132" s="344"/>
      <c r="E132" s="345"/>
      <c r="F132" s="345"/>
      <c r="G132" s="378"/>
      <c r="H132" s="404"/>
      <c r="I132" s="347"/>
      <c r="J132" s="348"/>
      <c r="K132" s="349"/>
      <c r="L132" s="296"/>
      <c r="M132" s="347"/>
      <c r="N132" s="350"/>
      <c r="O132" s="348"/>
      <c r="P132" s="348"/>
      <c r="Q132" s="404"/>
      <c r="R132" s="347"/>
      <c r="S132" s="351"/>
      <c r="T132" s="765"/>
      <c r="U132" s="766"/>
      <c r="V132" s="766"/>
      <c r="W132" s="767"/>
      <c r="X132" s="768"/>
      <c r="Y132" s="405"/>
      <c r="Z132" s="768"/>
      <c r="AA132" s="353"/>
      <c r="AB132" s="353"/>
      <c r="AC132" s="353"/>
      <c r="AD132" s="393"/>
      <c r="AE132" s="353"/>
      <c r="AF132" s="353"/>
      <c r="AG132" s="353"/>
      <c r="AH132" s="393"/>
      <c r="AI132" s="394"/>
    </row>
    <row r="133">
      <c r="A133" s="344"/>
      <c r="B133" s="344"/>
      <c r="C133" s="344"/>
      <c r="D133" s="344"/>
      <c r="E133" s="345"/>
      <c r="F133" s="345"/>
      <c r="G133" s="378"/>
      <c r="H133" s="404"/>
      <c r="I133" s="347"/>
      <c r="J133" s="348"/>
      <c r="K133" s="349"/>
      <c r="L133" s="296"/>
      <c r="M133" s="347"/>
      <c r="N133" s="350"/>
      <c r="O133" s="348"/>
      <c r="P133" s="348"/>
      <c r="Q133" s="404"/>
      <c r="R133" s="347"/>
      <c r="S133" s="351"/>
      <c r="T133" s="765"/>
      <c r="U133" s="766"/>
      <c r="V133" s="766"/>
      <c r="W133" s="767"/>
      <c r="X133" s="768"/>
      <c r="Y133" s="405"/>
      <c r="Z133" s="768"/>
      <c r="AA133" s="353"/>
      <c r="AB133" s="353"/>
      <c r="AC133" s="353"/>
      <c r="AD133" s="393"/>
      <c r="AE133" s="353"/>
      <c r="AF133" s="353"/>
      <c r="AG133" s="353"/>
      <c r="AH133" s="393"/>
      <c r="AI133" s="394"/>
    </row>
    <row r="134">
      <c r="A134" s="344"/>
      <c r="B134" s="344"/>
      <c r="C134" s="344"/>
      <c r="D134" s="344"/>
      <c r="E134" s="345"/>
      <c r="F134" s="345"/>
      <c r="G134" s="346"/>
      <c r="H134" s="404"/>
      <c r="I134" s="347"/>
      <c r="J134" s="348"/>
      <c r="K134" s="349"/>
      <c r="L134" s="296"/>
      <c r="M134" s="347"/>
      <c r="N134" s="350"/>
      <c r="O134" s="348"/>
      <c r="P134" s="348"/>
      <c r="Q134" s="404"/>
      <c r="R134" s="347"/>
      <c r="S134" s="351"/>
      <c r="T134" s="765"/>
      <c r="U134" s="766"/>
      <c r="V134" s="766"/>
      <c r="W134" s="767"/>
      <c r="X134" s="768"/>
      <c r="Y134" s="405"/>
      <c r="Z134" s="768"/>
      <c r="AA134" s="353"/>
      <c r="AB134" s="353"/>
      <c r="AC134" s="353"/>
      <c r="AD134" s="393"/>
      <c r="AE134" s="353"/>
      <c r="AF134" s="353"/>
      <c r="AG134" s="353"/>
      <c r="AH134" s="393"/>
      <c r="AI134" s="394"/>
    </row>
    <row r="135">
      <c r="A135" s="344"/>
      <c r="B135" s="344"/>
      <c r="C135" s="344"/>
      <c r="D135" s="344"/>
      <c r="E135" s="345"/>
      <c r="F135" s="345"/>
      <c r="G135" s="346"/>
      <c r="H135" s="404"/>
      <c r="I135" s="347"/>
      <c r="J135" s="348"/>
      <c r="K135" s="349"/>
      <c r="L135" s="296"/>
      <c r="M135" s="347"/>
      <c r="N135" s="350"/>
      <c r="O135" s="348"/>
      <c r="P135" s="348"/>
      <c r="Q135" s="404"/>
      <c r="R135" s="347"/>
      <c r="S135" s="351"/>
      <c r="T135" s="765"/>
      <c r="U135" s="766"/>
      <c r="V135" s="766"/>
      <c r="W135" s="767"/>
      <c r="X135" s="768"/>
      <c r="Y135" s="405"/>
      <c r="Z135" s="768"/>
      <c r="AA135" s="353"/>
      <c r="AB135" s="353"/>
      <c r="AC135" s="353"/>
      <c r="AD135" s="393"/>
      <c r="AE135" s="353"/>
      <c r="AF135" s="353"/>
      <c r="AG135" s="353"/>
      <c r="AH135" s="393"/>
      <c r="AI135" s="394"/>
    </row>
    <row r="136">
      <c r="A136" s="344"/>
      <c r="B136" s="344"/>
      <c r="C136" s="344"/>
      <c r="D136" s="344"/>
      <c r="E136" s="345"/>
      <c r="F136" s="345"/>
      <c r="G136" s="346"/>
      <c r="H136" s="404"/>
      <c r="I136" s="347"/>
      <c r="J136" s="348"/>
      <c r="K136" s="349"/>
      <c r="L136" s="296"/>
      <c r="M136" s="347"/>
      <c r="N136" s="350"/>
      <c r="O136" s="348"/>
      <c r="P136" s="348"/>
      <c r="Q136" s="404"/>
      <c r="R136" s="347"/>
      <c r="S136" s="351"/>
      <c r="T136" s="765"/>
      <c r="U136" s="766"/>
      <c r="V136" s="766"/>
      <c r="W136" s="767"/>
      <c r="X136" s="768"/>
      <c r="Y136" s="405"/>
      <c r="Z136" s="768"/>
      <c r="AA136" s="384"/>
      <c r="AB136" s="384"/>
      <c r="AC136" s="384"/>
      <c r="AD136" s="385"/>
      <c r="AE136" s="384"/>
      <c r="AF136" s="384"/>
      <c r="AG136" s="384"/>
      <c r="AH136" s="385"/>
      <c r="AI136" s="385"/>
    </row>
    <row r="137">
      <c r="A137" s="344"/>
      <c r="B137" s="344"/>
      <c r="C137" s="344"/>
      <c r="D137" s="344"/>
      <c r="E137" s="345"/>
      <c r="F137" s="345"/>
      <c r="G137" s="346"/>
      <c r="H137" s="404"/>
      <c r="I137" s="347"/>
      <c r="J137" s="348"/>
      <c r="K137" s="349"/>
      <c r="L137" s="296"/>
      <c r="M137" s="347"/>
      <c r="N137" s="350"/>
      <c r="O137" s="348"/>
      <c r="P137" s="348"/>
      <c r="Q137" s="404"/>
      <c r="R137" s="347"/>
      <c r="S137" s="351"/>
      <c r="T137" s="765"/>
      <c r="U137" s="766"/>
      <c r="V137" s="766"/>
      <c r="W137" s="767"/>
      <c r="X137" s="768"/>
      <c r="Y137" s="405"/>
      <c r="Z137" s="768"/>
      <c r="AA137" s="384"/>
      <c r="AB137" s="384"/>
      <c r="AC137" s="384"/>
      <c r="AD137" s="385"/>
      <c r="AE137" s="384"/>
      <c r="AF137" s="384"/>
      <c r="AG137" s="384"/>
      <c r="AH137" s="385"/>
      <c r="AI137" s="385"/>
    </row>
    <row r="138">
      <c r="A138" s="344"/>
      <c r="B138" s="344"/>
      <c r="C138" s="344"/>
      <c r="D138" s="344"/>
      <c r="E138" s="377"/>
      <c r="F138" s="345"/>
      <c r="G138" s="346"/>
      <c r="H138" s="404"/>
      <c r="I138" s="347"/>
      <c r="J138" s="348"/>
      <c r="K138" s="349"/>
      <c r="L138" s="296"/>
      <c r="M138" s="347"/>
      <c r="N138" s="350"/>
      <c r="O138" s="348"/>
      <c r="P138" s="348"/>
      <c r="Q138" s="404"/>
      <c r="R138" s="347"/>
      <c r="S138" s="351"/>
      <c r="T138" s="765"/>
      <c r="U138" s="766"/>
      <c r="V138" s="766"/>
      <c r="W138" s="767"/>
      <c r="X138" s="768"/>
      <c r="Y138" s="405"/>
      <c r="Z138" s="768"/>
      <c r="AA138" s="353"/>
      <c r="AB138" s="353"/>
      <c r="AC138" s="353"/>
      <c r="AD138" s="393"/>
      <c r="AE138" s="353"/>
      <c r="AF138" s="353"/>
      <c r="AG138" s="353"/>
      <c r="AH138" s="393"/>
      <c r="AI138" s="394"/>
    </row>
    <row r="139">
      <c r="A139" s="344"/>
      <c r="B139" s="344"/>
      <c r="C139" s="344"/>
      <c r="D139" s="344"/>
      <c r="E139" s="377"/>
      <c r="F139" s="345"/>
      <c r="G139" s="378"/>
      <c r="H139" s="404"/>
      <c r="I139" s="347"/>
      <c r="J139" s="348"/>
      <c r="K139" s="349"/>
      <c r="L139" s="296"/>
      <c r="M139" s="347"/>
      <c r="N139" s="350"/>
      <c r="O139" s="348"/>
      <c r="P139" s="348"/>
      <c r="Q139" s="404"/>
      <c r="R139" s="347"/>
      <c r="S139" s="351"/>
      <c r="T139" s="765"/>
      <c r="U139" s="766"/>
      <c r="V139" s="766"/>
      <c r="W139" s="767"/>
      <c r="X139" s="768"/>
      <c r="Y139" s="405"/>
      <c r="Z139" s="768"/>
      <c r="AA139" s="353"/>
      <c r="AB139" s="353"/>
      <c r="AC139" s="353"/>
      <c r="AD139" s="393"/>
      <c r="AE139" s="353"/>
      <c r="AF139" s="353"/>
      <c r="AG139" s="353"/>
      <c r="AH139" s="393"/>
      <c r="AI139" s="394"/>
    </row>
    <row r="140">
      <c r="A140" s="344"/>
      <c r="B140" s="344"/>
      <c r="C140" s="344"/>
      <c r="D140" s="344"/>
      <c r="E140" s="377"/>
      <c r="F140" s="345"/>
      <c r="G140" s="378"/>
      <c r="H140" s="404"/>
      <c r="I140" s="347"/>
      <c r="J140" s="348"/>
      <c r="K140" s="349"/>
      <c r="L140" s="296"/>
      <c r="M140" s="347"/>
      <c r="N140" s="350"/>
      <c r="O140" s="348"/>
      <c r="P140" s="348"/>
      <c r="Q140" s="404"/>
      <c r="R140" s="347"/>
      <c r="S140" s="351"/>
      <c r="T140" s="765"/>
      <c r="U140" s="766"/>
      <c r="V140" s="766"/>
      <c r="W140" s="767"/>
      <c r="X140" s="768"/>
      <c r="Y140" s="405"/>
      <c r="Z140" s="768"/>
      <c r="AA140" s="353"/>
      <c r="AB140" s="353"/>
      <c r="AC140" s="353"/>
      <c r="AD140" s="393"/>
      <c r="AE140" s="353"/>
      <c r="AF140" s="353"/>
      <c r="AG140" s="353"/>
      <c r="AH140" s="393"/>
      <c r="AI140" s="394"/>
    </row>
    <row r="141">
      <c r="A141" s="344"/>
      <c r="B141" s="344"/>
      <c r="C141" s="344"/>
      <c r="D141" s="344"/>
      <c r="E141" s="377"/>
      <c r="F141" s="345"/>
      <c r="G141" s="378"/>
      <c r="H141" s="404"/>
      <c r="I141" s="347"/>
      <c r="J141" s="348"/>
      <c r="K141" s="349"/>
      <c r="L141" s="296"/>
      <c r="M141" s="347"/>
      <c r="N141" s="350"/>
      <c r="O141" s="348"/>
      <c r="P141" s="348"/>
      <c r="Q141" s="404"/>
      <c r="R141" s="347"/>
      <c r="S141" s="351"/>
      <c r="T141" s="765"/>
      <c r="U141" s="766"/>
      <c r="V141" s="766"/>
      <c r="W141" s="767"/>
      <c r="X141" s="768"/>
      <c r="Y141" s="405"/>
      <c r="Z141" s="768"/>
      <c r="AA141" s="353"/>
      <c r="AB141" s="353"/>
      <c r="AC141" s="353"/>
      <c r="AD141" s="393"/>
      <c r="AE141" s="353"/>
      <c r="AF141" s="353"/>
      <c r="AG141" s="353"/>
      <c r="AH141" s="393"/>
      <c r="AI141" s="394"/>
    </row>
    <row r="142">
      <c r="A142" s="344"/>
      <c r="B142" s="344"/>
      <c r="C142" s="344"/>
      <c r="D142" s="344"/>
      <c r="E142" s="345"/>
      <c r="F142" s="345"/>
      <c r="G142" s="346"/>
      <c r="H142" s="404"/>
      <c r="I142" s="347"/>
      <c r="J142" s="348"/>
      <c r="K142" s="349"/>
      <c r="L142" s="296"/>
      <c r="M142" s="347"/>
      <c r="N142" s="350"/>
      <c r="O142" s="348"/>
      <c r="P142" s="348"/>
      <c r="Q142" s="404"/>
      <c r="R142" s="347"/>
      <c r="S142" s="351"/>
      <c r="T142" s="765"/>
      <c r="U142" s="766"/>
      <c r="V142" s="766"/>
      <c r="W142" s="767"/>
      <c r="X142" s="768"/>
      <c r="Y142" s="405"/>
      <c r="Z142" s="768"/>
      <c r="AA142" s="353"/>
      <c r="AB142" s="353"/>
      <c r="AC142" s="353"/>
      <c r="AD142" s="393"/>
      <c r="AE142" s="353"/>
      <c r="AF142" s="353"/>
      <c r="AG142" s="353"/>
      <c r="AH142" s="393"/>
      <c r="AI142" s="394"/>
    </row>
    <row r="143">
      <c r="A143" s="344"/>
      <c r="B143" s="344"/>
      <c r="C143" s="344"/>
      <c r="D143" s="344"/>
      <c r="E143" s="345"/>
      <c r="F143" s="345"/>
      <c r="G143" s="378"/>
      <c r="H143" s="404"/>
      <c r="I143" s="347"/>
      <c r="J143" s="348"/>
      <c r="K143" s="349"/>
      <c r="L143" s="296"/>
      <c r="M143" s="347"/>
      <c r="N143" s="350"/>
      <c r="O143" s="348"/>
      <c r="P143" s="348"/>
      <c r="Q143" s="404"/>
      <c r="R143" s="347"/>
      <c r="S143" s="351"/>
      <c r="T143" s="765"/>
      <c r="U143" s="766"/>
      <c r="V143" s="766"/>
      <c r="W143" s="767"/>
      <c r="X143" s="768"/>
      <c r="Y143" s="405"/>
      <c r="Z143" s="768"/>
      <c r="AA143" s="353"/>
      <c r="AB143" s="353"/>
      <c r="AC143" s="353"/>
      <c r="AD143" s="393"/>
      <c r="AE143" s="353"/>
      <c r="AF143" s="353"/>
      <c r="AG143" s="353"/>
      <c r="AH143" s="393"/>
      <c r="AI143" s="394"/>
    </row>
    <row r="144">
      <c r="A144" s="344"/>
      <c r="B144" s="344"/>
      <c r="C144" s="344"/>
      <c r="D144" s="344"/>
      <c r="E144" s="345"/>
      <c r="F144" s="345"/>
      <c r="G144" s="378"/>
      <c r="H144" s="404"/>
      <c r="I144" s="347"/>
      <c r="J144" s="348"/>
      <c r="K144" s="349"/>
      <c r="L144" s="296"/>
      <c r="M144" s="347"/>
      <c r="N144" s="350"/>
      <c r="O144" s="348"/>
      <c r="P144" s="348"/>
      <c r="Q144" s="404"/>
      <c r="R144" s="347"/>
      <c r="S144" s="351"/>
      <c r="T144" s="765"/>
      <c r="U144" s="766"/>
      <c r="V144" s="766"/>
      <c r="W144" s="767"/>
      <c r="X144" s="768"/>
      <c r="Y144" s="405"/>
      <c r="Z144" s="768"/>
      <c r="AA144" s="353"/>
      <c r="AB144" s="353"/>
      <c r="AC144" s="353"/>
      <c r="AD144" s="393"/>
      <c r="AE144" s="353"/>
      <c r="AF144" s="353"/>
      <c r="AG144" s="353"/>
      <c r="AH144" s="393"/>
      <c r="AI144" s="394"/>
    </row>
    <row r="145">
      <c r="A145" s="344"/>
      <c r="B145" s="344"/>
      <c r="C145" s="344"/>
      <c r="D145" s="344"/>
      <c r="E145" s="345"/>
      <c r="F145" s="345"/>
      <c r="G145" s="378"/>
      <c r="H145" s="404"/>
      <c r="I145" s="347"/>
      <c r="J145" s="348"/>
      <c r="K145" s="349"/>
      <c r="L145" s="296"/>
      <c r="M145" s="347"/>
      <c r="N145" s="350"/>
      <c r="O145" s="348"/>
      <c r="P145" s="348"/>
      <c r="Q145" s="404"/>
      <c r="R145" s="347"/>
      <c r="S145" s="351"/>
      <c r="T145" s="765"/>
      <c r="U145" s="766"/>
      <c r="V145" s="766"/>
      <c r="W145" s="767"/>
      <c r="X145" s="768"/>
      <c r="Y145" s="405"/>
      <c r="Z145" s="768"/>
      <c r="AA145" s="353"/>
      <c r="AB145" s="353"/>
      <c r="AC145" s="353"/>
      <c r="AD145" s="393"/>
      <c r="AE145" s="353"/>
      <c r="AF145" s="353"/>
      <c r="AG145" s="353"/>
      <c r="AH145" s="393"/>
      <c r="AI145" s="394"/>
    </row>
    <row r="146">
      <c r="A146" s="344"/>
      <c r="B146" s="344"/>
      <c r="C146" s="344"/>
      <c r="D146" s="344"/>
      <c r="E146" s="345"/>
      <c r="F146" s="345"/>
      <c r="G146" s="346"/>
      <c r="H146" s="404"/>
      <c r="I146" s="347"/>
      <c r="J146" s="348"/>
      <c r="K146" s="349"/>
      <c r="L146" s="296"/>
      <c r="M146" s="347"/>
      <c r="N146" s="350"/>
      <c r="O146" s="348"/>
      <c r="P146" s="348"/>
      <c r="Q146" s="404"/>
      <c r="R146" s="347"/>
      <c r="S146" s="351"/>
      <c r="T146" s="765"/>
      <c r="U146" s="766"/>
      <c r="V146" s="766"/>
      <c r="W146" s="767"/>
      <c r="X146" s="768"/>
      <c r="Y146" s="405"/>
      <c r="Z146" s="768"/>
      <c r="AA146" s="353"/>
      <c r="AB146" s="353"/>
      <c r="AC146" s="353"/>
      <c r="AD146" s="393"/>
      <c r="AE146" s="353"/>
      <c r="AF146" s="353"/>
      <c r="AG146" s="353"/>
      <c r="AH146" s="393"/>
      <c r="AI146" s="394"/>
    </row>
    <row r="147">
      <c r="A147" s="344"/>
      <c r="B147" s="344"/>
      <c r="C147" s="344"/>
      <c r="D147" s="344"/>
      <c r="E147" s="345"/>
      <c r="F147" s="345"/>
      <c r="G147" s="346"/>
      <c r="H147" s="404"/>
      <c r="I147" s="347"/>
      <c r="J147" s="348"/>
      <c r="K147" s="349"/>
      <c r="L147" s="296"/>
      <c r="M147" s="347"/>
      <c r="N147" s="350"/>
      <c r="O147" s="348"/>
      <c r="P147" s="348"/>
      <c r="Q147" s="404"/>
      <c r="R147" s="347"/>
      <c r="S147" s="351"/>
      <c r="T147" s="765"/>
      <c r="U147" s="766"/>
      <c r="V147" s="766"/>
      <c r="W147" s="767"/>
      <c r="X147" s="768"/>
      <c r="Y147" s="405"/>
      <c r="Z147" s="768"/>
      <c r="AA147" s="353"/>
      <c r="AB147" s="353"/>
      <c r="AC147" s="353"/>
      <c r="AD147" s="393"/>
      <c r="AE147" s="353"/>
      <c r="AF147" s="353"/>
      <c r="AG147" s="353"/>
      <c r="AH147" s="393"/>
      <c r="AI147" s="394"/>
    </row>
    <row r="148">
      <c r="A148" s="344"/>
      <c r="B148" s="344"/>
      <c r="C148" s="344"/>
      <c r="D148" s="344"/>
      <c r="E148" s="345"/>
      <c r="F148" s="345"/>
      <c r="G148" s="346"/>
      <c r="H148" s="404"/>
      <c r="I148" s="347"/>
      <c r="J148" s="348"/>
      <c r="K148" s="349"/>
      <c r="L148" s="296"/>
      <c r="M148" s="347"/>
      <c r="N148" s="350"/>
      <c r="O148" s="348"/>
      <c r="P148" s="348"/>
      <c r="Q148" s="404"/>
      <c r="R148" s="347"/>
      <c r="S148" s="351"/>
      <c r="T148" s="765"/>
      <c r="U148" s="766"/>
      <c r="V148" s="766"/>
      <c r="W148" s="767"/>
      <c r="X148" s="768"/>
      <c r="Y148" s="405"/>
      <c r="Z148" s="768"/>
      <c r="AA148" s="353"/>
      <c r="AB148" s="353"/>
      <c r="AC148" s="353"/>
      <c r="AD148" s="393"/>
      <c r="AE148" s="353"/>
      <c r="AF148" s="353"/>
      <c r="AG148" s="353"/>
      <c r="AH148" s="393"/>
      <c r="AI148" s="394"/>
    </row>
    <row r="149">
      <c r="A149" s="344"/>
      <c r="B149" s="344"/>
      <c r="C149" s="344"/>
      <c r="D149" s="344"/>
      <c r="E149" s="345"/>
      <c r="F149" s="345"/>
      <c r="G149" s="346"/>
      <c r="H149" s="404"/>
      <c r="I149" s="347"/>
      <c r="J149" s="348"/>
      <c r="K149" s="349"/>
      <c r="L149" s="296"/>
      <c r="M149" s="347"/>
      <c r="N149" s="350"/>
      <c r="O149" s="348"/>
      <c r="P149" s="348"/>
      <c r="Q149" s="404"/>
      <c r="R149" s="347"/>
      <c r="S149" s="351"/>
      <c r="T149" s="765"/>
      <c r="U149" s="766"/>
      <c r="V149" s="766"/>
      <c r="W149" s="767"/>
      <c r="X149" s="768"/>
      <c r="Y149" s="405"/>
      <c r="Z149" s="768"/>
      <c r="AA149" s="353"/>
      <c r="AB149" s="353"/>
      <c r="AC149" s="353"/>
      <c r="AD149" s="393"/>
      <c r="AE149" s="353"/>
      <c r="AF149" s="353"/>
      <c r="AG149" s="353"/>
      <c r="AH149" s="393"/>
      <c r="AI149" s="394"/>
    </row>
    <row r="150">
      <c r="A150" s="344"/>
      <c r="B150" s="344"/>
      <c r="C150" s="344"/>
      <c r="D150" s="344"/>
      <c r="E150" s="345"/>
      <c r="F150" s="345"/>
      <c r="G150" s="346"/>
      <c r="H150" s="404"/>
      <c r="I150" s="347"/>
      <c r="J150" s="348"/>
      <c r="K150" s="349"/>
      <c r="L150" s="296"/>
      <c r="M150" s="347"/>
      <c r="N150" s="350"/>
      <c r="O150" s="348"/>
      <c r="P150" s="348"/>
      <c r="Q150" s="404"/>
      <c r="R150" s="347"/>
      <c r="S150" s="351"/>
      <c r="T150" s="765"/>
      <c r="U150" s="766"/>
      <c r="V150" s="766"/>
      <c r="W150" s="767"/>
      <c r="X150" s="768"/>
      <c r="Y150" s="405"/>
      <c r="Z150" s="768"/>
      <c r="AA150" s="353"/>
      <c r="AB150" s="353"/>
      <c r="AC150" s="353"/>
      <c r="AD150" s="393"/>
      <c r="AE150" s="353"/>
      <c r="AF150" s="353"/>
      <c r="AG150" s="353"/>
      <c r="AH150" s="393"/>
      <c r="AI150" s="394"/>
    </row>
    <row r="151">
      <c r="A151" s="344"/>
      <c r="B151" s="344"/>
      <c r="C151" s="344"/>
      <c r="D151" s="344"/>
      <c r="E151" s="345"/>
      <c r="F151" s="345"/>
      <c r="G151" s="346"/>
      <c r="H151" s="404"/>
      <c r="I151" s="347"/>
      <c r="J151" s="348"/>
      <c r="K151" s="349"/>
      <c r="L151" s="296"/>
      <c r="M151" s="347"/>
      <c r="N151" s="350"/>
      <c r="O151" s="348"/>
      <c r="P151" s="348"/>
      <c r="Q151" s="404"/>
      <c r="R151" s="347"/>
      <c r="S151" s="351"/>
      <c r="T151" s="765"/>
      <c r="U151" s="766"/>
      <c r="V151" s="766"/>
      <c r="W151" s="767"/>
      <c r="X151" s="768"/>
      <c r="Y151" s="405"/>
      <c r="Z151" s="768"/>
      <c r="AA151" s="353"/>
      <c r="AB151" s="353"/>
      <c r="AC151" s="353"/>
      <c r="AD151" s="393"/>
      <c r="AE151" s="353"/>
      <c r="AF151" s="353"/>
      <c r="AG151" s="353"/>
      <c r="AH151" s="393"/>
      <c r="AI151" s="394"/>
    </row>
    <row r="152">
      <c r="A152" s="344"/>
      <c r="B152" s="344"/>
      <c r="C152" s="344"/>
      <c r="D152" s="344"/>
      <c r="E152" s="345"/>
      <c r="F152" s="345"/>
      <c r="G152" s="346"/>
      <c r="H152" s="404"/>
      <c r="I152" s="347"/>
      <c r="J152" s="348"/>
      <c r="K152" s="349"/>
      <c r="L152" s="296"/>
      <c r="M152" s="347"/>
      <c r="N152" s="350"/>
      <c r="O152" s="348"/>
      <c r="P152" s="348"/>
      <c r="Q152" s="404"/>
      <c r="R152" s="347"/>
      <c r="S152" s="351"/>
      <c r="T152" s="765"/>
      <c r="U152" s="766"/>
      <c r="V152" s="766"/>
      <c r="W152" s="767"/>
      <c r="X152" s="768"/>
      <c r="Y152" s="405"/>
      <c r="Z152" s="768"/>
      <c r="AA152" s="353"/>
      <c r="AB152" s="353"/>
      <c r="AC152" s="353"/>
      <c r="AD152" s="393"/>
      <c r="AE152" s="353"/>
      <c r="AF152" s="353"/>
      <c r="AG152" s="353"/>
      <c r="AH152" s="393"/>
      <c r="AI152" s="394"/>
    </row>
    <row r="153">
      <c r="A153" s="344"/>
      <c r="B153" s="344"/>
      <c r="C153" s="344"/>
      <c r="D153" s="344"/>
      <c r="E153" s="345"/>
      <c r="F153" s="345"/>
      <c r="G153" s="346"/>
      <c r="H153" s="404"/>
      <c r="I153" s="347"/>
      <c r="J153" s="348"/>
      <c r="K153" s="349"/>
      <c r="L153" s="296"/>
      <c r="M153" s="347"/>
      <c r="N153" s="350"/>
      <c r="O153" s="348"/>
      <c r="P153" s="348"/>
      <c r="Q153" s="404"/>
      <c r="R153" s="347"/>
      <c r="S153" s="351"/>
      <c r="T153" s="765"/>
      <c r="U153" s="766"/>
      <c r="V153" s="766"/>
      <c r="W153" s="767"/>
      <c r="X153" s="768"/>
      <c r="Y153" s="405"/>
      <c r="Z153" s="768"/>
      <c r="AA153" s="353"/>
      <c r="AB153" s="353"/>
      <c r="AC153" s="353"/>
      <c r="AD153" s="393"/>
      <c r="AE153" s="353"/>
      <c r="AF153" s="353"/>
      <c r="AG153" s="353"/>
      <c r="AH153" s="393"/>
      <c r="AI153" s="394"/>
    </row>
    <row r="154">
      <c r="A154" s="344"/>
      <c r="B154" s="344"/>
      <c r="C154" s="344"/>
      <c r="D154" s="344"/>
      <c r="E154" s="345"/>
      <c r="F154" s="345"/>
      <c r="G154" s="346"/>
      <c r="H154" s="404"/>
      <c r="I154" s="347"/>
      <c r="J154" s="348"/>
      <c r="K154" s="349"/>
      <c r="L154" s="296"/>
      <c r="M154" s="347"/>
      <c r="N154" s="350"/>
      <c r="O154" s="348"/>
      <c r="P154" s="348"/>
      <c r="Q154" s="404"/>
      <c r="R154" s="347"/>
      <c r="S154" s="351"/>
      <c r="T154" s="765"/>
      <c r="U154" s="766"/>
      <c r="V154" s="766"/>
      <c r="W154" s="767"/>
      <c r="X154" s="768"/>
      <c r="Y154" s="405"/>
      <c r="Z154" s="768"/>
      <c r="AA154" s="384"/>
      <c r="AB154" s="384"/>
      <c r="AC154" s="384"/>
      <c r="AD154" s="385"/>
      <c r="AE154" s="384"/>
      <c r="AF154" s="384"/>
      <c r="AG154" s="384"/>
      <c r="AH154" s="385"/>
      <c r="AI154" s="385"/>
    </row>
    <row r="155">
      <c r="A155" s="344"/>
      <c r="B155" s="344"/>
      <c r="C155" s="344"/>
      <c r="D155" s="344"/>
      <c r="E155" s="345"/>
      <c r="F155" s="345"/>
      <c r="G155" s="346"/>
      <c r="H155" s="404"/>
      <c r="I155" s="347"/>
      <c r="J155" s="348"/>
      <c r="K155" s="349"/>
      <c r="L155" s="296"/>
      <c r="M155" s="347"/>
      <c r="N155" s="350"/>
      <c r="O155" s="348"/>
      <c r="P155" s="348"/>
      <c r="Q155" s="404"/>
      <c r="R155" s="347"/>
      <c r="S155" s="351"/>
      <c r="T155" s="765"/>
      <c r="U155" s="766"/>
      <c r="V155" s="766"/>
      <c r="W155" s="767"/>
      <c r="X155" s="768"/>
      <c r="Y155" s="405"/>
      <c r="Z155" s="768"/>
      <c r="AA155" s="384"/>
      <c r="AB155" s="384"/>
      <c r="AC155" s="384"/>
      <c r="AD155" s="385"/>
      <c r="AE155" s="384"/>
      <c r="AF155" s="384"/>
      <c r="AG155" s="384"/>
      <c r="AH155" s="385"/>
      <c r="AI155" s="385"/>
    </row>
    <row r="156">
      <c r="A156" s="344"/>
      <c r="B156" s="344"/>
      <c r="C156" s="344"/>
      <c r="D156" s="344"/>
      <c r="E156" s="387"/>
      <c r="F156" s="387"/>
      <c r="G156" s="346"/>
      <c r="H156" s="404"/>
      <c r="I156" s="347"/>
      <c r="J156" s="348"/>
      <c r="K156" s="349"/>
      <c r="L156" s="296"/>
      <c r="M156" s="347"/>
      <c r="N156" s="350"/>
      <c r="O156" s="348"/>
      <c r="P156" s="348"/>
      <c r="Q156" s="404"/>
      <c r="R156" s="347"/>
      <c r="S156" s="351"/>
      <c r="T156" s="765"/>
      <c r="U156" s="766"/>
      <c r="V156" s="766"/>
      <c r="W156" s="767"/>
      <c r="X156" s="768"/>
      <c r="Y156" s="769"/>
      <c r="Z156" s="768"/>
      <c r="AA156" s="353"/>
      <c r="AB156" s="353"/>
      <c r="AC156" s="353"/>
      <c r="AD156" s="393"/>
      <c r="AE156" s="353"/>
      <c r="AF156" s="353"/>
      <c r="AG156" s="353"/>
      <c r="AH156" s="393"/>
      <c r="AI156" s="394"/>
    </row>
    <row r="157">
      <c r="A157" s="344"/>
      <c r="B157" s="344"/>
      <c r="C157" s="344"/>
      <c r="D157" s="344"/>
      <c r="E157" s="387"/>
      <c r="F157" s="387"/>
      <c r="G157" s="346"/>
      <c r="H157" s="404"/>
      <c r="I157" s="347"/>
      <c r="J157" s="348"/>
      <c r="K157" s="349"/>
      <c r="L157" s="296"/>
      <c r="M157" s="347"/>
      <c r="N157" s="350"/>
      <c r="O157" s="348"/>
      <c r="P157" s="348"/>
      <c r="Q157" s="404"/>
      <c r="R157" s="347"/>
      <c r="S157" s="351"/>
      <c r="T157" s="765"/>
      <c r="U157" s="766"/>
      <c r="V157" s="766"/>
      <c r="W157" s="767"/>
      <c r="X157" s="768"/>
      <c r="Y157" s="769"/>
      <c r="Z157" s="768"/>
      <c r="AA157" s="353"/>
      <c r="AB157" s="353"/>
      <c r="AC157" s="353"/>
      <c r="AD157" s="393"/>
      <c r="AE157" s="353"/>
      <c r="AF157" s="353"/>
      <c r="AG157" s="353"/>
      <c r="AH157" s="393"/>
      <c r="AI157" s="394"/>
    </row>
    <row r="158">
      <c r="A158" s="344"/>
      <c r="B158" s="344"/>
      <c r="C158" s="344"/>
      <c r="D158" s="344"/>
      <c r="E158" s="387"/>
      <c r="F158" s="387"/>
      <c r="G158" s="346"/>
      <c r="H158" s="404"/>
      <c r="I158" s="347"/>
      <c r="J158" s="348"/>
      <c r="K158" s="349"/>
      <c r="L158" s="296"/>
      <c r="M158" s="347"/>
      <c r="N158" s="350"/>
      <c r="O158" s="348"/>
      <c r="P158" s="348"/>
      <c r="Q158" s="404"/>
      <c r="R158" s="347"/>
      <c r="S158" s="351"/>
      <c r="T158" s="765"/>
      <c r="U158" s="766"/>
      <c r="V158" s="766"/>
      <c r="W158" s="767"/>
      <c r="X158" s="768"/>
      <c r="Y158" s="769"/>
      <c r="Z158" s="768"/>
      <c r="AA158" s="353"/>
      <c r="AB158" s="353"/>
      <c r="AC158" s="353"/>
      <c r="AD158" s="393"/>
      <c r="AE158" s="353"/>
      <c r="AF158" s="353"/>
      <c r="AG158" s="353"/>
      <c r="AH158" s="393"/>
      <c r="AI158" s="394"/>
    </row>
    <row r="159">
      <c r="A159" s="344"/>
      <c r="B159" s="344"/>
      <c r="C159" s="344"/>
      <c r="D159" s="344"/>
      <c r="E159" s="387"/>
      <c r="F159" s="387"/>
      <c r="G159" s="346"/>
      <c r="H159" s="404"/>
      <c r="I159" s="347"/>
      <c r="J159" s="348"/>
      <c r="K159" s="349"/>
      <c r="L159" s="296"/>
      <c r="M159" s="347"/>
      <c r="N159" s="350"/>
      <c r="O159" s="348"/>
      <c r="P159" s="348"/>
      <c r="Q159" s="404"/>
      <c r="R159" s="347"/>
      <c r="S159" s="351"/>
      <c r="T159" s="765"/>
      <c r="U159" s="766"/>
      <c r="V159" s="766"/>
      <c r="W159" s="767"/>
      <c r="X159" s="768"/>
      <c r="Y159" s="769"/>
      <c r="Z159" s="768"/>
      <c r="AA159" s="353"/>
      <c r="AB159" s="353"/>
      <c r="AC159" s="353"/>
      <c r="AD159" s="393"/>
      <c r="AE159" s="353"/>
      <c r="AF159" s="353"/>
      <c r="AG159" s="353"/>
      <c r="AH159" s="393"/>
      <c r="AI159" s="394"/>
    </row>
    <row r="160">
      <c r="A160" s="344"/>
      <c r="B160" s="344"/>
      <c r="C160" s="344"/>
      <c r="D160" s="344"/>
      <c r="E160" s="387"/>
      <c r="F160" s="387"/>
      <c r="G160" s="346"/>
      <c r="H160" s="404"/>
      <c r="I160" s="347"/>
      <c r="J160" s="348"/>
      <c r="K160" s="349"/>
      <c r="L160" s="296"/>
      <c r="M160" s="347"/>
      <c r="N160" s="350"/>
      <c r="O160" s="348"/>
      <c r="P160" s="348"/>
      <c r="Q160" s="404"/>
      <c r="R160" s="347"/>
      <c r="S160" s="351"/>
      <c r="T160" s="765"/>
      <c r="U160" s="766"/>
      <c r="V160" s="766"/>
      <c r="W160" s="767"/>
      <c r="X160" s="768"/>
      <c r="Y160" s="769"/>
      <c r="Z160" s="768"/>
      <c r="AA160" s="353"/>
      <c r="AB160" s="353"/>
      <c r="AC160" s="353"/>
      <c r="AD160" s="393"/>
      <c r="AE160" s="353"/>
      <c r="AF160" s="353"/>
      <c r="AG160" s="353"/>
      <c r="AH160" s="393"/>
      <c r="AI160" s="394"/>
    </row>
    <row r="161">
      <c r="A161" s="391"/>
      <c r="B161" s="344"/>
      <c r="C161" s="344"/>
      <c r="D161" s="344"/>
      <c r="E161" s="387"/>
      <c r="F161" s="387"/>
      <c r="G161" s="346"/>
      <c r="H161" s="404"/>
      <c r="I161" s="347"/>
      <c r="J161" s="348"/>
      <c r="K161" s="349"/>
      <c r="L161" s="296"/>
      <c r="M161" s="347"/>
      <c r="N161" s="350"/>
      <c r="O161" s="348"/>
      <c r="P161" s="348"/>
      <c r="Q161" s="404"/>
      <c r="R161" s="347"/>
      <c r="S161" s="351"/>
      <c r="T161" s="765"/>
      <c r="U161" s="766"/>
      <c r="V161" s="766"/>
      <c r="W161" s="767"/>
      <c r="X161" s="768"/>
      <c r="Y161" s="769"/>
      <c r="Z161" s="768"/>
      <c r="AA161" s="353"/>
      <c r="AB161" s="353"/>
      <c r="AC161" s="353"/>
      <c r="AD161" s="393"/>
      <c r="AE161" s="353"/>
      <c r="AF161" s="353"/>
      <c r="AG161" s="353"/>
      <c r="AH161" s="393"/>
      <c r="AI161" s="394"/>
    </row>
    <row r="162">
      <c r="A162" s="391"/>
      <c r="B162" s="344"/>
      <c r="C162" s="344"/>
      <c r="D162" s="344"/>
      <c r="E162" s="387"/>
      <c r="F162" s="387"/>
      <c r="G162" s="346"/>
      <c r="H162" s="404"/>
      <c r="I162" s="347"/>
      <c r="J162" s="348"/>
      <c r="K162" s="349"/>
      <c r="L162" s="296"/>
      <c r="M162" s="347"/>
      <c r="N162" s="350"/>
      <c r="O162" s="348"/>
      <c r="P162" s="348"/>
      <c r="Q162" s="404"/>
      <c r="R162" s="347"/>
      <c r="S162" s="351"/>
      <c r="T162" s="765"/>
      <c r="U162" s="766"/>
      <c r="V162" s="766"/>
      <c r="W162" s="767"/>
      <c r="X162" s="768"/>
      <c r="Y162" s="769"/>
      <c r="Z162" s="768"/>
      <c r="AA162" s="353"/>
      <c r="AB162" s="353"/>
      <c r="AC162" s="353"/>
      <c r="AD162" s="393"/>
      <c r="AE162" s="353"/>
      <c r="AF162" s="353"/>
      <c r="AG162" s="353"/>
      <c r="AH162" s="393"/>
      <c r="AI162" s="394"/>
    </row>
    <row r="163">
      <c r="A163" s="392"/>
      <c r="B163" s="344"/>
      <c r="C163" s="344"/>
      <c r="D163" s="344"/>
      <c r="E163" s="387"/>
      <c r="F163" s="387"/>
      <c r="G163" s="346"/>
      <c r="H163" s="404"/>
      <c r="I163" s="347"/>
      <c r="J163" s="348"/>
      <c r="K163" s="349"/>
      <c r="L163" s="296"/>
      <c r="M163" s="347"/>
      <c r="N163" s="350"/>
      <c r="O163" s="348"/>
      <c r="P163" s="348"/>
      <c r="Q163" s="404"/>
      <c r="R163" s="347"/>
      <c r="S163" s="351"/>
      <c r="T163" s="765"/>
      <c r="U163" s="766"/>
      <c r="V163" s="766"/>
      <c r="W163" s="767"/>
      <c r="X163" s="768"/>
      <c r="Y163" s="769"/>
      <c r="Z163" s="768"/>
      <c r="AA163" s="353"/>
      <c r="AB163" s="353"/>
      <c r="AC163" s="353"/>
      <c r="AD163" s="393"/>
      <c r="AE163" s="353"/>
      <c r="AF163" s="353"/>
      <c r="AG163" s="353"/>
      <c r="AH163" s="393"/>
      <c r="AI163" s="394"/>
    </row>
    <row r="164">
      <c r="A164" s="344"/>
      <c r="B164" s="344"/>
      <c r="C164" s="344"/>
      <c r="D164" s="344"/>
      <c r="E164" s="345"/>
      <c r="F164" s="345"/>
      <c r="G164" s="346"/>
      <c r="H164" s="404"/>
      <c r="I164" s="347"/>
      <c r="J164" s="348"/>
      <c r="K164" s="349"/>
      <c r="L164" s="296"/>
      <c r="M164" s="347"/>
      <c r="N164" s="350"/>
      <c r="O164" s="348"/>
      <c r="P164" s="348"/>
      <c r="Q164" s="404"/>
      <c r="R164" s="347"/>
      <c r="S164" s="351"/>
      <c r="T164" s="765"/>
      <c r="U164" s="766"/>
      <c r="V164" s="766"/>
      <c r="W164" s="767"/>
      <c r="X164" s="768"/>
      <c r="Y164" s="405"/>
      <c r="Z164" s="768"/>
      <c r="AA164" s="353"/>
      <c r="AB164" s="353"/>
      <c r="AC164" s="353"/>
      <c r="AD164" s="393"/>
      <c r="AE164" s="353"/>
      <c r="AF164" s="353"/>
      <c r="AG164" s="353"/>
      <c r="AH164" s="393"/>
      <c r="AI164" s="394"/>
    </row>
    <row r="165">
      <c r="A165" s="344"/>
      <c r="B165" s="344"/>
      <c r="C165" s="344"/>
      <c r="D165" s="344"/>
      <c r="E165" s="377"/>
      <c r="F165" s="345"/>
      <c r="G165" s="346"/>
      <c r="H165" s="404"/>
      <c r="I165" s="347"/>
      <c r="J165" s="348"/>
      <c r="K165" s="349"/>
      <c r="L165" s="296"/>
      <c r="M165" s="347"/>
      <c r="N165" s="350"/>
      <c r="O165" s="348"/>
      <c r="P165" s="348"/>
      <c r="Q165" s="404"/>
      <c r="R165" s="347"/>
      <c r="S165" s="351"/>
      <c r="T165" s="765"/>
      <c r="U165" s="766"/>
      <c r="V165" s="766"/>
      <c r="W165" s="767"/>
      <c r="X165" s="768"/>
      <c r="Y165" s="405"/>
      <c r="Z165" s="768"/>
      <c r="AA165" s="353"/>
      <c r="AB165" s="353"/>
      <c r="AC165" s="353"/>
      <c r="AD165" s="393"/>
      <c r="AE165" s="353"/>
      <c r="AF165" s="353"/>
      <c r="AG165" s="353"/>
      <c r="AH165" s="393"/>
      <c r="AI165" s="394"/>
    </row>
    <row r="166">
      <c r="A166" s="344"/>
      <c r="B166" s="344"/>
      <c r="C166" s="344"/>
      <c r="D166" s="344"/>
      <c r="E166" s="377"/>
      <c r="F166" s="345"/>
      <c r="G166" s="378"/>
      <c r="H166" s="404"/>
      <c r="I166" s="347"/>
      <c r="J166" s="348"/>
      <c r="K166" s="349"/>
      <c r="L166" s="296"/>
      <c r="M166" s="347"/>
      <c r="N166" s="350"/>
      <c r="O166" s="348"/>
      <c r="P166" s="348"/>
      <c r="Q166" s="404"/>
      <c r="R166" s="347"/>
      <c r="S166" s="351"/>
      <c r="T166" s="765"/>
      <c r="U166" s="766"/>
      <c r="V166" s="766"/>
      <c r="W166" s="767"/>
      <c r="X166" s="768"/>
      <c r="Y166" s="405"/>
      <c r="Z166" s="768"/>
      <c r="AA166" s="353"/>
      <c r="AB166" s="353"/>
      <c r="AC166" s="353"/>
      <c r="AD166" s="393"/>
      <c r="AE166" s="353"/>
      <c r="AF166" s="353"/>
      <c r="AG166" s="353"/>
      <c r="AH166" s="393"/>
      <c r="AI166" s="394"/>
    </row>
    <row r="167">
      <c r="A167" s="344"/>
      <c r="B167" s="344"/>
      <c r="C167" s="344"/>
      <c r="D167" s="344"/>
      <c r="E167" s="377"/>
      <c r="F167" s="345"/>
      <c r="G167" s="378"/>
      <c r="H167" s="404"/>
      <c r="I167" s="347"/>
      <c r="J167" s="348"/>
      <c r="K167" s="349"/>
      <c r="L167" s="296"/>
      <c r="M167" s="347"/>
      <c r="N167" s="350"/>
      <c r="O167" s="348"/>
      <c r="P167" s="348"/>
      <c r="Q167" s="404"/>
      <c r="R167" s="347"/>
      <c r="S167" s="351"/>
      <c r="T167" s="765"/>
      <c r="U167" s="766"/>
      <c r="V167" s="766"/>
      <c r="W167" s="767"/>
      <c r="X167" s="768"/>
      <c r="Y167" s="405"/>
      <c r="Z167" s="768"/>
      <c r="AA167" s="353"/>
      <c r="AB167" s="353"/>
      <c r="AC167" s="353"/>
      <c r="AD167" s="393"/>
      <c r="AE167" s="353"/>
      <c r="AF167" s="353"/>
      <c r="AG167" s="353"/>
      <c r="AH167" s="393"/>
      <c r="AI167" s="394"/>
    </row>
    <row r="168">
      <c r="A168" s="344"/>
      <c r="B168" s="344"/>
      <c r="C168" s="344"/>
      <c r="D168" s="344"/>
      <c r="E168" s="377"/>
      <c r="F168" s="345"/>
      <c r="G168" s="378"/>
      <c r="H168" s="404"/>
      <c r="I168" s="347"/>
      <c r="J168" s="348"/>
      <c r="K168" s="349"/>
      <c r="L168" s="296"/>
      <c r="M168" s="347"/>
      <c r="N168" s="350"/>
      <c r="O168" s="348"/>
      <c r="P168" s="348"/>
      <c r="Q168" s="404"/>
      <c r="R168" s="347"/>
      <c r="S168" s="351"/>
      <c r="T168" s="765"/>
      <c r="U168" s="766"/>
      <c r="V168" s="766"/>
      <c r="W168" s="767"/>
      <c r="X168" s="768"/>
      <c r="Y168" s="405"/>
      <c r="Z168" s="768"/>
      <c r="AA168" s="353"/>
      <c r="AB168" s="353"/>
      <c r="AC168" s="353"/>
      <c r="AD168" s="393"/>
      <c r="AE168" s="353"/>
      <c r="AF168" s="353"/>
      <c r="AG168" s="353"/>
      <c r="AH168" s="393"/>
      <c r="AI168" s="394"/>
    </row>
    <row r="169">
      <c r="A169" s="344"/>
      <c r="B169" s="344"/>
      <c r="C169" s="344"/>
      <c r="D169" s="344"/>
      <c r="E169" s="345"/>
      <c r="F169" s="345"/>
      <c r="G169" s="346"/>
      <c r="H169" s="404"/>
      <c r="I169" s="347"/>
      <c r="J169" s="348"/>
      <c r="K169" s="349"/>
      <c r="L169" s="296"/>
      <c r="M169" s="347"/>
      <c r="N169" s="350"/>
      <c r="O169" s="348"/>
      <c r="P169" s="348"/>
      <c r="Q169" s="404"/>
      <c r="R169" s="347"/>
      <c r="S169" s="351"/>
      <c r="T169" s="765"/>
      <c r="U169" s="766"/>
      <c r="V169" s="766"/>
      <c r="W169" s="767"/>
      <c r="X169" s="768"/>
      <c r="Y169" s="405"/>
      <c r="Z169" s="768"/>
      <c r="AA169" s="353"/>
      <c r="AB169" s="353"/>
      <c r="AC169" s="353"/>
      <c r="AD169" s="393"/>
      <c r="AE169" s="353"/>
      <c r="AF169" s="353"/>
      <c r="AG169" s="353"/>
      <c r="AH169" s="393"/>
      <c r="AI169" s="394"/>
    </row>
    <row r="170">
      <c r="A170" s="344"/>
      <c r="B170" s="344"/>
      <c r="C170" s="344"/>
      <c r="D170" s="344"/>
      <c r="E170" s="345"/>
      <c r="F170" s="345"/>
      <c r="G170" s="346"/>
      <c r="H170" s="404"/>
      <c r="I170" s="347"/>
      <c r="J170" s="348"/>
      <c r="K170" s="349"/>
      <c r="L170" s="296"/>
      <c r="M170" s="347"/>
      <c r="N170" s="350"/>
      <c r="O170" s="348"/>
      <c r="P170" s="348"/>
      <c r="Q170" s="404"/>
      <c r="R170" s="347"/>
      <c r="S170" s="351"/>
      <c r="T170" s="765"/>
      <c r="U170" s="766"/>
      <c r="V170" s="766"/>
      <c r="W170" s="767"/>
      <c r="X170" s="768"/>
      <c r="Y170" s="405"/>
      <c r="Z170" s="768"/>
      <c r="AA170" s="384"/>
      <c r="AB170" s="384"/>
      <c r="AC170" s="384"/>
      <c r="AD170" s="385"/>
      <c r="AE170" s="384"/>
      <c r="AF170" s="384"/>
      <c r="AG170" s="384"/>
      <c r="AH170" s="385"/>
      <c r="AI170" s="385"/>
    </row>
    <row r="171">
      <c r="A171" s="344"/>
      <c r="B171" s="344"/>
      <c r="C171" s="344"/>
      <c r="D171" s="344"/>
      <c r="E171" s="345"/>
      <c r="F171" s="345"/>
      <c r="G171" s="346"/>
      <c r="H171" s="404"/>
      <c r="I171" s="347"/>
      <c r="J171" s="348"/>
      <c r="K171" s="349"/>
      <c r="L171" s="296"/>
      <c r="M171" s="347"/>
      <c r="N171" s="350"/>
      <c r="O171" s="348"/>
      <c r="P171" s="348"/>
      <c r="Q171" s="404"/>
      <c r="R171" s="347"/>
      <c r="S171" s="351"/>
      <c r="T171" s="765"/>
      <c r="U171" s="766"/>
      <c r="V171" s="766"/>
      <c r="W171" s="767"/>
      <c r="X171" s="768"/>
      <c r="Y171" s="405"/>
      <c r="Z171" s="768"/>
      <c r="AA171" s="384"/>
      <c r="AB171" s="384"/>
      <c r="AC171" s="384"/>
      <c r="AD171" s="385"/>
      <c r="AE171" s="384"/>
      <c r="AF171" s="384"/>
      <c r="AG171" s="384"/>
      <c r="AH171" s="385"/>
      <c r="AI171" s="385"/>
    </row>
    <row r="172">
      <c r="A172" s="344"/>
      <c r="B172" s="344"/>
      <c r="C172" s="344"/>
      <c r="D172" s="344"/>
      <c r="E172" s="345"/>
      <c r="F172" s="345"/>
      <c r="G172" s="346"/>
      <c r="H172" s="404"/>
      <c r="I172" s="347"/>
      <c r="J172" s="348"/>
      <c r="K172" s="349"/>
      <c r="L172" s="296"/>
      <c r="M172" s="347"/>
      <c r="N172" s="350"/>
      <c r="O172" s="348"/>
      <c r="P172" s="348"/>
      <c r="Q172" s="404"/>
      <c r="R172" s="347"/>
      <c r="S172" s="351"/>
      <c r="T172" s="765"/>
      <c r="U172" s="766"/>
      <c r="V172" s="766"/>
      <c r="W172" s="767"/>
      <c r="X172" s="768"/>
      <c r="Y172" s="405"/>
      <c r="Z172" s="768"/>
      <c r="AA172" s="384"/>
      <c r="AB172" s="384"/>
      <c r="AC172" s="384"/>
      <c r="AD172" s="385"/>
      <c r="AE172" s="384"/>
      <c r="AF172" s="384"/>
      <c r="AG172" s="384"/>
      <c r="AH172" s="385"/>
      <c r="AI172" s="385"/>
    </row>
    <row r="173">
      <c r="A173" s="344"/>
      <c r="B173" s="344"/>
      <c r="C173" s="344"/>
      <c r="D173" s="344"/>
      <c r="E173" s="345"/>
      <c r="F173" s="345"/>
      <c r="G173" s="346"/>
      <c r="H173" s="404"/>
      <c r="I173" s="347"/>
      <c r="J173" s="348"/>
      <c r="K173" s="349"/>
      <c r="L173" s="296"/>
      <c r="M173" s="347"/>
      <c r="N173" s="350"/>
      <c r="O173" s="348"/>
      <c r="P173" s="348"/>
      <c r="Q173" s="404"/>
      <c r="R173" s="347"/>
      <c r="S173" s="351"/>
      <c r="T173" s="765"/>
      <c r="U173" s="766"/>
      <c r="V173" s="766"/>
      <c r="W173" s="767"/>
      <c r="X173" s="768"/>
      <c r="Y173" s="405"/>
      <c r="Z173" s="768"/>
      <c r="AA173" s="353"/>
      <c r="AB173" s="353"/>
      <c r="AC173" s="353"/>
      <c r="AD173" s="393"/>
      <c r="AE173" s="353"/>
      <c r="AF173" s="353"/>
      <c r="AG173" s="353"/>
      <c r="AH173" s="393"/>
      <c r="AI173" s="394"/>
    </row>
    <row r="174">
      <c r="A174" s="344"/>
      <c r="B174" s="344"/>
      <c r="C174" s="344"/>
      <c r="D174" s="344"/>
      <c r="E174" s="345"/>
      <c r="F174" s="345"/>
      <c r="G174" s="346"/>
      <c r="H174" s="404"/>
      <c r="I174" s="347"/>
      <c r="J174" s="348"/>
      <c r="K174" s="349"/>
      <c r="L174" s="296"/>
      <c r="M174" s="347"/>
      <c r="N174" s="350"/>
      <c r="O174" s="348"/>
      <c r="P174" s="348"/>
      <c r="Q174" s="404"/>
      <c r="R174" s="347"/>
      <c r="S174" s="351"/>
      <c r="T174" s="765"/>
      <c r="U174" s="766"/>
      <c r="V174" s="766"/>
      <c r="W174" s="767"/>
      <c r="X174" s="768"/>
      <c r="Y174" s="405"/>
      <c r="Z174" s="768"/>
      <c r="AA174" s="353"/>
      <c r="AB174" s="353"/>
      <c r="AC174" s="353"/>
      <c r="AD174" s="393"/>
      <c r="AE174" s="353"/>
      <c r="AF174" s="353"/>
      <c r="AG174" s="353"/>
      <c r="AH174" s="393"/>
      <c r="AI174" s="394"/>
    </row>
    <row r="175">
      <c r="A175" s="344"/>
      <c r="B175" s="344"/>
      <c r="C175" s="344"/>
      <c r="D175" s="344"/>
      <c r="E175" s="387"/>
      <c r="F175" s="387"/>
      <c r="G175" s="346"/>
      <c r="H175" s="404"/>
      <c r="I175" s="347"/>
      <c r="J175" s="348"/>
      <c r="K175" s="349"/>
      <c r="L175" s="296"/>
      <c r="M175" s="347"/>
      <c r="N175" s="350"/>
      <c r="O175" s="348"/>
      <c r="P175" s="348"/>
      <c r="Q175" s="404"/>
      <c r="R175" s="347"/>
      <c r="S175" s="351"/>
      <c r="T175" s="765"/>
      <c r="U175" s="766"/>
      <c r="V175" s="766"/>
      <c r="W175" s="767"/>
      <c r="X175" s="768"/>
      <c r="Y175" s="769"/>
      <c r="Z175" s="768"/>
      <c r="AA175" s="353"/>
      <c r="AB175" s="353"/>
      <c r="AC175" s="353"/>
      <c r="AD175" s="393"/>
      <c r="AE175" s="353"/>
      <c r="AF175" s="353"/>
      <c r="AG175" s="353"/>
      <c r="AH175" s="393"/>
      <c r="AI175" s="394"/>
    </row>
    <row r="176">
      <c r="A176" s="344"/>
      <c r="B176" s="344"/>
      <c r="C176" s="344"/>
      <c r="D176" s="344"/>
      <c r="E176" s="345"/>
      <c r="F176" s="345"/>
      <c r="G176" s="346"/>
      <c r="H176" s="404"/>
      <c r="I176" s="347"/>
      <c r="J176" s="348"/>
      <c r="K176" s="349"/>
      <c r="L176" s="296"/>
      <c r="M176" s="347"/>
      <c r="N176" s="350"/>
      <c r="O176" s="348"/>
      <c r="P176" s="348"/>
      <c r="Q176" s="404"/>
      <c r="R176" s="347"/>
      <c r="S176" s="351"/>
      <c r="T176" s="765"/>
      <c r="U176" s="766"/>
      <c r="V176" s="766"/>
      <c r="W176" s="767"/>
      <c r="X176" s="768"/>
      <c r="Y176" s="405"/>
      <c r="Z176" s="768"/>
      <c r="AA176" s="353"/>
      <c r="AB176" s="353"/>
      <c r="AC176" s="353"/>
      <c r="AD176" s="393"/>
      <c r="AE176" s="353"/>
      <c r="AF176" s="353"/>
      <c r="AG176" s="353"/>
      <c r="AH176" s="393"/>
      <c r="AI176" s="394"/>
    </row>
    <row r="177">
      <c r="A177" s="344"/>
      <c r="B177" s="344"/>
      <c r="C177" s="344"/>
      <c r="D177" s="344"/>
      <c r="E177" s="345"/>
      <c r="F177" s="345"/>
      <c r="G177" s="346"/>
      <c r="H177" s="404"/>
      <c r="I177" s="347"/>
      <c r="J177" s="348"/>
      <c r="K177" s="349"/>
      <c r="L177" s="296"/>
      <c r="M177" s="347"/>
      <c r="N177" s="350"/>
      <c r="O177" s="348"/>
      <c r="P177" s="348"/>
      <c r="Q177" s="404"/>
      <c r="R177" s="347"/>
      <c r="S177" s="351"/>
      <c r="T177" s="765"/>
      <c r="U177" s="766"/>
      <c r="V177" s="766"/>
      <c r="W177" s="767"/>
      <c r="X177" s="768"/>
      <c r="Y177" s="405"/>
      <c r="Z177" s="768"/>
      <c r="AA177" s="353"/>
      <c r="AB177" s="353"/>
      <c r="AC177" s="353"/>
      <c r="AD177" s="393"/>
      <c r="AE177" s="353"/>
      <c r="AF177" s="353"/>
      <c r="AG177" s="353"/>
      <c r="AH177" s="393"/>
      <c r="AI177" s="394"/>
    </row>
    <row r="178">
      <c r="A178" s="344"/>
      <c r="B178" s="344"/>
      <c r="C178" s="344"/>
      <c r="D178" s="344"/>
      <c r="E178" s="345"/>
      <c r="F178" s="345"/>
      <c r="G178" s="346"/>
      <c r="H178" s="404"/>
      <c r="I178" s="347"/>
      <c r="J178" s="348"/>
      <c r="K178" s="349"/>
      <c r="L178" s="296"/>
      <c r="M178" s="347"/>
      <c r="N178" s="350"/>
      <c r="O178" s="348"/>
      <c r="P178" s="348"/>
      <c r="Q178" s="404"/>
      <c r="R178" s="347"/>
      <c r="S178" s="351"/>
      <c r="T178" s="765"/>
      <c r="U178" s="766"/>
      <c r="V178" s="766"/>
      <c r="W178" s="767"/>
      <c r="X178" s="768"/>
      <c r="Y178" s="405"/>
      <c r="Z178" s="768"/>
      <c r="AA178" s="384"/>
      <c r="AB178" s="384"/>
      <c r="AC178" s="384"/>
      <c r="AD178" s="385"/>
      <c r="AE178" s="384"/>
      <c r="AF178" s="384"/>
      <c r="AG178" s="384"/>
      <c r="AH178" s="385"/>
      <c r="AI178" s="385"/>
    </row>
    <row r="179">
      <c r="A179" s="344"/>
      <c r="B179" s="344"/>
      <c r="C179" s="344"/>
      <c r="D179" s="344"/>
      <c r="E179" s="345"/>
      <c r="F179" s="345"/>
      <c r="G179" s="346"/>
      <c r="H179" s="404"/>
      <c r="I179" s="347"/>
      <c r="J179" s="348"/>
      <c r="K179" s="349"/>
      <c r="L179" s="296"/>
      <c r="M179" s="347"/>
      <c r="N179" s="350"/>
      <c r="O179" s="348"/>
      <c r="P179" s="348"/>
      <c r="Q179" s="404"/>
      <c r="R179" s="347"/>
      <c r="S179" s="351"/>
      <c r="T179" s="765"/>
      <c r="U179" s="766"/>
      <c r="V179" s="766"/>
      <c r="W179" s="767"/>
      <c r="X179" s="768"/>
      <c r="Y179" s="405"/>
      <c r="Z179" s="768"/>
      <c r="AA179" s="384"/>
      <c r="AB179" s="384"/>
      <c r="AC179" s="384"/>
      <c r="AD179" s="385"/>
      <c r="AE179" s="384"/>
      <c r="AF179" s="384"/>
      <c r="AG179" s="384"/>
      <c r="AH179" s="385"/>
      <c r="AI179" s="385"/>
    </row>
    <row r="180">
      <c r="A180" s="344"/>
      <c r="B180" s="344"/>
      <c r="C180" s="344"/>
      <c r="D180" s="344"/>
      <c r="E180" s="387"/>
      <c r="F180" s="387"/>
      <c r="G180" s="346"/>
      <c r="H180" s="404"/>
      <c r="I180" s="347"/>
      <c r="J180" s="348"/>
      <c r="K180" s="349"/>
      <c r="L180" s="296"/>
      <c r="M180" s="347"/>
      <c r="N180" s="350"/>
      <c r="O180" s="348"/>
      <c r="P180" s="348"/>
      <c r="Q180" s="404"/>
      <c r="R180" s="347"/>
      <c r="S180" s="351"/>
      <c r="T180" s="765"/>
      <c r="U180" s="766"/>
      <c r="V180" s="766"/>
      <c r="W180" s="767"/>
      <c r="X180" s="768"/>
      <c r="Y180" s="769"/>
      <c r="Z180" s="768"/>
      <c r="AA180" s="353"/>
      <c r="AB180" s="353"/>
      <c r="AC180" s="353"/>
      <c r="AD180" s="393"/>
      <c r="AE180" s="353"/>
      <c r="AF180" s="353"/>
      <c r="AG180" s="353"/>
      <c r="AH180" s="393"/>
      <c r="AI180" s="394"/>
    </row>
    <row r="181">
      <c r="A181" s="344"/>
      <c r="B181" s="344"/>
      <c r="C181" s="344"/>
      <c r="D181" s="344"/>
      <c r="E181" s="387"/>
      <c r="F181" s="387"/>
      <c r="G181" s="346"/>
      <c r="H181" s="404"/>
      <c r="I181" s="347"/>
      <c r="J181" s="348"/>
      <c r="K181" s="349"/>
      <c r="L181" s="296"/>
      <c r="M181" s="347"/>
      <c r="N181" s="350"/>
      <c r="O181" s="348"/>
      <c r="P181" s="348"/>
      <c r="Q181" s="404"/>
      <c r="R181" s="347"/>
      <c r="S181" s="351"/>
      <c r="T181" s="765"/>
      <c r="U181" s="766"/>
      <c r="V181" s="766"/>
      <c r="W181" s="767"/>
      <c r="X181" s="768"/>
      <c r="Y181" s="769"/>
      <c r="Z181" s="768"/>
      <c r="AA181" s="353"/>
      <c r="AB181" s="353"/>
      <c r="AC181" s="353"/>
      <c r="AD181" s="393"/>
      <c r="AE181" s="353"/>
      <c r="AF181" s="353"/>
      <c r="AG181" s="353"/>
      <c r="AH181" s="393"/>
      <c r="AI181" s="394"/>
    </row>
    <row r="182">
      <c r="A182" s="344"/>
      <c r="B182" s="344"/>
      <c r="C182" s="344"/>
      <c r="D182" s="344"/>
      <c r="E182" s="387"/>
      <c r="F182" s="387"/>
      <c r="G182" s="346"/>
      <c r="H182" s="404"/>
      <c r="I182" s="347"/>
      <c r="J182" s="348"/>
      <c r="K182" s="349"/>
      <c r="L182" s="296"/>
      <c r="M182" s="347"/>
      <c r="N182" s="350"/>
      <c r="O182" s="348"/>
      <c r="P182" s="348"/>
      <c r="Q182" s="404"/>
      <c r="R182" s="347"/>
      <c r="S182" s="351"/>
      <c r="T182" s="765"/>
      <c r="U182" s="766"/>
      <c r="V182" s="766"/>
      <c r="W182" s="767"/>
      <c r="X182" s="768"/>
      <c r="Y182" s="769"/>
      <c r="Z182" s="768"/>
      <c r="AA182" s="353"/>
      <c r="AB182" s="353"/>
      <c r="AC182" s="353"/>
      <c r="AD182" s="393"/>
      <c r="AE182" s="353"/>
      <c r="AF182" s="353"/>
      <c r="AG182" s="353"/>
      <c r="AH182" s="393"/>
      <c r="AI182" s="394"/>
    </row>
    <row r="183">
      <c r="A183" s="344"/>
      <c r="B183" s="344"/>
      <c r="C183" s="344"/>
      <c r="D183" s="344"/>
      <c r="E183" s="345"/>
      <c r="F183" s="345"/>
      <c r="G183" s="346"/>
      <c r="H183" s="404"/>
      <c r="I183" s="347"/>
      <c r="J183" s="348"/>
      <c r="K183" s="349"/>
      <c r="L183" s="296"/>
      <c r="M183" s="347"/>
      <c r="N183" s="350"/>
      <c r="O183" s="348"/>
      <c r="P183" s="348"/>
      <c r="Q183" s="404"/>
      <c r="R183" s="347"/>
      <c r="S183" s="351"/>
      <c r="T183" s="765"/>
      <c r="U183" s="766"/>
      <c r="V183" s="766"/>
      <c r="W183" s="767"/>
      <c r="X183" s="768"/>
      <c r="Y183" s="405"/>
      <c r="Z183" s="768"/>
      <c r="AA183" s="353"/>
      <c r="AB183" s="353"/>
      <c r="AC183" s="353"/>
      <c r="AD183" s="393"/>
      <c r="AE183" s="353"/>
      <c r="AF183" s="353"/>
      <c r="AG183" s="353"/>
      <c r="AH183" s="393"/>
      <c r="AI183" s="394"/>
    </row>
    <row r="184">
      <c r="A184" s="344"/>
      <c r="B184" s="344"/>
      <c r="C184" s="344"/>
      <c r="D184" s="344"/>
      <c r="E184" s="345"/>
      <c r="F184" s="345"/>
      <c r="G184" s="346"/>
      <c r="H184" s="404"/>
      <c r="I184" s="347"/>
      <c r="J184" s="348"/>
      <c r="K184" s="349"/>
      <c r="L184" s="296"/>
      <c r="M184" s="347"/>
      <c r="N184" s="350"/>
      <c r="O184" s="348"/>
      <c r="P184" s="348"/>
      <c r="Q184" s="404"/>
      <c r="R184" s="347"/>
      <c r="S184" s="351"/>
      <c r="T184" s="765"/>
      <c r="U184" s="766"/>
      <c r="V184" s="766"/>
      <c r="W184" s="767"/>
      <c r="X184" s="768"/>
      <c r="Y184" s="405"/>
      <c r="Z184" s="768"/>
      <c r="AA184" s="353"/>
      <c r="AB184" s="353"/>
      <c r="AC184" s="353"/>
      <c r="AD184" s="393"/>
      <c r="AE184" s="353"/>
      <c r="AF184" s="353"/>
      <c r="AG184" s="353"/>
      <c r="AH184" s="393"/>
      <c r="AI184" s="394"/>
    </row>
    <row r="185">
      <c r="A185" s="344"/>
      <c r="B185" s="344"/>
      <c r="C185" s="344"/>
      <c r="D185" s="344"/>
      <c r="E185" s="387"/>
      <c r="F185" s="387"/>
      <c r="G185" s="346"/>
      <c r="H185" s="404"/>
      <c r="I185" s="347"/>
      <c r="J185" s="348"/>
      <c r="K185" s="349"/>
      <c r="L185" s="296"/>
      <c r="M185" s="347"/>
      <c r="N185" s="350"/>
      <c r="O185" s="348"/>
      <c r="P185" s="348"/>
      <c r="Q185" s="404"/>
      <c r="R185" s="347"/>
      <c r="S185" s="351"/>
      <c r="T185" s="765"/>
      <c r="U185" s="766"/>
      <c r="V185" s="766"/>
      <c r="W185" s="767"/>
      <c r="X185" s="768"/>
      <c r="Y185" s="769"/>
      <c r="Z185" s="768"/>
      <c r="AA185" s="353"/>
      <c r="AB185" s="353"/>
      <c r="AC185" s="353"/>
      <c r="AD185" s="393"/>
      <c r="AE185" s="353"/>
      <c r="AF185" s="353"/>
      <c r="AG185" s="353"/>
      <c r="AH185" s="393"/>
      <c r="AI185" s="394"/>
    </row>
    <row r="186">
      <c r="A186" s="344"/>
      <c r="B186" s="344"/>
      <c r="C186" s="344"/>
      <c r="D186" s="344"/>
      <c r="E186" s="387"/>
      <c r="F186" s="387"/>
      <c r="G186" s="346"/>
      <c r="H186" s="404"/>
      <c r="I186" s="347"/>
      <c r="J186" s="348"/>
      <c r="K186" s="349"/>
      <c r="L186" s="296"/>
      <c r="M186" s="347"/>
      <c r="N186" s="350"/>
      <c r="O186" s="348"/>
      <c r="P186" s="348"/>
      <c r="Q186" s="404"/>
      <c r="R186" s="347"/>
      <c r="S186" s="351"/>
      <c r="T186" s="765"/>
      <c r="U186" s="766"/>
      <c r="V186" s="766"/>
      <c r="W186" s="767"/>
      <c r="X186" s="768"/>
      <c r="Y186" s="769"/>
      <c r="Z186" s="768"/>
      <c r="AA186" s="353"/>
      <c r="AB186" s="353"/>
      <c r="AC186" s="353"/>
      <c r="AD186" s="393"/>
      <c r="AE186" s="353"/>
      <c r="AF186" s="353"/>
      <c r="AG186" s="353"/>
      <c r="AH186" s="393"/>
      <c r="AI186" s="394"/>
    </row>
    <row r="187">
      <c r="A187" s="344"/>
      <c r="B187" s="344"/>
      <c r="C187" s="344"/>
      <c r="D187" s="344"/>
      <c r="E187" s="387"/>
      <c r="F187" s="387"/>
      <c r="G187" s="346"/>
      <c r="H187" s="404"/>
      <c r="I187" s="347"/>
      <c r="J187" s="348"/>
      <c r="K187" s="349"/>
      <c r="L187" s="296"/>
      <c r="M187" s="347"/>
      <c r="N187" s="350"/>
      <c r="O187" s="348"/>
      <c r="P187" s="348"/>
      <c r="Q187" s="404"/>
      <c r="R187" s="347"/>
      <c r="S187" s="351"/>
      <c r="T187" s="765"/>
      <c r="U187" s="766"/>
      <c r="V187" s="766"/>
      <c r="W187" s="767"/>
      <c r="X187" s="768"/>
      <c r="Y187" s="769"/>
      <c r="Z187" s="768"/>
      <c r="AA187" s="353"/>
      <c r="AB187" s="353"/>
      <c r="AC187" s="353"/>
      <c r="AD187" s="393"/>
      <c r="AE187" s="353"/>
      <c r="AF187" s="353"/>
      <c r="AG187" s="353"/>
      <c r="AH187" s="393"/>
      <c r="AI187" s="394"/>
    </row>
    <row r="188">
      <c r="A188" s="344"/>
      <c r="B188" s="344"/>
      <c r="C188" s="344"/>
      <c r="D188" s="344"/>
      <c r="E188" s="387"/>
      <c r="F188" s="387"/>
      <c r="G188" s="346"/>
      <c r="H188" s="404"/>
      <c r="I188" s="347"/>
      <c r="J188" s="348"/>
      <c r="K188" s="349"/>
      <c r="L188" s="296"/>
      <c r="M188" s="347"/>
      <c r="N188" s="350"/>
      <c r="O188" s="348"/>
      <c r="P188" s="348"/>
      <c r="Q188" s="404"/>
      <c r="R188" s="347"/>
      <c r="S188" s="351"/>
      <c r="T188" s="765"/>
      <c r="U188" s="766"/>
      <c r="V188" s="766"/>
      <c r="W188" s="767"/>
      <c r="X188" s="768"/>
      <c r="Y188" s="769"/>
      <c r="Z188" s="768"/>
      <c r="AA188" s="353"/>
      <c r="AB188" s="353"/>
      <c r="AC188" s="353"/>
      <c r="AD188" s="393"/>
      <c r="AE188" s="353"/>
      <c r="AF188" s="353"/>
      <c r="AG188" s="353"/>
      <c r="AH188" s="393"/>
      <c r="AI188" s="394"/>
    </row>
    <row r="189">
      <c r="A189" s="392"/>
      <c r="B189" s="344"/>
      <c r="C189" s="344"/>
      <c r="D189" s="344"/>
      <c r="E189" s="387"/>
      <c r="F189" s="387"/>
      <c r="G189" s="346"/>
      <c r="H189" s="404"/>
      <c r="I189" s="347"/>
      <c r="J189" s="348"/>
      <c r="K189" s="349"/>
      <c r="L189" s="296"/>
      <c r="M189" s="347"/>
      <c r="N189" s="350"/>
      <c r="O189" s="348"/>
      <c r="P189" s="348"/>
      <c r="Q189" s="404"/>
      <c r="R189" s="347"/>
      <c r="S189" s="351"/>
      <c r="T189" s="765"/>
      <c r="U189" s="766"/>
      <c r="V189" s="766"/>
      <c r="W189" s="767"/>
      <c r="X189" s="768"/>
      <c r="Y189" s="769"/>
      <c r="Z189" s="768"/>
      <c r="AA189" s="353"/>
      <c r="AB189" s="353"/>
      <c r="AC189" s="353"/>
      <c r="AD189" s="393"/>
      <c r="AE189" s="353"/>
      <c r="AF189" s="353"/>
      <c r="AG189" s="353"/>
      <c r="AH189" s="393"/>
      <c r="AI189" s="394"/>
    </row>
    <row r="190">
      <c r="A190" s="344"/>
      <c r="B190" s="344"/>
      <c r="C190" s="344"/>
      <c r="D190" s="344"/>
      <c r="E190" s="345"/>
      <c r="F190" s="387"/>
      <c r="G190" s="346"/>
      <c r="H190" s="404"/>
      <c r="I190" s="347"/>
      <c r="J190" s="348"/>
      <c r="K190" s="349"/>
      <c r="L190" s="296"/>
      <c r="M190" s="347"/>
      <c r="N190" s="350"/>
      <c r="O190" s="348"/>
      <c r="P190" s="348"/>
      <c r="Q190" s="404"/>
      <c r="R190" s="347"/>
      <c r="S190" s="351"/>
      <c r="T190" s="765"/>
      <c r="U190" s="766"/>
      <c r="V190" s="766"/>
      <c r="W190" s="767"/>
      <c r="X190" s="768"/>
      <c r="Y190" s="769"/>
      <c r="Z190" s="768"/>
      <c r="AA190" s="353"/>
      <c r="AB190" s="353"/>
      <c r="AC190" s="353"/>
      <c r="AD190" s="393"/>
      <c r="AE190" s="353"/>
      <c r="AF190" s="353"/>
      <c r="AG190" s="353"/>
      <c r="AH190" s="393"/>
      <c r="AI190" s="394"/>
    </row>
    <row r="191">
      <c r="A191" s="344"/>
      <c r="B191" s="344"/>
      <c r="C191" s="344"/>
      <c r="D191" s="344"/>
      <c r="E191" s="345"/>
      <c r="F191" s="387"/>
      <c r="G191" s="346"/>
      <c r="H191" s="404"/>
      <c r="I191" s="347"/>
      <c r="J191" s="348"/>
      <c r="K191" s="349"/>
      <c r="L191" s="296"/>
      <c r="M191" s="347"/>
      <c r="N191" s="350"/>
      <c r="O191" s="348"/>
      <c r="P191" s="348"/>
      <c r="Q191" s="404"/>
      <c r="R191" s="347"/>
      <c r="S191" s="351"/>
      <c r="T191" s="765"/>
      <c r="U191" s="766"/>
      <c r="V191" s="766"/>
      <c r="W191" s="767"/>
      <c r="X191" s="768"/>
      <c r="Y191" s="769"/>
      <c r="Z191" s="768"/>
      <c r="AA191" s="353"/>
      <c r="AB191" s="353"/>
      <c r="AC191" s="353"/>
      <c r="AD191" s="393"/>
      <c r="AE191" s="353"/>
      <c r="AF191" s="353"/>
      <c r="AG191" s="353"/>
      <c r="AH191" s="393"/>
      <c r="AI191" s="394"/>
    </row>
    <row r="192">
      <c r="A192" s="344"/>
      <c r="B192" s="344"/>
      <c r="C192" s="344"/>
      <c r="D192" s="344"/>
      <c r="E192" s="387"/>
      <c r="F192" s="387"/>
      <c r="G192" s="346"/>
      <c r="H192" s="404"/>
      <c r="I192" s="347"/>
      <c r="J192" s="348"/>
      <c r="K192" s="349"/>
      <c r="L192" s="296"/>
      <c r="M192" s="347"/>
      <c r="N192" s="350"/>
      <c r="O192" s="348"/>
      <c r="P192" s="348"/>
      <c r="Q192" s="404"/>
      <c r="R192" s="347"/>
      <c r="S192" s="351"/>
      <c r="T192" s="765"/>
      <c r="U192" s="766"/>
      <c r="V192" s="766"/>
      <c r="W192" s="767"/>
      <c r="X192" s="768"/>
      <c r="Y192" s="769"/>
      <c r="Z192" s="768"/>
      <c r="AA192" s="353"/>
      <c r="AB192" s="353"/>
      <c r="AC192" s="353"/>
      <c r="AD192" s="393"/>
      <c r="AE192" s="353"/>
      <c r="AF192" s="353"/>
      <c r="AG192" s="353"/>
      <c r="AH192" s="393"/>
      <c r="AI192" s="394"/>
    </row>
    <row r="193">
      <c r="A193" s="344"/>
      <c r="B193" s="344"/>
      <c r="C193" s="344"/>
      <c r="D193" s="344"/>
      <c r="E193" s="387"/>
      <c r="F193" s="387"/>
      <c r="G193" s="346"/>
      <c r="H193" s="404"/>
      <c r="I193" s="347"/>
      <c r="J193" s="348"/>
      <c r="K193" s="349"/>
      <c r="L193" s="296"/>
      <c r="M193" s="347"/>
      <c r="N193" s="350"/>
      <c r="O193" s="348"/>
      <c r="P193" s="348"/>
      <c r="Q193" s="404"/>
      <c r="R193" s="347"/>
      <c r="S193" s="351"/>
      <c r="T193" s="765"/>
      <c r="U193" s="766"/>
      <c r="V193" s="766"/>
      <c r="W193" s="767"/>
      <c r="X193" s="768"/>
      <c r="Y193" s="769"/>
      <c r="Z193" s="768"/>
      <c r="AA193" s="353"/>
      <c r="AB193" s="353"/>
      <c r="AC193" s="353"/>
      <c r="AD193" s="393"/>
      <c r="AE193" s="353"/>
      <c r="AF193" s="353"/>
      <c r="AG193" s="353"/>
      <c r="AH193" s="393"/>
      <c r="AI193" s="394"/>
    </row>
    <row r="194">
      <c r="A194" s="344"/>
      <c r="B194" s="344"/>
      <c r="C194" s="344"/>
      <c r="D194" s="344"/>
      <c r="E194" s="345"/>
      <c r="F194" s="387"/>
      <c r="G194" s="346"/>
      <c r="H194" s="404"/>
      <c r="I194" s="347"/>
      <c r="J194" s="348"/>
      <c r="K194" s="349"/>
      <c r="L194" s="296"/>
      <c r="M194" s="347"/>
      <c r="N194" s="350"/>
      <c r="O194" s="348"/>
      <c r="P194" s="348"/>
      <c r="Q194" s="404"/>
      <c r="R194" s="347"/>
      <c r="S194" s="351"/>
      <c r="T194" s="765"/>
      <c r="U194" s="766"/>
      <c r="V194" s="766"/>
      <c r="W194" s="767"/>
      <c r="X194" s="768"/>
      <c r="Y194" s="769"/>
      <c r="Z194" s="768"/>
      <c r="AA194" s="353"/>
      <c r="AB194" s="353"/>
      <c r="AC194" s="353"/>
      <c r="AD194" s="393"/>
      <c r="AE194" s="353"/>
      <c r="AF194" s="353"/>
      <c r="AG194" s="353"/>
      <c r="AH194" s="393"/>
      <c r="AI194" s="394"/>
    </row>
    <row r="195">
      <c r="A195" s="344"/>
      <c r="B195" s="344"/>
      <c r="C195" s="344"/>
      <c r="D195" s="344"/>
      <c r="E195" s="387"/>
      <c r="F195" s="387"/>
      <c r="G195" s="346"/>
      <c r="H195" s="404"/>
      <c r="I195" s="347"/>
      <c r="J195" s="348"/>
      <c r="K195" s="349"/>
      <c r="L195" s="296"/>
      <c r="M195" s="347"/>
      <c r="N195" s="350"/>
      <c r="O195" s="348"/>
      <c r="P195" s="348"/>
      <c r="Q195" s="404"/>
      <c r="R195" s="347"/>
      <c r="S195" s="351"/>
      <c r="T195" s="765"/>
      <c r="U195" s="766"/>
      <c r="V195" s="766"/>
      <c r="W195" s="767"/>
      <c r="X195" s="768"/>
      <c r="Y195" s="769"/>
      <c r="Z195" s="768"/>
      <c r="AA195" s="353"/>
      <c r="AB195" s="353"/>
      <c r="AC195" s="353"/>
      <c r="AD195" s="393"/>
      <c r="AE195" s="353"/>
      <c r="AF195" s="353"/>
      <c r="AG195" s="353"/>
      <c r="AH195" s="393"/>
      <c r="AI195" s="394"/>
    </row>
    <row r="196">
      <c r="A196" s="344"/>
      <c r="B196" s="344"/>
      <c r="C196" s="344"/>
      <c r="D196" s="344"/>
      <c r="E196" s="345"/>
      <c r="F196" s="387"/>
      <c r="G196" s="346"/>
      <c r="H196" s="404"/>
      <c r="I196" s="347"/>
      <c r="J196" s="348"/>
      <c r="K196" s="349"/>
      <c r="L196" s="296"/>
      <c r="M196" s="347"/>
      <c r="N196" s="350"/>
      <c r="O196" s="348"/>
      <c r="P196" s="348"/>
      <c r="Q196" s="404"/>
      <c r="R196" s="347"/>
      <c r="S196" s="351"/>
      <c r="T196" s="765"/>
      <c r="U196" s="766"/>
      <c r="V196" s="766"/>
      <c r="W196" s="767"/>
      <c r="X196" s="768"/>
      <c r="Y196" s="405"/>
      <c r="Z196" s="768"/>
      <c r="AA196" s="353"/>
      <c r="AB196" s="353"/>
      <c r="AC196" s="353"/>
      <c r="AD196" s="393"/>
      <c r="AE196" s="353"/>
      <c r="AF196" s="353"/>
      <c r="AG196" s="353"/>
      <c r="AH196" s="393"/>
      <c r="AI196" s="394"/>
    </row>
    <row r="197">
      <c r="A197" s="344"/>
      <c r="B197" s="344"/>
      <c r="C197" s="344"/>
      <c r="D197" s="344"/>
      <c r="E197" s="387"/>
      <c r="F197" s="387"/>
      <c r="G197" s="346"/>
      <c r="H197" s="404"/>
      <c r="I197" s="347"/>
      <c r="J197" s="348"/>
      <c r="K197" s="349"/>
      <c r="L197" s="296"/>
      <c r="M197" s="347"/>
      <c r="N197" s="350"/>
      <c r="O197" s="348"/>
      <c r="P197" s="348"/>
      <c r="Q197" s="404"/>
      <c r="R197" s="347"/>
      <c r="S197" s="351"/>
      <c r="T197" s="765"/>
      <c r="U197" s="766"/>
      <c r="V197" s="766"/>
      <c r="W197" s="767"/>
      <c r="X197" s="768"/>
      <c r="Y197" s="405"/>
      <c r="Z197" s="768"/>
      <c r="AA197" s="353"/>
      <c r="AB197" s="353"/>
      <c r="AC197" s="353"/>
      <c r="AD197" s="393"/>
      <c r="AE197" s="353"/>
      <c r="AF197" s="353"/>
      <c r="AG197" s="353"/>
      <c r="AH197" s="393"/>
      <c r="AI197" s="394"/>
    </row>
    <row r="198">
      <c r="A198" s="344"/>
      <c r="B198" s="344"/>
      <c r="C198" s="344"/>
      <c r="D198" s="344"/>
      <c r="E198" s="387"/>
      <c r="F198" s="387"/>
      <c r="G198" s="346"/>
      <c r="H198" s="404"/>
      <c r="I198" s="347"/>
      <c r="J198" s="348"/>
      <c r="K198" s="349"/>
      <c r="L198" s="296"/>
      <c r="M198" s="347"/>
      <c r="N198" s="350"/>
      <c r="O198" s="348"/>
      <c r="P198" s="348"/>
      <c r="Q198" s="404"/>
      <c r="R198" s="347"/>
      <c r="S198" s="351"/>
      <c r="T198" s="765"/>
      <c r="U198" s="766"/>
      <c r="V198" s="766"/>
      <c r="W198" s="767"/>
      <c r="X198" s="768"/>
      <c r="Y198" s="769"/>
      <c r="Z198" s="768"/>
      <c r="AA198" s="353"/>
      <c r="AB198" s="353"/>
      <c r="AC198" s="353"/>
      <c r="AD198" s="393"/>
      <c r="AE198" s="353"/>
      <c r="AF198" s="353"/>
      <c r="AG198" s="353"/>
      <c r="AH198" s="393"/>
      <c r="AI198" s="394"/>
    </row>
    <row r="199">
      <c r="A199" s="344"/>
      <c r="B199" s="344"/>
      <c r="C199" s="344"/>
      <c r="D199" s="344"/>
      <c r="E199" s="387"/>
      <c r="F199" s="387"/>
      <c r="G199" s="346"/>
      <c r="H199" s="404"/>
      <c r="I199" s="347"/>
      <c r="J199" s="348"/>
      <c r="K199" s="349"/>
      <c r="L199" s="296"/>
      <c r="M199" s="347"/>
      <c r="N199" s="350"/>
      <c r="O199" s="348"/>
      <c r="P199" s="348"/>
      <c r="Q199" s="404"/>
      <c r="R199" s="347"/>
      <c r="S199" s="351"/>
      <c r="T199" s="765"/>
      <c r="U199" s="766"/>
      <c r="V199" s="766"/>
      <c r="W199" s="767"/>
      <c r="X199" s="768"/>
      <c r="Y199" s="769"/>
      <c r="Z199" s="768"/>
      <c r="AA199" s="353"/>
      <c r="AB199" s="353"/>
      <c r="AC199" s="353"/>
      <c r="AD199" s="393"/>
      <c r="AE199" s="353"/>
      <c r="AF199" s="353"/>
      <c r="AG199" s="353"/>
      <c r="AH199" s="393"/>
      <c r="AI199" s="394"/>
    </row>
    <row r="200">
      <c r="A200" s="344"/>
      <c r="B200" s="344"/>
      <c r="C200" s="344"/>
      <c r="D200" s="344"/>
      <c r="E200" s="387"/>
      <c r="F200" s="387"/>
      <c r="G200" s="346"/>
      <c r="H200" s="404"/>
      <c r="I200" s="347"/>
      <c r="J200" s="348"/>
      <c r="K200" s="349"/>
      <c r="L200" s="296"/>
      <c r="M200" s="347"/>
      <c r="N200" s="350"/>
      <c r="O200" s="348"/>
      <c r="P200" s="348"/>
      <c r="Q200" s="404"/>
      <c r="R200" s="347"/>
      <c r="S200" s="351"/>
      <c r="T200" s="765"/>
      <c r="U200" s="766"/>
      <c r="V200" s="766"/>
      <c r="W200" s="767"/>
      <c r="X200" s="768"/>
      <c r="Y200" s="769"/>
      <c r="Z200" s="768"/>
      <c r="AA200" s="353"/>
      <c r="AB200" s="353"/>
      <c r="AC200" s="353"/>
      <c r="AD200" s="393"/>
      <c r="AE200" s="353"/>
      <c r="AF200" s="353"/>
      <c r="AG200" s="353"/>
      <c r="AH200" s="393"/>
      <c r="AI200" s="394"/>
    </row>
    <row r="201">
      <c r="A201" s="344"/>
      <c r="B201" s="344"/>
      <c r="C201" s="344"/>
      <c r="D201" s="344"/>
      <c r="E201" s="387"/>
      <c r="F201" s="387"/>
      <c r="G201" s="346"/>
      <c r="H201" s="404"/>
      <c r="I201" s="347"/>
      <c r="J201" s="348"/>
      <c r="K201" s="349"/>
      <c r="L201" s="296"/>
      <c r="M201" s="347"/>
      <c r="N201" s="350"/>
      <c r="O201" s="348"/>
      <c r="P201" s="348"/>
      <c r="Q201" s="404"/>
      <c r="R201" s="347"/>
      <c r="S201" s="351"/>
      <c r="T201" s="765"/>
      <c r="U201" s="766"/>
      <c r="V201" s="766"/>
      <c r="W201" s="767"/>
      <c r="X201" s="768"/>
      <c r="Y201" s="769"/>
      <c r="Z201" s="768"/>
      <c r="AA201" s="353"/>
      <c r="AB201" s="353"/>
      <c r="AC201" s="353"/>
      <c r="AD201" s="393"/>
      <c r="AE201" s="353"/>
      <c r="AF201" s="353"/>
      <c r="AG201" s="353"/>
      <c r="AH201" s="393"/>
      <c r="AI201" s="394"/>
    </row>
    <row r="202">
      <c r="A202" s="344"/>
      <c r="B202" s="344"/>
      <c r="C202" s="344"/>
      <c r="D202" s="344"/>
      <c r="E202" s="387"/>
      <c r="F202" s="387"/>
      <c r="G202" s="346"/>
      <c r="H202" s="404"/>
      <c r="I202" s="347"/>
      <c r="J202" s="348"/>
      <c r="K202" s="349"/>
      <c r="L202" s="296"/>
      <c r="M202" s="347"/>
      <c r="N202" s="350"/>
      <c r="O202" s="348"/>
      <c r="P202" s="348"/>
      <c r="Q202" s="404"/>
      <c r="R202" s="347"/>
      <c r="S202" s="351"/>
      <c r="T202" s="765"/>
      <c r="U202" s="766"/>
      <c r="V202" s="766"/>
      <c r="W202" s="767"/>
      <c r="X202" s="768"/>
      <c r="Y202" s="769"/>
      <c r="Z202" s="768"/>
      <c r="AA202" s="353"/>
      <c r="AB202" s="353"/>
      <c r="AC202" s="353"/>
      <c r="AD202" s="393"/>
      <c r="AE202" s="353"/>
      <c r="AF202" s="353"/>
      <c r="AG202" s="353"/>
      <c r="AH202" s="393"/>
      <c r="AI202" s="394"/>
    </row>
    <row r="203">
      <c r="A203" s="344"/>
      <c r="B203" s="344"/>
      <c r="C203" s="344"/>
      <c r="D203" s="344"/>
      <c r="E203" s="387"/>
      <c r="F203" s="387"/>
      <c r="G203" s="346"/>
      <c r="H203" s="404"/>
      <c r="I203" s="347"/>
      <c r="J203" s="348"/>
      <c r="K203" s="349"/>
      <c r="L203" s="296"/>
      <c r="M203" s="347"/>
      <c r="N203" s="350"/>
      <c r="O203" s="348"/>
      <c r="P203" s="348"/>
      <c r="Q203" s="404"/>
      <c r="R203" s="347"/>
      <c r="S203" s="351"/>
      <c r="T203" s="765"/>
      <c r="U203" s="766"/>
      <c r="V203" s="766"/>
      <c r="W203" s="767"/>
      <c r="X203" s="768"/>
      <c r="Y203" s="769"/>
      <c r="Z203" s="768"/>
      <c r="AA203" s="353"/>
      <c r="AB203" s="353"/>
      <c r="AC203" s="353"/>
      <c r="AD203" s="393"/>
      <c r="AE203" s="353"/>
      <c r="AF203" s="353"/>
      <c r="AG203" s="353"/>
      <c r="AH203" s="393"/>
      <c r="AI203" s="394"/>
    </row>
    <row r="204">
      <c r="A204" s="344"/>
      <c r="B204" s="344"/>
      <c r="C204" s="344"/>
      <c r="D204" s="344"/>
      <c r="E204" s="387"/>
      <c r="F204" s="387"/>
      <c r="G204" s="346"/>
      <c r="H204" s="404"/>
      <c r="I204" s="347"/>
      <c r="J204" s="348"/>
      <c r="K204" s="349"/>
      <c r="L204" s="296"/>
      <c r="M204" s="347"/>
      <c r="N204" s="350"/>
      <c r="O204" s="348"/>
      <c r="P204" s="348"/>
      <c r="Q204" s="404"/>
      <c r="R204" s="347"/>
      <c r="S204" s="351"/>
      <c r="T204" s="765"/>
      <c r="U204" s="766"/>
      <c r="V204" s="766"/>
      <c r="W204" s="767"/>
      <c r="X204" s="768"/>
      <c r="Y204" s="769"/>
      <c r="Z204" s="768"/>
      <c r="AA204" s="353"/>
      <c r="AB204" s="353"/>
      <c r="AC204" s="353"/>
      <c r="AD204" s="393"/>
      <c r="AE204" s="353"/>
      <c r="AF204" s="353"/>
      <c r="AG204" s="353"/>
      <c r="AH204" s="393"/>
      <c r="AI204" s="394"/>
    </row>
    <row r="205">
      <c r="A205" s="344"/>
      <c r="B205" s="344"/>
      <c r="C205" s="344"/>
      <c r="D205" s="344"/>
      <c r="E205" s="387"/>
      <c r="F205" s="387"/>
      <c r="G205" s="346"/>
      <c r="H205" s="404"/>
      <c r="I205" s="347"/>
      <c r="J205" s="348"/>
      <c r="K205" s="349"/>
      <c r="L205" s="296"/>
      <c r="M205" s="347"/>
      <c r="N205" s="350"/>
      <c r="O205" s="348"/>
      <c r="P205" s="348"/>
      <c r="Q205" s="404"/>
      <c r="R205" s="347"/>
      <c r="S205" s="351"/>
      <c r="T205" s="765"/>
      <c r="U205" s="766"/>
      <c r="V205" s="766"/>
      <c r="W205" s="767"/>
      <c r="X205" s="768"/>
      <c r="Y205" s="769"/>
      <c r="Z205" s="768"/>
      <c r="AA205" s="353"/>
      <c r="AB205" s="353"/>
      <c r="AC205" s="353"/>
      <c r="AD205" s="393"/>
      <c r="AE205" s="353"/>
      <c r="AF205" s="353"/>
      <c r="AG205" s="353"/>
      <c r="AH205" s="393"/>
      <c r="AI205" s="394"/>
    </row>
    <row r="206">
      <c r="A206" s="344"/>
      <c r="B206" s="344"/>
      <c r="C206" s="344"/>
      <c r="D206" s="344"/>
      <c r="E206" s="387"/>
      <c r="F206" s="387"/>
      <c r="G206" s="346"/>
      <c r="H206" s="404"/>
      <c r="I206" s="347"/>
      <c r="J206" s="348"/>
      <c r="K206" s="349"/>
      <c r="L206" s="296"/>
      <c r="M206" s="347"/>
      <c r="N206" s="350"/>
      <c r="O206" s="348"/>
      <c r="P206" s="348"/>
      <c r="Q206" s="404"/>
      <c r="R206" s="347"/>
      <c r="S206" s="351"/>
      <c r="T206" s="765"/>
      <c r="U206" s="766"/>
      <c r="V206" s="766"/>
      <c r="W206" s="767"/>
      <c r="X206" s="768"/>
      <c r="Y206" s="769"/>
      <c r="Z206" s="768"/>
      <c r="AA206" s="353"/>
      <c r="AB206" s="353"/>
      <c r="AC206" s="353"/>
      <c r="AD206" s="393"/>
      <c r="AE206" s="353"/>
      <c r="AF206" s="353"/>
      <c r="AG206" s="353"/>
      <c r="AH206" s="393"/>
      <c r="AI206" s="394"/>
    </row>
    <row r="207">
      <c r="A207" s="344"/>
      <c r="B207" s="344"/>
      <c r="C207" s="344"/>
      <c r="D207" s="344"/>
      <c r="E207" s="387"/>
      <c r="F207" s="387"/>
      <c r="G207" s="346"/>
      <c r="H207" s="404"/>
      <c r="I207" s="347"/>
      <c r="J207" s="348"/>
      <c r="K207" s="349"/>
      <c r="L207" s="296"/>
      <c r="M207" s="347"/>
      <c r="N207" s="350"/>
      <c r="O207" s="348"/>
      <c r="P207" s="348"/>
      <c r="Q207" s="404"/>
      <c r="R207" s="347"/>
      <c r="S207" s="351"/>
      <c r="T207" s="765"/>
      <c r="U207" s="766"/>
      <c r="V207" s="766"/>
      <c r="W207" s="767"/>
      <c r="X207" s="768"/>
      <c r="Y207" s="769"/>
      <c r="Z207" s="768"/>
      <c r="AA207" s="353"/>
      <c r="AB207" s="353"/>
      <c r="AC207" s="353"/>
      <c r="AD207" s="393"/>
      <c r="AE207" s="353"/>
      <c r="AF207" s="353"/>
      <c r="AG207" s="353"/>
      <c r="AH207" s="393"/>
      <c r="AI207" s="394"/>
    </row>
    <row r="208">
      <c r="A208" s="344"/>
      <c r="B208" s="344"/>
      <c r="C208" s="344"/>
      <c r="D208" s="344"/>
      <c r="E208" s="387"/>
      <c r="F208" s="387"/>
      <c r="G208" s="346"/>
      <c r="H208" s="404"/>
      <c r="I208" s="347"/>
      <c r="J208" s="348"/>
      <c r="K208" s="349"/>
      <c r="L208" s="296"/>
      <c r="M208" s="347"/>
      <c r="N208" s="350"/>
      <c r="O208" s="348"/>
      <c r="P208" s="348"/>
      <c r="Q208" s="404"/>
      <c r="R208" s="347"/>
      <c r="S208" s="351"/>
      <c r="T208" s="765"/>
      <c r="U208" s="766"/>
      <c r="V208" s="766"/>
      <c r="W208" s="767"/>
      <c r="X208" s="768"/>
      <c r="Y208" s="769"/>
      <c r="Z208" s="768"/>
      <c r="AA208" s="353"/>
      <c r="AB208" s="353"/>
      <c r="AC208" s="353"/>
      <c r="AD208" s="393"/>
      <c r="AE208" s="353"/>
      <c r="AF208" s="353"/>
      <c r="AG208" s="353"/>
      <c r="AH208" s="393"/>
      <c r="AI208" s="394"/>
    </row>
    <row r="209">
      <c r="A209" s="344"/>
      <c r="B209" s="344"/>
      <c r="C209" s="344"/>
      <c r="D209" s="344"/>
      <c r="E209" s="387"/>
      <c r="F209" s="387"/>
      <c r="G209" s="346"/>
      <c r="H209" s="404"/>
      <c r="I209" s="347"/>
      <c r="J209" s="348"/>
      <c r="K209" s="349"/>
      <c r="L209" s="296"/>
      <c r="M209" s="347"/>
      <c r="N209" s="350"/>
      <c r="O209" s="348"/>
      <c r="P209" s="348"/>
      <c r="Q209" s="404"/>
      <c r="R209" s="347"/>
      <c r="S209" s="351"/>
      <c r="T209" s="765"/>
      <c r="U209" s="766"/>
      <c r="V209" s="766"/>
      <c r="W209" s="767"/>
      <c r="X209" s="768"/>
      <c r="Y209" s="769"/>
      <c r="Z209" s="768"/>
      <c r="AA209" s="353"/>
      <c r="AB209" s="353"/>
      <c r="AC209" s="353"/>
      <c r="AD209" s="393"/>
      <c r="AE209" s="353"/>
      <c r="AF209" s="353"/>
      <c r="AG209" s="353"/>
      <c r="AH209" s="393"/>
      <c r="AI209" s="394"/>
    </row>
    <row r="210">
      <c r="A210" s="392"/>
      <c r="B210" s="344"/>
      <c r="C210" s="344"/>
      <c r="D210" s="344"/>
      <c r="E210" s="387"/>
      <c r="F210" s="387"/>
      <c r="G210" s="346"/>
      <c r="H210" s="404"/>
      <c r="I210" s="347"/>
      <c r="J210" s="348"/>
      <c r="K210" s="349"/>
      <c r="L210" s="296"/>
      <c r="M210" s="347"/>
      <c r="N210" s="350"/>
      <c r="O210" s="348"/>
      <c r="P210" s="348"/>
      <c r="Q210" s="404"/>
      <c r="R210" s="347"/>
      <c r="S210" s="351"/>
      <c r="T210" s="765"/>
      <c r="U210" s="766"/>
      <c r="V210" s="766"/>
      <c r="W210" s="767"/>
      <c r="X210" s="768"/>
      <c r="Y210" s="769"/>
      <c r="Z210" s="768"/>
      <c r="AA210" s="353"/>
      <c r="AB210" s="353"/>
      <c r="AC210" s="353"/>
      <c r="AD210" s="393"/>
      <c r="AE210" s="353"/>
      <c r="AF210" s="353"/>
      <c r="AG210" s="353"/>
      <c r="AH210" s="393"/>
      <c r="AI210" s="394"/>
    </row>
    <row r="211">
      <c r="A211" s="392"/>
      <c r="B211" s="344"/>
      <c r="C211" s="344"/>
      <c r="D211" s="344"/>
      <c r="E211" s="387"/>
      <c r="F211" s="387"/>
      <c r="G211" s="346"/>
      <c r="H211" s="404"/>
      <c r="I211" s="347"/>
      <c r="J211" s="348"/>
      <c r="K211" s="349"/>
      <c r="L211" s="296"/>
      <c r="M211" s="347"/>
      <c r="N211" s="350"/>
      <c r="O211" s="348"/>
      <c r="P211" s="348"/>
      <c r="Q211" s="404"/>
      <c r="R211" s="347"/>
      <c r="S211" s="351"/>
      <c r="T211" s="765"/>
      <c r="U211" s="766"/>
      <c r="V211" s="766"/>
      <c r="W211" s="767"/>
      <c r="X211" s="768"/>
      <c r="Y211" s="769"/>
      <c r="Z211" s="768"/>
      <c r="AA211" s="353"/>
      <c r="AB211" s="353"/>
      <c r="AC211" s="353"/>
      <c r="AD211" s="393"/>
      <c r="AE211" s="353"/>
      <c r="AF211" s="353"/>
      <c r="AG211" s="353"/>
      <c r="AH211" s="393"/>
      <c r="AI211" s="394"/>
    </row>
    <row r="212">
      <c r="A212" s="344"/>
      <c r="B212" s="344"/>
      <c r="C212" s="344"/>
      <c r="D212" s="344"/>
      <c r="E212" s="387"/>
      <c r="F212" s="387"/>
      <c r="G212" s="346"/>
      <c r="H212" s="404"/>
      <c r="I212" s="347"/>
      <c r="J212" s="348"/>
      <c r="K212" s="349"/>
      <c r="L212" s="296"/>
      <c r="M212" s="347"/>
      <c r="N212" s="350"/>
      <c r="O212" s="348"/>
      <c r="P212" s="348"/>
      <c r="Q212" s="404"/>
      <c r="R212" s="347"/>
      <c r="S212" s="351"/>
      <c r="T212" s="765"/>
      <c r="U212" s="766"/>
      <c r="V212" s="766"/>
      <c r="W212" s="767"/>
      <c r="X212" s="768"/>
      <c r="Y212" s="769"/>
      <c r="Z212" s="768"/>
      <c r="AA212" s="353"/>
      <c r="AB212" s="353"/>
      <c r="AC212" s="353"/>
      <c r="AD212" s="393"/>
      <c r="AE212" s="353"/>
      <c r="AF212" s="353"/>
      <c r="AG212" s="353"/>
      <c r="AH212" s="393"/>
      <c r="AI212" s="394"/>
    </row>
    <row r="213">
      <c r="A213" s="344"/>
      <c r="B213" s="344"/>
      <c r="C213" s="344"/>
      <c r="D213" s="344"/>
      <c r="E213" s="387"/>
      <c r="F213" s="387"/>
      <c r="G213" s="346"/>
      <c r="H213" s="404"/>
      <c r="I213" s="347"/>
      <c r="J213" s="348"/>
      <c r="K213" s="349"/>
      <c r="L213" s="296"/>
      <c r="M213" s="347"/>
      <c r="N213" s="350"/>
      <c r="O213" s="348"/>
      <c r="P213" s="348"/>
      <c r="Q213" s="404"/>
      <c r="R213" s="347"/>
      <c r="S213" s="351"/>
      <c r="T213" s="765"/>
      <c r="U213" s="766"/>
      <c r="V213" s="766"/>
      <c r="W213" s="767"/>
      <c r="X213" s="768"/>
      <c r="Y213" s="769"/>
      <c r="Z213" s="768"/>
      <c r="AA213" s="353"/>
      <c r="AB213" s="353"/>
      <c r="AC213" s="353"/>
      <c r="AD213" s="393"/>
      <c r="AE213" s="353"/>
      <c r="AF213" s="353"/>
      <c r="AG213" s="353"/>
      <c r="AH213" s="393"/>
      <c r="AI213" s="394"/>
    </row>
    <row r="214">
      <c r="A214" s="344"/>
      <c r="B214" s="344"/>
      <c r="C214" s="344"/>
      <c r="D214" s="344"/>
      <c r="E214" s="345"/>
      <c r="F214" s="345"/>
      <c r="G214" s="346"/>
      <c r="H214" s="404"/>
      <c r="I214" s="347"/>
      <c r="J214" s="348"/>
      <c r="K214" s="349"/>
      <c r="L214" s="296"/>
      <c r="M214" s="347"/>
      <c r="N214" s="350"/>
      <c r="O214" s="348"/>
      <c r="P214" s="348"/>
      <c r="Q214" s="404"/>
      <c r="R214" s="347"/>
      <c r="S214" s="351"/>
      <c r="T214" s="765"/>
      <c r="U214" s="766"/>
      <c r="V214" s="766"/>
      <c r="W214" s="767"/>
      <c r="X214" s="768"/>
      <c r="Y214" s="405"/>
      <c r="Z214" s="768"/>
      <c r="AA214" s="353"/>
      <c r="AB214" s="353"/>
      <c r="AC214" s="353"/>
      <c r="AD214" s="393"/>
      <c r="AE214" s="353"/>
      <c r="AF214" s="353"/>
      <c r="AG214" s="353"/>
      <c r="AH214" s="393"/>
      <c r="AI214" s="394"/>
    </row>
    <row r="215">
      <c r="A215" s="344"/>
      <c r="B215" s="344"/>
      <c r="C215" s="344"/>
      <c r="D215" s="344"/>
      <c r="E215" s="345"/>
      <c r="F215" s="387"/>
      <c r="G215" s="346"/>
      <c r="H215" s="404"/>
      <c r="I215" s="347"/>
      <c r="J215" s="348"/>
      <c r="K215" s="349"/>
      <c r="L215" s="296"/>
      <c r="M215" s="347"/>
      <c r="N215" s="350"/>
      <c r="O215" s="348"/>
      <c r="P215" s="348"/>
      <c r="Q215" s="404"/>
      <c r="R215" s="347"/>
      <c r="S215" s="351"/>
      <c r="T215" s="765"/>
      <c r="U215" s="766"/>
      <c r="V215" s="766"/>
      <c r="W215" s="767"/>
      <c r="X215" s="768"/>
      <c r="Y215" s="769"/>
      <c r="Z215" s="768"/>
      <c r="AA215" s="353"/>
      <c r="AB215" s="353"/>
      <c r="AC215" s="353"/>
      <c r="AD215" s="393"/>
      <c r="AE215" s="353"/>
      <c r="AF215" s="353"/>
      <c r="AG215" s="353"/>
      <c r="AH215" s="393"/>
      <c r="AI215" s="394"/>
    </row>
    <row r="216">
      <c r="A216" s="344"/>
      <c r="B216" s="344"/>
      <c r="C216" s="344"/>
      <c r="D216" s="344"/>
      <c r="E216" s="387"/>
      <c r="F216" s="387"/>
      <c r="G216" s="346"/>
      <c r="H216" s="404"/>
      <c r="I216" s="347"/>
      <c r="J216" s="348"/>
      <c r="K216" s="349"/>
      <c r="L216" s="296"/>
      <c r="M216" s="347"/>
      <c r="N216" s="350"/>
      <c r="O216" s="348"/>
      <c r="P216" s="348"/>
      <c r="Q216" s="404"/>
      <c r="R216" s="347"/>
      <c r="S216" s="351"/>
      <c r="T216" s="765"/>
      <c r="U216" s="766"/>
      <c r="V216" s="766"/>
      <c r="W216" s="767"/>
      <c r="X216" s="768"/>
      <c r="Y216" s="769"/>
      <c r="Z216" s="768"/>
      <c r="AA216" s="353"/>
      <c r="AB216" s="353"/>
      <c r="AC216" s="353"/>
      <c r="AD216" s="393"/>
      <c r="AE216" s="353"/>
      <c r="AF216" s="353"/>
      <c r="AG216" s="353"/>
      <c r="AH216" s="393"/>
      <c r="AI216" s="394"/>
    </row>
    <row r="217">
      <c r="A217" s="344"/>
      <c r="B217" s="344"/>
      <c r="C217" s="344"/>
      <c r="D217" s="344"/>
      <c r="E217" s="387"/>
      <c r="F217" s="387"/>
      <c r="G217" s="346"/>
      <c r="H217" s="404"/>
      <c r="I217" s="347"/>
      <c r="J217" s="348"/>
      <c r="K217" s="349"/>
      <c r="L217" s="296"/>
      <c r="M217" s="347"/>
      <c r="N217" s="350"/>
      <c r="O217" s="348"/>
      <c r="P217" s="348"/>
      <c r="Q217" s="404"/>
      <c r="R217" s="347"/>
      <c r="S217" s="351"/>
      <c r="T217" s="765"/>
      <c r="U217" s="766"/>
      <c r="V217" s="766"/>
      <c r="W217" s="767"/>
      <c r="X217" s="768"/>
      <c r="Y217" s="769"/>
      <c r="Z217" s="768"/>
      <c r="AA217" s="353"/>
      <c r="AB217" s="353"/>
      <c r="AC217" s="353"/>
      <c r="AD217" s="393"/>
      <c r="AE217" s="353"/>
      <c r="AF217" s="353"/>
      <c r="AG217" s="353"/>
      <c r="AH217" s="393"/>
      <c r="AI217" s="394"/>
    </row>
    <row r="218">
      <c r="A218" s="344"/>
      <c r="B218" s="344"/>
      <c r="C218" s="344"/>
      <c r="D218" s="344"/>
      <c r="E218" s="387"/>
      <c r="F218" s="387"/>
      <c r="G218" s="346"/>
      <c r="H218" s="404"/>
      <c r="I218" s="347"/>
      <c r="J218" s="348"/>
      <c r="K218" s="349"/>
      <c r="L218" s="296"/>
      <c r="M218" s="347"/>
      <c r="N218" s="350"/>
      <c r="O218" s="348"/>
      <c r="P218" s="348"/>
      <c r="Q218" s="404"/>
      <c r="R218" s="347"/>
      <c r="S218" s="351"/>
      <c r="T218" s="765"/>
      <c r="U218" s="766"/>
      <c r="V218" s="766"/>
      <c r="W218" s="767"/>
      <c r="X218" s="768"/>
      <c r="Y218" s="769"/>
      <c r="Z218" s="768"/>
      <c r="AA218" s="353"/>
      <c r="AB218" s="353"/>
      <c r="AC218" s="353"/>
      <c r="AD218" s="393"/>
      <c r="AE218" s="353"/>
      <c r="AF218" s="353"/>
      <c r="AG218" s="353"/>
      <c r="AH218" s="393"/>
      <c r="AI218" s="394"/>
    </row>
    <row r="219">
      <c r="A219" s="344"/>
      <c r="B219" s="344"/>
      <c r="C219" s="344"/>
      <c r="D219" s="344"/>
      <c r="E219" s="387"/>
      <c r="F219" s="387"/>
      <c r="G219" s="346"/>
      <c r="H219" s="404"/>
      <c r="I219" s="347"/>
      <c r="J219" s="348"/>
      <c r="K219" s="349"/>
      <c r="L219" s="296"/>
      <c r="M219" s="347"/>
      <c r="N219" s="350"/>
      <c r="O219" s="348"/>
      <c r="P219" s="348"/>
      <c r="Q219" s="404"/>
      <c r="R219" s="347"/>
      <c r="S219" s="351"/>
      <c r="T219" s="765"/>
      <c r="U219" s="766"/>
      <c r="V219" s="766"/>
      <c r="W219" s="767"/>
      <c r="X219" s="768"/>
      <c r="Y219" s="769"/>
      <c r="Z219" s="768"/>
      <c r="AA219" s="353"/>
      <c r="AB219" s="353"/>
      <c r="AC219" s="353"/>
      <c r="AD219" s="393"/>
      <c r="AE219" s="353"/>
      <c r="AF219" s="353"/>
      <c r="AG219" s="353"/>
      <c r="AH219" s="393"/>
      <c r="AI219" s="394"/>
    </row>
    <row r="220">
      <c r="A220" s="344"/>
      <c r="B220" s="344"/>
      <c r="C220" s="344"/>
      <c r="D220" s="344"/>
      <c r="E220" s="387"/>
      <c r="F220" s="387"/>
      <c r="G220" s="346"/>
      <c r="H220" s="404"/>
      <c r="I220" s="347"/>
      <c r="J220" s="348"/>
      <c r="K220" s="349"/>
      <c r="L220" s="296"/>
      <c r="M220" s="347"/>
      <c r="N220" s="350"/>
      <c r="O220" s="348"/>
      <c r="P220" s="348"/>
      <c r="Q220" s="404"/>
      <c r="R220" s="347"/>
      <c r="S220" s="351"/>
      <c r="T220" s="765"/>
      <c r="U220" s="766"/>
      <c r="V220" s="766"/>
      <c r="W220" s="767"/>
      <c r="X220" s="768"/>
      <c r="Y220" s="769"/>
      <c r="Z220" s="768"/>
      <c r="AA220" s="353"/>
      <c r="AB220" s="353"/>
      <c r="AC220" s="353"/>
      <c r="AD220" s="393"/>
      <c r="AE220" s="353"/>
      <c r="AF220" s="353"/>
      <c r="AG220" s="353"/>
      <c r="AH220" s="393"/>
      <c r="AI220" s="394"/>
    </row>
    <row r="221">
      <c r="A221" s="344"/>
      <c r="B221" s="344"/>
      <c r="C221" s="344"/>
      <c r="D221" s="344"/>
      <c r="E221" s="387"/>
      <c r="F221" s="387"/>
      <c r="G221" s="346"/>
      <c r="H221" s="404"/>
      <c r="I221" s="347"/>
      <c r="J221" s="348"/>
      <c r="K221" s="349"/>
      <c r="L221" s="296"/>
      <c r="M221" s="347"/>
      <c r="N221" s="350"/>
      <c r="O221" s="348"/>
      <c r="P221" s="348"/>
      <c r="Q221" s="404"/>
      <c r="R221" s="347"/>
      <c r="S221" s="351"/>
      <c r="T221" s="765"/>
      <c r="U221" s="766"/>
      <c r="V221" s="766"/>
      <c r="W221" s="767"/>
      <c r="X221" s="768"/>
      <c r="Y221" s="769"/>
      <c r="Z221" s="768"/>
      <c r="AA221" s="353"/>
      <c r="AB221" s="353"/>
      <c r="AC221" s="353"/>
      <c r="AD221" s="393"/>
      <c r="AE221" s="353"/>
      <c r="AF221" s="353"/>
      <c r="AG221" s="353"/>
      <c r="AH221" s="393"/>
      <c r="AI221" s="394"/>
    </row>
    <row r="222">
      <c r="A222" s="344"/>
      <c r="B222" s="344"/>
      <c r="C222" s="344"/>
      <c r="D222" s="344"/>
      <c r="E222" s="345"/>
      <c r="F222" s="345"/>
      <c r="G222" s="346"/>
      <c r="H222" s="404"/>
      <c r="I222" s="347"/>
      <c r="J222" s="348"/>
      <c r="K222" s="349"/>
      <c r="L222" s="296"/>
      <c r="M222" s="347"/>
      <c r="N222" s="350"/>
      <c r="O222" s="348"/>
      <c r="P222" s="348"/>
      <c r="Q222" s="404"/>
      <c r="R222" s="347"/>
      <c r="S222" s="351"/>
      <c r="T222" s="765"/>
      <c r="U222" s="766"/>
      <c r="V222" s="766"/>
      <c r="W222" s="767"/>
      <c r="X222" s="768"/>
      <c r="Y222" s="405"/>
      <c r="Z222" s="768"/>
      <c r="AA222" s="353"/>
      <c r="AB222" s="353"/>
      <c r="AC222" s="353"/>
      <c r="AD222" s="393"/>
      <c r="AE222" s="353"/>
      <c r="AF222" s="353"/>
      <c r="AG222" s="353"/>
      <c r="AH222" s="393"/>
      <c r="AI222" s="394"/>
    </row>
    <row r="223">
      <c r="A223" s="344"/>
      <c r="B223" s="344"/>
      <c r="C223" s="344"/>
      <c r="D223" s="344"/>
      <c r="E223" s="345"/>
      <c r="F223" s="345"/>
      <c r="G223" s="346"/>
      <c r="H223" s="404"/>
      <c r="I223" s="347"/>
      <c r="J223" s="348"/>
      <c r="K223" s="349"/>
      <c r="L223" s="296"/>
      <c r="M223" s="347"/>
      <c r="N223" s="350"/>
      <c r="O223" s="348"/>
      <c r="P223" s="348"/>
      <c r="Q223" s="404"/>
      <c r="R223" s="347"/>
      <c r="S223" s="351"/>
      <c r="T223" s="765"/>
      <c r="U223" s="766"/>
      <c r="V223" s="766"/>
      <c r="W223" s="767"/>
      <c r="X223" s="768"/>
      <c r="Y223" s="405"/>
      <c r="Z223" s="768"/>
      <c r="AA223" s="353"/>
      <c r="AB223" s="353"/>
      <c r="AC223" s="353"/>
      <c r="AD223" s="393"/>
      <c r="AE223" s="353"/>
      <c r="AF223" s="353"/>
      <c r="AG223" s="353"/>
      <c r="AH223" s="393"/>
      <c r="AI223" s="394"/>
    </row>
    <row r="224">
      <c r="A224" s="344"/>
      <c r="B224" s="344"/>
      <c r="C224" s="344"/>
      <c r="D224" s="344"/>
      <c r="E224" s="377"/>
      <c r="F224" s="345"/>
      <c r="G224" s="346"/>
      <c r="H224" s="404"/>
      <c r="I224" s="347"/>
      <c r="J224" s="348"/>
      <c r="K224" s="349"/>
      <c r="L224" s="296"/>
      <c r="M224" s="347"/>
      <c r="N224" s="350"/>
      <c r="O224" s="348"/>
      <c r="P224" s="348"/>
      <c r="Q224" s="404"/>
      <c r="R224" s="347"/>
      <c r="S224" s="351"/>
      <c r="T224" s="765"/>
      <c r="U224" s="766"/>
      <c r="V224" s="766"/>
      <c r="W224" s="767"/>
      <c r="X224" s="768"/>
      <c r="Y224" s="405"/>
      <c r="Z224" s="768"/>
      <c r="AA224" s="353"/>
      <c r="AB224" s="353"/>
      <c r="AC224" s="353"/>
      <c r="AD224" s="393"/>
      <c r="AE224" s="353"/>
      <c r="AF224" s="353"/>
      <c r="AG224" s="353"/>
      <c r="AH224" s="393"/>
      <c r="AI224" s="394"/>
    </row>
    <row r="225">
      <c r="A225" s="344"/>
      <c r="B225" s="344"/>
      <c r="C225" s="344"/>
      <c r="D225" s="344"/>
      <c r="E225" s="377"/>
      <c r="F225" s="345"/>
      <c r="G225" s="378"/>
      <c r="H225" s="404"/>
      <c r="I225" s="347"/>
      <c r="J225" s="348"/>
      <c r="K225" s="349"/>
      <c r="L225" s="296"/>
      <c r="M225" s="347"/>
      <c r="N225" s="350"/>
      <c r="O225" s="348"/>
      <c r="P225" s="348"/>
      <c r="Q225" s="404"/>
      <c r="R225" s="347"/>
      <c r="S225" s="351"/>
      <c r="T225" s="765"/>
      <c r="U225" s="766"/>
      <c r="V225" s="766"/>
      <c r="W225" s="767"/>
      <c r="X225" s="768"/>
      <c r="Y225" s="405"/>
      <c r="Z225" s="768"/>
      <c r="AA225" s="353"/>
      <c r="AB225" s="353"/>
      <c r="AC225" s="353"/>
      <c r="AD225" s="393"/>
      <c r="AE225" s="353"/>
      <c r="AF225" s="353"/>
      <c r="AG225" s="353"/>
      <c r="AH225" s="393"/>
      <c r="AI225" s="394"/>
    </row>
    <row r="226">
      <c r="A226" s="344"/>
      <c r="B226" s="344"/>
      <c r="C226" s="344"/>
      <c r="D226" s="344"/>
      <c r="E226" s="377"/>
      <c r="F226" s="345"/>
      <c r="G226" s="378"/>
      <c r="H226" s="404"/>
      <c r="I226" s="347"/>
      <c r="J226" s="348"/>
      <c r="K226" s="349"/>
      <c r="L226" s="296"/>
      <c r="M226" s="347"/>
      <c r="N226" s="350"/>
      <c r="O226" s="348"/>
      <c r="P226" s="348"/>
      <c r="Q226" s="404"/>
      <c r="R226" s="347"/>
      <c r="S226" s="351"/>
      <c r="T226" s="765"/>
      <c r="U226" s="766"/>
      <c r="V226" s="766"/>
      <c r="W226" s="767"/>
      <c r="X226" s="768"/>
      <c r="Y226" s="405"/>
      <c r="Z226" s="768"/>
      <c r="AA226" s="353"/>
      <c r="AB226" s="353"/>
      <c r="AC226" s="353"/>
      <c r="AD226" s="393"/>
      <c r="AE226" s="353"/>
      <c r="AF226" s="353"/>
      <c r="AG226" s="353"/>
      <c r="AH226" s="393"/>
      <c r="AI226" s="394"/>
    </row>
    <row r="227">
      <c r="A227" s="344"/>
      <c r="B227" s="344"/>
      <c r="C227" s="344"/>
      <c r="D227" s="344"/>
      <c r="E227" s="377"/>
      <c r="F227" s="345"/>
      <c r="G227" s="378"/>
      <c r="H227" s="404"/>
      <c r="I227" s="347"/>
      <c r="J227" s="348"/>
      <c r="K227" s="349"/>
      <c r="L227" s="296"/>
      <c r="M227" s="347"/>
      <c r="N227" s="350"/>
      <c r="O227" s="348"/>
      <c r="P227" s="348"/>
      <c r="Q227" s="404"/>
      <c r="R227" s="347"/>
      <c r="S227" s="351"/>
      <c r="T227" s="765"/>
      <c r="U227" s="766"/>
      <c r="V227" s="766"/>
      <c r="W227" s="767"/>
      <c r="X227" s="768"/>
      <c r="Y227" s="405"/>
      <c r="Z227" s="768"/>
      <c r="AA227" s="353"/>
      <c r="AB227" s="353"/>
      <c r="AC227" s="353"/>
      <c r="AD227" s="393"/>
      <c r="AE227" s="353"/>
      <c r="AF227" s="353"/>
      <c r="AG227" s="353"/>
      <c r="AH227" s="393"/>
      <c r="AI227" s="394"/>
    </row>
    <row r="228">
      <c r="A228" s="344"/>
      <c r="B228" s="344"/>
      <c r="C228" s="344"/>
      <c r="D228" s="344"/>
      <c r="E228" s="345"/>
      <c r="F228" s="345"/>
      <c r="G228" s="378"/>
      <c r="H228" s="404"/>
      <c r="I228" s="347"/>
      <c r="J228" s="348"/>
      <c r="K228" s="349"/>
      <c r="L228" s="296"/>
      <c r="M228" s="347"/>
      <c r="N228" s="350"/>
      <c r="O228" s="348"/>
      <c r="P228" s="348"/>
      <c r="Q228" s="404"/>
      <c r="R228" s="347"/>
      <c r="S228" s="351"/>
      <c r="T228" s="765"/>
      <c r="U228" s="766"/>
      <c r="V228" s="766"/>
      <c r="W228" s="767"/>
      <c r="X228" s="768"/>
      <c r="Y228" s="405"/>
      <c r="Z228" s="768"/>
      <c r="AA228" s="353"/>
      <c r="AB228" s="353"/>
      <c r="AC228" s="353"/>
      <c r="AD228" s="393"/>
      <c r="AE228" s="353"/>
      <c r="AF228" s="353"/>
      <c r="AG228" s="353"/>
      <c r="AH228" s="393"/>
      <c r="AI228" s="394"/>
    </row>
    <row r="229">
      <c r="A229" s="344"/>
      <c r="B229" s="344"/>
      <c r="C229" s="344"/>
      <c r="D229" s="344"/>
      <c r="E229" s="377"/>
      <c r="F229" s="345"/>
      <c r="G229" s="346"/>
      <c r="H229" s="404"/>
      <c r="I229" s="347"/>
      <c r="J229" s="348"/>
      <c r="K229" s="349"/>
      <c r="L229" s="296"/>
      <c r="M229" s="347"/>
      <c r="N229" s="350"/>
      <c r="O229" s="348"/>
      <c r="P229" s="348"/>
      <c r="Q229" s="404"/>
      <c r="R229" s="347"/>
      <c r="S229" s="351"/>
      <c r="T229" s="765"/>
      <c r="U229" s="766"/>
      <c r="V229" s="766"/>
      <c r="W229" s="767"/>
      <c r="X229" s="768"/>
      <c r="Y229" s="405"/>
      <c r="Z229" s="768"/>
      <c r="AA229" s="353"/>
      <c r="AB229" s="353"/>
      <c r="AC229" s="353"/>
      <c r="AD229" s="393"/>
      <c r="AE229" s="353"/>
      <c r="AF229" s="353"/>
      <c r="AG229" s="353"/>
      <c r="AH229" s="393"/>
      <c r="AI229" s="394"/>
    </row>
    <row r="230">
      <c r="A230" s="344"/>
      <c r="B230" s="344"/>
      <c r="C230" s="344"/>
      <c r="D230" s="344"/>
      <c r="E230" s="377"/>
      <c r="F230" s="345"/>
      <c r="G230" s="378"/>
      <c r="H230" s="404"/>
      <c r="I230" s="347"/>
      <c r="J230" s="348"/>
      <c r="K230" s="349"/>
      <c r="L230" s="296"/>
      <c r="M230" s="347"/>
      <c r="N230" s="350"/>
      <c r="O230" s="348"/>
      <c r="P230" s="348"/>
      <c r="Q230" s="404"/>
      <c r="R230" s="347"/>
      <c r="S230" s="351"/>
      <c r="T230" s="765"/>
      <c r="U230" s="766"/>
      <c r="V230" s="766"/>
      <c r="W230" s="767"/>
      <c r="X230" s="768"/>
      <c r="Y230" s="405"/>
      <c r="Z230" s="768"/>
      <c r="AA230" s="353"/>
      <c r="AB230" s="353"/>
      <c r="AC230" s="353"/>
      <c r="AD230" s="393"/>
      <c r="AE230" s="353"/>
      <c r="AF230" s="353"/>
      <c r="AG230" s="353"/>
      <c r="AH230" s="393"/>
      <c r="AI230" s="394"/>
    </row>
    <row r="231">
      <c r="A231" s="344"/>
      <c r="B231" s="344"/>
      <c r="C231" s="344"/>
      <c r="D231" s="344"/>
      <c r="E231" s="377"/>
      <c r="F231" s="345"/>
      <c r="G231" s="378"/>
      <c r="H231" s="404"/>
      <c r="I231" s="347"/>
      <c r="J231" s="348"/>
      <c r="K231" s="349"/>
      <c r="L231" s="296"/>
      <c r="M231" s="347"/>
      <c r="N231" s="350"/>
      <c r="O231" s="348"/>
      <c r="P231" s="348"/>
      <c r="Q231" s="404"/>
      <c r="R231" s="347"/>
      <c r="S231" s="351"/>
      <c r="T231" s="765"/>
      <c r="U231" s="766"/>
      <c r="V231" s="766"/>
      <c r="W231" s="767"/>
      <c r="X231" s="768"/>
      <c r="Y231" s="405"/>
      <c r="Z231" s="768"/>
      <c r="AA231" s="353"/>
      <c r="AB231" s="353"/>
      <c r="AC231" s="353"/>
      <c r="AD231" s="393"/>
      <c r="AE231" s="353"/>
      <c r="AF231" s="353"/>
      <c r="AG231" s="353"/>
      <c r="AH231" s="393"/>
      <c r="AI231" s="394"/>
    </row>
    <row r="232">
      <c r="A232" s="344"/>
      <c r="B232" s="344"/>
      <c r="C232" s="344"/>
      <c r="D232" s="344"/>
      <c r="E232" s="377"/>
      <c r="F232" s="345"/>
      <c r="G232" s="378"/>
      <c r="H232" s="404"/>
      <c r="I232" s="347"/>
      <c r="J232" s="348"/>
      <c r="K232" s="349"/>
      <c r="L232" s="296"/>
      <c r="M232" s="347"/>
      <c r="N232" s="350"/>
      <c r="O232" s="348"/>
      <c r="P232" s="348"/>
      <c r="Q232" s="404"/>
      <c r="R232" s="347"/>
      <c r="S232" s="351"/>
      <c r="T232" s="765"/>
      <c r="U232" s="766"/>
      <c r="V232" s="766"/>
      <c r="W232" s="767"/>
      <c r="X232" s="768"/>
      <c r="Y232" s="405"/>
      <c r="Z232" s="768"/>
      <c r="AA232" s="353"/>
      <c r="AB232" s="353"/>
      <c r="AC232" s="353"/>
      <c r="AD232" s="393"/>
      <c r="AE232" s="353"/>
      <c r="AF232" s="353"/>
      <c r="AG232" s="353"/>
      <c r="AH232" s="393"/>
      <c r="AI232" s="394"/>
    </row>
    <row r="233">
      <c r="A233" s="344"/>
      <c r="B233" s="344"/>
      <c r="C233" s="344"/>
      <c r="D233" s="344"/>
      <c r="E233" s="345"/>
      <c r="F233" s="345"/>
      <c r="G233" s="346"/>
      <c r="H233" s="404"/>
      <c r="I233" s="347"/>
      <c r="J233" s="348"/>
      <c r="K233" s="349"/>
      <c r="L233" s="296"/>
      <c r="M233" s="347"/>
      <c r="N233" s="350"/>
      <c r="O233" s="348"/>
      <c r="P233" s="348"/>
      <c r="Q233" s="404"/>
      <c r="R233" s="347"/>
      <c r="S233" s="351"/>
      <c r="T233" s="765"/>
      <c r="U233" s="766"/>
      <c r="V233" s="766"/>
      <c r="W233" s="767"/>
      <c r="X233" s="768"/>
      <c r="Y233" s="405"/>
      <c r="Z233" s="768"/>
      <c r="AA233" s="384"/>
      <c r="AB233" s="384"/>
      <c r="AC233" s="384"/>
      <c r="AD233" s="385"/>
      <c r="AE233" s="384"/>
      <c r="AF233" s="384"/>
      <c r="AG233" s="384"/>
      <c r="AH233" s="385"/>
      <c r="AI233" s="385"/>
    </row>
    <row r="234">
      <c r="A234" s="344"/>
      <c r="B234" s="344"/>
      <c r="C234" s="344"/>
      <c r="D234" s="344"/>
      <c r="E234" s="345"/>
      <c r="F234" s="345"/>
      <c r="G234" s="378"/>
      <c r="H234" s="404"/>
      <c r="I234" s="347"/>
      <c r="J234" s="348"/>
      <c r="K234" s="349"/>
      <c r="L234" s="296"/>
      <c r="M234" s="347"/>
      <c r="N234" s="350"/>
      <c r="O234" s="348"/>
      <c r="P234" s="348"/>
      <c r="Q234" s="404"/>
      <c r="R234" s="347"/>
      <c r="S234" s="351"/>
      <c r="T234" s="765"/>
      <c r="U234" s="766"/>
      <c r="V234" s="766"/>
      <c r="W234" s="767"/>
      <c r="X234" s="768"/>
      <c r="Y234" s="405"/>
      <c r="Z234" s="768"/>
      <c r="AA234" s="384"/>
      <c r="AB234" s="384"/>
      <c r="AC234" s="384"/>
      <c r="AD234" s="385"/>
      <c r="AE234" s="384"/>
      <c r="AF234" s="384"/>
      <c r="AG234" s="384"/>
      <c r="AH234" s="385"/>
      <c r="AI234" s="385"/>
    </row>
    <row r="235">
      <c r="A235" s="344"/>
      <c r="B235" s="344"/>
      <c r="C235" s="344"/>
      <c r="D235" s="344"/>
      <c r="E235" s="345"/>
      <c r="F235" s="345"/>
      <c r="G235" s="378"/>
      <c r="H235" s="404"/>
      <c r="I235" s="347"/>
      <c r="J235" s="348"/>
      <c r="K235" s="349"/>
      <c r="L235" s="296"/>
      <c r="M235" s="347"/>
      <c r="N235" s="350"/>
      <c r="O235" s="348"/>
      <c r="P235" s="348"/>
      <c r="Q235" s="404"/>
      <c r="R235" s="347"/>
      <c r="S235" s="351"/>
      <c r="T235" s="765"/>
      <c r="U235" s="766"/>
      <c r="V235" s="766"/>
      <c r="W235" s="767"/>
      <c r="X235" s="768"/>
      <c r="Y235" s="405"/>
      <c r="Z235" s="768"/>
      <c r="AA235" s="384"/>
      <c r="AB235" s="384"/>
      <c r="AC235" s="384"/>
      <c r="AD235" s="385"/>
      <c r="AE235" s="384"/>
      <c r="AF235" s="384"/>
      <c r="AG235" s="384"/>
      <c r="AH235" s="385"/>
      <c r="AI235" s="385"/>
    </row>
    <row r="236">
      <c r="A236" s="344"/>
      <c r="B236" s="344"/>
      <c r="C236" s="344"/>
      <c r="D236" s="344"/>
      <c r="E236" s="345"/>
      <c r="F236" s="345"/>
      <c r="G236" s="378"/>
      <c r="H236" s="404"/>
      <c r="I236" s="347"/>
      <c r="J236" s="348"/>
      <c r="K236" s="349"/>
      <c r="L236" s="296"/>
      <c r="M236" s="347"/>
      <c r="N236" s="350"/>
      <c r="O236" s="348"/>
      <c r="P236" s="348"/>
      <c r="Q236" s="404"/>
      <c r="R236" s="347"/>
      <c r="S236" s="351"/>
      <c r="T236" s="765"/>
      <c r="U236" s="766"/>
      <c r="V236" s="766"/>
      <c r="W236" s="767"/>
      <c r="X236" s="768"/>
      <c r="Y236" s="405"/>
      <c r="Z236" s="768"/>
      <c r="AA236" s="384"/>
      <c r="AB236" s="384"/>
      <c r="AC236" s="384"/>
      <c r="AD236" s="385"/>
      <c r="AE236" s="384"/>
      <c r="AF236" s="384"/>
      <c r="AG236" s="384"/>
      <c r="AH236" s="385"/>
      <c r="AI236" s="385"/>
    </row>
    <row r="237">
      <c r="A237" s="344"/>
      <c r="B237" s="344"/>
      <c r="C237" s="344"/>
      <c r="D237" s="344"/>
      <c r="E237" s="345"/>
      <c r="F237" s="345"/>
      <c r="G237" s="346"/>
      <c r="H237" s="404"/>
      <c r="I237" s="347"/>
      <c r="J237" s="348"/>
      <c r="K237" s="349"/>
      <c r="L237" s="296"/>
      <c r="M237" s="347"/>
      <c r="N237" s="350"/>
      <c r="O237" s="348"/>
      <c r="P237" s="348"/>
      <c r="Q237" s="404"/>
      <c r="R237" s="347"/>
      <c r="S237" s="351"/>
      <c r="T237" s="765"/>
      <c r="U237" s="766"/>
      <c r="V237" s="766"/>
      <c r="W237" s="767"/>
      <c r="X237" s="768"/>
      <c r="Y237" s="405"/>
      <c r="Z237" s="768"/>
      <c r="AA237" s="384"/>
      <c r="AB237" s="384"/>
      <c r="AC237" s="384"/>
      <c r="AD237" s="385"/>
      <c r="AE237" s="384"/>
      <c r="AF237" s="384"/>
      <c r="AG237" s="384"/>
      <c r="AH237" s="385"/>
      <c r="AI237" s="385"/>
    </row>
    <row r="238">
      <c r="A238" s="344"/>
      <c r="B238" s="344"/>
      <c r="C238" s="344"/>
      <c r="D238" s="344"/>
      <c r="E238" s="377"/>
      <c r="F238" s="345"/>
      <c r="G238" s="346"/>
      <c r="H238" s="404"/>
      <c r="I238" s="347"/>
      <c r="J238" s="348"/>
      <c r="K238" s="349"/>
      <c r="L238" s="296"/>
      <c r="M238" s="347"/>
      <c r="N238" s="350"/>
      <c r="O238" s="348"/>
      <c r="P238" s="348"/>
      <c r="Q238" s="404"/>
      <c r="R238" s="347"/>
      <c r="S238" s="351"/>
      <c r="T238" s="765"/>
      <c r="U238" s="766"/>
      <c r="V238" s="766"/>
      <c r="W238" s="767"/>
      <c r="X238" s="768"/>
      <c r="Y238" s="405"/>
      <c r="Z238" s="768"/>
      <c r="AA238" s="353"/>
      <c r="AB238" s="353"/>
      <c r="AC238" s="353"/>
      <c r="AD238" s="393"/>
      <c r="AE238" s="353"/>
      <c r="AF238" s="353"/>
      <c r="AG238" s="353"/>
      <c r="AH238" s="393"/>
      <c r="AI238" s="394"/>
    </row>
    <row r="239">
      <c r="A239" s="344"/>
      <c r="B239" s="344"/>
      <c r="C239" s="344"/>
      <c r="D239" s="344"/>
      <c r="E239" s="377"/>
      <c r="F239" s="345"/>
      <c r="G239" s="378"/>
      <c r="H239" s="404"/>
      <c r="I239" s="347"/>
      <c r="J239" s="348"/>
      <c r="K239" s="349"/>
      <c r="L239" s="296"/>
      <c r="M239" s="347"/>
      <c r="N239" s="350"/>
      <c r="O239" s="348"/>
      <c r="P239" s="348"/>
      <c r="Q239" s="404"/>
      <c r="R239" s="347"/>
      <c r="S239" s="351"/>
      <c r="T239" s="765"/>
      <c r="U239" s="766"/>
      <c r="V239" s="766"/>
      <c r="W239" s="767"/>
      <c r="X239" s="768"/>
      <c r="Y239" s="405"/>
      <c r="Z239" s="768"/>
      <c r="AA239" s="353"/>
      <c r="AB239" s="353"/>
      <c r="AC239" s="353"/>
      <c r="AD239" s="393"/>
      <c r="AE239" s="353"/>
      <c r="AF239" s="353"/>
      <c r="AG239" s="353"/>
      <c r="AH239" s="393"/>
      <c r="AI239" s="394"/>
    </row>
    <row r="240">
      <c r="A240" s="344"/>
      <c r="B240" s="344"/>
      <c r="C240" s="344"/>
      <c r="D240" s="344"/>
      <c r="E240" s="377"/>
      <c r="F240" s="345"/>
      <c r="G240" s="378"/>
      <c r="H240" s="404"/>
      <c r="I240" s="347"/>
      <c r="J240" s="348"/>
      <c r="K240" s="349"/>
      <c r="L240" s="296"/>
      <c r="M240" s="347"/>
      <c r="N240" s="350"/>
      <c r="O240" s="348"/>
      <c r="P240" s="348"/>
      <c r="Q240" s="404"/>
      <c r="R240" s="347"/>
      <c r="S240" s="351"/>
      <c r="T240" s="765"/>
      <c r="U240" s="766"/>
      <c r="V240" s="766"/>
      <c r="W240" s="767"/>
      <c r="X240" s="768"/>
      <c r="Y240" s="405"/>
      <c r="Z240" s="768"/>
      <c r="AA240" s="353"/>
      <c r="AB240" s="353"/>
      <c r="AC240" s="353"/>
      <c r="AD240" s="393"/>
      <c r="AE240" s="353"/>
      <c r="AF240" s="353"/>
      <c r="AG240" s="353"/>
      <c r="AH240" s="393"/>
      <c r="AI240" s="394"/>
    </row>
    <row r="241">
      <c r="A241" s="344"/>
      <c r="B241" s="344"/>
      <c r="C241" s="344"/>
      <c r="D241" s="344"/>
      <c r="E241" s="377"/>
      <c r="F241" s="345"/>
      <c r="G241" s="378"/>
      <c r="H241" s="404"/>
      <c r="I241" s="347"/>
      <c r="J241" s="348"/>
      <c r="K241" s="349"/>
      <c r="L241" s="296"/>
      <c r="M241" s="347"/>
      <c r="N241" s="350"/>
      <c r="O241" s="348"/>
      <c r="P241" s="348"/>
      <c r="Q241" s="404"/>
      <c r="R241" s="347"/>
      <c r="S241" s="351"/>
      <c r="T241" s="765"/>
      <c r="U241" s="766"/>
      <c r="V241" s="766"/>
      <c r="W241" s="767"/>
      <c r="X241" s="768"/>
      <c r="Y241" s="405"/>
      <c r="Z241" s="768"/>
      <c r="AA241" s="353"/>
      <c r="AB241" s="353"/>
      <c r="AC241" s="353"/>
      <c r="AD241" s="393"/>
      <c r="AE241" s="353"/>
      <c r="AF241" s="353"/>
      <c r="AG241" s="353"/>
      <c r="AH241" s="393"/>
      <c r="AI241" s="394"/>
    </row>
    <row r="242">
      <c r="A242" s="344"/>
      <c r="B242" s="344"/>
      <c r="C242" s="344"/>
      <c r="D242" s="344"/>
      <c r="E242" s="345"/>
      <c r="F242" s="345"/>
      <c r="G242" s="346"/>
      <c r="H242" s="404"/>
      <c r="I242" s="347"/>
      <c r="J242" s="348"/>
      <c r="K242" s="349"/>
      <c r="L242" s="296"/>
      <c r="M242" s="347"/>
      <c r="N242" s="350"/>
      <c r="O242" s="348"/>
      <c r="P242" s="348"/>
      <c r="Q242" s="404"/>
      <c r="R242" s="347"/>
      <c r="S242" s="351"/>
      <c r="T242" s="765"/>
      <c r="U242" s="766"/>
      <c r="V242" s="766"/>
      <c r="W242" s="767"/>
      <c r="X242" s="768"/>
      <c r="Y242" s="405"/>
      <c r="Z242" s="768"/>
      <c r="AA242" s="384"/>
      <c r="AB242" s="384"/>
      <c r="AC242" s="384"/>
      <c r="AD242" s="385"/>
      <c r="AE242" s="384"/>
      <c r="AF242" s="384"/>
      <c r="AG242" s="384"/>
      <c r="AH242" s="385"/>
      <c r="AI242" s="385"/>
    </row>
    <row r="243">
      <c r="A243" s="344"/>
      <c r="B243" s="344"/>
      <c r="C243" s="344"/>
      <c r="D243" s="344"/>
      <c r="E243" s="345"/>
      <c r="F243" s="345"/>
      <c r="G243" s="378"/>
      <c r="H243" s="404"/>
      <c r="I243" s="347"/>
      <c r="J243" s="348"/>
      <c r="K243" s="349"/>
      <c r="L243" s="296"/>
      <c r="M243" s="347"/>
      <c r="N243" s="350"/>
      <c r="O243" s="348"/>
      <c r="P243" s="348"/>
      <c r="Q243" s="404"/>
      <c r="R243" s="347"/>
      <c r="S243" s="351"/>
      <c r="T243" s="765"/>
      <c r="U243" s="766"/>
      <c r="V243" s="766"/>
      <c r="W243" s="767"/>
      <c r="X243" s="768"/>
      <c r="Y243" s="405"/>
      <c r="Z243" s="768"/>
      <c r="AA243" s="384"/>
      <c r="AB243" s="384"/>
      <c r="AC243" s="384"/>
      <c r="AD243" s="385"/>
      <c r="AE243" s="384"/>
      <c r="AF243" s="384"/>
      <c r="AG243" s="384"/>
      <c r="AH243" s="385"/>
      <c r="AI243" s="385"/>
    </row>
    <row r="244">
      <c r="A244" s="344"/>
      <c r="B244" s="344"/>
      <c r="C244" s="344"/>
      <c r="D244" s="344"/>
      <c r="E244" s="345"/>
      <c r="F244" s="345"/>
      <c r="G244" s="378"/>
      <c r="H244" s="404"/>
      <c r="I244" s="347"/>
      <c r="J244" s="348"/>
      <c r="K244" s="349"/>
      <c r="L244" s="296"/>
      <c r="M244" s="347"/>
      <c r="N244" s="350"/>
      <c r="O244" s="348"/>
      <c r="P244" s="348"/>
      <c r="Q244" s="404"/>
      <c r="R244" s="347"/>
      <c r="S244" s="351"/>
      <c r="T244" s="765"/>
      <c r="U244" s="766"/>
      <c r="V244" s="766"/>
      <c r="W244" s="767"/>
      <c r="X244" s="768"/>
      <c r="Y244" s="405"/>
      <c r="Z244" s="768"/>
      <c r="AA244" s="384"/>
      <c r="AB244" s="384"/>
      <c r="AC244" s="384"/>
      <c r="AD244" s="385"/>
      <c r="AE244" s="384"/>
      <c r="AF244" s="384"/>
      <c r="AG244" s="384"/>
      <c r="AH244" s="385"/>
      <c r="AI244" s="385"/>
    </row>
    <row r="245">
      <c r="A245" s="344"/>
      <c r="B245" s="344"/>
      <c r="C245" s="344"/>
      <c r="D245" s="344"/>
      <c r="E245" s="345"/>
      <c r="F245" s="345"/>
      <c r="G245" s="378"/>
      <c r="H245" s="404"/>
      <c r="I245" s="347"/>
      <c r="J245" s="348"/>
      <c r="K245" s="349"/>
      <c r="L245" s="296"/>
      <c r="M245" s="347"/>
      <c r="N245" s="350"/>
      <c r="O245" s="348"/>
      <c r="P245" s="348"/>
      <c r="Q245" s="404"/>
      <c r="R245" s="347"/>
      <c r="S245" s="351"/>
      <c r="T245" s="765"/>
      <c r="U245" s="766"/>
      <c r="V245" s="766"/>
      <c r="W245" s="767"/>
      <c r="X245" s="768"/>
      <c r="Y245" s="405"/>
      <c r="Z245" s="768"/>
      <c r="AA245" s="384"/>
      <c r="AB245" s="384"/>
      <c r="AC245" s="384"/>
      <c r="AD245" s="385"/>
      <c r="AE245" s="384"/>
      <c r="AF245" s="384"/>
      <c r="AG245" s="384"/>
      <c r="AH245" s="385"/>
      <c r="AI245" s="385"/>
    </row>
    <row r="246">
      <c r="A246" s="344"/>
      <c r="B246" s="344"/>
      <c r="C246" s="344"/>
      <c r="D246" s="344"/>
      <c r="E246" s="345"/>
      <c r="F246" s="345"/>
      <c r="G246" s="346"/>
      <c r="H246" s="404"/>
      <c r="I246" s="347"/>
      <c r="J246" s="348"/>
      <c r="K246" s="349"/>
      <c r="L246" s="296"/>
      <c r="M246" s="347"/>
      <c r="N246" s="350"/>
      <c r="O246" s="348"/>
      <c r="P246" s="348"/>
      <c r="Q246" s="404"/>
      <c r="R246" s="347"/>
      <c r="S246" s="351"/>
      <c r="T246" s="765"/>
      <c r="U246" s="766"/>
      <c r="V246" s="766"/>
      <c r="W246" s="767"/>
      <c r="X246" s="768"/>
      <c r="Y246" s="405"/>
      <c r="Z246" s="768"/>
      <c r="AA246" s="353"/>
      <c r="AB246" s="353"/>
      <c r="AC246" s="353"/>
      <c r="AD246" s="393"/>
      <c r="AE246" s="353"/>
      <c r="AF246" s="353"/>
      <c r="AG246" s="353"/>
      <c r="AH246" s="393"/>
      <c r="AI246" s="394"/>
    </row>
    <row r="247">
      <c r="A247" s="344"/>
      <c r="B247" s="344"/>
      <c r="C247" s="344"/>
      <c r="D247" s="344"/>
      <c r="E247" s="345"/>
      <c r="F247" s="345"/>
      <c r="G247" s="346"/>
      <c r="H247" s="404"/>
      <c r="I247" s="347"/>
      <c r="J247" s="348"/>
      <c r="K247" s="349"/>
      <c r="L247" s="296"/>
      <c r="M247" s="347"/>
      <c r="N247" s="350"/>
      <c r="O247" s="348"/>
      <c r="P247" s="348"/>
      <c r="Q247" s="404"/>
      <c r="R247" s="347"/>
      <c r="S247" s="351"/>
      <c r="T247" s="765"/>
      <c r="U247" s="766"/>
      <c r="V247" s="766"/>
      <c r="W247" s="767"/>
      <c r="X247" s="768"/>
      <c r="Y247" s="405"/>
      <c r="Z247" s="768"/>
      <c r="AA247" s="353"/>
      <c r="AB247" s="353"/>
      <c r="AC247" s="353"/>
      <c r="AD247" s="393"/>
      <c r="AE247" s="353"/>
      <c r="AF247" s="353"/>
      <c r="AG247" s="353"/>
      <c r="AH247" s="393"/>
      <c r="AI247" s="394"/>
    </row>
    <row r="248">
      <c r="A248" s="344"/>
      <c r="B248" s="344"/>
      <c r="C248" s="344"/>
      <c r="D248" s="344"/>
      <c r="E248" s="345"/>
      <c r="F248" s="345"/>
      <c r="G248" s="346"/>
      <c r="H248" s="404"/>
      <c r="I248" s="347"/>
      <c r="J248" s="348"/>
      <c r="K248" s="349"/>
      <c r="L248" s="296"/>
      <c r="M248" s="347"/>
      <c r="N248" s="350"/>
      <c r="O248" s="348"/>
      <c r="P248" s="348"/>
      <c r="Q248" s="404"/>
      <c r="R248" s="347"/>
      <c r="S248" s="351"/>
      <c r="T248" s="765"/>
      <c r="U248" s="766"/>
      <c r="V248" s="766"/>
      <c r="W248" s="767"/>
      <c r="X248" s="768"/>
      <c r="Y248" s="405"/>
      <c r="Z248" s="768"/>
      <c r="AA248" s="384"/>
      <c r="AB248" s="384"/>
      <c r="AC248" s="384"/>
      <c r="AD248" s="385"/>
      <c r="AE248" s="384"/>
      <c r="AF248" s="384"/>
      <c r="AG248" s="384"/>
      <c r="AH248" s="385"/>
      <c r="AI248" s="385"/>
    </row>
    <row r="249">
      <c r="A249" s="344"/>
      <c r="B249" s="344"/>
      <c r="C249" s="344"/>
      <c r="D249" s="344"/>
      <c r="E249" s="345"/>
      <c r="F249" s="345"/>
      <c r="G249" s="346"/>
      <c r="H249" s="404"/>
      <c r="I249" s="347"/>
      <c r="J249" s="348"/>
      <c r="K249" s="349"/>
      <c r="L249" s="296"/>
      <c r="M249" s="347"/>
      <c r="N249" s="350"/>
      <c r="O249" s="348"/>
      <c r="P249" s="348"/>
      <c r="Q249" s="404"/>
      <c r="R249" s="347"/>
      <c r="S249" s="351"/>
      <c r="T249" s="765"/>
      <c r="U249" s="766"/>
      <c r="V249" s="766"/>
      <c r="W249" s="767"/>
      <c r="X249" s="768"/>
      <c r="Y249" s="405"/>
      <c r="Z249" s="768"/>
      <c r="AA249" s="384"/>
      <c r="AB249" s="384"/>
      <c r="AC249" s="384"/>
      <c r="AD249" s="385"/>
      <c r="AE249" s="384"/>
      <c r="AF249" s="384"/>
      <c r="AG249" s="384"/>
      <c r="AH249" s="385"/>
      <c r="AI249" s="385"/>
    </row>
    <row r="250">
      <c r="A250" s="344"/>
      <c r="B250" s="344"/>
      <c r="C250" s="344"/>
      <c r="D250" s="344"/>
      <c r="E250" s="387"/>
      <c r="F250" s="387"/>
      <c r="G250" s="346"/>
      <c r="H250" s="404"/>
      <c r="I250" s="347"/>
      <c r="J250" s="348"/>
      <c r="K250" s="349"/>
      <c r="L250" s="296"/>
      <c r="M250" s="347"/>
      <c r="N250" s="350"/>
      <c r="O250" s="348"/>
      <c r="P250" s="348"/>
      <c r="Q250" s="404"/>
      <c r="R250" s="347"/>
      <c r="S250" s="351"/>
      <c r="T250" s="765"/>
      <c r="U250" s="766"/>
      <c r="V250" s="766"/>
      <c r="W250" s="767"/>
      <c r="X250" s="768"/>
      <c r="Y250" s="769"/>
      <c r="Z250" s="768"/>
      <c r="AA250" s="353"/>
      <c r="AB250" s="353"/>
      <c r="AC250" s="353"/>
      <c r="AD250" s="393"/>
      <c r="AE250" s="353"/>
      <c r="AF250" s="353"/>
      <c r="AG250" s="353"/>
      <c r="AH250" s="393"/>
      <c r="AI250" s="394"/>
    </row>
    <row r="251">
      <c r="A251" s="344"/>
      <c r="B251" s="344"/>
      <c r="C251" s="397"/>
      <c r="D251" s="344"/>
      <c r="E251" s="387"/>
      <c r="F251" s="387"/>
      <c r="G251" s="346"/>
      <c r="H251" s="404"/>
      <c r="I251" s="347"/>
      <c r="J251" s="348"/>
      <c r="K251" s="349"/>
      <c r="L251" s="296"/>
      <c r="M251" s="347"/>
      <c r="N251" s="350"/>
      <c r="O251" s="348"/>
      <c r="P251" s="348"/>
      <c r="Q251" s="404"/>
      <c r="R251" s="347"/>
      <c r="S251" s="351"/>
      <c r="T251" s="765"/>
      <c r="U251" s="766"/>
      <c r="V251" s="766"/>
      <c r="W251" s="767"/>
      <c r="X251" s="768"/>
      <c r="Y251" s="769"/>
      <c r="Z251" s="768"/>
      <c r="AA251" s="353"/>
      <c r="AB251" s="353"/>
      <c r="AC251" s="353"/>
      <c r="AD251" s="393"/>
      <c r="AE251" s="353"/>
      <c r="AF251" s="353"/>
      <c r="AG251" s="353"/>
      <c r="AH251" s="393"/>
      <c r="AI251" s="394"/>
    </row>
    <row r="252">
      <c r="A252" s="344"/>
      <c r="B252" s="344"/>
      <c r="C252" s="344"/>
      <c r="D252" s="344"/>
      <c r="E252" s="387"/>
      <c r="F252" s="387"/>
      <c r="G252" s="346"/>
      <c r="H252" s="404"/>
      <c r="I252" s="347"/>
      <c r="J252" s="348"/>
      <c r="K252" s="349"/>
      <c r="L252" s="296"/>
      <c r="M252" s="347"/>
      <c r="N252" s="350"/>
      <c r="O252" s="348"/>
      <c r="P252" s="348"/>
      <c r="Q252" s="404"/>
      <c r="R252" s="347"/>
      <c r="S252" s="351"/>
      <c r="T252" s="765"/>
      <c r="U252" s="766"/>
      <c r="V252" s="766"/>
      <c r="W252" s="767"/>
      <c r="X252" s="768"/>
      <c r="Y252" s="769"/>
      <c r="Z252" s="768"/>
      <c r="AA252" s="353"/>
      <c r="AB252" s="353"/>
      <c r="AC252" s="353"/>
      <c r="AD252" s="393"/>
      <c r="AE252" s="353"/>
      <c r="AF252" s="353"/>
      <c r="AG252" s="353"/>
      <c r="AH252" s="393"/>
      <c r="AI252" s="394"/>
    </row>
    <row r="253">
      <c r="A253" s="344"/>
      <c r="B253" s="344"/>
      <c r="C253" s="344"/>
      <c r="D253" s="344"/>
      <c r="E253" s="387"/>
      <c r="F253" s="387"/>
      <c r="G253" s="346"/>
      <c r="H253" s="404"/>
      <c r="I253" s="347"/>
      <c r="J253" s="348"/>
      <c r="K253" s="349"/>
      <c r="L253" s="296"/>
      <c r="M253" s="347"/>
      <c r="N253" s="350"/>
      <c r="O253" s="348"/>
      <c r="P253" s="348"/>
      <c r="Q253" s="404"/>
      <c r="R253" s="347"/>
      <c r="S253" s="351"/>
      <c r="T253" s="765"/>
      <c r="U253" s="766"/>
      <c r="V253" s="766"/>
      <c r="W253" s="767"/>
      <c r="X253" s="768"/>
      <c r="Y253" s="769"/>
      <c r="Z253" s="768"/>
      <c r="AA253" s="353"/>
      <c r="AB253" s="353"/>
      <c r="AC253" s="353"/>
      <c r="AD253" s="393"/>
      <c r="AE253" s="353"/>
      <c r="AF253" s="353"/>
      <c r="AG253" s="353"/>
      <c r="AH253" s="393"/>
      <c r="AI253" s="394"/>
    </row>
    <row r="254">
      <c r="A254" s="344"/>
      <c r="B254" s="344"/>
      <c r="C254" s="344"/>
      <c r="D254" s="344"/>
      <c r="E254" s="387"/>
      <c r="F254" s="387"/>
      <c r="G254" s="346"/>
      <c r="H254" s="404"/>
      <c r="I254" s="347"/>
      <c r="J254" s="348"/>
      <c r="K254" s="349"/>
      <c r="L254" s="296"/>
      <c r="M254" s="347"/>
      <c r="N254" s="350"/>
      <c r="O254" s="348"/>
      <c r="P254" s="348"/>
      <c r="Q254" s="404"/>
      <c r="R254" s="347"/>
      <c r="S254" s="351"/>
      <c r="T254" s="765"/>
      <c r="U254" s="766"/>
      <c r="V254" s="766"/>
      <c r="W254" s="767"/>
      <c r="X254" s="768"/>
      <c r="Y254" s="769"/>
      <c r="Z254" s="768"/>
      <c r="AA254" s="353"/>
      <c r="AB254" s="353"/>
      <c r="AC254" s="353"/>
      <c r="AD254" s="393"/>
      <c r="AE254" s="353"/>
      <c r="AF254" s="353"/>
      <c r="AG254" s="353"/>
      <c r="AH254" s="393"/>
      <c r="AI254" s="394"/>
    </row>
    <row r="255">
      <c r="A255" s="344"/>
      <c r="B255" s="397"/>
      <c r="C255" s="344"/>
      <c r="D255" s="344"/>
      <c r="E255" s="387"/>
      <c r="F255" s="387"/>
      <c r="G255" s="346"/>
      <c r="H255" s="404"/>
      <c r="I255" s="347"/>
      <c r="J255" s="348"/>
      <c r="K255" s="349"/>
      <c r="L255" s="296"/>
      <c r="M255" s="347"/>
      <c r="N255" s="350"/>
      <c r="O255" s="348"/>
      <c r="P255" s="348"/>
      <c r="Q255" s="404"/>
      <c r="R255" s="347"/>
      <c r="S255" s="351"/>
      <c r="T255" s="765"/>
      <c r="U255" s="766"/>
      <c r="V255" s="766"/>
      <c r="W255" s="767"/>
      <c r="X255" s="768"/>
      <c r="Y255" s="769"/>
      <c r="Z255" s="768"/>
      <c r="AA255" s="353"/>
      <c r="AB255" s="353"/>
      <c r="AC255" s="353"/>
      <c r="AD255" s="393"/>
      <c r="AE255" s="353"/>
      <c r="AF255" s="353"/>
      <c r="AG255" s="353"/>
      <c r="AH255" s="393"/>
      <c r="AI255" s="394"/>
    </row>
    <row r="256">
      <c r="A256" s="344"/>
      <c r="B256" s="344"/>
      <c r="C256" s="344"/>
      <c r="D256" s="344"/>
      <c r="E256" s="387"/>
      <c r="F256" s="387"/>
      <c r="G256" s="346"/>
      <c r="H256" s="404"/>
      <c r="I256" s="347"/>
      <c r="J256" s="348"/>
      <c r="K256" s="349"/>
      <c r="L256" s="296"/>
      <c r="M256" s="347"/>
      <c r="N256" s="350"/>
      <c r="O256" s="348"/>
      <c r="P256" s="348"/>
      <c r="Q256" s="404"/>
      <c r="R256" s="347"/>
      <c r="S256" s="351"/>
      <c r="T256" s="765"/>
      <c r="U256" s="766"/>
      <c r="V256" s="766"/>
      <c r="W256" s="767"/>
      <c r="X256" s="768"/>
      <c r="Y256" s="769"/>
      <c r="Z256" s="768"/>
      <c r="AA256" s="398"/>
      <c r="AB256" s="398"/>
      <c r="AC256" s="398"/>
      <c r="AD256" s="393"/>
      <c r="AE256" s="353"/>
      <c r="AF256" s="353"/>
      <c r="AG256" s="353"/>
      <c r="AH256" s="393"/>
      <c r="AI256" s="394"/>
    </row>
    <row r="257">
      <c r="A257" s="344"/>
      <c r="B257" s="344"/>
      <c r="C257" s="344"/>
      <c r="D257" s="389"/>
      <c r="E257" s="387"/>
      <c r="F257" s="387"/>
      <c r="G257" s="346"/>
      <c r="H257" s="404"/>
      <c r="I257" s="347"/>
      <c r="J257" s="348"/>
      <c r="K257" s="349"/>
      <c r="L257" s="296"/>
      <c r="M257" s="347"/>
      <c r="N257" s="350"/>
      <c r="O257" s="348"/>
      <c r="P257" s="348"/>
      <c r="Q257" s="404"/>
      <c r="R257" s="347"/>
      <c r="S257" s="351"/>
      <c r="T257" s="765"/>
      <c r="U257" s="766"/>
      <c r="V257" s="766"/>
      <c r="W257" s="767"/>
      <c r="X257" s="768"/>
      <c r="Y257" s="769"/>
      <c r="Z257" s="768"/>
      <c r="AA257" s="398"/>
      <c r="AB257" s="398"/>
      <c r="AC257" s="398"/>
      <c r="AD257" s="393"/>
      <c r="AE257" s="353"/>
      <c r="AF257" s="353"/>
      <c r="AG257" s="353"/>
      <c r="AH257" s="393"/>
      <c r="AI257" s="394"/>
    </row>
    <row r="258">
      <c r="A258" s="344"/>
      <c r="B258" s="344"/>
      <c r="C258" s="344"/>
      <c r="D258" s="389"/>
      <c r="E258" s="387"/>
      <c r="F258" s="387"/>
      <c r="G258" s="346"/>
      <c r="H258" s="404"/>
      <c r="I258" s="347"/>
      <c r="J258" s="348"/>
      <c r="K258" s="349"/>
      <c r="L258" s="296"/>
      <c r="M258" s="347"/>
      <c r="N258" s="350"/>
      <c r="O258" s="348"/>
      <c r="P258" s="348"/>
      <c r="Q258" s="404"/>
      <c r="R258" s="347"/>
      <c r="S258" s="351"/>
      <c r="T258" s="765"/>
      <c r="U258" s="766"/>
      <c r="V258" s="766"/>
      <c r="W258" s="767"/>
      <c r="X258" s="768"/>
      <c r="Y258" s="769"/>
      <c r="Z258" s="768"/>
      <c r="AA258" s="398"/>
      <c r="AB258" s="398"/>
      <c r="AC258" s="398"/>
      <c r="AD258" s="393"/>
      <c r="AE258" s="353"/>
      <c r="AF258" s="353"/>
      <c r="AG258" s="353"/>
      <c r="AH258" s="393"/>
      <c r="AI258" s="394"/>
    </row>
    <row r="259">
      <c r="A259" s="344"/>
      <c r="B259" s="344"/>
      <c r="C259" s="344"/>
      <c r="D259" s="389"/>
      <c r="E259" s="387"/>
      <c r="F259" s="387"/>
      <c r="G259" s="346"/>
      <c r="H259" s="404"/>
      <c r="I259" s="347"/>
      <c r="J259" s="348"/>
      <c r="K259" s="349"/>
      <c r="L259" s="296"/>
      <c r="M259" s="347"/>
      <c r="N259" s="350"/>
      <c r="O259" s="348"/>
      <c r="P259" s="348"/>
      <c r="Q259" s="404"/>
      <c r="R259" s="347"/>
      <c r="S259" s="351"/>
      <c r="T259" s="765"/>
      <c r="U259" s="766"/>
      <c r="V259" s="766"/>
      <c r="W259" s="767"/>
      <c r="X259" s="768"/>
      <c r="Y259" s="769"/>
      <c r="Z259" s="768"/>
      <c r="AA259" s="398"/>
      <c r="AB259" s="398"/>
      <c r="AC259" s="398"/>
      <c r="AD259" s="393"/>
      <c r="AE259" s="353"/>
      <c r="AF259" s="353"/>
      <c r="AG259" s="353"/>
      <c r="AH259" s="393"/>
      <c r="AI259" s="394"/>
    </row>
    <row r="260">
      <c r="A260" s="344"/>
      <c r="B260" s="344"/>
      <c r="C260" s="344"/>
      <c r="D260" s="390"/>
      <c r="E260" s="387"/>
      <c r="F260" s="387"/>
      <c r="G260" s="346"/>
      <c r="H260" s="404"/>
      <c r="I260" s="347"/>
      <c r="J260" s="348"/>
      <c r="K260" s="349"/>
      <c r="L260" s="296"/>
      <c r="M260" s="347"/>
      <c r="N260" s="350"/>
      <c r="O260" s="348"/>
      <c r="P260" s="348"/>
      <c r="Q260" s="404"/>
      <c r="R260" s="347"/>
      <c r="S260" s="351"/>
      <c r="T260" s="765"/>
      <c r="U260" s="766"/>
      <c r="V260" s="766"/>
      <c r="W260" s="767"/>
      <c r="X260" s="768"/>
      <c r="Y260" s="769"/>
      <c r="Z260" s="768"/>
      <c r="AA260" s="398"/>
      <c r="AB260" s="398"/>
      <c r="AC260" s="398"/>
      <c r="AD260" s="393"/>
      <c r="AE260" s="353"/>
      <c r="AF260" s="353"/>
      <c r="AG260" s="353"/>
      <c r="AH260" s="393"/>
      <c r="AI260" s="394"/>
    </row>
    <row r="261">
      <c r="A261" s="344"/>
      <c r="B261" s="344"/>
      <c r="C261" s="344"/>
      <c r="D261" s="390"/>
      <c r="E261" s="387"/>
      <c r="F261" s="387"/>
      <c r="G261" s="346"/>
      <c r="H261" s="404"/>
      <c r="I261" s="347"/>
      <c r="J261" s="348"/>
      <c r="K261" s="349"/>
      <c r="L261" s="296"/>
      <c r="M261" s="347"/>
      <c r="N261" s="350"/>
      <c r="O261" s="348"/>
      <c r="P261" s="348"/>
      <c r="Q261" s="404"/>
      <c r="R261" s="347"/>
      <c r="S261" s="351"/>
      <c r="T261" s="765"/>
      <c r="U261" s="766"/>
      <c r="V261" s="766"/>
      <c r="W261" s="767"/>
      <c r="X261" s="768"/>
      <c r="Y261" s="769"/>
      <c r="Z261" s="768"/>
      <c r="AA261" s="398"/>
      <c r="AB261" s="398"/>
      <c r="AC261" s="398"/>
      <c r="AD261" s="393"/>
      <c r="AE261" s="353"/>
      <c r="AF261" s="353"/>
      <c r="AG261" s="353"/>
      <c r="AH261" s="393"/>
      <c r="AI261" s="394"/>
    </row>
    <row r="262">
      <c r="A262" s="344"/>
      <c r="B262" s="344"/>
      <c r="C262" s="344"/>
      <c r="D262" s="344"/>
      <c r="E262" s="345"/>
      <c r="F262" s="345"/>
      <c r="G262" s="346"/>
      <c r="H262" s="404"/>
      <c r="I262" s="347"/>
      <c r="J262" s="348"/>
      <c r="K262" s="349"/>
      <c r="L262" s="296"/>
      <c r="M262" s="347"/>
      <c r="N262" s="350"/>
      <c r="O262" s="348"/>
      <c r="P262" s="348"/>
      <c r="Q262" s="404"/>
      <c r="R262" s="347"/>
      <c r="S262" s="351"/>
      <c r="T262" s="765"/>
      <c r="U262" s="766"/>
      <c r="V262" s="766"/>
      <c r="W262" s="767"/>
      <c r="X262" s="768"/>
      <c r="Y262" s="405"/>
      <c r="Z262" s="768"/>
      <c r="AA262" s="353"/>
      <c r="AB262" s="353"/>
      <c r="AC262" s="353"/>
      <c r="AD262" s="393"/>
      <c r="AE262" s="353"/>
      <c r="AF262" s="353"/>
      <c r="AG262" s="353"/>
      <c r="AH262" s="393"/>
      <c r="AI262" s="394"/>
    </row>
    <row r="263">
      <c r="A263" s="344"/>
      <c r="B263" s="344"/>
      <c r="C263" s="344"/>
      <c r="D263" s="344"/>
      <c r="E263" s="345"/>
      <c r="F263" s="345"/>
      <c r="G263" s="346"/>
      <c r="H263" s="404"/>
      <c r="I263" s="347"/>
      <c r="J263" s="348"/>
      <c r="K263" s="349"/>
      <c r="L263" s="296"/>
      <c r="M263" s="347"/>
      <c r="N263" s="350"/>
      <c r="O263" s="348"/>
      <c r="P263" s="348"/>
      <c r="Q263" s="404"/>
      <c r="R263" s="347"/>
      <c r="S263" s="351"/>
      <c r="T263" s="765"/>
      <c r="U263" s="766"/>
      <c r="V263" s="766"/>
      <c r="W263" s="767"/>
      <c r="X263" s="768"/>
      <c r="Y263" s="405"/>
      <c r="Z263" s="768"/>
      <c r="AA263" s="353"/>
      <c r="AB263" s="353"/>
      <c r="AC263" s="353"/>
      <c r="AD263" s="393"/>
      <c r="AE263" s="353"/>
      <c r="AF263" s="353"/>
      <c r="AG263" s="353"/>
      <c r="AH263" s="393"/>
      <c r="AI263" s="394"/>
    </row>
    <row r="264">
      <c r="A264" s="344"/>
      <c r="B264" s="344"/>
      <c r="C264" s="344"/>
      <c r="D264" s="344"/>
      <c r="E264" s="377"/>
      <c r="F264" s="345"/>
      <c r="G264" s="378"/>
      <c r="H264" s="404"/>
      <c r="I264" s="347"/>
      <c r="J264" s="348"/>
      <c r="K264" s="349"/>
      <c r="L264" s="296"/>
      <c r="M264" s="347"/>
      <c r="N264" s="350"/>
      <c r="O264" s="348"/>
      <c r="P264" s="348"/>
      <c r="Q264" s="404"/>
      <c r="R264" s="347"/>
      <c r="S264" s="351"/>
      <c r="T264" s="765"/>
      <c r="U264" s="766"/>
      <c r="V264" s="766"/>
      <c r="W264" s="767"/>
      <c r="X264" s="768"/>
      <c r="Y264" s="405"/>
      <c r="Z264" s="768"/>
      <c r="AA264" s="353"/>
      <c r="AB264" s="353"/>
      <c r="AC264" s="353"/>
      <c r="AD264" s="393"/>
      <c r="AE264" s="353"/>
      <c r="AF264" s="353"/>
      <c r="AG264" s="353"/>
      <c r="AH264" s="393"/>
      <c r="AI264" s="394"/>
    </row>
    <row r="265">
      <c r="A265" s="344"/>
      <c r="B265" s="344"/>
      <c r="C265" s="344"/>
      <c r="D265" s="389"/>
      <c r="E265" s="377"/>
      <c r="F265" s="345"/>
      <c r="G265" s="378"/>
      <c r="H265" s="404"/>
      <c r="I265" s="347"/>
      <c r="J265" s="348"/>
      <c r="K265" s="349"/>
      <c r="L265" s="296"/>
      <c r="M265" s="347"/>
      <c r="N265" s="350"/>
      <c r="O265" s="348"/>
      <c r="P265" s="348"/>
      <c r="Q265" s="404"/>
      <c r="R265" s="347"/>
      <c r="S265" s="351"/>
      <c r="T265" s="765"/>
      <c r="U265" s="766"/>
      <c r="V265" s="766"/>
      <c r="W265" s="767"/>
      <c r="X265" s="768"/>
      <c r="Y265" s="405"/>
      <c r="Z265" s="768"/>
      <c r="AA265" s="353"/>
      <c r="AB265" s="353"/>
      <c r="AC265" s="353"/>
      <c r="AD265" s="393"/>
      <c r="AE265" s="353"/>
      <c r="AF265" s="353"/>
      <c r="AG265" s="353"/>
      <c r="AH265" s="393"/>
      <c r="AI265" s="394"/>
    </row>
    <row r="266">
      <c r="A266" s="344"/>
      <c r="B266" s="344"/>
      <c r="C266" s="344"/>
      <c r="D266" s="389"/>
      <c r="E266" s="377"/>
      <c r="F266" s="345"/>
      <c r="G266" s="378"/>
      <c r="H266" s="404"/>
      <c r="I266" s="347"/>
      <c r="J266" s="348"/>
      <c r="K266" s="349"/>
      <c r="L266" s="296"/>
      <c r="M266" s="347"/>
      <c r="N266" s="350"/>
      <c r="O266" s="348"/>
      <c r="P266" s="348"/>
      <c r="Q266" s="404"/>
      <c r="R266" s="347"/>
      <c r="S266" s="351"/>
      <c r="T266" s="765"/>
      <c r="U266" s="766"/>
      <c r="V266" s="766"/>
      <c r="W266" s="767"/>
      <c r="X266" s="768"/>
      <c r="Y266" s="405"/>
      <c r="Z266" s="768"/>
      <c r="AA266" s="353"/>
      <c r="AB266" s="353"/>
      <c r="AC266" s="353"/>
      <c r="AD266" s="393"/>
      <c r="AE266" s="353"/>
      <c r="AF266" s="353"/>
      <c r="AG266" s="353"/>
      <c r="AH266" s="393"/>
      <c r="AI266" s="394"/>
    </row>
    <row r="267">
      <c r="A267" s="344"/>
      <c r="B267" s="344"/>
      <c r="C267" s="344"/>
      <c r="D267" s="390"/>
      <c r="E267" s="377"/>
      <c r="F267" s="345"/>
      <c r="G267" s="378"/>
      <c r="H267" s="404"/>
      <c r="I267" s="347"/>
      <c r="J267" s="348"/>
      <c r="K267" s="349"/>
      <c r="L267" s="296"/>
      <c r="M267" s="347"/>
      <c r="N267" s="350"/>
      <c r="O267" s="348"/>
      <c r="P267" s="348"/>
      <c r="Q267" s="404"/>
      <c r="R267" s="347"/>
      <c r="S267" s="351"/>
      <c r="T267" s="765"/>
      <c r="U267" s="766"/>
      <c r="V267" s="766"/>
      <c r="W267" s="767"/>
      <c r="X267" s="768"/>
      <c r="Y267" s="405"/>
      <c r="Z267" s="768"/>
      <c r="AA267" s="353"/>
      <c r="AB267" s="353"/>
      <c r="AC267" s="353"/>
      <c r="AD267" s="393"/>
      <c r="AE267" s="353"/>
      <c r="AF267" s="353"/>
      <c r="AG267" s="353"/>
      <c r="AH267" s="393"/>
      <c r="AI267" s="394"/>
    </row>
    <row r="268">
      <c r="A268" s="344"/>
      <c r="B268" s="344"/>
      <c r="C268" s="344"/>
      <c r="D268" s="390"/>
      <c r="E268" s="377"/>
      <c r="F268" s="345"/>
      <c r="G268" s="378"/>
      <c r="H268" s="404"/>
      <c r="I268" s="347"/>
      <c r="J268" s="348"/>
      <c r="K268" s="349"/>
      <c r="L268" s="296"/>
      <c r="M268" s="347"/>
      <c r="N268" s="350"/>
      <c r="O268" s="348"/>
      <c r="P268" s="348"/>
      <c r="Q268" s="404"/>
      <c r="R268" s="347"/>
      <c r="S268" s="351"/>
      <c r="T268" s="765"/>
      <c r="U268" s="766"/>
      <c r="V268" s="766"/>
      <c r="W268" s="767"/>
      <c r="X268" s="768"/>
      <c r="Y268" s="405"/>
      <c r="Z268" s="768"/>
      <c r="AA268" s="353"/>
      <c r="AB268" s="353"/>
      <c r="AC268" s="353"/>
      <c r="AD268" s="393"/>
      <c r="AE268" s="353"/>
      <c r="AF268" s="353"/>
      <c r="AG268" s="353"/>
      <c r="AH268" s="393"/>
      <c r="AI268" s="394"/>
    </row>
    <row r="269">
      <c r="A269" s="344"/>
      <c r="B269" s="344"/>
      <c r="C269" s="344"/>
      <c r="D269" s="390"/>
      <c r="E269" s="377"/>
      <c r="F269" s="345"/>
      <c r="G269" s="378"/>
      <c r="H269" s="404"/>
      <c r="I269" s="347"/>
      <c r="J269" s="348"/>
      <c r="K269" s="349"/>
      <c r="L269" s="296"/>
      <c r="M269" s="347"/>
      <c r="N269" s="350"/>
      <c r="O269" s="348"/>
      <c r="P269" s="348"/>
      <c r="Q269" s="404"/>
      <c r="R269" s="347"/>
      <c r="S269" s="351"/>
      <c r="T269" s="765"/>
      <c r="U269" s="766"/>
      <c r="V269" s="766"/>
      <c r="W269" s="767"/>
      <c r="X269" s="768"/>
      <c r="Y269" s="405"/>
      <c r="Z269" s="768"/>
      <c r="AA269" s="353"/>
      <c r="AB269" s="353"/>
      <c r="AC269" s="353"/>
      <c r="AD269" s="393"/>
      <c r="AE269" s="353"/>
      <c r="AF269" s="353"/>
      <c r="AG269" s="353"/>
      <c r="AH269" s="393"/>
      <c r="AI269" s="394"/>
    </row>
    <row r="270">
      <c r="A270" s="344"/>
      <c r="B270" s="344"/>
      <c r="C270" s="344"/>
      <c r="D270" s="344"/>
      <c r="E270" s="345"/>
      <c r="F270" s="345"/>
      <c r="G270" s="346"/>
      <c r="H270" s="404"/>
      <c r="I270" s="347"/>
      <c r="J270" s="348"/>
      <c r="K270" s="349"/>
      <c r="L270" s="296"/>
      <c r="M270" s="347"/>
      <c r="N270" s="350"/>
      <c r="O270" s="348"/>
      <c r="P270" s="348"/>
      <c r="Q270" s="404"/>
      <c r="R270" s="347"/>
      <c r="S270" s="351"/>
      <c r="T270" s="765"/>
      <c r="U270" s="766"/>
      <c r="V270" s="766"/>
      <c r="W270" s="767"/>
      <c r="X270" s="768"/>
      <c r="Y270" s="405"/>
      <c r="Z270" s="768"/>
      <c r="AA270" s="353"/>
      <c r="AB270" s="353"/>
      <c r="AC270" s="353"/>
      <c r="AD270" s="393"/>
      <c r="AE270" s="353"/>
      <c r="AF270" s="353"/>
      <c r="AG270" s="353"/>
      <c r="AH270" s="393"/>
      <c r="AI270" s="394"/>
    </row>
    <row r="271">
      <c r="A271" s="344"/>
      <c r="B271" s="344"/>
      <c r="C271" s="344"/>
      <c r="D271" s="344"/>
      <c r="E271" s="345"/>
      <c r="F271" s="345"/>
      <c r="G271" s="346"/>
      <c r="H271" s="404"/>
      <c r="I271" s="347"/>
      <c r="J271" s="348"/>
      <c r="K271" s="349"/>
      <c r="L271" s="296"/>
      <c r="M271" s="347"/>
      <c r="N271" s="350"/>
      <c r="O271" s="348"/>
      <c r="P271" s="348"/>
      <c r="Q271" s="404"/>
      <c r="R271" s="347"/>
      <c r="S271" s="351"/>
      <c r="T271" s="765"/>
      <c r="U271" s="766"/>
      <c r="V271" s="766"/>
      <c r="W271" s="767"/>
      <c r="X271" s="768"/>
      <c r="Y271" s="405"/>
      <c r="Z271" s="768"/>
      <c r="AA271" s="353"/>
      <c r="AB271" s="353"/>
      <c r="AC271" s="353"/>
      <c r="AD271" s="393"/>
      <c r="AE271" s="353"/>
      <c r="AF271" s="353"/>
      <c r="AG271" s="353"/>
      <c r="AH271" s="393"/>
      <c r="AI271" s="394"/>
    </row>
    <row r="272">
      <c r="A272" s="344"/>
      <c r="B272" s="344"/>
      <c r="C272" s="344"/>
      <c r="D272" s="344"/>
      <c r="E272" s="345"/>
      <c r="F272" s="345"/>
      <c r="G272" s="346"/>
      <c r="H272" s="404"/>
      <c r="I272" s="347"/>
      <c r="J272" s="348"/>
      <c r="K272" s="349"/>
      <c r="L272" s="296"/>
      <c r="M272" s="347"/>
      <c r="N272" s="350"/>
      <c r="O272" s="348"/>
      <c r="P272" s="348"/>
      <c r="Q272" s="404"/>
      <c r="R272" s="347"/>
      <c r="S272" s="351"/>
      <c r="T272" s="765"/>
      <c r="U272" s="766"/>
      <c r="V272" s="766"/>
      <c r="W272" s="767"/>
      <c r="X272" s="768"/>
      <c r="Y272" s="405"/>
      <c r="Z272" s="768"/>
      <c r="AA272" s="353"/>
      <c r="AB272" s="353"/>
      <c r="AC272" s="353"/>
      <c r="AD272" s="393"/>
      <c r="AE272" s="353"/>
      <c r="AF272" s="353"/>
      <c r="AG272" s="353"/>
      <c r="AH272" s="393"/>
      <c r="AI272" s="394"/>
    </row>
    <row r="273">
      <c r="A273" s="344"/>
      <c r="B273" s="344"/>
      <c r="C273" s="344"/>
      <c r="D273" s="344"/>
      <c r="E273" s="387"/>
      <c r="F273" s="387"/>
      <c r="G273" s="346"/>
      <c r="H273" s="404"/>
      <c r="I273" s="347"/>
      <c r="J273" s="348"/>
      <c r="K273" s="349"/>
      <c r="L273" s="296"/>
      <c r="M273" s="347"/>
      <c r="N273" s="350"/>
      <c r="O273" s="348"/>
      <c r="P273" s="348"/>
      <c r="Q273" s="404"/>
      <c r="R273" s="347"/>
      <c r="S273" s="351"/>
      <c r="T273" s="765"/>
      <c r="U273" s="766"/>
      <c r="V273" s="766"/>
      <c r="W273" s="767"/>
      <c r="X273" s="768"/>
      <c r="Y273" s="769"/>
      <c r="Z273" s="768"/>
      <c r="AA273" s="353"/>
      <c r="AB273" s="353"/>
      <c r="AC273" s="353"/>
      <c r="AD273" s="393"/>
      <c r="AE273" s="353"/>
      <c r="AF273" s="353"/>
      <c r="AG273" s="353"/>
      <c r="AH273" s="393"/>
      <c r="AI273" s="394"/>
    </row>
    <row r="274">
      <c r="A274" s="344"/>
      <c r="B274" s="344"/>
      <c r="C274" s="344"/>
      <c r="D274" s="344"/>
      <c r="E274" s="387"/>
      <c r="F274" s="387"/>
      <c r="G274" s="346"/>
      <c r="H274" s="404"/>
      <c r="I274" s="347"/>
      <c r="J274" s="348"/>
      <c r="K274" s="349"/>
      <c r="L274" s="296"/>
      <c r="M274" s="347"/>
      <c r="N274" s="350"/>
      <c r="O274" s="348"/>
      <c r="P274" s="348"/>
      <c r="Q274" s="404"/>
      <c r="R274" s="347"/>
      <c r="S274" s="351"/>
      <c r="T274" s="765"/>
      <c r="U274" s="766"/>
      <c r="V274" s="766"/>
      <c r="W274" s="767"/>
      <c r="X274" s="768"/>
      <c r="Y274" s="769"/>
      <c r="Z274" s="768"/>
      <c r="AA274" s="353"/>
      <c r="AB274" s="353"/>
      <c r="AC274" s="353"/>
      <c r="AD274" s="393"/>
      <c r="AE274" s="353"/>
      <c r="AF274" s="353"/>
      <c r="AG274" s="353"/>
      <c r="AH274" s="393"/>
      <c r="AI274" s="394"/>
    </row>
    <row r="275">
      <c r="A275" s="344"/>
      <c r="B275" s="344"/>
      <c r="C275" s="344"/>
      <c r="D275" s="344"/>
      <c r="E275" s="387"/>
      <c r="F275" s="387"/>
      <c r="G275" s="346"/>
      <c r="H275" s="404"/>
      <c r="I275" s="347"/>
      <c r="J275" s="348"/>
      <c r="K275" s="349"/>
      <c r="L275" s="296"/>
      <c r="M275" s="347"/>
      <c r="N275" s="350"/>
      <c r="O275" s="348"/>
      <c r="P275" s="348"/>
      <c r="Q275" s="404"/>
      <c r="R275" s="347"/>
      <c r="S275" s="351"/>
      <c r="T275" s="765"/>
      <c r="U275" s="766"/>
      <c r="V275" s="766"/>
      <c r="W275" s="767"/>
      <c r="X275" s="768"/>
      <c r="Y275" s="769"/>
      <c r="Z275" s="768"/>
      <c r="AA275" s="353"/>
      <c r="AB275" s="353"/>
      <c r="AC275" s="353"/>
      <c r="AD275" s="393"/>
      <c r="AE275" s="353"/>
      <c r="AF275" s="353"/>
      <c r="AG275" s="353"/>
      <c r="AH275" s="393"/>
      <c r="AI275" s="394"/>
    </row>
    <row r="276">
      <c r="A276" s="344"/>
      <c r="B276" s="344"/>
      <c r="C276" s="344"/>
      <c r="D276" s="344"/>
      <c r="E276" s="387"/>
      <c r="F276" s="387"/>
      <c r="G276" s="346"/>
      <c r="H276" s="404"/>
      <c r="I276" s="347"/>
      <c r="J276" s="348"/>
      <c r="K276" s="349"/>
      <c r="L276" s="296"/>
      <c r="M276" s="347"/>
      <c r="N276" s="350"/>
      <c r="O276" s="348"/>
      <c r="P276" s="348"/>
      <c r="Q276" s="404"/>
      <c r="R276" s="347"/>
      <c r="S276" s="351"/>
      <c r="T276" s="765"/>
      <c r="U276" s="766"/>
      <c r="V276" s="766"/>
      <c r="W276" s="767"/>
      <c r="X276" s="768"/>
      <c r="Y276" s="769"/>
      <c r="Z276" s="768"/>
      <c r="AA276" s="353"/>
      <c r="AB276" s="353"/>
      <c r="AC276" s="353"/>
      <c r="AD276" s="393"/>
      <c r="AE276" s="353"/>
      <c r="AF276" s="353"/>
      <c r="AG276" s="353"/>
      <c r="AH276" s="393"/>
      <c r="AI276" s="394"/>
    </row>
    <row r="277">
      <c r="A277" s="344"/>
      <c r="B277" s="344"/>
      <c r="C277" s="344"/>
      <c r="D277" s="344"/>
      <c r="E277" s="387"/>
      <c r="F277" s="387"/>
      <c r="G277" s="346"/>
      <c r="H277" s="404"/>
      <c r="I277" s="347"/>
      <c r="J277" s="348"/>
      <c r="K277" s="349"/>
      <c r="L277" s="296"/>
      <c r="M277" s="347"/>
      <c r="N277" s="350"/>
      <c r="O277" s="348"/>
      <c r="P277" s="348"/>
      <c r="Q277" s="404"/>
      <c r="R277" s="347"/>
      <c r="S277" s="351"/>
      <c r="T277" s="765"/>
      <c r="U277" s="766"/>
      <c r="V277" s="766"/>
      <c r="W277" s="767"/>
      <c r="X277" s="768"/>
      <c r="Y277" s="769"/>
      <c r="Z277" s="768"/>
      <c r="AA277" s="353"/>
      <c r="AB277" s="353"/>
      <c r="AC277" s="353"/>
      <c r="AD277" s="393"/>
      <c r="AE277" s="353"/>
      <c r="AF277" s="353"/>
      <c r="AG277" s="353"/>
      <c r="AH277" s="393"/>
      <c r="AI277" s="394"/>
    </row>
    <row r="278">
      <c r="A278" s="344"/>
      <c r="B278" s="344"/>
      <c r="C278" s="344"/>
      <c r="D278" s="344"/>
      <c r="E278" s="387"/>
      <c r="F278" s="387"/>
      <c r="G278" s="346"/>
      <c r="H278" s="404"/>
      <c r="I278" s="347"/>
      <c r="J278" s="348"/>
      <c r="K278" s="349"/>
      <c r="L278" s="296"/>
      <c r="M278" s="347"/>
      <c r="N278" s="350"/>
      <c r="O278" s="348"/>
      <c r="P278" s="348"/>
      <c r="Q278" s="404"/>
      <c r="R278" s="347"/>
      <c r="S278" s="351"/>
      <c r="T278" s="765"/>
      <c r="U278" s="766"/>
      <c r="V278" s="766"/>
      <c r="W278" s="767"/>
      <c r="X278" s="768"/>
      <c r="Y278" s="769"/>
      <c r="Z278" s="768"/>
      <c r="AA278" s="353"/>
      <c r="AB278" s="353"/>
      <c r="AC278" s="353"/>
      <c r="AD278" s="393"/>
      <c r="AE278" s="353"/>
      <c r="AF278" s="353"/>
      <c r="AG278" s="353"/>
      <c r="AH278" s="393"/>
      <c r="AI278" s="394"/>
    </row>
    <row r="279">
      <c r="A279" s="344"/>
      <c r="B279" s="344"/>
      <c r="C279" s="344"/>
      <c r="D279" s="344"/>
      <c r="E279" s="387"/>
      <c r="F279" s="387"/>
      <c r="G279" s="346"/>
      <c r="H279" s="404"/>
      <c r="I279" s="347"/>
      <c r="J279" s="348"/>
      <c r="K279" s="349"/>
      <c r="L279" s="296"/>
      <c r="M279" s="347"/>
      <c r="N279" s="350"/>
      <c r="O279" s="348"/>
      <c r="P279" s="348"/>
      <c r="Q279" s="404"/>
      <c r="R279" s="347"/>
      <c r="S279" s="351"/>
      <c r="T279" s="765"/>
      <c r="U279" s="766"/>
      <c r="V279" s="766"/>
      <c r="W279" s="767"/>
      <c r="X279" s="768"/>
      <c r="Y279" s="405"/>
      <c r="Z279" s="768"/>
      <c r="AA279" s="353"/>
      <c r="AB279" s="353"/>
      <c r="AC279" s="353"/>
      <c r="AD279" s="393"/>
      <c r="AE279" s="353"/>
      <c r="AF279" s="353"/>
      <c r="AG279" s="353"/>
      <c r="AH279" s="393"/>
      <c r="AI279" s="394"/>
    </row>
    <row r="280">
      <c r="A280" s="344"/>
      <c r="B280" s="344"/>
      <c r="C280" s="344"/>
      <c r="D280" s="344"/>
      <c r="E280" s="387"/>
      <c r="F280" s="387"/>
      <c r="G280" s="346"/>
      <c r="H280" s="404"/>
      <c r="I280" s="347"/>
      <c r="J280" s="348"/>
      <c r="K280" s="349"/>
      <c r="L280" s="296"/>
      <c r="M280" s="347"/>
      <c r="N280" s="350"/>
      <c r="O280" s="348"/>
      <c r="P280" s="348"/>
      <c r="Q280" s="404"/>
      <c r="R280" s="347"/>
      <c r="S280" s="351"/>
      <c r="T280" s="765"/>
      <c r="U280" s="766"/>
      <c r="V280" s="766"/>
      <c r="W280" s="767"/>
      <c r="X280" s="768"/>
      <c r="Y280" s="405"/>
      <c r="Z280" s="768"/>
      <c r="AA280" s="353"/>
      <c r="AB280" s="353"/>
      <c r="AC280" s="353"/>
      <c r="AD280" s="393"/>
      <c r="AE280" s="353"/>
      <c r="AF280" s="353"/>
      <c r="AG280" s="353"/>
      <c r="AH280" s="393"/>
      <c r="AI280" s="394"/>
    </row>
    <row r="281">
      <c r="A281" s="344"/>
      <c r="B281" s="344"/>
      <c r="C281" s="344"/>
      <c r="D281" s="344"/>
      <c r="E281" s="387"/>
      <c r="F281" s="387"/>
      <c r="G281" s="346"/>
      <c r="H281" s="404"/>
      <c r="I281" s="347"/>
      <c r="J281" s="348"/>
      <c r="K281" s="349"/>
      <c r="L281" s="296"/>
      <c r="M281" s="347"/>
      <c r="N281" s="350"/>
      <c r="O281" s="348"/>
      <c r="P281" s="348"/>
      <c r="Q281" s="404"/>
      <c r="R281" s="347"/>
      <c r="S281" s="351"/>
      <c r="T281" s="765"/>
      <c r="U281" s="766"/>
      <c r="V281" s="766"/>
      <c r="W281" s="767"/>
      <c r="X281" s="768"/>
      <c r="Y281" s="405"/>
      <c r="Z281" s="768"/>
      <c r="AA281" s="353"/>
      <c r="AB281" s="353"/>
      <c r="AC281" s="353"/>
      <c r="AD281" s="393"/>
      <c r="AE281" s="353"/>
      <c r="AF281" s="353"/>
      <c r="AG281" s="353"/>
      <c r="AH281" s="393"/>
      <c r="AI281" s="394"/>
    </row>
    <row r="282">
      <c r="A282" s="344"/>
      <c r="B282" s="344"/>
      <c r="C282" s="344"/>
      <c r="D282" s="344"/>
      <c r="E282" s="345"/>
      <c r="F282" s="387"/>
      <c r="G282" s="346"/>
      <c r="H282" s="404"/>
      <c r="I282" s="347"/>
      <c r="J282" s="348"/>
      <c r="K282" s="349"/>
      <c r="L282" s="296"/>
      <c r="M282" s="347"/>
      <c r="N282" s="350"/>
      <c r="O282" s="348"/>
      <c r="P282" s="348"/>
      <c r="Q282" s="404"/>
      <c r="R282" s="347"/>
      <c r="S282" s="351"/>
      <c r="T282" s="765"/>
      <c r="U282" s="766"/>
      <c r="V282" s="766"/>
      <c r="W282" s="767"/>
      <c r="X282" s="768"/>
      <c r="Y282" s="405"/>
      <c r="Z282" s="768"/>
      <c r="AA282" s="353"/>
      <c r="AB282" s="353"/>
      <c r="AC282" s="353"/>
      <c r="AD282" s="393"/>
      <c r="AE282" s="353"/>
      <c r="AF282" s="353"/>
      <c r="AG282" s="353"/>
      <c r="AH282" s="393"/>
      <c r="AI282" s="394"/>
    </row>
    <row r="283">
      <c r="A283" s="344"/>
      <c r="B283" s="344"/>
      <c r="C283" s="344"/>
      <c r="D283" s="344"/>
      <c r="E283" s="387"/>
      <c r="F283" s="387"/>
      <c r="G283" s="346"/>
      <c r="H283" s="404"/>
      <c r="I283" s="347"/>
      <c r="J283" s="348"/>
      <c r="K283" s="349"/>
      <c r="L283" s="296"/>
      <c r="M283" s="347"/>
      <c r="N283" s="350"/>
      <c r="O283" s="348"/>
      <c r="P283" s="348"/>
      <c r="Q283" s="404"/>
      <c r="R283" s="347"/>
      <c r="S283" s="351"/>
      <c r="T283" s="765"/>
      <c r="U283" s="766"/>
      <c r="V283" s="766"/>
      <c r="W283" s="767"/>
      <c r="X283" s="768"/>
      <c r="Y283" s="405"/>
      <c r="Z283" s="768"/>
      <c r="AA283" s="353"/>
      <c r="AB283" s="353"/>
      <c r="AC283" s="353"/>
      <c r="AD283" s="393"/>
      <c r="AE283" s="353"/>
      <c r="AF283" s="353"/>
      <c r="AG283" s="353"/>
      <c r="AH283" s="393"/>
      <c r="AI283" s="394"/>
    </row>
    <row r="284">
      <c r="A284" s="344"/>
      <c r="B284" s="344"/>
      <c r="C284" s="344"/>
      <c r="D284" s="344"/>
      <c r="E284" s="387"/>
      <c r="F284" s="387"/>
      <c r="G284" s="346"/>
      <c r="H284" s="404"/>
      <c r="I284" s="347"/>
      <c r="J284" s="348"/>
      <c r="K284" s="349"/>
      <c r="L284" s="296"/>
      <c r="M284" s="347"/>
      <c r="N284" s="350"/>
      <c r="O284" s="348"/>
      <c r="P284" s="348"/>
      <c r="Q284" s="404"/>
      <c r="R284" s="347"/>
      <c r="S284" s="351"/>
      <c r="T284" s="765"/>
      <c r="U284" s="766"/>
      <c r="V284" s="766"/>
      <c r="W284" s="767"/>
      <c r="X284" s="768"/>
      <c r="Y284" s="405"/>
      <c r="Z284" s="768"/>
      <c r="AA284" s="353"/>
      <c r="AB284" s="353"/>
      <c r="AC284" s="353"/>
      <c r="AD284" s="393"/>
      <c r="AE284" s="353"/>
      <c r="AF284" s="353"/>
      <c r="AG284" s="353"/>
      <c r="AH284" s="393"/>
      <c r="AI284" s="394"/>
    </row>
    <row r="285">
      <c r="A285" s="344"/>
      <c r="B285" s="344"/>
      <c r="C285" s="344"/>
      <c r="D285" s="344"/>
      <c r="E285" s="387"/>
      <c r="F285" s="387"/>
      <c r="G285" s="346"/>
      <c r="H285" s="404"/>
      <c r="I285" s="347"/>
      <c r="J285" s="348"/>
      <c r="K285" s="349"/>
      <c r="L285" s="296"/>
      <c r="M285" s="347"/>
      <c r="N285" s="350"/>
      <c r="O285" s="348"/>
      <c r="P285" s="348"/>
      <c r="Q285" s="404"/>
      <c r="R285" s="347"/>
      <c r="S285" s="351"/>
      <c r="T285" s="765"/>
      <c r="U285" s="766"/>
      <c r="V285" s="766"/>
      <c r="W285" s="767"/>
      <c r="X285" s="768"/>
      <c r="Y285" s="405"/>
      <c r="Z285" s="768"/>
      <c r="AA285" s="353"/>
      <c r="AB285" s="353"/>
      <c r="AC285" s="353"/>
      <c r="AD285" s="393"/>
      <c r="AE285" s="353"/>
      <c r="AF285" s="353"/>
      <c r="AG285" s="353"/>
      <c r="AH285" s="393"/>
      <c r="AI285" s="394"/>
    </row>
    <row r="286">
      <c r="A286" s="344"/>
      <c r="B286" s="344"/>
      <c r="C286" s="344"/>
      <c r="D286" s="344"/>
      <c r="E286" s="387"/>
      <c r="F286" s="387"/>
      <c r="G286" s="346"/>
      <c r="H286" s="404"/>
      <c r="I286" s="347"/>
      <c r="J286" s="348"/>
      <c r="K286" s="349"/>
      <c r="L286" s="296"/>
      <c r="M286" s="347"/>
      <c r="N286" s="350"/>
      <c r="O286" s="348"/>
      <c r="P286" s="348"/>
      <c r="Q286" s="404"/>
      <c r="R286" s="347"/>
      <c r="S286" s="351"/>
      <c r="T286" s="765"/>
      <c r="U286" s="766"/>
      <c r="V286" s="766"/>
      <c r="W286" s="767"/>
      <c r="X286" s="768"/>
      <c r="Y286" s="405"/>
      <c r="Z286" s="768"/>
      <c r="AA286" s="353"/>
      <c r="AB286" s="353"/>
      <c r="AC286" s="353"/>
      <c r="AD286" s="393"/>
      <c r="AE286" s="353"/>
      <c r="AF286" s="353"/>
      <c r="AG286" s="353"/>
      <c r="AH286" s="393"/>
      <c r="AI286" s="394"/>
    </row>
    <row r="287">
      <c r="A287" s="344"/>
      <c r="B287" s="344"/>
      <c r="C287" s="344"/>
      <c r="D287" s="344"/>
      <c r="E287" s="387"/>
      <c r="F287" s="387"/>
      <c r="G287" s="346"/>
      <c r="H287" s="404"/>
      <c r="I287" s="347"/>
      <c r="J287" s="348"/>
      <c r="K287" s="349"/>
      <c r="L287" s="296"/>
      <c r="M287" s="347"/>
      <c r="N287" s="350"/>
      <c r="O287" s="348"/>
      <c r="P287" s="348"/>
      <c r="Q287" s="404"/>
      <c r="R287" s="347"/>
      <c r="S287" s="351"/>
      <c r="T287" s="765"/>
      <c r="U287" s="766"/>
      <c r="V287" s="766"/>
      <c r="W287" s="767"/>
      <c r="X287" s="768"/>
      <c r="Y287" s="405"/>
      <c r="Z287" s="768"/>
      <c r="AA287" s="353"/>
      <c r="AB287" s="353"/>
      <c r="AC287" s="353"/>
      <c r="AD287" s="393"/>
      <c r="AE287" s="353"/>
      <c r="AF287" s="353"/>
      <c r="AG287" s="353"/>
      <c r="AH287" s="393"/>
      <c r="AI287" s="394"/>
    </row>
    <row r="288">
      <c r="A288" s="344"/>
      <c r="B288" s="344"/>
      <c r="C288" s="344"/>
      <c r="D288" s="344"/>
      <c r="E288" s="387"/>
      <c r="F288" s="387"/>
      <c r="G288" s="346"/>
      <c r="H288" s="404"/>
      <c r="I288" s="347"/>
      <c r="J288" s="348"/>
      <c r="K288" s="349"/>
      <c r="L288" s="296"/>
      <c r="M288" s="347"/>
      <c r="N288" s="350"/>
      <c r="O288" s="348"/>
      <c r="P288" s="348"/>
      <c r="Q288" s="404"/>
      <c r="R288" s="347"/>
      <c r="S288" s="351"/>
      <c r="T288" s="765"/>
      <c r="U288" s="766"/>
      <c r="V288" s="766"/>
      <c r="W288" s="767"/>
      <c r="X288" s="768"/>
      <c r="Y288" s="405"/>
      <c r="Z288" s="768"/>
      <c r="AA288" s="353"/>
      <c r="AB288" s="353"/>
      <c r="AC288" s="353"/>
      <c r="AD288" s="393"/>
      <c r="AE288" s="353"/>
      <c r="AF288" s="353"/>
      <c r="AG288" s="353"/>
      <c r="AH288" s="393"/>
      <c r="AI288" s="394"/>
    </row>
    <row r="289">
      <c r="A289" s="344"/>
      <c r="B289" s="344"/>
      <c r="C289" s="344"/>
      <c r="D289" s="344"/>
      <c r="E289" s="387"/>
      <c r="F289" s="387"/>
      <c r="G289" s="346"/>
      <c r="H289" s="404"/>
      <c r="I289" s="347"/>
      <c r="J289" s="348"/>
      <c r="K289" s="349"/>
      <c r="L289" s="296"/>
      <c r="M289" s="347"/>
      <c r="N289" s="350"/>
      <c r="O289" s="348"/>
      <c r="P289" s="348"/>
      <c r="Q289" s="404"/>
      <c r="R289" s="347"/>
      <c r="S289" s="351"/>
      <c r="T289" s="765"/>
      <c r="U289" s="766"/>
      <c r="V289" s="766"/>
      <c r="W289" s="767"/>
      <c r="X289" s="768"/>
      <c r="Y289" s="405"/>
      <c r="Z289" s="768"/>
      <c r="AA289" s="401"/>
      <c r="AB289" s="401"/>
      <c r="AC289" s="401"/>
      <c r="AD289" s="401"/>
      <c r="AE289" s="401"/>
      <c r="AF289" s="401"/>
      <c r="AG289" s="401"/>
      <c r="AH289" s="401"/>
      <c r="AI289" s="406"/>
    </row>
    <row r="290">
      <c r="A290" s="344"/>
      <c r="B290" s="344"/>
      <c r="C290" s="344"/>
      <c r="D290" s="344"/>
      <c r="E290" s="387"/>
      <c r="F290" s="387"/>
      <c r="G290" s="346"/>
      <c r="H290" s="404"/>
      <c r="I290" s="347"/>
      <c r="J290" s="348"/>
      <c r="K290" s="349"/>
      <c r="L290" s="296"/>
      <c r="M290" s="347"/>
      <c r="N290" s="350"/>
      <c r="O290" s="348"/>
      <c r="P290" s="348"/>
      <c r="Q290" s="404"/>
      <c r="R290" s="347"/>
      <c r="S290" s="351"/>
      <c r="T290" s="765"/>
      <c r="U290" s="766"/>
      <c r="V290" s="766"/>
      <c r="W290" s="767"/>
      <c r="X290" s="768"/>
      <c r="Y290" s="405"/>
      <c r="Z290" s="768"/>
      <c r="AA290" s="401"/>
      <c r="AB290" s="401"/>
      <c r="AC290" s="401"/>
      <c r="AD290" s="401"/>
      <c r="AE290" s="401"/>
      <c r="AF290" s="401"/>
      <c r="AG290" s="401"/>
      <c r="AH290" s="401"/>
      <c r="AI290" s="406"/>
    </row>
    <row r="291">
      <c r="A291" s="344"/>
      <c r="B291" s="344"/>
      <c r="C291" s="344"/>
      <c r="D291" s="344"/>
      <c r="E291" s="345"/>
      <c r="F291" s="345"/>
      <c r="G291" s="346"/>
      <c r="H291" s="404"/>
      <c r="I291" s="347"/>
      <c r="J291" s="348"/>
      <c r="K291" s="349"/>
      <c r="L291" s="296"/>
      <c r="M291" s="347"/>
      <c r="N291" s="350"/>
      <c r="O291" s="348"/>
      <c r="P291" s="348"/>
      <c r="Q291" s="404"/>
      <c r="R291" s="347"/>
      <c r="S291" s="351"/>
      <c r="T291" s="765"/>
      <c r="U291" s="766"/>
      <c r="V291" s="766"/>
      <c r="W291" s="767"/>
      <c r="X291" s="768"/>
      <c r="Y291" s="405"/>
      <c r="Z291" s="768"/>
      <c r="AA291" s="401"/>
      <c r="AB291" s="401"/>
      <c r="AC291" s="401"/>
      <c r="AD291" s="401"/>
      <c r="AE291" s="401"/>
      <c r="AF291" s="401"/>
      <c r="AG291" s="401"/>
      <c r="AH291" s="401"/>
      <c r="AI291" s="406"/>
    </row>
    <row r="292">
      <c r="A292" s="344"/>
      <c r="B292" s="344"/>
      <c r="C292" s="344"/>
      <c r="D292" s="344"/>
      <c r="E292" s="377"/>
      <c r="F292" s="345"/>
      <c r="G292" s="378"/>
      <c r="H292" s="404"/>
      <c r="I292" s="347"/>
      <c r="J292" s="348"/>
      <c r="K292" s="349"/>
      <c r="L292" s="296"/>
      <c r="M292" s="347"/>
      <c r="N292" s="350"/>
      <c r="O292" s="348"/>
      <c r="P292" s="348"/>
      <c r="Q292" s="404"/>
      <c r="R292" s="347"/>
      <c r="S292" s="351"/>
      <c r="T292" s="765"/>
      <c r="U292" s="766"/>
      <c r="V292" s="766"/>
      <c r="W292" s="767"/>
      <c r="X292" s="768"/>
      <c r="Y292" s="405"/>
      <c r="Z292" s="768"/>
      <c r="AA292" s="401"/>
      <c r="AB292" s="401"/>
      <c r="AC292" s="401"/>
      <c r="AD292" s="401"/>
      <c r="AE292" s="401"/>
      <c r="AF292" s="401"/>
      <c r="AG292" s="401"/>
      <c r="AH292" s="401"/>
      <c r="AI292" s="406"/>
    </row>
    <row r="293">
      <c r="A293" s="344"/>
      <c r="B293" s="344"/>
      <c r="C293" s="344"/>
      <c r="D293" s="344"/>
      <c r="E293" s="377"/>
      <c r="F293" s="345"/>
      <c r="G293" s="378"/>
      <c r="H293" s="404"/>
      <c r="I293" s="347"/>
      <c r="J293" s="348"/>
      <c r="K293" s="349"/>
      <c r="L293" s="296"/>
      <c r="M293" s="347"/>
      <c r="N293" s="350"/>
      <c r="O293" s="348"/>
      <c r="P293" s="348"/>
      <c r="Q293" s="404"/>
      <c r="R293" s="347"/>
      <c r="S293" s="351"/>
      <c r="T293" s="765"/>
      <c r="U293" s="766"/>
      <c r="V293" s="766"/>
      <c r="W293" s="767"/>
      <c r="X293" s="768"/>
      <c r="Y293" s="405"/>
      <c r="Z293" s="768"/>
      <c r="AA293" s="401"/>
      <c r="AB293" s="401"/>
      <c r="AC293" s="401"/>
      <c r="AD293" s="401"/>
      <c r="AE293" s="401"/>
      <c r="AF293" s="401"/>
      <c r="AG293" s="401"/>
      <c r="AH293" s="401"/>
      <c r="AI293" s="406"/>
    </row>
    <row r="294">
      <c r="A294" s="344"/>
      <c r="B294" s="344"/>
      <c r="C294" s="344"/>
      <c r="D294" s="344"/>
      <c r="E294" s="377"/>
      <c r="F294" s="345"/>
      <c r="G294" s="378"/>
      <c r="H294" s="404"/>
      <c r="I294" s="347"/>
      <c r="J294" s="348"/>
      <c r="K294" s="349"/>
      <c r="L294" s="296"/>
      <c r="M294" s="347"/>
      <c r="N294" s="350"/>
      <c r="O294" s="348"/>
      <c r="P294" s="348"/>
      <c r="Q294" s="404"/>
      <c r="R294" s="347"/>
      <c r="S294" s="351"/>
      <c r="T294" s="765"/>
      <c r="U294" s="766"/>
      <c r="V294" s="766"/>
      <c r="W294" s="767"/>
      <c r="X294" s="768"/>
      <c r="Y294" s="405"/>
      <c r="Z294" s="768"/>
      <c r="AA294" s="401"/>
      <c r="AB294" s="401"/>
      <c r="AC294" s="401"/>
      <c r="AD294" s="401"/>
      <c r="AE294" s="401"/>
      <c r="AF294" s="401"/>
      <c r="AG294" s="401"/>
      <c r="AH294" s="401"/>
      <c r="AI294" s="406"/>
    </row>
    <row r="295">
      <c r="A295" s="419"/>
      <c r="B295" s="420"/>
      <c r="C295" s="421"/>
      <c r="D295" s="422"/>
      <c r="E295" s="345"/>
      <c r="F295" s="387"/>
      <c r="G295" s="423"/>
      <c r="H295" s="292">
        <f t="shared" ref="H295:H296" si="107">((E295*N295)*(1+I295))*G295</f>
        <v>0</v>
      </c>
      <c r="I295" s="347">
        <v>0.035</v>
      </c>
      <c r="J295" s="348">
        <f t="shared" ref="J295:J296" si="108">H295*(1-I295)</f>
        <v>0</v>
      </c>
      <c r="K295" s="349">
        <f t="shared" ref="K295:K296" si="109">H295-J295</f>
        <v>0</v>
      </c>
      <c r="L295" s="296">
        <v>0.001397</v>
      </c>
      <c r="M295" s="347">
        <v>0.0215</v>
      </c>
      <c r="N295" s="350">
        <f t="shared" ref="N295:N296" si="110">L295*(1+M295)</f>
        <v>0.0014270355</v>
      </c>
      <c r="O295" s="348">
        <f t="shared" ref="O295:O296" si="111">(J295*M295)+15</f>
        <v>15</v>
      </c>
      <c r="P295" s="348">
        <f t="shared" ref="P295:P296" si="112">(J295*N295)+M295</f>
        <v>0.0215</v>
      </c>
      <c r="Q295" s="292">
        <f t="shared" ref="Q295:Q324" si="113">((F295*N295)*(1+I295))*G295</f>
        <v>0</v>
      </c>
      <c r="R295" s="347">
        <v>0.06</v>
      </c>
      <c r="S295" s="351"/>
      <c r="T295" s="299">
        <f t="shared" ref="T295:T381" si="114">F295-E295</f>
        <v>0</v>
      </c>
      <c r="U295" s="315">
        <f t="shared" ref="U295:U353" si="115">T295*(1-I295-M295)</f>
        <v>0</v>
      </c>
      <c r="V295" s="315">
        <f t="shared" ref="V295:V353" si="116">(F295-E295)*0.2</f>
        <v>0</v>
      </c>
      <c r="W295" s="320">
        <f t="shared" ref="W295:W343" si="117">F295-(E295+V295)-(F295*S295)-(F295*R295)</f>
        <v>0</v>
      </c>
      <c r="X295" s="321" t="str">
        <f t="shared" ref="X295:X328" si="118">IFERROR((F295-E295)/E295,"")</f>
        <v/>
      </c>
      <c r="Y295" s="352" t="str">
        <f t="shared" ref="Y295:Y296" si="119">IFERROR((Q295-H295)/Q295,"")</f>
        <v/>
      </c>
      <c r="Z295" s="321" t="str">
        <f t="shared" ref="Z295:Z360" si="120">IFERROR(W295/F295,"")</f>
        <v/>
      </c>
      <c r="AA295" s="401"/>
      <c r="AB295" s="401"/>
      <c r="AC295" s="401"/>
      <c r="AD295" s="402"/>
      <c r="AE295" s="401"/>
      <c r="AF295" s="401"/>
      <c r="AG295" s="401"/>
      <c r="AH295" s="402" t="str">
        <f t="shared" ref="AH295:AH296" si="121">IFERROR(AVERAGE(AE295:AG295),"")</f>
        <v/>
      </c>
      <c r="AI295" s="403">
        <f t="shared" ref="AI295:AI296" si="122">AE295+AF295+AG295</f>
        <v>0</v>
      </c>
    </row>
    <row r="296">
      <c r="A296" s="421"/>
      <c r="B296" s="421"/>
      <c r="D296" s="422"/>
      <c r="E296" s="345"/>
      <c r="F296" s="387"/>
      <c r="G296" s="423"/>
      <c r="H296" s="292">
        <f t="shared" si="107"/>
        <v>0</v>
      </c>
      <c r="I296" s="347">
        <v>0.035</v>
      </c>
      <c r="J296" s="348">
        <f t="shared" si="108"/>
        <v>0</v>
      </c>
      <c r="K296" s="349">
        <f t="shared" si="109"/>
        <v>0</v>
      </c>
      <c r="L296" s="296">
        <v>0.001397</v>
      </c>
      <c r="M296" s="347">
        <v>0.0215</v>
      </c>
      <c r="N296" s="350">
        <f t="shared" si="110"/>
        <v>0.0014270355</v>
      </c>
      <c r="O296" s="348">
        <f t="shared" si="111"/>
        <v>15</v>
      </c>
      <c r="P296" s="348">
        <f t="shared" si="112"/>
        <v>0.0215</v>
      </c>
      <c r="Q296" s="292">
        <f t="shared" si="113"/>
        <v>0</v>
      </c>
      <c r="R296" s="347">
        <v>0.06</v>
      </c>
      <c r="S296" s="351"/>
      <c r="T296" s="299">
        <f t="shared" si="114"/>
        <v>0</v>
      </c>
      <c r="U296" s="315">
        <f t="shared" si="115"/>
        <v>0</v>
      </c>
      <c r="V296" s="315">
        <f t="shared" si="116"/>
        <v>0</v>
      </c>
      <c r="W296" s="320">
        <f t="shared" si="117"/>
        <v>0</v>
      </c>
      <c r="X296" s="321" t="str">
        <f t="shared" si="118"/>
        <v/>
      </c>
      <c r="Y296" s="352" t="str">
        <f t="shared" si="119"/>
        <v/>
      </c>
      <c r="Z296" s="321" t="str">
        <f t="shared" si="120"/>
        <v/>
      </c>
      <c r="AA296" s="401"/>
      <c r="AB296" s="401"/>
      <c r="AC296" s="401"/>
      <c r="AD296" s="402"/>
      <c r="AE296" s="401"/>
      <c r="AF296" s="401"/>
      <c r="AG296" s="401"/>
      <c r="AH296" s="402" t="str">
        <f t="shared" si="121"/>
        <v/>
      </c>
      <c r="AI296" s="403">
        <f t="shared" si="122"/>
        <v>0</v>
      </c>
    </row>
    <row r="297">
      <c r="A297" s="419"/>
      <c r="B297" s="421"/>
      <c r="C297" s="420"/>
      <c r="D297" s="422"/>
      <c r="E297" s="387"/>
      <c r="F297" s="387"/>
      <c r="G297" s="423"/>
      <c r="H297" s="292"/>
      <c r="I297" s="347"/>
      <c r="J297" s="348"/>
      <c r="K297" s="349"/>
      <c r="L297" s="296">
        <v>0.001397</v>
      </c>
      <c r="M297" s="347"/>
      <c r="N297" s="350"/>
      <c r="O297" s="348"/>
      <c r="P297" s="348"/>
      <c r="Q297" s="292">
        <f t="shared" si="113"/>
        <v>0</v>
      </c>
      <c r="R297" s="347"/>
      <c r="S297" s="351"/>
      <c r="T297" s="299">
        <f t="shared" si="114"/>
        <v>0</v>
      </c>
      <c r="U297" s="315">
        <f t="shared" si="115"/>
        <v>0</v>
      </c>
      <c r="V297" s="315">
        <f t="shared" si="116"/>
        <v>0</v>
      </c>
      <c r="W297" s="320">
        <f t="shared" si="117"/>
        <v>0</v>
      </c>
      <c r="X297" s="321" t="str">
        <f t="shared" si="118"/>
        <v/>
      </c>
      <c r="Y297" s="352"/>
      <c r="Z297" s="321" t="str">
        <f t="shared" si="120"/>
        <v/>
      </c>
      <c r="AA297" s="401"/>
      <c r="AB297" s="401"/>
      <c r="AC297" s="401"/>
      <c r="AD297" s="402"/>
      <c r="AE297" s="401"/>
      <c r="AF297" s="401"/>
      <c r="AG297" s="401"/>
      <c r="AH297" s="402"/>
      <c r="AI297" s="403"/>
    </row>
    <row r="298">
      <c r="A298" s="419"/>
      <c r="B298" s="421"/>
      <c r="C298" s="419"/>
      <c r="D298" s="422"/>
      <c r="E298" s="345"/>
      <c r="F298" s="387"/>
      <c r="G298" s="423"/>
      <c r="H298" s="292">
        <f t="shared" ref="H298:H324" si="123">((E298*N298)*(1+I298))*G298</f>
        <v>0</v>
      </c>
      <c r="I298" s="347">
        <v>0.035</v>
      </c>
      <c r="J298" s="348">
        <f t="shared" ref="J298:J324" si="124">H298*(1-I298)</f>
        <v>0</v>
      </c>
      <c r="K298" s="349">
        <f t="shared" ref="K298:K324" si="125">H298-J298</f>
        <v>0</v>
      </c>
      <c r="L298" s="296">
        <v>0.001397</v>
      </c>
      <c r="M298" s="347">
        <v>0.0215</v>
      </c>
      <c r="N298" s="350">
        <f t="shared" ref="N298:N324" si="126">L298*(1+M298)</f>
        <v>0.0014270355</v>
      </c>
      <c r="O298" s="348">
        <f t="shared" ref="O298:O324" si="127">(J298*M298)+15</f>
        <v>15</v>
      </c>
      <c r="P298" s="348">
        <f t="shared" ref="P298:P324" si="128">(J298*N298)+M298</f>
        <v>0.0215</v>
      </c>
      <c r="Q298" s="292">
        <f t="shared" si="113"/>
        <v>0</v>
      </c>
      <c r="R298" s="347">
        <v>0.06</v>
      </c>
      <c r="S298" s="351"/>
      <c r="T298" s="299">
        <f t="shared" si="114"/>
        <v>0</v>
      </c>
      <c r="U298" s="315">
        <f t="shared" si="115"/>
        <v>0</v>
      </c>
      <c r="V298" s="315">
        <f t="shared" si="116"/>
        <v>0</v>
      </c>
      <c r="W298" s="320">
        <f t="shared" si="117"/>
        <v>0</v>
      </c>
      <c r="X298" s="321" t="str">
        <f t="shared" si="118"/>
        <v/>
      </c>
      <c r="Y298" s="352" t="str">
        <f t="shared" ref="Y298:Y324" si="129">IFERROR((Q298-H298)/Q298,"")</f>
        <v/>
      </c>
      <c r="Z298" s="321" t="str">
        <f t="shared" si="120"/>
        <v/>
      </c>
      <c r="AA298" s="401"/>
      <c r="AB298" s="401"/>
      <c r="AC298" s="401"/>
      <c r="AD298" s="402"/>
      <c r="AE298" s="401"/>
      <c r="AF298" s="401"/>
      <c r="AG298" s="401"/>
      <c r="AH298" s="402" t="str">
        <f t="shared" ref="AH298:AH315" si="130">IFERROR(AVERAGE(AE298:AG298),"")</f>
        <v/>
      </c>
      <c r="AI298" s="403">
        <f t="shared" ref="AI298:AI315" si="131">AE298+AF298+AG298</f>
        <v>0</v>
      </c>
    </row>
    <row r="299">
      <c r="A299" s="419"/>
      <c r="B299" s="421"/>
      <c r="C299" s="424"/>
      <c r="D299" s="422"/>
      <c r="E299" s="425"/>
      <c r="F299" s="387"/>
      <c r="G299" s="423"/>
      <c r="H299" s="292">
        <f t="shared" si="123"/>
        <v>0</v>
      </c>
      <c r="I299" s="347">
        <v>0.035</v>
      </c>
      <c r="J299" s="348">
        <f t="shared" si="124"/>
        <v>0</v>
      </c>
      <c r="K299" s="349">
        <f t="shared" si="125"/>
        <v>0</v>
      </c>
      <c r="L299" s="296">
        <v>0.001397</v>
      </c>
      <c r="M299" s="347">
        <v>0.0215</v>
      </c>
      <c r="N299" s="350">
        <f t="shared" si="126"/>
        <v>0.0014270355</v>
      </c>
      <c r="O299" s="348">
        <f t="shared" si="127"/>
        <v>15</v>
      </c>
      <c r="P299" s="348">
        <f t="shared" si="128"/>
        <v>0.0215</v>
      </c>
      <c r="Q299" s="292">
        <f t="shared" si="113"/>
        <v>0</v>
      </c>
      <c r="R299" s="347">
        <v>0.06</v>
      </c>
      <c r="S299" s="351"/>
      <c r="T299" s="299">
        <f t="shared" si="114"/>
        <v>0</v>
      </c>
      <c r="U299" s="315">
        <f t="shared" si="115"/>
        <v>0</v>
      </c>
      <c r="V299" s="315">
        <f t="shared" si="116"/>
        <v>0</v>
      </c>
      <c r="W299" s="320">
        <f t="shared" si="117"/>
        <v>0</v>
      </c>
      <c r="X299" s="321" t="str">
        <f t="shared" si="118"/>
        <v/>
      </c>
      <c r="Y299" s="352" t="str">
        <f t="shared" si="129"/>
        <v/>
      </c>
      <c r="Z299" s="321" t="str">
        <f t="shared" si="120"/>
        <v/>
      </c>
      <c r="AA299" s="401"/>
      <c r="AB299" s="401"/>
      <c r="AC299" s="401"/>
      <c r="AD299" s="402"/>
      <c r="AE299" s="401"/>
      <c r="AF299" s="401"/>
      <c r="AG299" s="401"/>
      <c r="AH299" s="402" t="str">
        <f t="shared" si="130"/>
        <v/>
      </c>
      <c r="AI299" s="403">
        <f t="shared" si="131"/>
        <v>0</v>
      </c>
    </row>
    <row r="300">
      <c r="A300" s="419"/>
      <c r="B300" s="421"/>
      <c r="C300" s="419"/>
      <c r="D300" s="422"/>
      <c r="E300" s="425"/>
      <c r="F300" s="387"/>
      <c r="G300" s="423"/>
      <c r="H300" s="292">
        <f t="shared" si="123"/>
        <v>0</v>
      </c>
      <c r="I300" s="347">
        <v>0.035</v>
      </c>
      <c r="J300" s="348">
        <f t="shared" si="124"/>
        <v>0</v>
      </c>
      <c r="K300" s="349">
        <f t="shared" si="125"/>
        <v>0</v>
      </c>
      <c r="L300" s="296">
        <v>0.001397</v>
      </c>
      <c r="M300" s="347">
        <v>0.0215</v>
      </c>
      <c r="N300" s="350">
        <f t="shared" si="126"/>
        <v>0.0014270355</v>
      </c>
      <c r="O300" s="348">
        <f t="shared" si="127"/>
        <v>15</v>
      </c>
      <c r="P300" s="348">
        <f t="shared" si="128"/>
        <v>0.0215</v>
      </c>
      <c r="Q300" s="292">
        <f t="shared" si="113"/>
        <v>0</v>
      </c>
      <c r="R300" s="347">
        <v>0.06</v>
      </c>
      <c r="S300" s="351"/>
      <c r="T300" s="299">
        <f t="shared" si="114"/>
        <v>0</v>
      </c>
      <c r="U300" s="315">
        <f t="shared" si="115"/>
        <v>0</v>
      </c>
      <c r="V300" s="315">
        <f t="shared" si="116"/>
        <v>0</v>
      </c>
      <c r="W300" s="320">
        <f t="shared" si="117"/>
        <v>0</v>
      </c>
      <c r="X300" s="321" t="str">
        <f t="shared" si="118"/>
        <v/>
      </c>
      <c r="Y300" s="352" t="str">
        <f t="shared" si="129"/>
        <v/>
      </c>
      <c r="Z300" s="321" t="str">
        <f t="shared" si="120"/>
        <v/>
      </c>
      <c r="AA300" s="401"/>
      <c r="AB300" s="401"/>
      <c r="AC300" s="401"/>
      <c r="AD300" s="402"/>
      <c r="AE300" s="401"/>
      <c r="AF300" s="401"/>
      <c r="AG300" s="401"/>
      <c r="AH300" s="402" t="str">
        <f t="shared" si="130"/>
        <v/>
      </c>
      <c r="AI300" s="403">
        <f t="shared" si="131"/>
        <v>0</v>
      </c>
    </row>
    <row r="301">
      <c r="A301" s="419"/>
      <c r="B301" s="420"/>
      <c r="C301" s="426"/>
      <c r="D301" s="422"/>
      <c r="E301" s="425"/>
      <c r="F301" s="387"/>
      <c r="G301" s="423"/>
      <c r="H301" s="292">
        <f t="shared" si="123"/>
        <v>0</v>
      </c>
      <c r="I301" s="347">
        <v>0.035</v>
      </c>
      <c r="J301" s="348">
        <f t="shared" si="124"/>
        <v>0</v>
      </c>
      <c r="K301" s="349">
        <f t="shared" si="125"/>
        <v>0</v>
      </c>
      <c r="L301" s="296">
        <v>0.001397</v>
      </c>
      <c r="M301" s="347">
        <v>0.0215</v>
      </c>
      <c r="N301" s="350">
        <f t="shared" si="126"/>
        <v>0.0014270355</v>
      </c>
      <c r="O301" s="348">
        <f t="shared" si="127"/>
        <v>15</v>
      </c>
      <c r="P301" s="348">
        <f t="shared" si="128"/>
        <v>0.0215</v>
      </c>
      <c r="Q301" s="292">
        <f t="shared" si="113"/>
        <v>0</v>
      </c>
      <c r="R301" s="347">
        <v>0.06</v>
      </c>
      <c r="S301" s="351"/>
      <c r="T301" s="299">
        <f t="shared" si="114"/>
        <v>0</v>
      </c>
      <c r="U301" s="315">
        <f t="shared" si="115"/>
        <v>0</v>
      </c>
      <c r="V301" s="315">
        <f t="shared" si="116"/>
        <v>0</v>
      </c>
      <c r="W301" s="320">
        <f t="shared" si="117"/>
        <v>0</v>
      </c>
      <c r="X301" s="321" t="str">
        <f t="shared" si="118"/>
        <v/>
      </c>
      <c r="Y301" s="352" t="str">
        <f t="shared" si="129"/>
        <v/>
      </c>
      <c r="Z301" s="321" t="str">
        <f t="shared" si="120"/>
        <v/>
      </c>
      <c r="AA301" s="401"/>
      <c r="AB301" s="401"/>
      <c r="AC301" s="401"/>
      <c r="AD301" s="402"/>
      <c r="AE301" s="401"/>
      <c r="AF301" s="401"/>
      <c r="AG301" s="401"/>
      <c r="AH301" s="402" t="str">
        <f t="shared" si="130"/>
        <v/>
      </c>
      <c r="AI301" s="403">
        <f t="shared" si="131"/>
        <v>0</v>
      </c>
    </row>
    <row r="302">
      <c r="A302" s="419"/>
      <c r="B302" s="419"/>
      <c r="C302" s="427"/>
      <c r="D302" s="422"/>
      <c r="E302" s="387"/>
      <c r="F302" s="387"/>
      <c r="G302" s="423"/>
      <c r="H302" s="292">
        <f t="shared" si="123"/>
        <v>0</v>
      </c>
      <c r="I302" s="347">
        <v>0.035</v>
      </c>
      <c r="J302" s="348">
        <f t="shared" si="124"/>
        <v>0</v>
      </c>
      <c r="K302" s="349">
        <f t="shared" si="125"/>
        <v>0</v>
      </c>
      <c r="L302" s="296">
        <v>0.001397</v>
      </c>
      <c r="M302" s="347">
        <v>0.0215</v>
      </c>
      <c r="N302" s="350">
        <f t="shared" si="126"/>
        <v>0.0014270355</v>
      </c>
      <c r="O302" s="348">
        <f t="shared" si="127"/>
        <v>15</v>
      </c>
      <c r="P302" s="348">
        <f t="shared" si="128"/>
        <v>0.0215</v>
      </c>
      <c r="Q302" s="292">
        <f t="shared" si="113"/>
        <v>0</v>
      </c>
      <c r="R302" s="347">
        <v>0.06</v>
      </c>
      <c r="S302" s="351"/>
      <c r="T302" s="299">
        <f t="shared" si="114"/>
        <v>0</v>
      </c>
      <c r="U302" s="315">
        <f t="shared" si="115"/>
        <v>0</v>
      </c>
      <c r="V302" s="315">
        <f t="shared" si="116"/>
        <v>0</v>
      </c>
      <c r="W302" s="320">
        <f t="shared" si="117"/>
        <v>0</v>
      </c>
      <c r="X302" s="321" t="str">
        <f t="shared" si="118"/>
        <v/>
      </c>
      <c r="Y302" s="352" t="str">
        <f t="shared" si="129"/>
        <v/>
      </c>
      <c r="Z302" s="321" t="str">
        <f t="shared" si="120"/>
        <v/>
      </c>
      <c r="AA302" s="401"/>
      <c r="AB302" s="401"/>
      <c r="AC302" s="401"/>
      <c r="AD302" s="402"/>
      <c r="AE302" s="401"/>
      <c r="AF302" s="401"/>
      <c r="AG302" s="401"/>
      <c r="AH302" s="402" t="str">
        <f t="shared" si="130"/>
        <v/>
      </c>
      <c r="AI302" s="403">
        <f t="shared" si="131"/>
        <v>0</v>
      </c>
    </row>
    <row r="303">
      <c r="A303" s="419"/>
      <c r="B303" s="420"/>
      <c r="C303" s="427"/>
      <c r="D303" s="422"/>
      <c r="E303" s="387"/>
      <c r="F303" s="387"/>
      <c r="G303" s="423"/>
      <c r="H303" s="292">
        <f t="shared" si="123"/>
        <v>0</v>
      </c>
      <c r="I303" s="347">
        <v>0.035</v>
      </c>
      <c r="J303" s="348">
        <f t="shared" si="124"/>
        <v>0</v>
      </c>
      <c r="K303" s="349">
        <f t="shared" si="125"/>
        <v>0</v>
      </c>
      <c r="L303" s="296">
        <v>0.001397</v>
      </c>
      <c r="M303" s="347">
        <v>0.0215</v>
      </c>
      <c r="N303" s="350">
        <f t="shared" si="126"/>
        <v>0.0014270355</v>
      </c>
      <c r="O303" s="348">
        <f t="shared" si="127"/>
        <v>15</v>
      </c>
      <c r="P303" s="348">
        <f t="shared" si="128"/>
        <v>0.0215</v>
      </c>
      <c r="Q303" s="292">
        <f t="shared" si="113"/>
        <v>0</v>
      </c>
      <c r="R303" s="347">
        <v>0.06</v>
      </c>
      <c r="S303" s="351"/>
      <c r="T303" s="299">
        <f t="shared" si="114"/>
        <v>0</v>
      </c>
      <c r="U303" s="315">
        <f t="shared" si="115"/>
        <v>0</v>
      </c>
      <c r="V303" s="315">
        <f t="shared" si="116"/>
        <v>0</v>
      </c>
      <c r="W303" s="320">
        <f t="shared" si="117"/>
        <v>0</v>
      </c>
      <c r="X303" s="321" t="str">
        <f t="shared" si="118"/>
        <v/>
      </c>
      <c r="Y303" s="352" t="str">
        <f t="shared" si="129"/>
        <v/>
      </c>
      <c r="Z303" s="321" t="str">
        <f t="shared" si="120"/>
        <v/>
      </c>
      <c r="AA303" s="401"/>
      <c r="AB303" s="401"/>
      <c r="AC303" s="401"/>
      <c r="AD303" s="402"/>
      <c r="AE303" s="401"/>
      <c r="AF303" s="401"/>
      <c r="AG303" s="401"/>
      <c r="AH303" s="402" t="str">
        <f t="shared" si="130"/>
        <v/>
      </c>
      <c r="AI303" s="403">
        <f t="shared" si="131"/>
        <v>0</v>
      </c>
    </row>
    <row r="304">
      <c r="A304" s="419"/>
      <c r="B304" s="419"/>
      <c r="C304" s="428"/>
      <c r="D304" s="429"/>
      <c r="E304" s="430"/>
      <c r="F304" s="387"/>
      <c r="G304" s="423"/>
      <c r="H304" s="292">
        <f t="shared" si="123"/>
        <v>0</v>
      </c>
      <c r="I304" s="347">
        <v>0.035</v>
      </c>
      <c r="J304" s="348">
        <f t="shared" si="124"/>
        <v>0</v>
      </c>
      <c r="K304" s="349">
        <f t="shared" si="125"/>
        <v>0</v>
      </c>
      <c r="L304" s="296">
        <v>0.001397</v>
      </c>
      <c r="M304" s="347">
        <v>0.0215</v>
      </c>
      <c r="N304" s="350">
        <f t="shared" si="126"/>
        <v>0.0014270355</v>
      </c>
      <c r="O304" s="348">
        <f t="shared" si="127"/>
        <v>15</v>
      </c>
      <c r="P304" s="348">
        <f t="shared" si="128"/>
        <v>0.0215</v>
      </c>
      <c r="Q304" s="292">
        <f t="shared" si="113"/>
        <v>0</v>
      </c>
      <c r="R304" s="347">
        <v>0.06</v>
      </c>
      <c r="S304" s="351"/>
      <c r="T304" s="299">
        <f t="shared" si="114"/>
        <v>0</v>
      </c>
      <c r="U304" s="315">
        <f t="shared" si="115"/>
        <v>0</v>
      </c>
      <c r="V304" s="315">
        <f t="shared" si="116"/>
        <v>0</v>
      </c>
      <c r="W304" s="320">
        <f t="shared" si="117"/>
        <v>0</v>
      </c>
      <c r="X304" s="321" t="str">
        <f t="shared" si="118"/>
        <v/>
      </c>
      <c r="Y304" s="352" t="str">
        <f t="shared" si="129"/>
        <v/>
      </c>
      <c r="Z304" s="321" t="str">
        <f t="shared" si="120"/>
        <v/>
      </c>
      <c r="AA304" s="401"/>
      <c r="AB304" s="401"/>
      <c r="AC304" s="401"/>
      <c r="AD304" s="402"/>
      <c r="AE304" s="401"/>
      <c r="AF304" s="401"/>
      <c r="AG304" s="401"/>
      <c r="AH304" s="402" t="str">
        <f t="shared" si="130"/>
        <v/>
      </c>
      <c r="AI304" s="403">
        <f t="shared" si="131"/>
        <v>0</v>
      </c>
    </row>
    <row r="305">
      <c r="A305" s="419"/>
      <c r="B305" s="419"/>
      <c r="C305" s="419"/>
      <c r="D305" s="419"/>
      <c r="E305" s="387"/>
      <c r="F305" s="387"/>
      <c r="G305" s="423"/>
      <c r="H305" s="292">
        <f t="shared" si="123"/>
        <v>0</v>
      </c>
      <c r="I305" s="347">
        <v>0.035</v>
      </c>
      <c r="J305" s="348">
        <f t="shared" si="124"/>
        <v>0</v>
      </c>
      <c r="K305" s="349">
        <f t="shared" si="125"/>
        <v>0</v>
      </c>
      <c r="L305" s="296">
        <v>0.001397</v>
      </c>
      <c r="M305" s="347">
        <v>0.0215</v>
      </c>
      <c r="N305" s="350">
        <f t="shared" si="126"/>
        <v>0.0014270355</v>
      </c>
      <c r="O305" s="348">
        <f t="shared" si="127"/>
        <v>15</v>
      </c>
      <c r="P305" s="348">
        <f t="shared" si="128"/>
        <v>0.0215</v>
      </c>
      <c r="Q305" s="292">
        <f t="shared" si="113"/>
        <v>0</v>
      </c>
      <c r="R305" s="347">
        <v>0.06</v>
      </c>
      <c r="S305" s="351"/>
      <c r="T305" s="299">
        <f t="shared" si="114"/>
        <v>0</v>
      </c>
      <c r="U305" s="315">
        <f t="shared" si="115"/>
        <v>0</v>
      </c>
      <c r="V305" s="315">
        <f t="shared" si="116"/>
        <v>0</v>
      </c>
      <c r="W305" s="320">
        <f t="shared" si="117"/>
        <v>0</v>
      </c>
      <c r="X305" s="321" t="str">
        <f t="shared" si="118"/>
        <v/>
      </c>
      <c r="Y305" s="352" t="str">
        <f t="shared" si="129"/>
        <v/>
      </c>
      <c r="Z305" s="321" t="str">
        <f t="shared" si="120"/>
        <v/>
      </c>
      <c r="AA305" s="401"/>
      <c r="AB305" s="401"/>
      <c r="AC305" s="401"/>
      <c r="AD305" s="402"/>
      <c r="AE305" s="401"/>
      <c r="AF305" s="401"/>
      <c r="AG305" s="401"/>
      <c r="AH305" s="402" t="str">
        <f t="shared" si="130"/>
        <v/>
      </c>
      <c r="AI305" s="403">
        <f t="shared" si="131"/>
        <v>0</v>
      </c>
    </row>
    <row r="306">
      <c r="A306" s="419"/>
      <c r="B306" s="419"/>
      <c r="C306" s="419"/>
      <c r="D306" s="419"/>
      <c r="E306" s="387"/>
      <c r="F306" s="387"/>
      <c r="G306" s="423"/>
      <c r="H306" s="292">
        <f t="shared" si="123"/>
        <v>0</v>
      </c>
      <c r="I306" s="347">
        <v>0.035</v>
      </c>
      <c r="J306" s="348">
        <f t="shared" si="124"/>
        <v>0</v>
      </c>
      <c r="K306" s="349">
        <f t="shared" si="125"/>
        <v>0</v>
      </c>
      <c r="L306" s="296">
        <v>0.001397</v>
      </c>
      <c r="M306" s="347">
        <v>0.0215</v>
      </c>
      <c r="N306" s="350">
        <f t="shared" si="126"/>
        <v>0.0014270355</v>
      </c>
      <c r="O306" s="348">
        <f t="shared" si="127"/>
        <v>15</v>
      </c>
      <c r="P306" s="348">
        <f t="shared" si="128"/>
        <v>0.0215</v>
      </c>
      <c r="Q306" s="292">
        <f t="shared" si="113"/>
        <v>0</v>
      </c>
      <c r="R306" s="347">
        <v>0.06</v>
      </c>
      <c r="S306" s="351"/>
      <c r="T306" s="299">
        <f t="shared" si="114"/>
        <v>0</v>
      </c>
      <c r="U306" s="315">
        <f t="shared" si="115"/>
        <v>0</v>
      </c>
      <c r="V306" s="315">
        <f t="shared" si="116"/>
        <v>0</v>
      </c>
      <c r="W306" s="320">
        <f t="shared" si="117"/>
        <v>0</v>
      </c>
      <c r="X306" s="321" t="str">
        <f t="shared" si="118"/>
        <v/>
      </c>
      <c r="Y306" s="352" t="str">
        <f t="shared" si="129"/>
        <v/>
      </c>
      <c r="Z306" s="321" t="str">
        <f t="shared" si="120"/>
        <v/>
      </c>
      <c r="AA306" s="401"/>
      <c r="AB306" s="401"/>
      <c r="AC306" s="401"/>
      <c r="AD306" s="402"/>
      <c r="AE306" s="401"/>
      <c r="AF306" s="401"/>
      <c r="AG306" s="401"/>
      <c r="AH306" s="402" t="str">
        <f t="shared" si="130"/>
        <v/>
      </c>
      <c r="AI306" s="403">
        <f t="shared" si="131"/>
        <v>0</v>
      </c>
    </row>
    <row r="307">
      <c r="A307" s="419"/>
      <c r="B307" s="419"/>
      <c r="C307" s="419"/>
      <c r="D307" s="419"/>
      <c r="E307" s="387"/>
      <c r="F307" s="387"/>
      <c r="G307" s="423"/>
      <c r="H307" s="292">
        <f t="shared" si="123"/>
        <v>0</v>
      </c>
      <c r="I307" s="347">
        <v>0.035</v>
      </c>
      <c r="J307" s="348">
        <f t="shared" si="124"/>
        <v>0</v>
      </c>
      <c r="K307" s="349">
        <f t="shared" si="125"/>
        <v>0</v>
      </c>
      <c r="L307" s="296">
        <v>0.001397</v>
      </c>
      <c r="M307" s="347">
        <v>0.0215</v>
      </c>
      <c r="N307" s="350">
        <f t="shared" si="126"/>
        <v>0.0014270355</v>
      </c>
      <c r="O307" s="348">
        <f t="shared" si="127"/>
        <v>15</v>
      </c>
      <c r="P307" s="348">
        <f t="shared" si="128"/>
        <v>0.0215</v>
      </c>
      <c r="Q307" s="292">
        <f t="shared" si="113"/>
        <v>0</v>
      </c>
      <c r="R307" s="347">
        <v>0.06</v>
      </c>
      <c r="S307" s="351"/>
      <c r="T307" s="299">
        <f t="shared" si="114"/>
        <v>0</v>
      </c>
      <c r="U307" s="315">
        <f t="shared" si="115"/>
        <v>0</v>
      </c>
      <c r="V307" s="315">
        <f t="shared" si="116"/>
        <v>0</v>
      </c>
      <c r="W307" s="320">
        <f t="shared" si="117"/>
        <v>0</v>
      </c>
      <c r="X307" s="321" t="str">
        <f t="shared" si="118"/>
        <v/>
      </c>
      <c r="Y307" s="352" t="str">
        <f t="shared" si="129"/>
        <v/>
      </c>
      <c r="Z307" s="321" t="str">
        <f t="shared" si="120"/>
        <v/>
      </c>
      <c r="AA307" s="401"/>
      <c r="AB307" s="401"/>
      <c r="AC307" s="401"/>
      <c r="AD307" s="402"/>
      <c r="AE307" s="401"/>
      <c r="AF307" s="401"/>
      <c r="AG307" s="401"/>
      <c r="AH307" s="402" t="str">
        <f t="shared" si="130"/>
        <v/>
      </c>
      <c r="AI307" s="403">
        <f t="shared" si="131"/>
        <v>0</v>
      </c>
    </row>
    <row r="308">
      <c r="A308" s="419"/>
      <c r="B308" s="419"/>
      <c r="C308" s="419"/>
      <c r="D308" s="419"/>
      <c r="E308" s="387"/>
      <c r="F308" s="387"/>
      <c r="G308" s="423"/>
      <c r="H308" s="292">
        <f t="shared" si="123"/>
        <v>0</v>
      </c>
      <c r="I308" s="347">
        <v>0.035</v>
      </c>
      <c r="J308" s="348">
        <f t="shared" si="124"/>
        <v>0</v>
      </c>
      <c r="K308" s="349">
        <f t="shared" si="125"/>
        <v>0</v>
      </c>
      <c r="L308" s="296">
        <v>0.001397</v>
      </c>
      <c r="M308" s="347">
        <v>0.0215</v>
      </c>
      <c r="N308" s="350">
        <f t="shared" si="126"/>
        <v>0.0014270355</v>
      </c>
      <c r="O308" s="348">
        <f t="shared" si="127"/>
        <v>15</v>
      </c>
      <c r="P308" s="348">
        <f t="shared" si="128"/>
        <v>0.0215</v>
      </c>
      <c r="Q308" s="292">
        <f t="shared" si="113"/>
        <v>0</v>
      </c>
      <c r="R308" s="347">
        <v>0.06</v>
      </c>
      <c r="S308" s="351"/>
      <c r="T308" s="299">
        <f t="shared" si="114"/>
        <v>0</v>
      </c>
      <c r="U308" s="315">
        <f t="shared" si="115"/>
        <v>0</v>
      </c>
      <c r="V308" s="315">
        <f t="shared" si="116"/>
        <v>0</v>
      </c>
      <c r="W308" s="320">
        <f t="shared" si="117"/>
        <v>0</v>
      </c>
      <c r="X308" s="321" t="str">
        <f t="shared" si="118"/>
        <v/>
      </c>
      <c r="Y308" s="352" t="str">
        <f t="shared" si="129"/>
        <v/>
      </c>
      <c r="Z308" s="321" t="str">
        <f t="shared" si="120"/>
        <v/>
      </c>
      <c r="AA308" s="401"/>
      <c r="AB308" s="401"/>
      <c r="AC308" s="401"/>
      <c r="AD308" s="402"/>
      <c r="AE308" s="401"/>
      <c r="AF308" s="401"/>
      <c r="AG308" s="401"/>
      <c r="AH308" s="402" t="str">
        <f t="shared" si="130"/>
        <v/>
      </c>
      <c r="AI308" s="403">
        <f t="shared" si="131"/>
        <v>0</v>
      </c>
    </row>
    <row r="309">
      <c r="A309" s="419"/>
      <c r="B309" s="419"/>
      <c r="C309" s="419"/>
      <c r="D309" s="419"/>
      <c r="E309" s="387"/>
      <c r="F309" s="387"/>
      <c r="G309" s="423"/>
      <c r="H309" s="292">
        <f t="shared" si="123"/>
        <v>0</v>
      </c>
      <c r="I309" s="347">
        <v>0.035</v>
      </c>
      <c r="J309" s="348">
        <f t="shared" si="124"/>
        <v>0</v>
      </c>
      <c r="K309" s="349">
        <f t="shared" si="125"/>
        <v>0</v>
      </c>
      <c r="L309" s="296">
        <v>0.001397</v>
      </c>
      <c r="M309" s="347">
        <v>0.0215</v>
      </c>
      <c r="N309" s="350">
        <f t="shared" si="126"/>
        <v>0.0014270355</v>
      </c>
      <c r="O309" s="348">
        <f t="shared" si="127"/>
        <v>15</v>
      </c>
      <c r="P309" s="348">
        <f t="shared" si="128"/>
        <v>0.0215</v>
      </c>
      <c r="Q309" s="292">
        <f t="shared" si="113"/>
        <v>0</v>
      </c>
      <c r="R309" s="347">
        <v>0.06</v>
      </c>
      <c r="S309" s="351"/>
      <c r="T309" s="299">
        <f t="shared" si="114"/>
        <v>0</v>
      </c>
      <c r="U309" s="315">
        <f t="shared" si="115"/>
        <v>0</v>
      </c>
      <c r="V309" s="315">
        <f t="shared" si="116"/>
        <v>0</v>
      </c>
      <c r="W309" s="320">
        <f t="shared" si="117"/>
        <v>0</v>
      </c>
      <c r="X309" s="321" t="str">
        <f t="shared" si="118"/>
        <v/>
      </c>
      <c r="Y309" s="352" t="str">
        <f t="shared" si="129"/>
        <v/>
      </c>
      <c r="Z309" s="321" t="str">
        <f t="shared" si="120"/>
        <v/>
      </c>
      <c r="AA309" s="401"/>
      <c r="AB309" s="401"/>
      <c r="AC309" s="401"/>
      <c r="AD309" s="402"/>
      <c r="AE309" s="401"/>
      <c r="AF309" s="401"/>
      <c r="AG309" s="401"/>
      <c r="AH309" s="402" t="str">
        <f t="shared" si="130"/>
        <v/>
      </c>
      <c r="AI309" s="403">
        <f t="shared" si="131"/>
        <v>0</v>
      </c>
    </row>
    <row r="310">
      <c r="A310" s="419"/>
      <c r="B310" s="419"/>
      <c r="C310" s="419"/>
      <c r="D310" s="419"/>
      <c r="E310" s="387"/>
      <c r="F310" s="387"/>
      <c r="G310" s="423"/>
      <c r="H310" s="292">
        <f t="shared" si="123"/>
        <v>0</v>
      </c>
      <c r="I310" s="347">
        <v>0.035</v>
      </c>
      <c r="J310" s="348">
        <f t="shared" si="124"/>
        <v>0</v>
      </c>
      <c r="K310" s="349">
        <f t="shared" si="125"/>
        <v>0</v>
      </c>
      <c r="L310" s="296">
        <v>0.001397</v>
      </c>
      <c r="M310" s="347">
        <v>0.0215</v>
      </c>
      <c r="N310" s="350">
        <f t="shared" si="126"/>
        <v>0.0014270355</v>
      </c>
      <c r="O310" s="348">
        <f t="shared" si="127"/>
        <v>15</v>
      </c>
      <c r="P310" s="348">
        <f t="shared" si="128"/>
        <v>0.0215</v>
      </c>
      <c r="Q310" s="292">
        <f t="shared" si="113"/>
        <v>0</v>
      </c>
      <c r="R310" s="347">
        <v>0.06</v>
      </c>
      <c r="S310" s="351"/>
      <c r="T310" s="299">
        <f t="shared" si="114"/>
        <v>0</v>
      </c>
      <c r="U310" s="315">
        <f t="shared" si="115"/>
        <v>0</v>
      </c>
      <c r="V310" s="315">
        <f t="shared" si="116"/>
        <v>0</v>
      </c>
      <c r="W310" s="320">
        <f t="shared" si="117"/>
        <v>0</v>
      </c>
      <c r="X310" s="321" t="str">
        <f t="shared" si="118"/>
        <v/>
      </c>
      <c r="Y310" s="352" t="str">
        <f t="shared" si="129"/>
        <v/>
      </c>
      <c r="Z310" s="321" t="str">
        <f t="shared" si="120"/>
        <v/>
      </c>
      <c r="AA310" s="401"/>
      <c r="AB310" s="401"/>
      <c r="AC310" s="401"/>
      <c r="AD310" s="402"/>
      <c r="AE310" s="401"/>
      <c r="AF310" s="401"/>
      <c r="AG310" s="401"/>
      <c r="AH310" s="402" t="str">
        <f t="shared" si="130"/>
        <v/>
      </c>
      <c r="AI310" s="403">
        <f t="shared" si="131"/>
        <v>0</v>
      </c>
    </row>
    <row r="311">
      <c r="A311" s="419"/>
      <c r="B311" s="419"/>
      <c r="C311" s="419"/>
      <c r="D311" s="419"/>
      <c r="E311" s="387"/>
      <c r="F311" s="387"/>
      <c r="G311" s="423"/>
      <c r="H311" s="292">
        <f t="shared" si="123"/>
        <v>0</v>
      </c>
      <c r="I311" s="347">
        <v>0.035</v>
      </c>
      <c r="J311" s="348">
        <f t="shared" si="124"/>
        <v>0</v>
      </c>
      <c r="K311" s="349">
        <f t="shared" si="125"/>
        <v>0</v>
      </c>
      <c r="L311" s="296">
        <v>0.001397</v>
      </c>
      <c r="M311" s="347">
        <v>0.0215</v>
      </c>
      <c r="N311" s="350">
        <f t="shared" si="126"/>
        <v>0.0014270355</v>
      </c>
      <c r="O311" s="348">
        <f t="shared" si="127"/>
        <v>15</v>
      </c>
      <c r="P311" s="348">
        <f t="shared" si="128"/>
        <v>0.0215</v>
      </c>
      <c r="Q311" s="292">
        <f t="shared" si="113"/>
        <v>0</v>
      </c>
      <c r="R311" s="347">
        <v>0.06</v>
      </c>
      <c r="S311" s="351"/>
      <c r="T311" s="299">
        <f t="shared" si="114"/>
        <v>0</v>
      </c>
      <c r="U311" s="315">
        <f t="shared" si="115"/>
        <v>0</v>
      </c>
      <c r="V311" s="315">
        <f t="shared" si="116"/>
        <v>0</v>
      </c>
      <c r="W311" s="320">
        <f t="shared" si="117"/>
        <v>0</v>
      </c>
      <c r="X311" s="321" t="str">
        <f t="shared" si="118"/>
        <v/>
      </c>
      <c r="Y311" s="352" t="str">
        <f t="shared" si="129"/>
        <v/>
      </c>
      <c r="Z311" s="321" t="str">
        <f t="shared" si="120"/>
        <v/>
      </c>
      <c r="AA311" s="401"/>
      <c r="AB311" s="401"/>
      <c r="AC311" s="401"/>
      <c r="AD311" s="402"/>
      <c r="AE311" s="401"/>
      <c r="AF311" s="401"/>
      <c r="AG311" s="401"/>
      <c r="AH311" s="402" t="str">
        <f t="shared" si="130"/>
        <v/>
      </c>
      <c r="AI311" s="403">
        <f t="shared" si="131"/>
        <v>0</v>
      </c>
    </row>
    <row r="312">
      <c r="A312" s="419"/>
      <c r="B312" s="419"/>
      <c r="C312" s="419"/>
      <c r="D312" s="419"/>
      <c r="E312" s="387"/>
      <c r="F312" s="387"/>
      <c r="G312" s="423"/>
      <c r="H312" s="292">
        <f t="shared" si="123"/>
        <v>0</v>
      </c>
      <c r="I312" s="347">
        <v>0.035</v>
      </c>
      <c r="J312" s="348">
        <f t="shared" si="124"/>
        <v>0</v>
      </c>
      <c r="K312" s="349">
        <f t="shared" si="125"/>
        <v>0</v>
      </c>
      <c r="L312" s="296">
        <v>0.001397</v>
      </c>
      <c r="M312" s="347">
        <v>0.0215</v>
      </c>
      <c r="N312" s="350">
        <f t="shared" si="126"/>
        <v>0.0014270355</v>
      </c>
      <c r="O312" s="348">
        <f t="shared" si="127"/>
        <v>15</v>
      </c>
      <c r="P312" s="348">
        <f t="shared" si="128"/>
        <v>0.0215</v>
      </c>
      <c r="Q312" s="292">
        <f t="shared" si="113"/>
        <v>0</v>
      </c>
      <c r="R312" s="347">
        <v>0.06</v>
      </c>
      <c r="S312" s="351"/>
      <c r="T312" s="299">
        <f t="shared" si="114"/>
        <v>0</v>
      </c>
      <c r="U312" s="315">
        <f t="shared" si="115"/>
        <v>0</v>
      </c>
      <c r="V312" s="315">
        <f t="shared" si="116"/>
        <v>0</v>
      </c>
      <c r="W312" s="320">
        <f t="shared" si="117"/>
        <v>0</v>
      </c>
      <c r="X312" s="321" t="str">
        <f t="shared" si="118"/>
        <v/>
      </c>
      <c r="Y312" s="352" t="str">
        <f t="shared" si="129"/>
        <v/>
      </c>
      <c r="Z312" s="321" t="str">
        <f t="shared" si="120"/>
        <v/>
      </c>
      <c r="AA312" s="401"/>
      <c r="AB312" s="401"/>
      <c r="AC312" s="401"/>
      <c r="AD312" s="402"/>
      <c r="AE312" s="401"/>
      <c r="AF312" s="401"/>
      <c r="AG312" s="401"/>
      <c r="AH312" s="402" t="str">
        <f t="shared" si="130"/>
        <v/>
      </c>
      <c r="AI312" s="403">
        <f t="shared" si="131"/>
        <v>0</v>
      </c>
    </row>
    <row r="313">
      <c r="A313" s="419"/>
      <c r="B313" s="419"/>
      <c r="C313" s="419"/>
      <c r="D313" s="419"/>
      <c r="E313" s="387"/>
      <c r="F313" s="387"/>
      <c r="G313" s="423"/>
      <c r="H313" s="292">
        <f t="shared" si="123"/>
        <v>0</v>
      </c>
      <c r="I313" s="347">
        <v>0.035</v>
      </c>
      <c r="J313" s="348">
        <f t="shared" si="124"/>
        <v>0</v>
      </c>
      <c r="K313" s="349">
        <f t="shared" si="125"/>
        <v>0</v>
      </c>
      <c r="L313" s="296">
        <v>0.001397</v>
      </c>
      <c r="M313" s="347">
        <v>0.0215</v>
      </c>
      <c r="N313" s="350">
        <f t="shared" si="126"/>
        <v>0.0014270355</v>
      </c>
      <c r="O313" s="348">
        <f t="shared" si="127"/>
        <v>15</v>
      </c>
      <c r="P313" s="348">
        <f t="shared" si="128"/>
        <v>0.0215</v>
      </c>
      <c r="Q313" s="292">
        <f t="shared" si="113"/>
        <v>0</v>
      </c>
      <c r="R313" s="347">
        <v>0.06</v>
      </c>
      <c r="S313" s="351"/>
      <c r="T313" s="299">
        <f t="shared" si="114"/>
        <v>0</v>
      </c>
      <c r="U313" s="315">
        <f t="shared" si="115"/>
        <v>0</v>
      </c>
      <c r="V313" s="315">
        <f t="shared" si="116"/>
        <v>0</v>
      </c>
      <c r="W313" s="320">
        <f t="shared" si="117"/>
        <v>0</v>
      </c>
      <c r="X313" s="321" t="str">
        <f t="shared" si="118"/>
        <v/>
      </c>
      <c r="Y313" s="352" t="str">
        <f t="shared" si="129"/>
        <v/>
      </c>
      <c r="Z313" s="321" t="str">
        <f t="shared" si="120"/>
        <v/>
      </c>
      <c r="AA313" s="401"/>
      <c r="AB313" s="401"/>
      <c r="AC313" s="401"/>
      <c r="AD313" s="402"/>
      <c r="AE313" s="401"/>
      <c r="AF313" s="401"/>
      <c r="AG313" s="401"/>
      <c r="AH313" s="402" t="str">
        <f t="shared" si="130"/>
        <v/>
      </c>
      <c r="AI313" s="403">
        <f t="shared" si="131"/>
        <v>0</v>
      </c>
    </row>
    <row r="314">
      <c r="A314" s="419"/>
      <c r="B314" s="419"/>
      <c r="C314" s="419"/>
      <c r="D314" s="419"/>
      <c r="E314" s="387"/>
      <c r="F314" s="387"/>
      <c r="G314" s="423"/>
      <c r="H314" s="292">
        <f t="shared" si="123"/>
        <v>0</v>
      </c>
      <c r="I314" s="347">
        <v>0.035</v>
      </c>
      <c r="J314" s="348">
        <f t="shared" si="124"/>
        <v>0</v>
      </c>
      <c r="K314" s="349">
        <f t="shared" si="125"/>
        <v>0</v>
      </c>
      <c r="L314" s="296">
        <v>0.001397</v>
      </c>
      <c r="M314" s="347">
        <v>0.0215</v>
      </c>
      <c r="N314" s="350">
        <f t="shared" si="126"/>
        <v>0.0014270355</v>
      </c>
      <c r="O314" s="348">
        <f t="shared" si="127"/>
        <v>15</v>
      </c>
      <c r="P314" s="348">
        <f t="shared" si="128"/>
        <v>0.0215</v>
      </c>
      <c r="Q314" s="292">
        <f t="shared" si="113"/>
        <v>0</v>
      </c>
      <c r="R314" s="347">
        <v>0.06</v>
      </c>
      <c r="S314" s="351"/>
      <c r="T314" s="299">
        <f t="shared" si="114"/>
        <v>0</v>
      </c>
      <c r="U314" s="315">
        <f t="shared" si="115"/>
        <v>0</v>
      </c>
      <c r="V314" s="315">
        <f t="shared" si="116"/>
        <v>0</v>
      </c>
      <c r="W314" s="320">
        <f t="shared" si="117"/>
        <v>0</v>
      </c>
      <c r="X314" s="321" t="str">
        <f t="shared" si="118"/>
        <v/>
      </c>
      <c r="Y314" s="352" t="str">
        <f t="shared" si="129"/>
        <v/>
      </c>
      <c r="Z314" s="321" t="str">
        <f t="shared" si="120"/>
        <v/>
      </c>
      <c r="AA314" s="401"/>
      <c r="AB314" s="401"/>
      <c r="AC314" s="401"/>
      <c r="AD314" s="402"/>
      <c r="AE314" s="401"/>
      <c r="AF314" s="401"/>
      <c r="AG314" s="401"/>
      <c r="AH314" s="402" t="str">
        <f t="shared" si="130"/>
        <v/>
      </c>
      <c r="AI314" s="403">
        <f t="shared" si="131"/>
        <v>0</v>
      </c>
    </row>
    <row r="315">
      <c r="A315" s="419"/>
      <c r="B315" s="419"/>
      <c r="C315" s="419"/>
      <c r="D315" s="419"/>
      <c r="E315" s="387"/>
      <c r="F315" s="387"/>
      <c r="G315" s="423"/>
      <c r="H315" s="292">
        <f t="shared" si="123"/>
        <v>0</v>
      </c>
      <c r="I315" s="347">
        <v>0.035</v>
      </c>
      <c r="J315" s="348">
        <f t="shared" si="124"/>
        <v>0</v>
      </c>
      <c r="K315" s="349">
        <f t="shared" si="125"/>
        <v>0</v>
      </c>
      <c r="L315" s="296">
        <v>0.001397</v>
      </c>
      <c r="M315" s="347">
        <v>0.0215</v>
      </c>
      <c r="N315" s="350">
        <f t="shared" si="126"/>
        <v>0.0014270355</v>
      </c>
      <c r="O315" s="348">
        <f t="shared" si="127"/>
        <v>15</v>
      </c>
      <c r="P315" s="348">
        <f t="shared" si="128"/>
        <v>0.0215</v>
      </c>
      <c r="Q315" s="292">
        <f t="shared" si="113"/>
        <v>0</v>
      </c>
      <c r="R315" s="347">
        <v>0.06</v>
      </c>
      <c r="S315" s="351"/>
      <c r="T315" s="299">
        <f t="shared" si="114"/>
        <v>0</v>
      </c>
      <c r="U315" s="315">
        <f t="shared" si="115"/>
        <v>0</v>
      </c>
      <c r="V315" s="315">
        <f t="shared" si="116"/>
        <v>0</v>
      </c>
      <c r="W315" s="320">
        <f t="shared" si="117"/>
        <v>0</v>
      </c>
      <c r="X315" s="321" t="str">
        <f t="shared" si="118"/>
        <v/>
      </c>
      <c r="Y315" s="352" t="str">
        <f t="shared" si="129"/>
        <v/>
      </c>
      <c r="Z315" s="321" t="str">
        <f t="shared" si="120"/>
        <v/>
      </c>
      <c r="AA315" s="401"/>
      <c r="AB315" s="401"/>
      <c r="AC315" s="401"/>
      <c r="AD315" s="402"/>
      <c r="AE315" s="401"/>
      <c r="AF315" s="401"/>
      <c r="AG315" s="401"/>
      <c r="AH315" s="402" t="str">
        <f t="shared" si="130"/>
        <v/>
      </c>
      <c r="AI315" s="403">
        <f t="shared" si="131"/>
        <v>0</v>
      </c>
    </row>
    <row r="316">
      <c r="A316" s="419"/>
      <c r="B316" s="419"/>
      <c r="C316" s="419"/>
      <c r="D316" s="419"/>
      <c r="E316" s="387"/>
      <c r="F316" s="387"/>
      <c r="G316" s="423"/>
      <c r="H316" s="292">
        <f t="shared" si="123"/>
        <v>0</v>
      </c>
      <c r="I316" s="347">
        <v>0.035</v>
      </c>
      <c r="J316" s="348">
        <f t="shared" si="124"/>
        <v>0</v>
      </c>
      <c r="K316" s="349">
        <f t="shared" si="125"/>
        <v>0</v>
      </c>
      <c r="L316" s="296">
        <v>0.001397</v>
      </c>
      <c r="M316" s="347">
        <v>0.0215</v>
      </c>
      <c r="N316" s="350">
        <f t="shared" si="126"/>
        <v>0.0014270355</v>
      </c>
      <c r="O316" s="348">
        <f t="shared" si="127"/>
        <v>15</v>
      </c>
      <c r="P316" s="348">
        <f t="shared" si="128"/>
        <v>0.0215</v>
      </c>
      <c r="Q316" s="292">
        <f t="shared" si="113"/>
        <v>0</v>
      </c>
      <c r="R316" s="347">
        <v>0.06</v>
      </c>
      <c r="S316" s="351"/>
      <c r="T316" s="299">
        <f t="shared" si="114"/>
        <v>0</v>
      </c>
      <c r="U316" s="315">
        <f t="shared" si="115"/>
        <v>0</v>
      </c>
      <c r="V316" s="315">
        <f t="shared" si="116"/>
        <v>0</v>
      </c>
      <c r="W316" s="320">
        <f t="shared" si="117"/>
        <v>0</v>
      </c>
      <c r="X316" s="321" t="str">
        <f t="shared" si="118"/>
        <v/>
      </c>
      <c r="Y316" s="352" t="str">
        <f t="shared" si="129"/>
        <v/>
      </c>
      <c r="Z316" s="321" t="str">
        <f t="shared" si="120"/>
        <v/>
      </c>
      <c r="AA316" s="423"/>
      <c r="AB316" s="423"/>
      <c r="AC316" s="423"/>
      <c r="AD316" s="423"/>
      <c r="AE316" s="423"/>
      <c r="AF316" s="423"/>
      <c r="AG316" s="423"/>
      <c r="AH316" s="423"/>
      <c r="AI316" s="423"/>
    </row>
    <row r="317">
      <c r="A317" s="419"/>
      <c r="B317" s="419"/>
      <c r="C317" s="419"/>
      <c r="D317" s="419"/>
      <c r="E317" s="387"/>
      <c r="F317" s="387"/>
      <c r="G317" s="423"/>
      <c r="H317" s="292">
        <f t="shared" si="123"/>
        <v>0</v>
      </c>
      <c r="I317" s="347">
        <v>0.035</v>
      </c>
      <c r="J317" s="348">
        <f t="shared" si="124"/>
        <v>0</v>
      </c>
      <c r="K317" s="349">
        <f t="shared" si="125"/>
        <v>0</v>
      </c>
      <c r="L317" s="296">
        <v>0.001397</v>
      </c>
      <c r="M317" s="347">
        <v>0.0215</v>
      </c>
      <c r="N317" s="350">
        <f t="shared" si="126"/>
        <v>0.0014270355</v>
      </c>
      <c r="O317" s="348">
        <f t="shared" si="127"/>
        <v>15</v>
      </c>
      <c r="P317" s="348">
        <f t="shared" si="128"/>
        <v>0.0215</v>
      </c>
      <c r="Q317" s="292">
        <f t="shared" si="113"/>
        <v>0</v>
      </c>
      <c r="R317" s="347">
        <v>0.06</v>
      </c>
      <c r="S317" s="351"/>
      <c r="T317" s="299">
        <f t="shared" si="114"/>
        <v>0</v>
      </c>
      <c r="U317" s="315">
        <f t="shared" si="115"/>
        <v>0</v>
      </c>
      <c r="V317" s="315">
        <f t="shared" si="116"/>
        <v>0</v>
      </c>
      <c r="W317" s="320">
        <f t="shared" si="117"/>
        <v>0</v>
      </c>
      <c r="X317" s="321" t="str">
        <f t="shared" si="118"/>
        <v/>
      </c>
      <c r="Y317" s="352" t="str">
        <f t="shared" si="129"/>
        <v/>
      </c>
      <c r="Z317" s="321" t="str">
        <f t="shared" si="120"/>
        <v/>
      </c>
      <c r="AA317" s="423"/>
      <c r="AB317" s="423"/>
      <c r="AC317" s="423"/>
      <c r="AD317" s="423"/>
      <c r="AE317" s="423"/>
      <c r="AF317" s="423"/>
      <c r="AG317" s="423"/>
      <c r="AH317" s="423"/>
      <c r="AI317" s="423"/>
    </row>
    <row r="318">
      <c r="A318" s="419"/>
      <c r="B318" s="419"/>
      <c r="C318" s="419"/>
      <c r="D318" s="419"/>
      <c r="E318" s="387"/>
      <c r="F318" s="387"/>
      <c r="G318" s="423"/>
      <c r="H318" s="292">
        <f t="shared" si="123"/>
        <v>0</v>
      </c>
      <c r="I318" s="347">
        <v>0.035</v>
      </c>
      <c r="J318" s="348">
        <f t="shared" si="124"/>
        <v>0</v>
      </c>
      <c r="K318" s="349">
        <f t="shared" si="125"/>
        <v>0</v>
      </c>
      <c r="L318" s="296">
        <v>0.001397</v>
      </c>
      <c r="M318" s="347">
        <v>0.0215</v>
      </c>
      <c r="N318" s="350">
        <f t="shared" si="126"/>
        <v>0.0014270355</v>
      </c>
      <c r="O318" s="348">
        <f t="shared" si="127"/>
        <v>15</v>
      </c>
      <c r="P318" s="348">
        <f t="shared" si="128"/>
        <v>0.0215</v>
      </c>
      <c r="Q318" s="292">
        <f t="shared" si="113"/>
        <v>0</v>
      </c>
      <c r="R318" s="347">
        <v>0.06</v>
      </c>
      <c r="S318" s="351"/>
      <c r="T318" s="299">
        <f t="shared" si="114"/>
        <v>0</v>
      </c>
      <c r="U318" s="315">
        <f t="shared" si="115"/>
        <v>0</v>
      </c>
      <c r="V318" s="315">
        <f t="shared" si="116"/>
        <v>0</v>
      </c>
      <c r="W318" s="320">
        <f t="shared" si="117"/>
        <v>0</v>
      </c>
      <c r="X318" s="321" t="str">
        <f t="shared" si="118"/>
        <v/>
      </c>
      <c r="Y318" s="352" t="str">
        <f t="shared" si="129"/>
        <v/>
      </c>
      <c r="Z318" s="321" t="str">
        <f t="shared" si="120"/>
        <v/>
      </c>
      <c r="AA318" s="423"/>
      <c r="AB318" s="423"/>
      <c r="AC318" s="423"/>
      <c r="AD318" s="423"/>
      <c r="AE318" s="423"/>
      <c r="AF318" s="423"/>
      <c r="AG318" s="423"/>
      <c r="AH318" s="423"/>
      <c r="AI318" s="423"/>
    </row>
    <row r="319">
      <c r="A319" s="419"/>
      <c r="B319" s="419"/>
      <c r="C319" s="419"/>
      <c r="D319" s="419"/>
      <c r="E319" s="387"/>
      <c r="F319" s="387"/>
      <c r="G319" s="423"/>
      <c r="H319" s="292">
        <f t="shared" si="123"/>
        <v>0</v>
      </c>
      <c r="I319" s="347">
        <v>0.035</v>
      </c>
      <c r="J319" s="348">
        <f t="shared" si="124"/>
        <v>0</v>
      </c>
      <c r="K319" s="349">
        <f t="shared" si="125"/>
        <v>0</v>
      </c>
      <c r="L319" s="296">
        <v>0.001397</v>
      </c>
      <c r="M319" s="347">
        <v>0.0215</v>
      </c>
      <c r="N319" s="350">
        <f t="shared" si="126"/>
        <v>0.0014270355</v>
      </c>
      <c r="O319" s="348">
        <f t="shared" si="127"/>
        <v>15</v>
      </c>
      <c r="P319" s="348">
        <f t="shared" si="128"/>
        <v>0.0215</v>
      </c>
      <c r="Q319" s="292">
        <f t="shared" si="113"/>
        <v>0</v>
      </c>
      <c r="R319" s="347">
        <v>0.06</v>
      </c>
      <c r="S319" s="351"/>
      <c r="T319" s="299">
        <f t="shared" si="114"/>
        <v>0</v>
      </c>
      <c r="U319" s="315">
        <f t="shared" si="115"/>
        <v>0</v>
      </c>
      <c r="V319" s="315">
        <f t="shared" si="116"/>
        <v>0</v>
      </c>
      <c r="W319" s="320">
        <f t="shared" si="117"/>
        <v>0</v>
      </c>
      <c r="X319" s="321" t="str">
        <f t="shared" si="118"/>
        <v/>
      </c>
      <c r="Y319" s="352" t="str">
        <f t="shared" si="129"/>
        <v/>
      </c>
      <c r="Z319" s="321" t="str">
        <f t="shared" si="120"/>
        <v/>
      </c>
      <c r="AA319" s="423"/>
      <c r="AB319" s="423"/>
      <c r="AC319" s="423"/>
      <c r="AD319" s="423"/>
      <c r="AE319" s="423"/>
      <c r="AF319" s="423"/>
      <c r="AG319" s="423"/>
      <c r="AH319" s="423"/>
      <c r="AI319" s="423"/>
    </row>
    <row r="320">
      <c r="A320" s="419"/>
      <c r="B320" s="419"/>
      <c r="C320" s="419"/>
      <c r="D320" s="419"/>
      <c r="E320" s="387"/>
      <c r="F320" s="387"/>
      <c r="G320" s="423"/>
      <c r="H320" s="292">
        <f t="shared" si="123"/>
        <v>0</v>
      </c>
      <c r="I320" s="347">
        <v>0.035</v>
      </c>
      <c r="J320" s="348">
        <f t="shared" si="124"/>
        <v>0</v>
      </c>
      <c r="K320" s="349">
        <f t="shared" si="125"/>
        <v>0</v>
      </c>
      <c r="L320" s="296">
        <v>0.001397</v>
      </c>
      <c r="M320" s="347">
        <v>0.0215</v>
      </c>
      <c r="N320" s="350">
        <f t="shared" si="126"/>
        <v>0.0014270355</v>
      </c>
      <c r="O320" s="348">
        <f t="shared" si="127"/>
        <v>15</v>
      </c>
      <c r="P320" s="348">
        <f t="shared" si="128"/>
        <v>0.0215</v>
      </c>
      <c r="Q320" s="292">
        <f t="shared" si="113"/>
        <v>0</v>
      </c>
      <c r="R320" s="347">
        <v>0.06</v>
      </c>
      <c r="S320" s="351"/>
      <c r="T320" s="299">
        <f t="shared" si="114"/>
        <v>0</v>
      </c>
      <c r="U320" s="315">
        <f t="shared" si="115"/>
        <v>0</v>
      </c>
      <c r="V320" s="315">
        <f t="shared" si="116"/>
        <v>0</v>
      </c>
      <c r="W320" s="320">
        <f t="shared" si="117"/>
        <v>0</v>
      </c>
      <c r="X320" s="321" t="str">
        <f t="shared" si="118"/>
        <v/>
      </c>
      <c r="Y320" s="352" t="str">
        <f t="shared" si="129"/>
        <v/>
      </c>
      <c r="Z320" s="321" t="str">
        <f t="shared" si="120"/>
        <v/>
      </c>
      <c r="AA320" s="423"/>
      <c r="AB320" s="423"/>
      <c r="AC320" s="423"/>
      <c r="AD320" s="423"/>
      <c r="AE320" s="423"/>
      <c r="AF320" s="423"/>
      <c r="AG320" s="423"/>
      <c r="AH320" s="423"/>
      <c r="AI320" s="423"/>
    </row>
    <row r="321">
      <c r="A321" s="419"/>
      <c r="B321" s="419"/>
      <c r="C321" s="419"/>
      <c r="D321" s="419"/>
      <c r="E321" s="387"/>
      <c r="F321" s="387"/>
      <c r="G321" s="423"/>
      <c r="H321" s="292">
        <f t="shared" si="123"/>
        <v>0</v>
      </c>
      <c r="I321" s="347">
        <v>0.035</v>
      </c>
      <c r="J321" s="348">
        <f t="shared" si="124"/>
        <v>0</v>
      </c>
      <c r="K321" s="349">
        <f t="shared" si="125"/>
        <v>0</v>
      </c>
      <c r="L321" s="296">
        <v>0.001397</v>
      </c>
      <c r="M321" s="347">
        <v>0.0215</v>
      </c>
      <c r="N321" s="350">
        <f t="shared" si="126"/>
        <v>0.0014270355</v>
      </c>
      <c r="O321" s="348">
        <f t="shared" si="127"/>
        <v>15</v>
      </c>
      <c r="P321" s="348">
        <f t="shared" si="128"/>
        <v>0.0215</v>
      </c>
      <c r="Q321" s="292">
        <f t="shared" si="113"/>
        <v>0</v>
      </c>
      <c r="R321" s="347">
        <v>0.06</v>
      </c>
      <c r="S321" s="351"/>
      <c r="T321" s="299">
        <f t="shared" si="114"/>
        <v>0</v>
      </c>
      <c r="U321" s="315">
        <f t="shared" si="115"/>
        <v>0</v>
      </c>
      <c r="V321" s="315">
        <f t="shared" si="116"/>
        <v>0</v>
      </c>
      <c r="W321" s="320">
        <f t="shared" si="117"/>
        <v>0</v>
      </c>
      <c r="X321" s="321" t="str">
        <f t="shared" si="118"/>
        <v/>
      </c>
      <c r="Y321" s="352" t="str">
        <f t="shared" si="129"/>
        <v/>
      </c>
      <c r="Z321" s="321" t="str">
        <f t="shared" si="120"/>
        <v/>
      </c>
      <c r="AA321" s="423"/>
      <c r="AB321" s="423"/>
      <c r="AC321" s="423"/>
      <c r="AD321" s="423"/>
      <c r="AE321" s="423"/>
      <c r="AF321" s="423"/>
      <c r="AG321" s="423"/>
      <c r="AH321" s="423"/>
      <c r="AI321" s="423"/>
    </row>
    <row r="322">
      <c r="A322" s="419"/>
      <c r="B322" s="419"/>
      <c r="C322" s="419"/>
      <c r="D322" s="419"/>
      <c r="E322" s="387"/>
      <c r="F322" s="387"/>
      <c r="G322" s="423"/>
      <c r="H322" s="292">
        <f t="shared" si="123"/>
        <v>0</v>
      </c>
      <c r="I322" s="347">
        <v>0.035</v>
      </c>
      <c r="J322" s="348">
        <f t="shared" si="124"/>
        <v>0</v>
      </c>
      <c r="K322" s="349">
        <f t="shared" si="125"/>
        <v>0</v>
      </c>
      <c r="L322" s="296">
        <v>0.001397</v>
      </c>
      <c r="M322" s="347">
        <v>0.0215</v>
      </c>
      <c r="N322" s="350">
        <f t="shared" si="126"/>
        <v>0.0014270355</v>
      </c>
      <c r="O322" s="348">
        <f t="shared" si="127"/>
        <v>15</v>
      </c>
      <c r="P322" s="348">
        <f t="shared" si="128"/>
        <v>0.0215</v>
      </c>
      <c r="Q322" s="292">
        <f t="shared" si="113"/>
        <v>0</v>
      </c>
      <c r="R322" s="347">
        <v>0.06</v>
      </c>
      <c r="S322" s="351"/>
      <c r="T322" s="299">
        <f t="shared" si="114"/>
        <v>0</v>
      </c>
      <c r="U322" s="315">
        <f t="shared" si="115"/>
        <v>0</v>
      </c>
      <c r="V322" s="315">
        <f t="shared" si="116"/>
        <v>0</v>
      </c>
      <c r="W322" s="320">
        <f t="shared" si="117"/>
        <v>0</v>
      </c>
      <c r="X322" s="321" t="str">
        <f t="shared" si="118"/>
        <v/>
      </c>
      <c r="Y322" s="352" t="str">
        <f t="shared" si="129"/>
        <v/>
      </c>
      <c r="Z322" s="321" t="str">
        <f t="shared" si="120"/>
        <v/>
      </c>
      <c r="AA322" s="423"/>
      <c r="AB322" s="423"/>
      <c r="AC322" s="423"/>
      <c r="AD322" s="423"/>
      <c r="AE322" s="423"/>
      <c r="AF322" s="423"/>
      <c r="AG322" s="423"/>
      <c r="AH322" s="423"/>
      <c r="AI322" s="423"/>
    </row>
    <row r="323">
      <c r="A323" s="419"/>
      <c r="B323" s="419"/>
      <c r="C323" s="419"/>
      <c r="D323" s="419"/>
      <c r="E323" s="387"/>
      <c r="F323" s="387"/>
      <c r="G323" s="423"/>
      <c r="H323" s="292">
        <f t="shared" si="123"/>
        <v>0</v>
      </c>
      <c r="I323" s="347">
        <v>0.035</v>
      </c>
      <c r="J323" s="348">
        <f t="shared" si="124"/>
        <v>0</v>
      </c>
      <c r="K323" s="349">
        <f t="shared" si="125"/>
        <v>0</v>
      </c>
      <c r="L323" s="296">
        <v>0.001397</v>
      </c>
      <c r="M323" s="347">
        <v>0.0215</v>
      </c>
      <c r="N323" s="350">
        <f t="shared" si="126"/>
        <v>0.0014270355</v>
      </c>
      <c r="O323" s="348">
        <f t="shared" si="127"/>
        <v>15</v>
      </c>
      <c r="P323" s="348">
        <f t="shared" si="128"/>
        <v>0.0215</v>
      </c>
      <c r="Q323" s="292">
        <f t="shared" si="113"/>
        <v>0</v>
      </c>
      <c r="R323" s="347">
        <v>0.06</v>
      </c>
      <c r="S323" s="351"/>
      <c r="T323" s="299">
        <f t="shared" si="114"/>
        <v>0</v>
      </c>
      <c r="U323" s="315">
        <f t="shared" si="115"/>
        <v>0</v>
      </c>
      <c r="V323" s="315">
        <f t="shared" si="116"/>
        <v>0</v>
      </c>
      <c r="W323" s="320">
        <f t="shared" si="117"/>
        <v>0</v>
      </c>
      <c r="X323" s="321" t="str">
        <f t="shared" si="118"/>
        <v/>
      </c>
      <c r="Y323" s="352" t="str">
        <f t="shared" si="129"/>
        <v/>
      </c>
      <c r="Z323" s="321" t="str">
        <f t="shared" si="120"/>
        <v/>
      </c>
      <c r="AA323" s="423"/>
      <c r="AB323" s="423"/>
      <c r="AC323" s="423"/>
      <c r="AD323" s="423"/>
      <c r="AE323" s="423"/>
      <c r="AF323" s="423"/>
      <c r="AG323" s="423"/>
      <c r="AH323" s="423"/>
      <c r="AI323" s="423"/>
    </row>
    <row r="324">
      <c r="A324" s="419"/>
      <c r="B324" s="419"/>
      <c r="C324" s="419"/>
      <c r="D324" s="419"/>
      <c r="E324" s="387"/>
      <c r="F324" s="387"/>
      <c r="G324" s="423"/>
      <c r="H324" s="292">
        <f t="shared" si="123"/>
        <v>0</v>
      </c>
      <c r="I324" s="347">
        <v>0.035</v>
      </c>
      <c r="J324" s="348">
        <f t="shared" si="124"/>
        <v>0</v>
      </c>
      <c r="K324" s="349">
        <f t="shared" si="125"/>
        <v>0</v>
      </c>
      <c r="L324" s="296">
        <v>0.001397</v>
      </c>
      <c r="M324" s="347">
        <v>0.0215</v>
      </c>
      <c r="N324" s="350">
        <f t="shared" si="126"/>
        <v>0.0014270355</v>
      </c>
      <c r="O324" s="348">
        <f t="shared" si="127"/>
        <v>15</v>
      </c>
      <c r="P324" s="348">
        <f t="shared" si="128"/>
        <v>0.0215</v>
      </c>
      <c r="Q324" s="292">
        <f t="shared" si="113"/>
        <v>0</v>
      </c>
      <c r="R324" s="347">
        <v>0.06</v>
      </c>
      <c r="S324" s="351"/>
      <c r="T324" s="299">
        <f t="shared" si="114"/>
        <v>0</v>
      </c>
      <c r="U324" s="315">
        <f t="shared" si="115"/>
        <v>0</v>
      </c>
      <c r="V324" s="315">
        <f t="shared" si="116"/>
        <v>0</v>
      </c>
      <c r="W324" s="320">
        <f t="shared" si="117"/>
        <v>0</v>
      </c>
      <c r="X324" s="321" t="str">
        <f t="shared" si="118"/>
        <v/>
      </c>
      <c r="Y324" s="352" t="str">
        <f t="shared" si="129"/>
        <v/>
      </c>
      <c r="Z324" s="321" t="str">
        <f t="shared" si="120"/>
        <v/>
      </c>
      <c r="AA324" s="423"/>
      <c r="AB324" s="423"/>
      <c r="AC324" s="423"/>
      <c r="AD324" s="423"/>
      <c r="AE324" s="423"/>
      <c r="AF324" s="423"/>
      <c r="AG324" s="423"/>
      <c r="AH324" s="423"/>
      <c r="AI324" s="423"/>
    </row>
    <row r="325">
      <c r="A325" s="419"/>
      <c r="B325" s="419"/>
      <c r="C325" s="419"/>
      <c r="D325" s="419"/>
      <c r="E325" s="387"/>
      <c r="F325" s="387"/>
      <c r="G325" s="423"/>
      <c r="H325" s="423"/>
      <c r="I325" s="423"/>
      <c r="J325" s="423"/>
      <c r="K325" s="423"/>
      <c r="L325" s="296">
        <v>0.001397</v>
      </c>
      <c r="M325" s="423"/>
      <c r="N325" s="423"/>
      <c r="O325" s="423"/>
      <c r="P325" s="423"/>
      <c r="Q325" s="423"/>
      <c r="R325" s="423"/>
      <c r="S325" s="423"/>
      <c r="T325" s="299">
        <f t="shared" si="114"/>
        <v>0</v>
      </c>
      <c r="U325" s="315">
        <f t="shared" si="115"/>
        <v>0</v>
      </c>
      <c r="V325" s="315">
        <f t="shared" si="116"/>
        <v>0</v>
      </c>
      <c r="W325" s="320">
        <f t="shared" si="117"/>
        <v>0</v>
      </c>
      <c r="X325" s="321" t="str">
        <f t="shared" si="118"/>
        <v/>
      </c>
      <c r="Y325" s="423"/>
      <c r="Z325" s="321" t="str">
        <f t="shared" si="120"/>
        <v/>
      </c>
      <c r="AA325" s="423"/>
      <c r="AB325" s="423"/>
      <c r="AC325" s="423"/>
      <c r="AD325" s="423"/>
      <c r="AE325" s="423"/>
      <c r="AF325" s="423"/>
      <c r="AG325" s="423"/>
      <c r="AH325" s="423"/>
      <c r="AI325" s="423"/>
    </row>
    <row r="326">
      <c r="A326" s="419"/>
      <c r="B326" s="419"/>
      <c r="C326" s="419"/>
      <c r="D326" s="419"/>
      <c r="E326" s="387"/>
      <c r="F326" s="387"/>
      <c r="G326" s="423"/>
      <c r="H326" s="423"/>
      <c r="I326" s="423"/>
      <c r="J326" s="423"/>
      <c r="K326" s="423"/>
      <c r="L326" s="296">
        <v>0.001397</v>
      </c>
      <c r="M326" s="423"/>
      <c r="N326" s="423"/>
      <c r="O326" s="423"/>
      <c r="P326" s="423"/>
      <c r="Q326" s="423"/>
      <c r="R326" s="423"/>
      <c r="S326" s="423"/>
      <c r="T326" s="299">
        <f t="shared" si="114"/>
        <v>0</v>
      </c>
      <c r="U326" s="315">
        <f t="shared" si="115"/>
        <v>0</v>
      </c>
      <c r="V326" s="315">
        <f t="shared" si="116"/>
        <v>0</v>
      </c>
      <c r="W326" s="320">
        <f t="shared" si="117"/>
        <v>0</v>
      </c>
      <c r="X326" s="321" t="str">
        <f t="shared" si="118"/>
        <v/>
      </c>
      <c r="Y326" s="423"/>
      <c r="Z326" s="321" t="str">
        <f t="shared" si="120"/>
        <v/>
      </c>
      <c r="AA326" s="423"/>
      <c r="AB326" s="423"/>
      <c r="AC326" s="423"/>
      <c r="AD326" s="423"/>
      <c r="AE326" s="423"/>
      <c r="AF326" s="423"/>
      <c r="AG326" s="423"/>
      <c r="AH326" s="423"/>
      <c r="AI326" s="423"/>
    </row>
    <row r="327">
      <c r="A327" s="419"/>
      <c r="B327" s="419"/>
      <c r="C327" s="419"/>
      <c r="D327" s="419"/>
      <c r="E327" s="387"/>
      <c r="F327" s="387"/>
      <c r="G327" s="423"/>
      <c r="H327" s="423"/>
      <c r="I327" s="423"/>
      <c r="J327" s="423"/>
      <c r="K327" s="423"/>
      <c r="L327" s="296">
        <v>0.001397</v>
      </c>
      <c r="M327" s="423"/>
      <c r="N327" s="423"/>
      <c r="O327" s="423"/>
      <c r="P327" s="423"/>
      <c r="Q327" s="423"/>
      <c r="R327" s="423"/>
      <c r="S327" s="423"/>
      <c r="T327" s="299">
        <f t="shared" si="114"/>
        <v>0</v>
      </c>
      <c r="U327" s="315">
        <f t="shared" si="115"/>
        <v>0</v>
      </c>
      <c r="V327" s="315">
        <f t="shared" si="116"/>
        <v>0</v>
      </c>
      <c r="W327" s="320">
        <f t="shared" si="117"/>
        <v>0</v>
      </c>
      <c r="X327" s="321" t="str">
        <f t="shared" si="118"/>
        <v/>
      </c>
      <c r="Y327" s="423"/>
      <c r="Z327" s="321" t="str">
        <f t="shared" si="120"/>
        <v/>
      </c>
      <c r="AA327" s="423"/>
      <c r="AB327" s="423"/>
      <c r="AC327" s="423"/>
      <c r="AD327" s="423"/>
      <c r="AE327" s="423"/>
      <c r="AF327" s="423"/>
      <c r="AG327" s="423"/>
      <c r="AH327" s="423"/>
      <c r="AI327" s="423"/>
    </row>
    <row r="328">
      <c r="A328" s="419"/>
      <c r="B328" s="419"/>
      <c r="C328" s="419"/>
      <c r="D328" s="419"/>
      <c r="E328" s="387"/>
      <c r="F328" s="387"/>
      <c r="G328" s="423"/>
      <c r="H328" s="423"/>
      <c r="I328" s="423"/>
      <c r="J328" s="423"/>
      <c r="K328" s="423"/>
      <c r="L328" s="296">
        <v>0.001397</v>
      </c>
      <c r="M328" s="423"/>
      <c r="N328" s="423"/>
      <c r="O328" s="423"/>
      <c r="P328" s="423"/>
      <c r="Q328" s="423"/>
      <c r="R328" s="423"/>
      <c r="S328" s="423"/>
      <c r="T328" s="299">
        <f t="shared" si="114"/>
        <v>0</v>
      </c>
      <c r="U328" s="315">
        <f t="shared" si="115"/>
        <v>0</v>
      </c>
      <c r="V328" s="315">
        <f t="shared" si="116"/>
        <v>0</v>
      </c>
      <c r="W328" s="320">
        <f t="shared" si="117"/>
        <v>0</v>
      </c>
      <c r="X328" s="321" t="str">
        <f t="shared" si="118"/>
        <v/>
      </c>
      <c r="Y328" s="423"/>
      <c r="Z328" s="321" t="str">
        <f t="shared" si="120"/>
        <v/>
      </c>
      <c r="AA328" s="423"/>
      <c r="AB328" s="423"/>
      <c r="AC328" s="423"/>
      <c r="AD328" s="423"/>
      <c r="AE328" s="423"/>
      <c r="AF328" s="423"/>
      <c r="AG328" s="423"/>
      <c r="AH328" s="423"/>
      <c r="AI328" s="423"/>
    </row>
    <row r="329">
      <c r="A329" s="419"/>
      <c r="B329" s="419"/>
      <c r="C329" s="419"/>
      <c r="D329" s="419"/>
      <c r="E329" s="387"/>
      <c r="F329" s="387"/>
      <c r="G329" s="423"/>
      <c r="H329" s="423"/>
      <c r="I329" s="423"/>
      <c r="J329" s="423"/>
      <c r="K329" s="423"/>
      <c r="L329" s="296">
        <v>0.001397</v>
      </c>
      <c r="M329" s="423"/>
      <c r="N329" s="423"/>
      <c r="O329" s="423"/>
      <c r="P329" s="423"/>
      <c r="Q329" s="423"/>
      <c r="R329" s="423"/>
      <c r="S329" s="423"/>
      <c r="T329" s="299">
        <f t="shared" si="114"/>
        <v>0</v>
      </c>
      <c r="U329" s="315">
        <f t="shared" si="115"/>
        <v>0</v>
      </c>
      <c r="V329" s="315">
        <f t="shared" si="116"/>
        <v>0</v>
      </c>
      <c r="W329" s="320">
        <f t="shared" si="117"/>
        <v>0</v>
      </c>
      <c r="X329" s="423"/>
      <c r="Y329" s="423"/>
      <c r="Z329" s="321" t="str">
        <f t="shared" si="120"/>
        <v/>
      </c>
      <c r="AA329" s="423"/>
      <c r="AB329" s="423"/>
      <c r="AC329" s="423"/>
      <c r="AD329" s="423"/>
      <c r="AE329" s="423"/>
      <c r="AF329" s="423"/>
      <c r="AG329" s="423"/>
      <c r="AH329" s="423"/>
      <c r="AI329" s="423"/>
    </row>
    <row r="330">
      <c r="A330" s="419"/>
      <c r="B330" s="419"/>
      <c r="C330" s="419"/>
      <c r="D330" s="419"/>
      <c r="E330" s="387"/>
      <c r="F330" s="387"/>
      <c r="G330" s="423"/>
      <c r="H330" s="423"/>
      <c r="I330" s="423"/>
      <c r="J330" s="423"/>
      <c r="K330" s="423"/>
      <c r="L330" s="296">
        <v>0.001397</v>
      </c>
      <c r="M330" s="423"/>
      <c r="N330" s="423"/>
      <c r="O330" s="423"/>
      <c r="P330" s="423"/>
      <c r="Q330" s="423"/>
      <c r="R330" s="423"/>
      <c r="S330" s="423"/>
      <c r="T330" s="299">
        <f t="shared" si="114"/>
        <v>0</v>
      </c>
      <c r="U330" s="315">
        <f t="shared" si="115"/>
        <v>0</v>
      </c>
      <c r="V330" s="315">
        <f t="shared" si="116"/>
        <v>0</v>
      </c>
      <c r="W330" s="320">
        <f t="shared" si="117"/>
        <v>0</v>
      </c>
      <c r="X330" s="423"/>
      <c r="Y330" s="423"/>
      <c r="Z330" s="321" t="str">
        <f t="shared" si="120"/>
        <v/>
      </c>
      <c r="AA330" s="423"/>
      <c r="AB330" s="423"/>
      <c r="AC330" s="423"/>
      <c r="AD330" s="423"/>
      <c r="AE330" s="423"/>
      <c r="AF330" s="423"/>
      <c r="AG330" s="423"/>
      <c r="AH330" s="423"/>
      <c r="AI330" s="423"/>
    </row>
    <row r="331">
      <c r="A331" s="419"/>
      <c r="B331" s="419"/>
      <c r="C331" s="419"/>
      <c r="D331" s="419"/>
      <c r="E331" s="387"/>
      <c r="F331" s="387"/>
      <c r="G331" s="423"/>
      <c r="H331" s="423"/>
      <c r="I331" s="423"/>
      <c r="J331" s="423"/>
      <c r="K331" s="423"/>
      <c r="L331" s="296">
        <v>0.001397</v>
      </c>
      <c r="M331" s="423"/>
      <c r="N331" s="423"/>
      <c r="O331" s="423"/>
      <c r="P331" s="423"/>
      <c r="Q331" s="423"/>
      <c r="R331" s="423"/>
      <c r="S331" s="423"/>
      <c r="T331" s="299">
        <f t="shared" si="114"/>
        <v>0</v>
      </c>
      <c r="U331" s="315">
        <f t="shared" si="115"/>
        <v>0</v>
      </c>
      <c r="V331" s="315">
        <f t="shared" si="116"/>
        <v>0</v>
      </c>
      <c r="W331" s="320">
        <f t="shared" si="117"/>
        <v>0</v>
      </c>
      <c r="X331" s="423"/>
      <c r="Y331" s="423"/>
      <c r="Z331" s="321" t="str">
        <f t="shared" si="120"/>
        <v/>
      </c>
      <c r="AA331" s="423"/>
      <c r="AB331" s="423"/>
      <c r="AC331" s="423"/>
      <c r="AD331" s="423"/>
      <c r="AE331" s="423"/>
      <c r="AF331" s="423"/>
      <c r="AG331" s="423"/>
      <c r="AH331" s="423"/>
      <c r="AI331" s="423"/>
    </row>
    <row r="332">
      <c r="A332" s="419"/>
      <c r="B332" s="419"/>
      <c r="C332" s="419"/>
      <c r="D332" s="419"/>
      <c r="E332" s="387"/>
      <c r="F332" s="387"/>
      <c r="G332" s="423"/>
      <c r="H332" s="423"/>
      <c r="I332" s="423"/>
      <c r="J332" s="423"/>
      <c r="K332" s="423"/>
      <c r="L332" s="296">
        <v>0.001397</v>
      </c>
      <c r="M332" s="423"/>
      <c r="N332" s="423"/>
      <c r="O332" s="423"/>
      <c r="P332" s="423"/>
      <c r="Q332" s="423"/>
      <c r="R332" s="423"/>
      <c r="S332" s="423"/>
      <c r="T332" s="299">
        <f t="shared" si="114"/>
        <v>0</v>
      </c>
      <c r="U332" s="315">
        <f t="shared" si="115"/>
        <v>0</v>
      </c>
      <c r="V332" s="315">
        <f t="shared" si="116"/>
        <v>0</v>
      </c>
      <c r="W332" s="320">
        <f t="shared" si="117"/>
        <v>0</v>
      </c>
      <c r="X332" s="423"/>
      <c r="Y332" s="423"/>
      <c r="Z332" s="321" t="str">
        <f t="shared" si="120"/>
        <v/>
      </c>
      <c r="AA332" s="423"/>
      <c r="AB332" s="423"/>
      <c r="AC332" s="423"/>
      <c r="AD332" s="423"/>
      <c r="AE332" s="423"/>
      <c r="AF332" s="423"/>
      <c r="AG332" s="423"/>
      <c r="AH332" s="423"/>
      <c r="AI332" s="423"/>
    </row>
    <row r="333">
      <c r="A333" s="419"/>
      <c r="B333" s="419"/>
      <c r="C333" s="419"/>
      <c r="D333" s="419"/>
      <c r="E333" s="387"/>
      <c r="F333" s="387"/>
      <c r="G333" s="423"/>
      <c r="H333" s="423"/>
      <c r="I333" s="423"/>
      <c r="J333" s="423"/>
      <c r="K333" s="423"/>
      <c r="L333" s="296">
        <v>0.001397</v>
      </c>
      <c r="M333" s="423"/>
      <c r="N333" s="423"/>
      <c r="O333" s="423"/>
      <c r="P333" s="423"/>
      <c r="Q333" s="423"/>
      <c r="R333" s="423"/>
      <c r="S333" s="423"/>
      <c r="T333" s="299">
        <f t="shared" si="114"/>
        <v>0</v>
      </c>
      <c r="U333" s="315">
        <f t="shared" si="115"/>
        <v>0</v>
      </c>
      <c r="V333" s="315">
        <f t="shared" si="116"/>
        <v>0</v>
      </c>
      <c r="W333" s="320">
        <f t="shared" si="117"/>
        <v>0</v>
      </c>
      <c r="X333" s="423"/>
      <c r="Y333" s="423"/>
      <c r="Z333" s="321" t="str">
        <f t="shared" si="120"/>
        <v/>
      </c>
      <c r="AA333" s="423"/>
      <c r="AB333" s="423"/>
      <c r="AC333" s="423"/>
      <c r="AD333" s="423"/>
      <c r="AE333" s="423"/>
      <c r="AF333" s="423"/>
      <c r="AG333" s="423"/>
      <c r="AH333" s="423"/>
      <c r="AI333" s="423"/>
    </row>
    <row r="334">
      <c r="A334" s="419"/>
      <c r="B334" s="419"/>
      <c r="C334" s="419"/>
      <c r="D334" s="419"/>
      <c r="E334" s="387"/>
      <c r="F334" s="387"/>
      <c r="G334" s="423"/>
      <c r="H334" s="423"/>
      <c r="I334" s="423"/>
      <c r="J334" s="423"/>
      <c r="K334" s="423"/>
      <c r="L334" s="296">
        <v>0.001397</v>
      </c>
      <c r="M334" s="423"/>
      <c r="N334" s="423"/>
      <c r="O334" s="423"/>
      <c r="P334" s="423"/>
      <c r="Q334" s="423"/>
      <c r="R334" s="423"/>
      <c r="S334" s="423"/>
      <c r="T334" s="299">
        <f t="shared" si="114"/>
        <v>0</v>
      </c>
      <c r="U334" s="315">
        <f t="shared" si="115"/>
        <v>0</v>
      </c>
      <c r="V334" s="315">
        <f t="shared" si="116"/>
        <v>0</v>
      </c>
      <c r="W334" s="320">
        <f t="shared" si="117"/>
        <v>0</v>
      </c>
      <c r="X334" s="423"/>
      <c r="Y334" s="423"/>
      <c r="Z334" s="321" t="str">
        <f t="shared" si="120"/>
        <v/>
      </c>
      <c r="AA334" s="423"/>
      <c r="AB334" s="423"/>
      <c r="AC334" s="423"/>
      <c r="AD334" s="423"/>
      <c r="AE334" s="423"/>
      <c r="AF334" s="423"/>
      <c r="AG334" s="423"/>
      <c r="AH334" s="423"/>
      <c r="AI334" s="423"/>
    </row>
    <row r="335">
      <c r="A335" s="419"/>
      <c r="B335" s="419"/>
      <c r="C335" s="419"/>
      <c r="D335" s="419"/>
      <c r="E335" s="387"/>
      <c r="F335" s="387"/>
      <c r="G335" s="423"/>
      <c r="H335" s="423"/>
      <c r="I335" s="423"/>
      <c r="J335" s="423"/>
      <c r="K335" s="423"/>
      <c r="L335" s="296">
        <v>0.001397</v>
      </c>
      <c r="M335" s="423"/>
      <c r="N335" s="423"/>
      <c r="O335" s="423"/>
      <c r="P335" s="423"/>
      <c r="Q335" s="423"/>
      <c r="R335" s="423"/>
      <c r="S335" s="423"/>
      <c r="T335" s="299">
        <f t="shared" si="114"/>
        <v>0</v>
      </c>
      <c r="U335" s="315">
        <f t="shared" si="115"/>
        <v>0</v>
      </c>
      <c r="V335" s="315">
        <f t="shared" si="116"/>
        <v>0</v>
      </c>
      <c r="W335" s="320">
        <f t="shared" si="117"/>
        <v>0</v>
      </c>
      <c r="X335" s="423"/>
      <c r="Y335" s="423"/>
      <c r="Z335" s="321" t="str">
        <f t="shared" si="120"/>
        <v/>
      </c>
      <c r="AA335" s="423"/>
      <c r="AB335" s="423"/>
      <c r="AC335" s="423"/>
      <c r="AD335" s="423"/>
      <c r="AE335" s="423"/>
      <c r="AF335" s="423"/>
      <c r="AG335" s="423"/>
      <c r="AH335" s="423"/>
      <c r="AI335" s="423"/>
    </row>
    <row r="336">
      <c r="A336" s="419"/>
      <c r="B336" s="419"/>
      <c r="C336" s="419"/>
      <c r="D336" s="419"/>
      <c r="E336" s="387"/>
      <c r="F336" s="387"/>
      <c r="G336" s="423"/>
      <c r="H336" s="423"/>
      <c r="I336" s="423"/>
      <c r="J336" s="423"/>
      <c r="K336" s="423"/>
      <c r="L336" s="296">
        <v>0.001397</v>
      </c>
      <c r="M336" s="423"/>
      <c r="N336" s="423"/>
      <c r="O336" s="423"/>
      <c r="P336" s="423"/>
      <c r="Q336" s="423"/>
      <c r="R336" s="423"/>
      <c r="S336" s="423"/>
      <c r="T336" s="299">
        <f t="shared" si="114"/>
        <v>0</v>
      </c>
      <c r="U336" s="315">
        <f t="shared" si="115"/>
        <v>0</v>
      </c>
      <c r="V336" s="315">
        <f t="shared" si="116"/>
        <v>0</v>
      </c>
      <c r="W336" s="320">
        <f t="shared" si="117"/>
        <v>0</v>
      </c>
      <c r="X336" s="423"/>
      <c r="Y336" s="423"/>
      <c r="Z336" s="321" t="str">
        <f t="shared" si="120"/>
        <v/>
      </c>
      <c r="AA336" s="423"/>
      <c r="AB336" s="423"/>
      <c r="AC336" s="423"/>
      <c r="AD336" s="423"/>
      <c r="AE336" s="423"/>
      <c r="AF336" s="423"/>
      <c r="AG336" s="423"/>
      <c r="AH336" s="423"/>
      <c r="AI336" s="423"/>
    </row>
    <row r="337">
      <c r="A337" s="419"/>
      <c r="B337" s="419"/>
      <c r="C337" s="419"/>
      <c r="D337" s="419"/>
      <c r="E337" s="387"/>
      <c r="F337" s="387"/>
      <c r="G337" s="423"/>
      <c r="H337" s="423"/>
      <c r="I337" s="423"/>
      <c r="J337" s="423"/>
      <c r="K337" s="423"/>
      <c r="L337" s="296">
        <v>0.001397</v>
      </c>
      <c r="M337" s="423"/>
      <c r="N337" s="423"/>
      <c r="O337" s="423"/>
      <c r="P337" s="423"/>
      <c r="Q337" s="423"/>
      <c r="R337" s="423"/>
      <c r="S337" s="423"/>
      <c r="T337" s="299">
        <f t="shared" si="114"/>
        <v>0</v>
      </c>
      <c r="U337" s="315">
        <f t="shared" si="115"/>
        <v>0</v>
      </c>
      <c r="V337" s="315">
        <f t="shared" si="116"/>
        <v>0</v>
      </c>
      <c r="W337" s="320">
        <f t="shared" si="117"/>
        <v>0</v>
      </c>
      <c r="X337" s="423"/>
      <c r="Y337" s="423"/>
      <c r="Z337" s="321" t="str">
        <f t="shared" si="120"/>
        <v/>
      </c>
      <c r="AA337" s="423"/>
      <c r="AB337" s="423"/>
      <c r="AC337" s="423"/>
      <c r="AD337" s="423"/>
      <c r="AE337" s="423"/>
      <c r="AF337" s="423"/>
      <c r="AG337" s="423"/>
      <c r="AH337" s="423"/>
      <c r="AI337" s="423"/>
    </row>
    <row r="338">
      <c r="A338" s="419"/>
      <c r="B338" s="419"/>
      <c r="C338" s="419"/>
      <c r="D338" s="419"/>
      <c r="E338" s="387"/>
      <c r="F338" s="387"/>
      <c r="G338" s="423"/>
      <c r="H338" s="423"/>
      <c r="I338" s="423"/>
      <c r="J338" s="423"/>
      <c r="K338" s="423"/>
      <c r="L338" s="296">
        <v>0.001397</v>
      </c>
      <c r="M338" s="423"/>
      <c r="N338" s="423"/>
      <c r="O338" s="423"/>
      <c r="P338" s="423"/>
      <c r="Q338" s="423"/>
      <c r="R338" s="423"/>
      <c r="S338" s="423"/>
      <c r="T338" s="299">
        <f t="shared" si="114"/>
        <v>0</v>
      </c>
      <c r="U338" s="315">
        <f t="shared" si="115"/>
        <v>0</v>
      </c>
      <c r="V338" s="315">
        <f t="shared" si="116"/>
        <v>0</v>
      </c>
      <c r="W338" s="320">
        <f t="shared" si="117"/>
        <v>0</v>
      </c>
      <c r="X338" s="423"/>
      <c r="Y338" s="423"/>
      <c r="Z338" s="321" t="str">
        <f t="shared" si="120"/>
        <v/>
      </c>
      <c r="AA338" s="423"/>
      <c r="AB338" s="423"/>
      <c r="AC338" s="423"/>
      <c r="AD338" s="423"/>
      <c r="AE338" s="423"/>
      <c r="AF338" s="423"/>
      <c r="AG338" s="423"/>
      <c r="AH338" s="423"/>
      <c r="AI338" s="423"/>
    </row>
    <row r="339">
      <c r="A339" s="419"/>
      <c r="B339" s="419"/>
      <c r="C339" s="419"/>
      <c r="D339" s="419"/>
      <c r="E339" s="387"/>
      <c r="F339" s="387"/>
      <c r="G339" s="423"/>
      <c r="H339" s="423"/>
      <c r="I339" s="423"/>
      <c r="J339" s="423"/>
      <c r="K339" s="423"/>
      <c r="L339" s="296">
        <v>0.001397</v>
      </c>
      <c r="M339" s="423"/>
      <c r="N339" s="423"/>
      <c r="O339" s="423"/>
      <c r="P339" s="423"/>
      <c r="Q339" s="423"/>
      <c r="R339" s="423"/>
      <c r="S339" s="423"/>
      <c r="T339" s="299">
        <f t="shared" si="114"/>
        <v>0</v>
      </c>
      <c r="U339" s="315">
        <f t="shared" si="115"/>
        <v>0</v>
      </c>
      <c r="V339" s="315">
        <f t="shared" si="116"/>
        <v>0</v>
      </c>
      <c r="W339" s="320">
        <f t="shared" si="117"/>
        <v>0</v>
      </c>
      <c r="X339" s="423"/>
      <c r="Y339" s="423"/>
      <c r="Z339" s="321" t="str">
        <f t="shared" si="120"/>
        <v/>
      </c>
      <c r="AA339" s="423"/>
      <c r="AB339" s="423"/>
      <c r="AC339" s="423"/>
      <c r="AD339" s="423"/>
      <c r="AE339" s="423"/>
      <c r="AF339" s="423"/>
      <c r="AG339" s="423"/>
      <c r="AH339" s="423"/>
      <c r="AI339" s="423"/>
    </row>
    <row r="340">
      <c r="A340" s="419"/>
      <c r="B340" s="419"/>
      <c r="C340" s="419"/>
      <c r="D340" s="419"/>
      <c r="E340" s="387"/>
      <c r="F340" s="387"/>
      <c r="G340" s="423"/>
      <c r="H340" s="423"/>
      <c r="I340" s="423"/>
      <c r="J340" s="423"/>
      <c r="K340" s="423"/>
      <c r="L340" s="296">
        <v>0.001397</v>
      </c>
      <c r="M340" s="423"/>
      <c r="N340" s="423"/>
      <c r="O340" s="423"/>
      <c r="P340" s="423"/>
      <c r="Q340" s="423"/>
      <c r="R340" s="423"/>
      <c r="S340" s="423"/>
      <c r="T340" s="299">
        <f t="shared" si="114"/>
        <v>0</v>
      </c>
      <c r="U340" s="315">
        <f t="shared" si="115"/>
        <v>0</v>
      </c>
      <c r="V340" s="315">
        <f t="shared" si="116"/>
        <v>0</v>
      </c>
      <c r="W340" s="320">
        <f t="shared" si="117"/>
        <v>0</v>
      </c>
      <c r="X340" s="423"/>
      <c r="Y340" s="423"/>
      <c r="Z340" s="321" t="str">
        <f t="shared" si="120"/>
        <v/>
      </c>
      <c r="AA340" s="423"/>
      <c r="AB340" s="423"/>
      <c r="AC340" s="423"/>
      <c r="AD340" s="423"/>
      <c r="AE340" s="423"/>
      <c r="AF340" s="423"/>
      <c r="AG340" s="423"/>
      <c r="AH340" s="423"/>
      <c r="AI340" s="423"/>
    </row>
    <row r="341">
      <c r="A341" s="419"/>
      <c r="B341" s="419"/>
      <c r="C341" s="419"/>
      <c r="D341" s="419"/>
      <c r="E341" s="387"/>
      <c r="F341" s="387"/>
      <c r="G341" s="423"/>
      <c r="H341" s="423"/>
      <c r="I341" s="423"/>
      <c r="J341" s="423"/>
      <c r="K341" s="423"/>
      <c r="L341" s="296">
        <v>0.001397</v>
      </c>
      <c r="M341" s="423"/>
      <c r="N341" s="423"/>
      <c r="O341" s="423"/>
      <c r="P341" s="423"/>
      <c r="Q341" s="423"/>
      <c r="R341" s="423"/>
      <c r="S341" s="423"/>
      <c r="T341" s="299">
        <f t="shared" si="114"/>
        <v>0</v>
      </c>
      <c r="U341" s="315">
        <f t="shared" si="115"/>
        <v>0</v>
      </c>
      <c r="V341" s="315">
        <f t="shared" si="116"/>
        <v>0</v>
      </c>
      <c r="W341" s="320">
        <f t="shared" si="117"/>
        <v>0</v>
      </c>
      <c r="X341" s="423"/>
      <c r="Y341" s="423"/>
      <c r="Z341" s="321" t="str">
        <f t="shared" si="120"/>
        <v/>
      </c>
      <c r="AA341" s="423"/>
      <c r="AB341" s="423"/>
      <c r="AC341" s="423"/>
      <c r="AD341" s="423"/>
      <c r="AE341" s="423"/>
      <c r="AF341" s="423"/>
      <c r="AG341" s="423"/>
      <c r="AH341" s="423"/>
      <c r="AI341" s="423"/>
    </row>
    <row r="342">
      <c r="A342" s="419"/>
      <c r="B342" s="419"/>
      <c r="C342" s="419"/>
      <c r="D342" s="419"/>
      <c r="E342" s="387"/>
      <c r="F342" s="387"/>
      <c r="G342" s="423"/>
      <c r="H342" s="423"/>
      <c r="I342" s="423"/>
      <c r="J342" s="423"/>
      <c r="K342" s="423"/>
      <c r="L342" s="296">
        <v>0.001397</v>
      </c>
      <c r="M342" s="423"/>
      <c r="N342" s="423"/>
      <c r="O342" s="423"/>
      <c r="P342" s="423"/>
      <c r="Q342" s="423"/>
      <c r="R342" s="423"/>
      <c r="S342" s="423"/>
      <c r="T342" s="299">
        <f t="shared" si="114"/>
        <v>0</v>
      </c>
      <c r="U342" s="315">
        <f t="shared" si="115"/>
        <v>0</v>
      </c>
      <c r="V342" s="315">
        <f t="shared" si="116"/>
        <v>0</v>
      </c>
      <c r="W342" s="320">
        <f t="shared" si="117"/>
        <v>0</v>
      </c>
      <c r="X342" s="423"/>
      <c r="Y342" s="423"/>
      <c r="Z342" s="321" t="str">
        <f t="shared" si="120"/>
        <v/>
      </c>
      <c r="AA342" s="423"/>
      <c r="AB342" s="423"/>
      <c r="AC342" s="423"/>
      <c r="AD342" s="423"/>
      <c r="AE342" s="423"/>
      <c r="AF342" s="423"/>
      <c r="AG342" s="423"/>
      <c r="AH342" s="423"/>
      <c r="AI342" s="423"/>
    </row>
    <row r="343">
      <c r="A343" s="419"/>
      <c r="B343" s="419"/>
      <c r="C343" s="419"/>
      <c r="D343" s="419"/>
      <c r="E343" s="387"/>
      <c r="F343" s="387"/>
      <c r="G343" s="423"/>
      <c r="H343" s="423"/>
      <c r="I343" s="423"/>
      <c r="J343" s="423"/>
      <c r="K343" s="423"/>
      <c r="L343" s="296">
        <v>0.001397</v>
      </c>
      <c r="M343" s="423"/>
      <c r="N343" s="423"/>
      <c r="O343" s="423"/>
      <c r="P343" s="423"/>
      <c r="Q343" s="423"/>
      <c r="R343" s="423"/>
      <c r="S343" s="423"/>
      <c r="T343" s="299">
        <f t="shared" si="114"/>
        <v>0</v>
      </c>
      <c r="U343" s="315">
        <f t="shared" si="115"/>
        <v>0</v>
      </c>
      <c r="V343" s="315">
        <f t="shared" si="116"/>
        <v>0</v>
      </c>
      <c r="W343" s="320">
        <f t="shared" si="117"/>
        <v>0</v>
      </c>
      <c r="X343" s="423"/>
      <c r="Y343" s="423"/>
      <c r="Z343" s="321" t="str">
        <f t="shared" si="120"/>
        <v/>
      </c>
      <c r="AA343" s="423"/>
      <c r="AB343" s="423"/>
      <c r="AC343" s="423"/>
      <c r="AD343" s="423"/>
      <c r="AE343" s="423"/>
      <c r="AF343" s="423"/>
      <c r="AG343" s="423"/>
      <c r="AH343" s="423"/>
      <c r="AI343" s="423"/>
    </row>
    <row r="344">
      <c r="A344" s="419"/>
      <c r="B344" s="419"/>
      <c r="C344" s="419"/>
      <c r="D344" s="419"/>
      <c r="E344" s="387"/>
      <c r="F344" s="387"/>
      <c r="G344" s="423"/>
      <c r="H344" s="423"/>
      <c r="I344" s="423"/>
      <c r="J344" s="423"/>
      <c r="K344" s="423"/>
      <c r="L344" s="296">
        <v>0.001397</v>
      </c>
      <c r="M344" s="423"/>
      <c r="N344" s="423"/>
      <c r="O344" s="423"/>
      <c r="P344" s="423"/>
      <c r="Q344" s="423"/>
      <c r="R344" s="423"/>
      <c r="S344" s="423"/>
      <c r="T344" s="299">
        <f t="shared" si="114"/>
        <v>0</v>
      </c>
      <c r="U344" s="315">
        <f t="shared" si="115"/>
        <v>0</v>
      </c>
      <c r="V344" s="315">
        <f t="shared" si="116"/>
        <v>0</v>
      </c>
      <c r="W344" s="423"/>
      <c r="X344" s="423"/>
      <c r="Y344" s="423"/>
      <c r="Z344" s="321" t="str">
        <f t="shared" si="120"/>
        <v/>
      </c>
      <c r="AA344" s="423"/>
      <c r="AB344" s="423"/>
      <c r="AC344" s="423"/>
      <c r="AD344" s="423"/>
      <c r="AE344" s="423"/>
      <c r="AF344" s="423"/>
      <c r="AG344" s="423"/>
      <c r="AH344" s="423"/>
      <c r="AI344" s="423"/>
    </row>
    <row r="345">
      <c r="A345" s="419"/>
      <c r="B345" s="419"/>
      <c r="C345" s="419"/>
      <c r="D345" s="419"/>
      <c r="E345" s="387"/>
      <c r="F345" s="387"/>
      <c r="G345" s="423"/>
      <c r="H345" s="423"/>
      <c r="I345" s="423"/>
      <c r="J345" s="423"/>
      <c r="K345" s="423"/>
      <c r="L345" s="423"/>
      <c r="M345" s="423"/>
      <c r="N345" s="423"/>
      <c r="O345" s="423"/>
      <c r="P345" s="423"/>
      <c r="Q345" s="423"/>
      <c r="R345" s="423"/>
      <c r="S345" s="423"/>
      <c r="T345" s="299">
        <f t="shared" si="114"/>
        <v>0</v>
      </c>
      <c r="U345" s="315">
        <f t="shared" si="115"/>
        <v>0</v>
      </c>
      <c r="V345" s="315">
        <f t="shared" si="116"/>
        <v>0</v>
      </c>
      <c r="W345" s="423"/>
      <c r="X345" s="423"/>
      <c r="Y345" s="423"/>
      <c r="Z345" s="321" t="str">
        <f t="shared" si="120"/>
        <v/>
      </c>
      <c r="AA345" s="423"/>
      <c r="AB345" s="423"/>
      <c r="AC345" s="423"/>
      <c r="AD345" s="423"/>
      <c r="AE345" s="423"/>
      <c r="AF345" s="423"/>
      <c r="AG345" s="423"/>
      <c r="AH345" s="423"/>
      <c r="AI345" s="423"/>
    </row>
    <row r="346">
      <c r="A346" s="419"/>
      <c r="B346" s="419"/>
      <c r="C346" s="419"/>
      <c r="D346" s="419"/>
      <c r="E346" s="387"/>
      <c r="F346" s="387"/>
      <c r="G346" s="423"/>
      <c r="H346" s="423"/>
      <c r="I346" s="423"/>
      <c r="J346" s="423"/>
      <c r="K346" s="423"/>
      <c r="L346" s="423"/>
      <c r="M346" s="423"/>
      <c r="N346" s="423"/>
      <c r="O346" s="423"/>
      <c r="P346" s="423"/>
      <c r="Q346" s="423"/>
      <c r="R346" s="423"/>
      <c r="S346" s="423"/>
      <c r="T346" s="299">
        <f t="shared" si="114"/>
        <v>0</v>
      </c>
      <c r="U346" s="315">
        <f t="shared" si="115"/>
        <v>0</v>
      </c>
      <c r="V346" s="315">
        <f t="shared" si="116"/>
        <v>0</v>
      </c>
      <c r="W346" s="423"/>
      <c r="X346" s="423"/>
      <c r="Y346" s="423"/>
      <c r="Z346" s="321" t="str">
        <f t="shared" si="120"/>
        <v/>
      </c>
      <c r="AA346" s="423"/>
      <c r="AB346" s="423"/>
      <c r="AC346" s="423"/>
      <c r="AD346" s="423"/>
      <c r="AE346" s="423"/>
      <c r="AF346" s="423"/>
      <c r="AG346" s="423"/>
      <c r="AH346" s="423"/>
      <c r="AI346" s="423"/>
    </row>
    <row r="347">
      <c r="A347" s="419"/>
      <c r="B347" s="419"/>
      <c r="C347" s="419"/>
      <c r="D347" s="419"/>
      <c r="E347" s="387"/>
      <c r="F347" s="387"/>
      <c r="G347" s="423"/>
      <c r="H347" s="423"/>
      <c r="I347" s="423"/>
      <c r="J347" s="423"/>
      <c r="K347" s="423"/>
      <c r="L347" s="423"/>
      <c r="M347" s="423"/>
      <c r="N347" s="423"/>
      <c r="O347" s="423"/>
      <c r="P347" s="423"/>
      <c r="Q347" s="423"/>
      <c r="R347" s="423"/>
      <c r="S347" s="423"/>
      <c r="T347" s="299">
        <f t="shared" si="114"/>
        <v>0</v>
      </c>
      <c r="U347" s="315">
        <f t="shared" si="115"/>
        <v>0</v>
      </c>
      <c r="V347" s="315">
        <f t="shared" si="116"/>
        <v>0</v>
      </c>
      <c r="W347" s="423"/>
      <c r="X347" s="423"/>
      <c r="Y347" s="423"/>
      <c r="Z347" s="321" t="str">
        <f t="shared" si="120"/>
        <v/>
      </c>
      <c r="AA347" s="423"/>
      <c r="AB347" s="423"/>
      <c r="AC347" s="423"/>
      <c r="AD347" s="423"/>
      <c r="AE347" s="423"/>
      <c r="AF347" s="423"/>
      <c r="AG347" s="423"/>
      <c r="AH347" s="423"/>
      <c r="AI347" s="423"/>
    </row>
    <row r="348">
      <c r="A348" s="419"/>
      <c r="B348" s="419"/>
      <c r="C348" s="419"/>
      <c r="D348" s="419"/>
      <c r="E348" s="387"/>
      <c r="F348" s="387"/>
      <c r="G348" s="423"/>
      <c r="H348" s="423"/>
      <c r="I348" s="423"/>
      <c r="J348" s="423"/>
      <c r="K348" s="423"/>
      <c r="L348" s="423"/>
      <c r="M348" s="423"/>
      <c r="N348" s="423"/>
      <c r="O348" s="423"/>
      <c r="P348" s="423"/>
      <c r="Q348" s="423"/>
      <c r="R348" s="423"/>
      <c r="S348" s="423"/>
      <c r="T348" s="299">
        <f t="shared" si="114"/>
        <v>0</v>
      </c>
      <c r="U348" s="315">
        <f t="shared" si="115"/>
        <v>0</v>
      </c>
      <c r="V348" s="315">
        <f t="shared" si="116"/>
        <v>0</v>
      </c>
      <c r="W348" s="423"/>
      <c r="X348" s="423"/>
      <c r="Y348" s="423"/>
      <c r="Z348" s="321" t="str">
        <f t="shared" si="120"/>
        <v/>
      </c>
      <c r="AA348" s="423"/>
      <c r="AB348" s="423"/>
      <c r="AC348" s="423"/>
      <c r="AD348" s="423"/>
      <c r="AE348" s="423"/>
      <c r="AF348" s="423"/>
      <c r="AG348" s="423"/>
      <c r="AH348" s="423"/>
      <c r="AI348" s="423"/>
    </row>
    <row r="349">
      <c r="A349" s="419"/>
      <c r="B349" s="419"/>
      <c r="C349" s="419"/>
      <c r="D349" s="419"/>
      <c r="E349" s="387"/>
      <c r="F349" s="387"/>
      <c r="G349" s="423"/>
      <c r="H349" s="423"/>
      <c r="I349" s="423"/>
      <c r="J349" s="423"/>
      <c r="K349" s="423"/>
      <c r="L349" s="423"/>
      <c r="M349" s="423"/>
      <c r="N349" s="423"/>
      <c r="O349" s="423"/>
      <c r="P349" s="423"/>
      <c r="Q349" s="423"/>
      <c r="R349" s="423"/>
      <c r="S349" s="423"/>
      <c r="T349" s="299">
        <f t="shared" si="114"/>
        <v>0</v>
      </c>
      <c r="U349" s="315">
        <f t="shared" si="115"/>
        <v>0</v>
      </c>
      <c r="V349" s="315">
        <f t="shared" si="116"/>
        <v>0</v>
      </c>
      <c r="W349" s="423"/>
      <c r="X349" s="423"/>
      <c r="Y349" s="423"/>
      <c r="Z349" s="321" t="str">
        <f t="shared" si="120"/>
        <v/>
      </c>
      <c r="AA349" s="423"/>
      <c r="AB349" s="423"/>
      <c r="AC349" s="423"/>
      <c r="AD349" s="423"/>
      <c r="AE349" s="423"/>
      <c r="AF349" s="423"/>
      <c r="AG349" s="423"/>
      <c r="AH349" s="423"/>
      <c r="AI349" s="423"/>
    </row>
    <row r="350">
      <c r="A350" s="419"/>
      <c r="B350" s="419"/>
      <c r="C350" s="419"/>
      <c r="D350" s="419"/>
      <c r="E350" s="387"/>
      <c r="F350" s="387"/>
      <c r="G350" s="423"/>
      <c r="H350" s="423"/>
      <c r="I350" s="423"/>
      <c r="J350" s="423"/>
      <c r="K350" s="423"/>
      <c r="L350" s="423"/>
      <c r="M350" s="423"/>
      <c r="N350" s="423"/>
      <c r="O350" s="423"/>
      <c r="P350" s="423"/>
      <c r="Q350" s="423"/>
      <c r="R350" s="423"/>
      <c r="S350" s="423"/>
      <c r="T350" s="299">
        <f t="shared" si="114"/>
        <v>0</v>
      </c>
      <c r="U350" s="315">
        <f t="shared" si="115"/>
        <v>0</v>
      </c>
      <c r="V350" s="315">
        <f t="shared" si="116"/>
        <v>0</v>
      </c>
      <c r="W350" s="423"/>
      <c r="X350" s="423"/>
      <c r="Y350" s="423"/>
      <c r="Z350" s="321" t="str">
        <f t="shared" si="120"/>
        <v/>
      </c>
      <c r="AA350" s="423"/>
      <c r="AB350" s="423"/>
      <c r="AC350" s="423"/>
      <c r="AD350" s="423"/>
      <c r="AE350" s="423"/>
      <c r="AF350" s="423"/>
      <c r="AG350" s="423"/>
      <c r="AH350" s="423"/>
      <c r="AI350" s="423"/>
    </row>
    <row r="351">
      <c r="A351" s="419"/>
      <c r="B351" s="419"/>
      <c r="C351" s="419"/>
      <c r="D351" s="419"/>
      <c r="E351" s="387"/>
      <c r="F351" s="387"/>
      <c r="G351" s="423"/>
      <c r="H351" s="423"/>
      <c r="I351" s="423"/>
      <c r="J351" s="423"/>
      <c r="K351" s="423"/>
      <c r="L351" s="423"/>
      <c r="M351" s="423"/>
      <c r="N351" s="423"/>
      <c r="O351" s="423"/>
      <c r="P351" s="423"/>
      <c r="Q351" s="423"/>
      <c r="R351" s="423"/>
      <c r="S351" s="423"/>
      <c r="T351" s="299">
        <f t="shared" si="114"/>
        <v>0</v>
      </c>
      <c r="U351" s="315">
        <f t="shared" si="115"/>
        <v>0</v>
      </c>
      <c r="V351" s="315">
        <f t="shared" si="116"/>
        <v>0</v>
      </c>
      <c r="W351" s="423"/>
      <c r="X351" s="423"/>
      <c r="Y351" s="423"/>
      <c r="Z351" s="321" t="str">
        <f t="shared" si="120"/>
        <v/>
      </c>
      <c r="AA351" s="423"/>
      <c r="AB351" s="423"/>
      <c r="AC351" s="423"/>
      <c r="AD351" s="423"/>
      <c r="AE351" s="423"/>
      <c r="AF351" s="423"/>
      <c r="AG351" s="423"/>
      <c r="AH351" s="423"/>
      <c r="AI351" s="423"/>
    </row>
    <row r="352">
      <c r="A352" s="419"/>
      <c r="B352" s="419"/>
      <c r="C352" s="419"/>
      <c r="D352" s="419"/>
      <c r="E352" s="387"/>
      <c r="F352" s="387"/>
      <c r="G352" s="423"/>
      <c r="H352" s="423"/>
      <c r="I352" s="423"/>
      <c r="J352" s="423"/>
      <c r="K352" s="423"/>
      <c r="L352" s="423"/>
      <c r="M352" s="423"/>
      <c r="N352" s="423"/>
      <c r="O352" s="423"/>
      <c r="P352" s="423"/>
      <c r="Q352" s="423"/>
      <c r="R352" s="423"/>
      <c r="S352" s="423"/>
      <c r="T352" s="299">
        <f t="shared" si="114"/>
        <v>0</v>
      </c>
      <c r="U352" s="315">
        <f t="shared" si="115"/>
        <v>0</v>
      </c>
      <c r="V352" s="315">
        <f t="shared" si="116"/>
        <v>0</v>
      </c>
      <c r="W352" s="423"/>
      <c r="X352" s="423"/>
      <c r="Y352" s="423"/>
      <c r="Z352" s="321" t="str">
        <f t="shared" si="120"/>
        <v/>
      </c>
      <c r="AA352" s="423"/>
      <c r="AB352" s="423"/>
      <c r="AC352" s="423"/>
      <c r="AD352" s="423"/>
      <c r="AE352" s="423"/>
      <c r="AF352" s="423"/>
      <c r="AG352" s="423"/>
      <c r="AH352" s="423"/>
      <c r="AI352" s="423"/>
    </row>
    <row r="353">
      <c r="A353" s="419"/>
      <c r="B353" s="419"/>
      <c r="C353" s="419"/>
      <c r="D353" s="419"/>
      <c r="E353" s="387"/>
      <c r="F353" s="387"/>
      <c r="G353" s="423"/>
      <c r="H353" s="423"/>
      <c r="I353" s="423"/>
      <c r="J353" s="423"/>
      <c r="K353" s="423"/>
      <c r="L353" s="423"/>
      <c r="M353" s="423"/>
      <c r="N353" s="423"/>
      <c r="O353" s="423"/>
      <c r="P353" s="423"/>
      <c r="Q353" s="423"/>
      <c r="R353" s="423"/>
      <c r="S353" s="423"/>
      <c r="T353" s="299">
        <f t="shared" si="114"/>
        <v>0</v>
      </c>
      <c r="U353" s="315">
        <f t="shared" si="115"/>
        <v>0</v>
      </c>
      <c r="V353" s="315">
        <f t="shared" si="116"/>
        <v>0</v>
      </c>
      <c r="W353" s="423"/>
      <c r="X353" s="423"/>
      <c r="Y353" s="423"/>
      <c r="Z353" s="321" t="str">
        <f t="shared" si="120"/>
        <v/>
      </c>
      <c r="AA353" s="423"/>
      <c r="AB353" s="423"/>
      <c r="AC353" s="423"/>
      <c r="AD353" s="423"/>
      <c r="AE353" s="423"/>
      <c r="AF353" s="423"/>
      <c r="AG353" s="423"/>
      <c r="AH353" s="423"/>
      <c r="AI353" s="423"/>
    </row>
    <row r="354">
      <c r="A354" s="419"/>
      <c r="B354" s="419"/>
      <c r="C354" s="419"/>
      <c r="D354" s="419"/>
      <c r="E354" s="387"/>
      <c r="F354" s="387"/>
      <c r="G354" s="423"/>
      <c r="H354" s="423"/>
      <c r="I354" s="423"/>
      <c r="J354" s="423"/>
      <c r="K354" s="423"/>
      <c r="L354" s="423"/>
      <c r="M354" s="423"/>
      <c r="N354" s="423"/>
      <c r="O354" s="423"/>
      <c r="P354" s="423"/>
      <c r="Q354" s="423"/>
      <c r="R354" s="423"/>
      <c r="S354" s="423"/>
      <c r="T354" s="299">
        <f t="shared" si="114"/>
        <v>0</v>
      </c>
      <c r="U354" s="423"/>
      <c r="V354" s="423"/>
      <c r="W354" s="423"/>
      <c r="X354" s="423"/>
      <c r="Y354" s="423"/>
      <c r="Z354" s="321" t="str">
        <f t="shared" si="120"/>
        <v/>
      </c>
      <c r="AA354" s="423"/>
      <c r="AB354" s="423"/>
      <c r="AC354" s="423"/>
      <c r="AD354" s="423"/>
      <c r="AE354" s="423"/>
      <c r="AF354" s="423"/>
      <c r="AG354" s="423"/>
      <c r="AH354" s="423"/>
      <c r="AI354" s="423"/>
    </row>
    <row r="355">
      <c r="A355" s="419"/>
      <c r="B355" s="419"/>
      <c r="C355" s="419"/>
      <c r="D355" s="419"/>
      <c r="E355" s="387"/>
      <c r="F355" s="387"/>
      <c r="G355" s="423"/>
      <c r="H355" s="423"/>
      <c r="I355" s="423"/>
      <c r="J355" s="423"/>
      <c r="K355" s="423"/>
      <c r="L355" s="423"/>
      <c r="M355" s="423"/>
      <c r="N355" s="423"/>
      <c r="O355" s="423"/>
      <c r="P355" s="423"/>
      <c r="Q355" s="423"/>
      <c r="R355" s="423"/>
      <c r="S355" s="423"/>
      <c r="T355" s="299">
        <f t="shared" si="114"/>
        <v>0</v>
      </c>
      <c r="U355" s="423"/>
      <c r="V355" s="423"/>
      <c r="W355" s="423"/>
      <c r="X355" s="423"/>
      <c r="Y355" s="423"/>
      <c r="Z355" s="321" t="str">
        <f t="shared" si="120"/>
        <v/>
      </c>
      <c r="AA355" s="423"/>
      <c r="AB355" s="423"/>
      <c r="AC355" s="423"/>
      <c r="AD355" s="423"/>
      <c r="AE355" s="423"/>
      <c r="AF355" s="423"/>
      <c r="AG355" s="423"/>
      <c r="AH355" s="423"/>
      <c r="AI355" s="423"/>
    </row>
    <row r="356">
      <c r="A356" s="419"/>
      <c r="B356" s="419"/>
      <c r="C356" s="419"/>
      <c r="D356" s="419"/>
      <c r="E356" s="387"/>
      <c r="F356" s="387"/>
      <c r="G356" s="423"/>
      <c r="H356" s="423"/>
      <c r="I356" s="423"/>
      <c r="J356" s="423"/>
      <c r="K356" s="423"/>
      <c r="L356" s="423"/>
      <c r="M356" s="423"/>
      <c r="N356" s="423"/>
      <c r="O356" s="423"/>
      <c r="P356" s="423"/>
      <c r="Q356" s="423"/>
      <c r="R356" s="423"/>
      <c r="S356" s="423"/>
      <c r="T356" s="299">
        <f t="shared" si="114"/>
        <v>0</v>
      </c>
      <c r="U356" s="423"/>
      <c r="V356" s="423"/>
      <c r="W356" s="423"/>
      <c r="X356" s="423"/>
      <c r="Y356" s="423"/>
      <c r="Z356" s="321" t="str">
        <f t="shared" si="120"/>
        <v/>
      </c>
      <c r="AA356" s="423"/>
      <c r="AB356" s="423"/>
      <c r="AC356" s="423"/>
      <c r="AD356" s="423"/>
      <c r="AE356" s="423"/>
      <c r="AF356" s="423"/>
      <c r="AG356" s="423"/>
      <c r="AH356" s="423"/>
      <c r="AI356" s="423"/>
    </row>
    <row r="357">
      <c r="A357" s="419"/>
      <c r="B357" s="419"/>
      <c r="C357" s="419"/>
      <c r="D357" s="419"/>
      <c r="E357" s="387"/>
      <c r="F357" s="387"/>
      <c r="G357" s="423"/>
      <c r="H357" s="423"/>
      <c r="I357" s="423"/>
      <c r="J357" s="423"/>
      <c r="K357" s="423"/>
      <c r="L357" s="423"/>
      <c r="M357" s="423"/>
      <c r="N357" s="423"/>
      <c r="O357" s="423"/>
      <c r="P357" s="423"/>
      <c r="Q357" s="423"/>
      <c r="R357" s="423"/>
      <c r="S357" s="423"/>
      <c r="T357" s="299">
        <f t="shared" si="114"/>
        <v>0</v>
      </c>
      <c r="U357" s="423"/>
      <c r="V357" s="423"/>
      <c r="W357" s="423"/>
      <c r="X357" s="423"/>
      <c r="Y357" s="423"/>
      <c r="Z357" s="321" t="str">
        <f t="shared" si="120"/>
        <v/>
      </c>
      <c r="AA357" s="423"/>
      <c r="AB357" s="423"/>
      <c r="AC357" s="423"/>
      <c r="AD357" s="423"/>
      <c r="AE357" s="423"/>
      <c r="AF357" s="423"/>
      <c r="AG357" s="423"/>
      <c r="AH357" s="423"/>
      <c r="AI357" s="423"/>
    </row>
    <row r="358">
      <c r="A358" s="419"/>
      <c r="B358" s="419"/>
      <c r="C358" s="419"/>
      <c r="D358" s="419"/>
      <c r="E358" s="387"/>
      <c r="F358" s="387"/>
      <c r="G358" s="423"/>
      <c r="H358" s="423"/>
      <c r="I358" s="423"/>
      <c r="J358" s="423"/>
      <c r="K358" s="423"/>
      <c r="L358" s="423"/>
      <c r="M358" s="423"/>
      <c r="N358" s="423"/>
      <c r="O358" s="423"/>
      <c r="P358" s="423"/>
      <c r="Q358" s="423"/>
      <c r="R358" s="423"/>
      <c r="S358" s="423"/>
      <c r="T358" s="299">
        <f t="shared" si="114"/>
        <v>0</v>
      </c>
      <c r="U358" s="423"/>
      <c r="V358" s="423"/>
      <c r="W358" s="423"/>
      <c r="X358" s="423"/>
      <c r="Y358" s="423"/>
      <c r="Z358" s="321" t="str">
        <f t="shared" si="120"/>
        <v/>
      </c>
      <c r="AA358" s="423"/>
      <c r="AB358" s="423"/>
      <c r="AC358" s="423"/>
      <c r="AD358" s="423"/>
      <c r="AE358" s="423"/>
      <c r="AF358" s="423"/>
      <c r="AG358" s="423"/>
      <c r="AH358" s="423"/>
      <c r="AI358" s="423"/>
    </row>
    <row r="359">
      <c r="A359" s="419"/>
      <c r="B359" s="419"/>
      <c r="C359" s="419"/>
      <c r="D359" s="419"/>
      <c r="E359" s="387"/>
      <c r="F359" s="387"/>
      <c r="G359" s="423"/>
      <c r="H359" s="423"/>
      <c r="I359" s="423"/>
      <c r="J359" s="423"/>
      <c r="K359" s="423"/>
      <c r="L359" s="423"/>
      <c r="M359" s="423"/>
      <c r="N359" s="423"/>
      <c r="O359" s="423"/>
      <c r="P359" s="423"/>
      <c r="Q359" s="423"/>
      <c r="R359" s="423"/>
      <c r="S359" s="423"/>
      <c r="T359" s="299">
        <f t="shared" si="114"/>
        <v>0</v>
      </c>
      <c r="U359" s="423"/>
      <c r="V359" s="423"/>
      <c r="W359" s="423"/>
      <c r="X359" s="423"/>
      <c r="Y359" s="423"/>
      <c r="Z359" s="321" t="str">
        <f t="shared" si="120"/>
        <v/>
      </c>
      <c r="AA359" s="423"/>
      <c r="AB359" s="423"/>
      <c r="AC359" s="423"/>
      <c r="AD359" s="423"/>
      <c r="AE359" s="423"/>
      <c r="AF359" s="423"/>
      <c r="AG359" s="423"/>
      <c r="AH359" s="423"/>
      <c r="AI359" s="423"/>
    </row>
    <row r="360">
      <c r="A360" s="419"/>
      <c r="B360" s="419"/>
      <c r="C360" s="419"/>
      <c r="D360" s="419"/>
      <c r="E360" s="387"/>
      <c r="F360" s="387"/>
      <c r="G360" s="423"/>
      <c r="H360" s="423"/>
      <c r="I360" s="423"/>
      <c r="J360" s="423"/>
      <c r="K360" s="423"/>
      <c r="L360" s="423"/>
      <c r="M360" s="423"/>
      <c r="N360" s="423"/>
      <c r="O360" s="423"/>
      <c r="P360" s="423"/>
      <c r="Q360" s="423"/>
      <c r="R360" s="423"/>
      <c r="S360" s="423"/>
      <c r="T360" s="299">
        <f t="shared" si="114"/>
        <v>0</v>
      </c>
      <c r="U360" s="423"/>
      <c r="V360" s="423"/>
      <c r="W360" s="423"/>
      <c r="X360" s="423"/>
      <c r="Y360" s="423"/>
      <c r="Z360" s="321" t="str">
        <f t="shared" si="120"/>
        <v/>
      </c>
      <c r="AA360" s="423"/>
      <c r="AB360" s="423"/>
      <c r="AC360" s="423"/>
      <c r="AD360" s="423"/>
      <c r="AE360" s="423"/>
      <c r="AF360" s="423"/>
      <c r="AG360" s="423"/>
      <c r="AH360" s="423"/>
      <c r="AI360" s="423"/>
    </row>
    <row r="361">
      <c r="A361" s="419"/>
      <c r="B361" s="419"/>
      <c r="C361" s="419"/>
      <c r="D361" s="419"/>
      <c r="E361" s="387"/>
      <c r="F361" s="387"/>
      <c r="G361" s="423"/>
      <c r="H361" s="423"/>
      <c r="I361" s="423"/>
      <c r="J361" s="423"/>
      <c r="K361" s="423"/>
      <c r="L361" s="423"/>
      <c r="M361" s="423"/>
      <c r="N361" s="423"/>
      <c r="O361" s="423"/>
      <c r="P361" s="423"/>
      <c r="Q361" s="423"/>
      <c r="R361" s="423"/>
      <c r="S361" s="423"/>
      <c r="T361" s="299">
        <f t="shared" si="114"/>
        <v>0</v>
      </c>
      <c r="U361" s="423"/>
      <c r="V361" s="423"/>
      <c r="W361" s="423"/>
      <c r="X361" s="423"/>
      <c r="Y361" s="423"/>
      <c r="Z361" s="423"/>
      <c r="AA361" s="423"/>
      <c r="AB361" s="423"/>
      <c r="AC361" s="423"/>
      <c r="AD361" s="423"/>
      <c r="AE361" s="423"/>
      <c r="AF361" s="423"/>
      <c r="AG361" s="423"/>
      <c r="AH361" s="423"/>
      <c r="AI361" s="423"/>
    </row>
    <row r="362">
      <c r="A362" s="419"/>
      <c r="B362" s="419"/>
      <c r="C362" s="419"/>
      <c r="D362" s="419"/>
      <c r="E362" s="387"/>
      <c r="F362" s="387"/>
      <c r="G362" s="423"/>
      <c r="H362" s="423"/>
      <c r="I362" s="423"/>
      <c r="J362" s="423"/>
      <c r="K362" s="423"/>
      <c r="L362" s="423"/>
      <c r="M362" s="423"/>
      <c r="N362" s="423"/>
      <c r="O362" s="423"/>
      <c r="P362" s="423"/>
      <c r="Q362" s="423"/>
      <c r="R362" s="423"/>
      <c r="S362" s="423"/>
      <c r="T362" s="299">
        <f t="shared" si="114"/>
        <v>0</v>
      </c>
      <c r="U362" s="423"/>
      <c r="V362" s="423"/>
      <c r="W362" s="423"/>
      <c r="X362" s="423"/>
      <c r="Y362" s="423"/>
      <c r="Z362" s="423"/>
      <c r="AA362" s="423"/>
      <c r="AB362" s="423"/>
      <c r="AC362" s="423"/>
      <c r="AD362" s="423"/>
      <c r="AE362" s="423"/>
      <c r="AF362" s="423"/>
      <c r="AG362" s="423"/>
      <c r="AH362" s="423"/>
      <c r="AI362" s="423"/>
    </row>
    <row r="363">
      <c r="A363" s="419"/>
      <c r="B363" s="419"/>
      <c r="C363" s="419"/>
      <c r="D363" s="419"/>
      <c r="E363" s="387"/>
      <c r="F363" s="387"/>
      <c r="G363" s="423"/>
      <c r="H363" s="423"/>
      <c r="I363" s="423"/>
      <c r="J363" s="423"/>
      <c r="K363" s="423"/>
      <c r="L363" s="423"/>
      <c r="M363" s="423"/>
      <c r="N363" s="423"/>
      <c r="O363" s="423"/>
      <c r="P363" s="423"/>
      <c r="Q363" s="423"/>
      <c r="R363" s="423"/>
      <c r="S363" s="423"/>
      <c r="T363" s="299">
        <f t="shared" si="114"/>
        <v>0</v>
      </c>
      <c r="U363" s="423"/>
      <c r="V363" s="423"/>
      <c r="W363" s="423"/>
      <c r="X363" s="423"/>
      <c r="Y363" s="423"/>
      <c r="Z363" s="423"/>
      <c r="AA363" s="423"/>
      <c r="AB363" s="423"/>
      <c r="AC363" s="423"/>
      <c r="AD363" s="423"/>
      <c r="AE363" s="423"/>
      <c r="AF363" s="423"/>
      <c r="AG363" s="423"/>
      <c r="AH363" s="423"/>
      <c r="AI363" s="423"/>
    </row>
    <row r="364">
      <c r="A364" s="419"/>
      <c r="B364" s="419"/>
      <c r="C364" s="419"/>
      <c r="D364" s="419"/>
      <c r="E364" s="387"/>
      <c r="F364" s="387"/>
      <c r="G364" s="423"/>
      <c r="H364" s="423"/>
      <c r="I364" s="423"/>
      <c r="J364" s="423"/>
      <c r="K364" s="423"/>
      <c r="L364" s="423"/>
      <c r="M364" s="423"/>
      <c r="N364" s="423"/>
      <c r="O364" s="423"/>
      <c r="P364" s="423"/>
      <c r="Q364" s="423"/>
      <c r="R364" s="423"/>
      <c r="S364" s="423"/>
      <c r="T364" s="299">
        <f t="shared" si="114"/>
        <v>0</v>
      </c>
      <c r="U364" s="423"/>
      <c r="V364" s="423"/>
      <c r="W364" s="423"/>
      <c r="X364" s="423"/>
      <c r="Y364" s="423"/>
      <c r="Z364" s="423"/>
      <c r="AA364" s="423"/>
      <c r="AB364" s="423"/>
      <c r="AC364" s="423"/>
      <c r="AD364" s="423"/>
      <c r="AE364" s="423"/>
      <c r="AF364" s="423"/>
      <c r="AG364" s="423"/>
      <c r="AH364" s="423"/>
      <c r="AI364" s="423"/>
    </row>
    <row r="365">
      <c r="A365" s="419"/>
      <c r="B365" s="419"/>
      <c r="C365" s="419"/>
      <c r="D365" s="419"/>
      <c r="E365" s="387"/>
      <c r="F365" s="387"/>
      <c r="G365" s="423"/>
      <c r="H365" s="423"/>
      <c r="I365" s="423"/>
      <c r="J365" s="423"/>
      <c r="K365" s="423"/>
      <c r="L365" s="423"/>
      <c r="M365" s="423"/>
      <c r="N365" s="423"/>
      <c r="O365" s="423"/>
      <c r="P365" s="423"/>
      <c r="Q365" s="423"/>
      <c r="R365" s="423"/>
      <c r="S365" s="423"/>
      <c r="T365" s="299">
        <f t="shared" si="114"/>
        <v>0</v>
      </c>
      <c r="U365" s="423"/>
      <c r="V365" s="423"/>
      <c r="W365" s="423"/>
      <c r="X365" s="423"/>
      <c r="Y365" s="423"/>
      <c r="Z365" s="423"/>
      <c r="AA365" s="423"/>
      <c r="AB365" s="423"/>
      <c r="AC365" s="423"/>
      <c r="AD365" s="423"/>
      <c r="AE365" s="423"/>
      <c r="AF365" s="423"/>
      <c r="AG365" s="423"/>
      <c r="AH365" s="423"/>
      <c r="AI365" s="423"/>
    </row>
    <row r="366">
      <c r="A366" s="419"/>
      <c r="B366" s="419"/>
      <c r="C366" s="419"/>
      <c r="D366" s="419"/>
      <c r="E366" s="387"/>
      <c r="F366" s="387"/>
      <c r="G366" s="423"/>
      <c r="H366" s="423"/>
      <c r="I366" s="423"/>
      <c r="J366" s="423"/>
      <c r="K366" s="423"/>
      <c r="L366" s="423"/>
      <c r="M366" s="423"/>
      <c r="N366" s="423"/>
      <c r="O366" s="423"/>
      <c r="P366" s="423"/>
      <c r="Q366" s="423"/>
      <c r="R366" s="423"/>
      <c r="S366" s="423"/>
      <c r="T366" s="299">
        <f t="shared" si="114"/>
        <v>0</v>
      </c>
      <c r="U366" s="423"/>
      <c r="V366" s="423"/>
      <c r="W366" s="423"/>
      <c r="X366" s="423"/>
      <c r="Y366" s="423"/>
      <c r="Z366" s="423"/>
      <c r="AA366" s="423"/>
      <c r="AB366" s="423"/>
      <c r="AC366" s="423"/>
      <c r="AD366" s="423"/>
      <c r="AE366" s="423"/>
      <c r="AF366" s="423"/>
      <c r="AG366" s="423"/>
      <c r="AH366" s="423"/>
      <c r="AI366" s="423"/>
    </row>
    <row r="367">
      <c r="A367" s="419"/>
      <c r="B367" s="419"/>
      <c r="C367" s="419"/>
      <c r="D367" s="419"/>
      <c r="E367" s="387"/>
      <c r="F367" s="387"/>
      <c r="G367" s="423"/>
      <c r="H367" s="423"/>
      <c r="I367" s="423"/>
      <c r="J367" s="423"/>
      <c r="K367" s="423"/>
      <c r="L367" s="423"/>
      <c r="M367" s="423"/>
      <c r="N367" s="423"/>
      <c r="O367" s="423"/>
      <c r="P367" s="423"/>
      <c r="Q367" s="423"/>
      <c r="R367" s="423"/>
      <c r="S367" s="423"/>
      <c r="T367" s="299">
        <f t="shared" si="114"/>
        <v>0</v>
      </c>
      <c r="U367" s="423"/>
      <c r="V367" s="423"/>
      <c r="W367" s="423"/>
      <c r="X367" s="423"/>
      <c r="Y367" s="423"/>
      <c r="Z367" s="423"/>
      <c r="AA367" s="423"/>
      <c r="AB367" s="423"/>
      <c r="AC367" s="423"/>
      <c r="AD367" s="423"/>
      <c r="AE367" s="423"/>
      <c r="AF367" s="423"/>
      <c r="AG367" s="423"/>
      <c r="AH367" s="423"/>
      <c r="AI367" s="423"/>
    </row>
    <row r="368">
      <c r="A368" s="419"/>
      <c r="B368" s="419"/>
      <c r="C368" s="419"/>
      <c r="D368" s="419"/>
      <c r="E368" s="387"/>
      <c r="F368" s="387"/>
      <c r="G368" s="423"/>
      <c r="H368" s="423"/>
      <c r="I368" s="423"/>
      <c r="J368" s="423"/>
      <c r="K368" s="423"/>
      <c r="L368" s="423"/>
      <c r="M368" s="423"/>
      <c r="N368" s="423"/>
      <c r="O368" s="423"/>
      <c r="P368" s="423"/>
      <c r="Q368" s="423"/>
      <c r="R368" s="423"/>
      <c r="S368" s="423"/>
      <c r="T368" s="299">
        <f t="shared" si="114"/>
        <v>0</v>
      </c>
      <c r="U368" s="423"/>
      <c r="V368" s="423"/>
      <c r="W368" s="423"/>
      <c r="X368" s="423"/>
      <c r="Y368" s="423"/>
      <c r="Z368" s="423"/>
      <c r="AA368" s="423"/>
      <c r="AB368" s="423"/>
      <c r="AC368" s="423"/>
      <c r="AD368" s="423"/>
      <c r="AE368" s="423"/>
      <c r="AF368" s="423"/>
      <c r="AG368" s="423"/>
      <c r="AH368" s="423"/>
      <c r="AI368" s="423"/>
    </row>
    <row r="369">
      <c r="A369" s="419"/>
      <c r="B369" s="419"/>
      <c r="C369" s="419"/>
      <c r="D369" s="419"/>
      <c r="E369" s="387"/>
      <c r="F369" s="387"/>
      <c r="G369" s="423"/>
      <c r="H369" s="423"/>
      <c r="I369" s="423"/>
      <c r="J369" s="423"/>
      <c r="K369" s="423"/>
      <c r="L369" s="423"/>
      <c r="M369" s="423"/>
      <c r="N369" s="423"/>
      <c r="O369" s="423"/>
      <c r="P369" s="423"/>
      <c r="Q369" s="423"/>
      <c r="R369" s="423"/>
      <c r="S369" s="423"/>
      <c r="T369" s="299">
        <f t="shared" si="114"/>
        <v>0</v>
      </c>
      <c r="U369" s="423"/>
      <c r="V369" s="423"/>
      <c r="W369" s="423"/>
      <c r="X369" s="423"/>
      <c r="Y369" s="423"/>
      <c r="Z369" s="423"/>
      <c r="AA369" s="423"/>
      <c r="AB369" s="423"/>
      <c r="AC369" s="423"/>
      <c r="AD369" s="423"/>
      <c r="AE369" s="423"/>
      <c r="AF369" s="423"/>
      <c r="AG369" s="423"/>
      <c r="AH369" s="423"/>
      <c r="AI369" s="423"/>
    </row>
    <row r="370">
      <c r="A370" s="419"/>
      <c r="B370" s="419"/>
      <c r="C370" s="419"/>
      <c r="D370" s="419"/>
      <c r="E370" s="387"/>
      <c r="F370" s="387"/>
      <c r="G370" s="423"/>
      <c r="H370" s="423"/>
      <c r="I370" s="423"/>
      <c r="J370" s="423"/>
      <c r="K370" s="423"/>
      <c r="L370" s="423"/>
      <c r="M370" s="423"/>
      <c r="N370" s="423"/>
      <c r="O370" s="423"/>
      <c r="P370" s="423"/>
      <c r="Q370" s="423"/>
      <c r="R370" s="423"/>
      <c r="S370" s="423"/>
      <c r="T370" s="299">
        <f t="shared" si="114"/>
        <v>0</v>
      </c>
      <c r="U370" s="423"/>
      <c r="V370" s="423"/>
      <c r="W370" s="423"/>
      <c r="X370" s="423"/>
      <c r="Y370" s="423"/>
      <c r="Z370" s="423"/>
      <c r="AA370" s="423"/>
      <c r="AB370" s="423"/>
      <c r="AC370" s="423"/>
      <c r="AD370" s="423"/>
      <c r="AE370" s="423"/>
      <c r="AF370" s="423"/>
      <c r="AG370" s="423"/>
      <c r="AH370" s="423"/>
      <c r="AI370" s="423"/>
    </row>
    <row r="371">
      <c r="A371" s="419"/>
      <c r="B371" s="419"/>
      <c r="C371" s="419"/>
      <c r="D371" s="419"/>
      <c r="E371" s="387"/>
      <c r="F371" s="387"/>
      <c r="G371" s="423"/>
      <c r="H371" s="423"/>
      <c r="I371" s="423"/>
      <c r="J371" s="423"/>
      <c r="K371" s="423"/>
      <c r="L371" s="423"/>
      <c r="M371" s="423"/>
      <c r="N371" s="423"/>
      <c r="O371" s="423"/>
      <c r="P371" s="423"/>
      <c r="Q371" s="423"/>
      <c r="R371" s="423"/>
      <c r="S371" s="423"/>
      <c r="T371" s="299">
        <f t="shared" si="114"/>
        <v>0</v>
      </c>
      <c r="U371" s="423"/>
      <c r="V371" s="423"/>
      <c r="W371" s="423"/>
      <c r="X371" s="423"/>
      <c r="Y371" s="423"/>
      <c r="Z371" s="423"/>
      <c r="AA371" s="423"/>
      <c r="AB371" s="423"/>
      <c r="AC371" s="423"/>
      <c r="AD371" s="423"/>
      <c r="AE371" s="423"/>
      <c r="AF371" s="423"/>
      <c r="AG371" s="423"/>
      <c r="AH371" s="423"/>
      <c r="AI371" s="423"/>
    </row>
    <row r="372">
      <c r="A372" s="419"/>
      <c r="B372" s="419"/>
      <c r="C372" s="419"/>
      <c r="D372" s="419"/>
      <c r="E372" s="387"/>
      <c r="F372" s="387"/>
      <c r="G372" s="423"/>
      <c r="H372" s="423"/>
      <c r="I372" s="423"/>
      <c r="J372" s="423"/>
      <c r="K372" s="423"/>
      <c r="L372" s="423"/>
      <c r="M372" s="423"/>
      <c r="N372" s="423"/>
      <c r="O372" s="423"/>
      <c r="P372" s="423"/>
      <c r="Q372" s="423"/>
      <c r="R372" s="423"/>
      <c r="S372" s="423"/>
      <c r="T372" s="299">
        <f t="shared" si="114"/>
        <v>0</v>
      </c>
      <c r="U372" s="423"/>
      <c r="V372" s="423"/>
      <c r="W372" s="423"/>
      <c r="X372" s="423"/>
      <c r="Y372" s="423"/>
      <c r="Z372" s="423"/>
      <c r="AA372" s="423"/>
      <c r="AB372" s="423"/>
      <c r="AC372" s="423"/>
      <c r="AD372" s="423"/>
      <c r="AE372" s="423"/>
      <c r="AF372" s="423"/>
      <c r="AG372" s="423"/>
      <c r="AH372" s="423"/>
      <c r="AI372" s="423"/>
    </row>
    <row r="373">
      <c r="A373" s="419"/>
      <c r="B373" s="419"/>
      <c r="C373" s="419"/>
      <c r="D373" s="419"/>
      <c r="E373" s="387"/>
      <c r="F373" s="387"/>
      <c r="G373" s="423"/>
      <c r="H373" s="423"/>
      <c r="I373" s="423"/>
      <c r="J373" s="423"/>
      <c r="K373" s="423"/>
      <c r="L373" s="423"/>
      <c r="M373" s="423"/>
      <c r="N373" s="423"/>
      <c r="O373" s="423"/>
      <c r="P373" s="423"/>
      <c r="Q373" s="423"/>
      <c r="R373" s="423"/>
      <c r="S373" s="423"/>
      <c r="T373" s="299">
        <f t="shared" si="114"/>
        <v>0</v>
      </c>
      <c r="U373" s="423"/>
      <c r="V373" s="423"/>
      <c r="W373" s="423"/>
      <c r="X373" s="423"/>
      <c r="Y373" s="423"/>
      <c r="Z373" s="423"/>
      <c r="AA373" s="423"/>
      <c r="AB373" s="423"/>
      <c r="AC373" s="423"/>
      <c r="AD373" s="423"/>
      <c r="AE373" s="423"/>
      <c r="AF373" s="423"/>
      <c r="AG373" s="423"/>
      <c r="AH373" s="423"/>
      <c r="AI373" s="423"/>
    </row>
    <row r="374">
      <c r="A374" s="419"/>
      <c r="B374" s="419"/>
      <c r="C374" s="419"/>
      <c r="D374" s="419"/>
      <c r="E374" s="387"/>
      <c r="F374" s="387"/>
      <c r="G374" s="423"/>
      <c r="H374" s="423"/>
      <c r="I374" s="423"/>
      <c r="J374" s="423"/>
      <c r="K374" s="423"/>
      <c r="L374" s="423"/>
      <c r="M374" s="423"/>
      <c r="N374" s="423"/>
      <c r="O374" s="423"/>
      <c r="P374" s="423"/>
      <c r="Q374" s="423"/>
      <c r="R374" s="423"/>
      <c r="S374" s="423"/>
      <c r="T374" s="299">
        <f t="shared" si="114"/>
        <v>0</v>
      </c>
      <c r="U374" s="423"/>
      <c r="V374" s="423"/>
      <c r="W374" s="423"/>
      <c r="X374" s="423"/>
      <c r="Y374" s="423"/>
      <c r="Z374" s="423"/>
      <c r="AA374" s="423"/>
      <c r="AB374" s="423"/>
      <c r="AC374" s="423"/>
      <c r="AD374" s="423"/>
      <c r="AE374" s="423"/>
      <c r="AF374" s="423"/>
      <c r="AG374" s="423"/>
      <c r="AH374" s="423"/>
      <c r="AI374" s="423"/>
    </row>
    <row r="375">
      <c r="A375" s="419"/>
      <c r="B375" s="419"/>
      <c r="C375" s="419"/>
      <c r="D375" s="419"/>
      <c r="E375" s="387"/>
      <c r="F375" s="387"/>
      <c r="G375" s="423"/>
      <c r="H375" s="423"/>
      <c r="I375" s="423"/>
      <c r="J375" s="423"/>
      <c r="K375" s="423"/>
      <c r="L375" s="423"/>
      <c r="M375" s="423"/>
      <c r="N375" s="423"/>
      <c r="O375" s="423"/>
      <c r="P375" s="423"/>
      <c r="Q375" s="423"/>
      <c r="R375" s="423"/>
      <c r="S375" s="423"/>
      <c r="T375" s="299">
        <f t="shared" si="114"/>
        <v>0</v>
      </c>
      <c r="U375" s="423"/>
      <c r="V375" s="423"/>
      <c r="W375" s="423"/>
      <c r="X375" s="423"/>
      <c r="Y375" s="423"/>
      <c r="Z375" s="423"/>
      <c r="AA375" s="423"/>
      <c r="AB375" s="423"/>
      <c r="AC375" s="423"/>
      <c r="AD375" s="423"/>
      <c r="AE375" s="423"/>
      <c r="AF375" s="423"/>
      <c r="AG375" s="423"/>
      <c r="AH375" s="423"/>
      <c r="AI375" s="423"/>
    </row>
    <row r="376">
      <c r="A376" s="419"/>
      <c r="B376" s="419"/>
      <c r="C376" s="419"/>
      <c r="D376" s="419"/>
      <c r="E376" s="387"/>
      <c r="F376" s="387"/>
      <c r="G376" s="423"/>
      <c r="H376" s="423"/>
      <c r="I376" s="423"/>
      <c r="J376" s="423"/>
      <c r="K376" s="423"/>
      <c r="L376" s="423"/>
      <c r="M376" s="423"/>
      <c r="N376" s="423"/>
      <c r="O376" s="423"/>
      <c r="P376" s="423"/>
      <c r="Q376" s="423"/>
      <c r="R376" s="423"/>
      <c r="S376" s="423"/>
      <c r="T376" s="299">
        <f t="shared" si="114"/>
        <v>0</v>
      </c>
      <c r="U376" s="423"/>
      <c r="V376" s="423"/>
      <c r="W376" s="423"/>
      <c r="X376" s="423"/>
      <c r="Y376" s="423"/>
      <c r="Z376" s="423"/>
      <c r="AA376" s="423"/>
      <c r="AB376" s="423"/>
      <c r="AC376" s="423"/>
      <c r="AD376" s="423"/>
      <c r="AE376" s="423"/>
      <c r="AF376" s="423"/>
      <c r="AG376" s="423"/>
      <c r="AH376" s="423"/>
      <c r="AI376" s="423"/>
    </row>
    <row r="377">
      <c r="A377" s="419"/>
      <c r="B377" s="419"/>
      <c r="C377" s="419"/>
      <c r="D377" s="419"/>
      <c r="E377" s="387"/>
      <c r="F377" s="387"/>
      <c r="G377" s="423"/>
      <c r="H377" s="423"/>
      <c r="I377" s="423"/>
      <c r="J377" s="423"/>
      <c r="K377" s="423"/>
      <c r="L377" s="423"/>
      <c r="M377" s="423"/>
      <c r="N377" s="423"/>
      <c r="O377" s="423"/>
      <c r="P377" s="423"/>
      <c r="Q377" s="423"/>
      <c r="R377" s="423"/>
      <c r="S377" s="423"/>
      <c r="T377" s="299">
        <f t="shared" si="114"/>
        <v>0</v>
      </c>
      <c r="U377" s="423"/>
      <c r="V377" s="423"/>
      <c r="W377" s="423"/>
      <c r="X377" s="423"/>
      <c r="Y377" s="423"/>
      <c r="Z377" s="423"/>
      <c r="AA377" s="423"/>
      <c r="AB377" s="423"/>
      <c r="AC377" s="423"/>
      <c r="AD377" s="423"/>
      <c r="AE377" s="423"/>
      <c r="AF377" s="423"/>
      <c r="AG377" s="423"/>
      <c r="AH377" s="423"/>
      <c r="AI377" s="423"/>
    </row>
    <row r="378">
      <c r="A378" s="419"/>
      <c r="B378" s="419"/>
      <c r="C378" s="419"/>
      <c r="D378" s="419"/>
      <c r="E378" s="387"/>
      <c r="F378" s="387"/>
      <c r="G378" s="423"/>
      <c r="H378" s="423"/>
      <c r="I378" s="423"/>
      <c r="J378" s="423"/>
      <c r="K378" s="423"/>
      <c r="L378" s="423"/>
      <c r="M378" s="423"/>
      <c r="N378" s="423"/>
      <c r="O378" s="423"/>
      <c r="P378" s="423"/>
      <c r="Q378" s="423"/>
      <c r="R378" s="423"/>
      <c r="S378" s="423"/>
      <c r="T378" s="299">
        <f t="shared" si="114"/>
        <v>0</v>
      </c>
      <c r="U378" s="423"/>
      <c r="V378" s="423"/>
      <c r="W378" s="423"/>
      <c r="X378" s="423"/>
      <c r="Y378" s="423"/>
      <c r="Z378" s="423"/>
      <c r="AA378" s="423"/>
      <c r="AB378" s="423"/>
      <c r="AC378" s="423"/>
      <c r="AD378" s="423"/>
      <c r="AE378" s="423"/>
      <c r="AF378" s="423"/>
      <c r="AG378" s="423"/>
      <c r="AH378" s="423"/>
      <c r="AI378" s="423"/>
    </row>
    <row r="379">
      <c r="A379" s="419"/>
      <c r="B379" s="419"/>
      <c r="C379" s="419"/>
      <c r="D379" s="419"/>
      <c r="E379" s="387"/>
      <c r="F379" s="387"/>
      <c r="G379" s="423"/>
      <c r="H379" s="423"/>
      <c r="I379" s="423"/>
      <c r="J379" s="423"/>
      <c r="K379" s="423"/>
      <c r="L379" s="423"/>
      <c r="M379" s="423"/>
      <c r="N379" s="423"/>
      <c r="O379" s="423"/>
      <c r="P379" s="423"/>
      <c r="Q379" s="423"/>
      <c r="R379" s="423"/>
      <c r="S379" s="423"/>
      <c r="T379" s="299">
        <f t="shared" si="114"/>
        <v>0</v>
      </c>
      <c r="U379" s="423"/>
      <c r="V379" s="423"/>
      <c r="W379" s="423"/>
      <c r="X379" s="423"/>
      <c r="Y379" s="423"/>
      <c r="Z379" s="423"/>
      <c r="AA379" s="423"/>
      <c r="AB379" s="423"/>
      <c r="AC379" s="423"/>
      <c r="AD379" s="423"/>
      <c r="AE379" s="423"/>
      <c r="AF379" s="423"/>
      <c r="AG379" s="423"/>
      <c r="AH379" s="423"/>
      <c r="AI379" s="423"/>
    </row>
    <row r="380">
      <c r="A380" s="419"/>
      <c r="B380" s="419"/>
      <c r="C380" s="419"/>
      <c r="D380" s="419"/>
      <c r="E380" s="387"/>
      <c r="F380" s="387"/>
      <c r="G380" s="423"/>
      <c r="H380" s="423"/>
      <c r="I380" s="423"/>
      <c r="J380" s="423"/>
      <c r="K380" s="423"/>
      <c r="L380" s="423"/>
      <c r="M380" s="423"/>
      <c r="N380" s="423"/>
      <c r="O380" s="423"/>
      <c r="P380" s="423"/>
      <c r="Q380" s="423"/>
      <c r="R380" s="423"/>
      <c r="S380" s="423"/>
      <c r="T380" s="299">
        <f t="shared" si="114"/>
        <v>0</v>
      </c>
      <c r="U380" s="423"/>
      <c r="V380" s="423"/>
      <c r="W380" s="423"/>
      <c r="X380" s="423"/>
      <c r="Y380" s="423"/>
      <c r="Z380" s="423"/>
      <c r="AA380" s="423"/>
      <c r="AB380" s="423"/>
      <c r="AC380" s="423"/>
      <c r="AD380" s="423"/>
      <c r="AE380" s="423"/>
      <c r="AF380" s="423"/>
      <c r="AG380" s="423"/>
      <c r="AH380" s="423"/>
      <c r="AI380" s="423"/>
    </row>
    <row r="381">
      <c r="A381" s="419"/>
      <c r="B381" s="419"/>
      <c r="C381" s="419"/>
      <c r="D381" s="419"/>
      <c r="E381" s="387"/>
      <c r="F381" s="387"/>
      <c r="G381" s="423"/>
      <c r="H381" s="423"/>
      <c r="I381" s="423"/>
      <c r="J381" s="423"/>
      <c r="K381" s="423"/>
      <c r="L381" s="423"/>
      <c r="M381" s="423"/>
      <c r="N381" s="423"/>
      <c r="O381" s="423"/>
      <c r="P381" s="423"/>
      <c r="Q381" s="423"/>
      <c r="R381" s="423"/>
      <c r="S381" s="423"/>
      <c r="T381" s="299">
        <f t="shared" si="114"/>
        <v>0</v>
      </c>
      <c r="U381" s="423"/>
      <c r="V381" s="423"/>
      <c r="W381" s="423"/>
      <c r="X381" s="423"/>
      <c r="Y381" s="423"/>
      <c r="Z381" s="423"/>
      <c r="AA381" s="423"/>
      <c r="AB381" s="423"/>
      <c r="AC381" s="423"/>
      <c r="AD381" s="423"/>
      <c r="AE381" s="423"/>
      <c r="AF381" s="423"/>
      <c r="AG381" s="423"/>
      <c r="AH381" s="423"/>
      <c r="AI381" s="423"/>
    </row>
    <row r="382">
      <c r="A382" s="419"/>
      <c r="B382" s="419"/>
      <c r="C382" s="419"/>
      <c r="D382" s="419"/>
      <c r="E382" s="387"/>
      <c r="F382" s="387"/>
      <c r="G382" s="423"/>
      <c r="H382" s="423"/>
      <c r="I382" s="423"/>
      <c r="J382" s="423"/>
      <c r="K382" s="423"/>
      <c r="L382" s="423"/>
      <c r="M382" s="423"/>
      <c r="N382" s="423"/>
      <c r="O382" s="423"/>
      <c r="P382" s="423"/>
      <c r="Q382" s="423"/>
      <c r="R382" s="423"/>
      <c r="S382" s="423"/>
      <c r="T382" s="423"/>
      <c r="U382" s="423"/>
      <c r="V382" s="423"/>
      <c r="W382" s="423"/>
      <c r="X382" s="423"/>
      <c r="Y382" s="423"/>
      <c r="Z382" s="423"/>
      <c r="AA382" s="423"/>
      <c r="AB382" s="423"/>
      <c r="AC382" s="423"/>
      <c r="AD382" s="423"/>
      <c r="AE382" s="423"/>
      <c r="AF382" s="423"/>
      <c r="AG382" s="423"/>
      <c r="AH382" s="423"/>
      <c r="AI382" s="423"/>
    </row>
    <row r="383">
      <c r="A383" s="419"/>
      <c r="B383" s="419"/>
      <c r="C383" s="419"/>
      <c r="D383" s="419"/>
      <c r="E383" s="387"/>
      <c r="F383" s="387"/>
      <c r="G383" s="423"/>
      <c r="H383" s="423"/>
      <c r="I383" s="423"/>
      <c r="J383" s="423"/>
      <c r="K383" s="423"/>
      <c r="L383" s="423"/>
      <c r="M383" s="423"/>
      <c r="N383" s="423"/>
      <c r="O383" s="423"/>
      <c r="P383" s="423"/>
      <c r="Q383" s="423"/>
      <c r="R383" s="423"/>
      <c r="S383" s="423"/>
      <c r="T383" s="423"/>
      <c r="U383" s="423"/>
      <c r="V383" s="423"/>
      <c r="W383" s="423"/>
      <c r="X383" s="423"/>
      <c r="Y383" s="423"/>
      <c r="Z383" s="423"/>
      <c r="AA383" s="423"/>
      <c r="AB383" s="423"/>
      <c r="AC383" s="423"/>
      <c r="AD383" s="423"/>
      <c r="AE383" s="423"/>
      <c r="AF383" s="423"/>
      <c r="AG383" s="423"/>
      <c r="AH383" s="423"/>
      <c r="AI383" s="423"/>
    </row>
    <row r="384">
      <c r="A384" s="419"/>
      <c r="B384" s="419"/>
      <c r="C384" s="419"/>
      <c r="D384" s="419"/>
      <c r="E384" s="387"/>
      <c r="F384" s="387"/>
      <c r="G384" s="423"/>
      <c r="H384" s="423"/>
      <c r="I384" s="423"/>
      <c r="J384" s="423"/>
      <c r="K384" s="423"/>
      <c r="L384" s="423"/>
      <c r="M384" s="423"/>
      <c r="N384" s="423"/>
      <c r="O384" s="423"/>
      <c r="P384" s="423"/>
      <c r="Q384" s="423"/>
      <c r="R384" s="423"/>
      <c r="S384" s="423"/>
      <c r="T384" s="423"/>
      <c r="U384" s="423"/>
      <c r="V384" s="423"/>
      <c r="W384" s="423"/>
      <c r="X384" s="423"/>
      <c r="Y384" s="423"/>
      <c r="Z384" s="423"/>
      <c r="AA384" s="423"/>
      <c r="AB384" s="423"/>
      <c r="AC384" s="423"/>
      <c r="AD384" s="423"/>
      <c r="AE384" s="423"/>
      <c r="AF384" s="423"/>
      <c r="AG384" s="423"/>
      <c r="AH384" s="423"/>
      <c r="AI384" s="423"/>
    </row>
    <row r="385">
      <c r="A385" s="419"/>
      <c r="B385" s="419"/>
      <c r="C385" s="419"/>
      <c r="D385" s="419"/>
      <c r="E385" s="387"/>
      <c r="F385" s="387"/>
      <c r="G385" s="423"/>
      <c r="H385" s="423"/>
      <c r="I385" s="423"/>
      <c r="J385" s="423"/>
      <c r="K385" s="423"/>
      <c r="L385" s="423"/>
      <c r="M385" s="423"/>
      <c r="N385" s="423"/>
      <c r="O385" s="423"/>
      <c r="P385" s="423"/>
      <c r="Q385" s="423"/>
      <c r="R385" s="423"/>
      <c r="S385" s="423"/>
      <c r="T385" s="423"/>
      <c r="U385" s="423"/>
      <c r="V385" s="423"/>
      <c r="W385" s="423"/>
      <c r="X385" s="423"/>
      <c r="Y385" s="423"/>
      <c r="Z385" s="423"/>
      <c r="AA385" s="423"/>
      <c r="AB385" s="423"/>
      <c r="AC385" s="423"/>
      <c r="AD385" s="423"/>
      <c r="AE385" s="423"/>
      <c r="AF385" s="423"/>
      <c r="AG385" s="423"/>
      <c r="AH385" s="423"/>
      <c r="AI385" s="423"/>
    </row>
    <row r="386">
      <c r="A386" s="419"/>
      <c r="B386" s="419"/>
      <c r="C386" s="419"/>
      <c r="D386" s="419"/>
      <c r="E386" s="387"/>
      <c r="F386" s="387"/>
      <c r="G386" s="423"/>
      <c r="H386" s="423"/>
      <c r="I386" s="423"/>
      <c r="J386" s="423"/>
      <c r="K386" s="423"/>
      <c r="L386" s="423"/>
      <c r="M386" s="423"/>
      <c r="N386" s="423"/>
      <c r="O386" s="423"/>
      <c r="P386" s="423"/>
      <c r="Q386" s="423"/>
      <c r="R386" s="423"/>
      <c r="S386" s="423"/>
      <c r="T386" s="423"/>
      <c r="U386" s="423"/>
      <c r="V386" s="423"/>
      <c r="W386" s="423"/>
      <c r="X386" s="423"/>
      <c r="Y386" s="423"/>
      <c r="Z386" s="423"/>
      <c r="AA386" s="423"/>
      <c r="AB386" s="423"/>
      <c r="AC386" s="423"/>
      <c r="AD386" s="423"/>
      <c r="AE386" s="423"/>
      <c r="AF386" s="423"/>
      <c r="AG386" s="423"/>
      <c r="AH386" s="423"/>
      <c r="AI386" s="423"/>
    </row>
    <row r="387">
      <c r="A387" s="419"/>
      <c r="B387" s="419"/>
      <c r="C387" s="419"/>
      <c r="D387" s="419"/>
      <c r="E387" s="387"/>
      <c r="F387" s="387"/>
      <c r="G387" s="423"/>
      <c r="H387" s="423"/>
      <c r="I387" s="423"/>
      <c r="J387" s="423"/>
      <c r="K387" s="423"/>
      <c r="L387" s="423"/>
      <c r="M387" s="423"/>
      <c r="N387" s="423"/>
      <c r="O387" s="423"/>
      <c r="P387" s="423"/>
      <c r="Q387" s="423"/>
      <c r="R387" s="423"/>
      <c r="S387" s="423"/>
      <c r="T387" s="423"/>
      <c r="U387" s="423"/>
      <c r="V387" s="423"/>
      <c r="W387" s="423"/>
      <c r="X387" s="423"/>
      <c r="Y387" s="423"/>
      <c r="Z387" s="423"/>
      <c r="AA387" s="423"/>
      <c r="AB387" s="423"/>
      <c r="AC387" s="423"/>
      <c r="AD387" s="423"/>
      <c r="AE387" s="423"/>
      <c r="AF387" s="423"/>
      <c r="AG387" s="423"/>
      <c r="AH387" s="423"/>
      <c r="AI387" s="423"/>
    </row>
    <row r="388">
      <c r="A388" s="419"/>
      <c r="B388" s="419"/>
      <c r="C388" s="419"/>
      <c r="D388" s="419"/>
      <c r="E388" s="387"/>
      <c r="F388" s="387"/>
      <c r="G388" s="423"/>
      <c r="H388" s="423"/>
      <c r="I388" s="423"/>
      <c r="J388" s="423"/>
      <c r="K388" s="423"/>
      <c r="L388" s="423"/>
      <c r="M388" s="423"/>
      <c r="N388" s="423"/>
      <c r="O388" s="423"/>
      <c r="P388" s="423"/>
      <c r="Q388" s="423"/>
      <c r="R388" s="423"/>
      <c r="S388" s="423"/>
      <c r="T388" s="423"/>
      <c r="U388" s="423"/>
      <c r="V388" s="423"/>
      <c r="W388" s="423"/>
      <c r="X388" s="423"/>
      <c r="Y388" s="423"/>
      <c r="Z388" s="423"/>
      <c r="AA388" s="423"/>
      <c r="AB388" s="423"/>
      <c r="AC388" s="423"/>
      <c r="AD388" s="423"/>
      <c r="AE388" s="423"/>
      <c r="AF388" s="423"/>
      <c r="AG388" s="423"/>
      <c r="AH388" s="423"/>
      <c r="AI388" s="423"/>
    </row>
    <row r="389">
      <c r="A389" s="419"/>
      <c r="B389" s="419"/>
      <c r="C389" s="419"/>
      <c r="D389" s="419"/>
      <c r="E389" s="387"/>
      <c r="F389" s="387"/>
      <c r="G389" s="423"/>
      <c r="H389" s="423"/>
      <c r="I389" s="423"/>
      <c r="J389" s="423"/>
      <c r="K389" s="423"/>
      <c r="L389" s="423"/>
      <c r="M389" s="423"/>
      <c r="N389" s="423"/>
      <c r="O389" s="423"/>
      <c r="P389" s="423"/>
      <c r="Q389" s="423"/>
      <c r="R389" s="423"/>
      <c r="S389" s="423"/>
      <c r="T389" s="423"/>
      <c r="U389" s="423"/>
      <c r="V389" s="423"/>
      <c r="W389" s="423"/>
      <c r="X389" s="423"/>
      <c r="Y389" s="423"/>
      <c r="Z389" s="423"/>
      <c r="AA389" s="423"/>
      <c r="AB389" s="423"/>
      <c r="AC389" s="423"/>
      <c r="AD389" s="423"/>
      <c r="AE389" s="423"/>
      <c r="AF389" s="423"/>
      <c r="AG389" s="423"/>
      <c r="AH389" s="423"/>
      <c r="AI389" s="423"/>
    </row>
    <row r="390">
      <c r="A390" s="419"/>
      <c r="B390" s="419"/>
      <c r="C390" s="419"/>
      <c r="D390" s="419"/>
      <c r="E390" s="387"/>
      <c r="F390" s="387"/>
      <c r="G390" s="423"/>
      <c r="H390" s="423"/>
      <c r="I390" s="423"/>
      <c r="J390" s="423"/>
      <c r="K390" s="423"/>
      <c r="L390" s="423"/>
      <c r="M390" s="423"/>
      <c r="N390" s="423"/>
      <c r="O390" s="423"/>
      <c r="P390" s="423"/>
      <c r="Q390" s="423"/>
      <c r="R390" s="423"/>
      <c r="S390" s="423"/>
      <c r="T390" s="423"/>
      <c r="U390" s="423"/>
      <c r="V390" s="423"/>
      <c r="W390" s="423"/>
      <c r="X390" s="423"/>
      <c r="Y390" s="423"/>
      <c r="Z390" s="423"/>
      <c r="AA390" s="423"/>
      <c r="AB390" s="423"/>
      <c r="AC390" s="423"/>
      <c r="AD390" s="423"/>
      <c r="AE390" s="423"/>
      <c r="AF390" s="423"/>
      <c r="AG390" s="423"/>
      <c r="AH390" s="423"/>
      <c r="AI390" s="423"/>
    </row>
    <row r="391">
      <c r="A391" s="419"/>
      <c r="B391" s="419"/>
      <c r="C391" s="419"/>
      <c r="D391" s="419"/>
      <c r="E391" s="387"/>
      <c r="F391" s="387"/>
      <c r="G391" s="423"/>
      <c r="H391" s="423"/>
      <c r="I391" s="423"/>
      <c r="J391" s="423"/>
      <c r="K391" s="423"/>
      <c r="L391" s="423"/>
      <c r="M391" s="423"/>
      <c r="N391" s="423"/>
      <c r="O391" s="423"/>
      <c r="P391" s="423"/>
      <c r="Q391" s="423"/>
      <c r="R391" s="423"/>
      <c r="S391" s="423"/>
      <c r="T391" s="423"/>
      <c r="U391" s="423"/>
      <c r="V391" s="423"/>
      <c r="W391" s="423"/>
      <c r="X391" s="423"/>
      <c r="Y391" s="423"/>
      <c r="Z391" s="423"/>
      <c r="AA391" s="423"/>
      <c r="AB391" s="423"/>
      <c r="AC391" s="423"/>
      <c r="AD391" s="423"/>
      <c r="AE391" s="423"/>
      <c r="AF391" s="423"/>
      <c r="AG391" s="423"/>
      <c r="AH391" s="423"/>
      <c r="AI391" s="423"/>
    </row>
    <row r="392">
      <c r="A392" s="419"/>
      <c r="B392" s="419"/>
      <c r="C392" s="419"/>
      <c r="D392" s="419"/>
      <c r="E392" s="387"/>
      <c r="F392" s="387"/>
      <c r="G392" s="423"/>
      <c r="H392" s="423"/>
      <c r="I392" s="423"/>
      <c r="J392" s="423"/>
      <c r="K392" s="423"/>
      <c r="L392" s="423"/>
      <c r="M392" s="423"/>
      <c r="N392" s="423"/>
      <c r="O392" s="423"/>
      <c r="P392" s="423"/>
      <c r="Q392" s="423"/>
      <c r="R392" s="423"/>
      <c r="S392" s="423"/>
      <c r="T392" s="423"/>
      <c r="U392" s="423"/>
      <c r="V392" s="423"/>
      <c r="W392" s="423"/>
      <c r="X392" s="423"/>
      <c r="Y392" s="423"/>
      <c r="Z392" s="423"/>
      <c r="AA392" s="423"/>
      <c r="AB392" s="423"/>
      <c r="AC392" s="423"/>
      <c r="AD392" s="423"/>
      <c r="AE392" s="423"/>
      <c r="AF392" s="423"/>
      <c r="AG392" s="423"/>
      <c r="AH392" s="423"/>
      <c r="AI392" s="423"/>
    </row>
    <row r="393">
      <c r="A393" s="419"/>
      <c r="B393" s="419"/>
      <c r="C393" s="419"/>
      <c r="D393" s="419"/>
      <c r="E393" s="387"/>
      <c r="F393" s="387"/>
      <c r="G393" s="423"/>
      <c r="H393" s="423"/>
      <c r="I393" s="423"/>
      <c r="J393" s="423"/>
      <c r="K393" s="423"/>
      <c r="L393" s="423"/>
      <c r="M393" s="423"/>
      <c r="N393" s="423"/>
      <c r="O393" s="423"/>
      <c r="P393" s="423"/>
      <c r="Q393" s="423"/>
      <c r="R393" s="423"/>
      <c r="S393" s="423"/>
      <c r="T393" s="423"/>
      <c r="U393" s="423"/>
      <c r="V393" s="423"/>
      <c r="W393" s="423"/>
      <c r="X393" s="423"/>
      <c r="Y393" s="423"/>
      <c r="Z393" s="423"/>
      <c r="AA393" s="423"/>
      <c r="AB393" s="423"/>
      <c r="AC393" s="423"/>
      <c r="AD393" s="423"/>
      <c r="AE393" s="423"/>
      <c r="AF393" s="423"/>
      <c r="AG393" s="423"/>
      <c r="AH393" s="423"/>
      <c r="AI393" s="423"/>
    </row>
    <row r="394">
      <c r="A394" s="419"/>
      <c r="B394" s="419"/>
      <c r="C394" s="419"/>
      <c r="D394" s="419"/>
      <c r="E394" s="387"/>
      <c r="F394" s="387"/>
      <c r="G394" s="423"/>
      <c r="H394" s="423"/>
      <c r="I394" s="423"/>
      <c r="J394" s="423"/>
      <c r="K394" s="423"/>
      <c r="L394" s="423"/>
      <c r="M394" s="423"/>
      <c r="N394" s="423"/>
      <c r="O394" s="423"/>
      <c r="P394" s="423"/>
      <c r="Q394" s="423"/>
      <c r="R394" s="423"/>
      <c r="S394" s="423"/>
      <c r="T394" s="423"/>
      <c r="U394" s="423"/>
      <c r="V394" s="423"/>
      <c r="W394" s="423"/>
      <c r="X394" s="423"/>
      <c r="Y394" s="423"/>
      <c r="Z394" s="423"/>
      <c r="AA394" s="423"/>
      <c r="AB394" s="423"/>
      <c r="AC394" s="423"/>
      <c r="AD394" s="423"/>
      <c r="AE394" s="423"/>
      <c r="AF394" s="423"/>
      <c r="AG394" s="423"/>
      <c r="AH394" s="423"/>
      <c r="AI394" s="423"/>
    </row>
    <row r="395">
      <c r="A395" s="419"/>
      <c r="B395" s="419"/>
      <c r="C395" s="419"/>
      <c r="D395" s="419"/>
      <c r="E395" s="387"/>
      <c r="F395" s="387"/>
      <c r="G395" s="423"/>
      <c r="H395" s="423"/>
      <c r="I395" s="423"/>
      <c r="J395" s="423"/>
      <c r="K395" s="423"/>
      <c r="L395" s="423"/>
      <c r="M395" s="423"/>
      <c r="N395" s="423"/>
      <c r="O395" s="423"/>
      <c r="P395" s="423"/>
      <c r="Q395" s="423"/>
      <c r="R395" s="423"/>
      <c r="S395" s="423"/>
      <c r="T395" s="423"/>
      <c r="U395" s="423"/>
      <c r="V395" s="423"/>
      <c r="W395" s="423"/>
      <c r="X395" s="423"/>
      <c r="Y395" s="423"/>
      <c r="Z395" s="423"/>
      <c r="AA395" s="423"/>
      <c r="AB395" s="423"/>
      <c r="AC395" s="423"/>
      <c r="AD395" s="423"/>
      <c r="AE395" s="423"/>
      <c r="AF395" s="423"/>
      <c r="AG395" s="423"/>
      <c r="AH395" s="423"/>
      <c r="AI395" s="423"/>
    </row>
    <row r="396">
      <c r="A396" s="419"/>
      <c r="B396" s="419"/>
      <c r="C396" s="419"/>
      <c r="D396" s="419"/>
      <c r="E396" s="387"/>
      <c r="F396" s="387"/>
      <c r="G396" s="423"/>
      <c r="H396" s="423"/>
      <c r="I396" s="423"/>
      <c r="J396" s="423"/>
      <c r="K396" s="423"/>
      <c r="L396" s="423"/>
      <c r="M396" s="423"/>
      <c r="N396" s="423"/>
      <c r="O396" s="423"/>
      <c r="P396" s="423"/>
      <c r="Q396" s="423"/>
      <c r="R396" s="423"/>
      <c r="S396" s="423"/>
      <c r="T396" s="423"/>
      <c r="U396" s="423"/>
      <c r="V396" s="423"/>
      <c r="W396" s="423"/>
      <c r="X396" s="423"/>
      <c r="Y396" s="423"/>
      <c r="Z396" s="423"/>
      <c r="AA396" s="423"/>
      <c r="AB396" s="423"/>
      <c r="AC396" s="423"/>
      <c r="AD396" s="423"/>
      <c r="AE396" s="423"/>
      <c r="AF396" s="423"/>
      <c r="AG396" s="423"/>
      <c r="AH396" s="423"/>
      <c r="AI396" s="423"/>
    </row>
    <row r="397">
      <c r="A397" s="419"/>
      <c r="B397" s="419"/>
      <c r="C397" s="419"/>
      <c r="D397" s="419"/>
      <c r="E397" s="387"/>
      <c r="F397" s="387"/>
      <c r="G397" s="423"/>
      <c r="H397" s="423"/>
      <c r="I397" s="423"/>
      <c r="J397" s="423"/>
      <c r="K397" s="423"/>
      <c r="L397" s="423"/>
      <c r="M397" s="423"/>
      <c r="N397" s="423"/>
      <c r="O397" s="423"/>
      <c r="P397" s="423"/>
      <c r="Q397" s="423"/>
      <c r="R397" s="423"/>
      <c r="S397" s="423"/>
      <c r="T397" s="423"/>
      <c r="U397" s="423"/>
      <c r="V397" s="423"/>
      <c r="W397" s="423"/>
      <c r="X397" s="423"/>
      <c r="Y397" s="423"/>
      <c r="Z397" s="423"/>
      <c r="AA397" s="423"/>
      <c r="AB397" s="423"/>
      <c r="AC397" s="423"/>
      <c r="AD397" s="423"/>
      <c r="AE397" s="423"/>
      <c r="AF397" s="423"/>
      <c r="AG397" s="423"/>
      <c r="AH397" s="423"/>
      <c r="AI397" s="423"/>
    </row>
    <row r="398">
      <c r="A398" s="419"/>
      <c r="B398" s="419"/>
      <c r="C398" s="419"/>
      <c r="D398" s="419"/>
      <c r="E398" s="387"/>
      <c r="F398" s="387"/>
      <c r="G398" s="423"/>
      <c r="H398" s="423"/>
      <c r="I398" s="423"/>
      <c r="J398" s="423"/>
      <c r="K398" s="423"/>
      <c r="L398" s="423"/>
      <c r="M398" s="423"/>
      <c r="N398" s="423"/>
      <c r="O398" s="423"/>
      <c r="P398" s="423"/>
      <c r="Q398" s="423"/>
      <c r="R398" s="423"/>
      <c r="S398" s="423"/>
      <c r="T398" s="423"/>
      <c r="U398" s="423"/>
      <c r="V398" s="423"/>
      <c r="W398" s="423"/>
      <c r="X398" s="423"/>
      <c r="Y398" s="423"/>
      <c r="Z398" s="423"/>
      <c r="AA398" s="423"/>
      <c r="AB398" s="423"/>
      <c r="AC398" s="423"/>
      <c r="AD398" s="423"/>
      <c r="AE398" s="423"/>
      <c r="AF398" s="423"/>
      <c r="AG398" s="423"/>
      <c r="AH398" s="423"/>
      <c r="AI398" s="423"/>
    </row>
    <row r="399">
      <c r="A399" s="419"/>
      <c r="B399" s="419"/>
      <c r="C399" s="419"/>
      <c r="D399" s="419"/>
      <c r="E399" s="387"/>
      <c r="F399" s="387"/>
      <c r="G399" s="423"/>
      <c r="H399" s="423"/>
      <c r="I399" s="423"/>
      <c r="J399" s="423"/>
      <c r="K399" s="423"/>
      <c r="L399" s="423"/>
      <c r="M399" s="423"/>
      <c r="N399" s="423"/>
      <c r="O399" s="423"/>
      <c r="P399" s="423"/>
      <c r="Q399" s="423"/>
      <c r="R399" s="423"/>
      <c r="S399" s="423"/>
      <c r="T399" s="423"/>
      <c r="U399" s="423"/>
      <c r="V399" s="423"/>
      <c r="W399" s="423"/>
      <c r="X399" s="423"/>
      <c r="Y399" s="423"/>
      <c r="Z399" s="423"/>
      <c r="AA399" s="423"/>
      <c r="AB399" s="423"/>
      <c r="AC399" s="423"/>
      <c r="AD399" s="423"/>
      <c r="AE399" s="423"/>
      <c r="AF399" s="423"/>
      <c r="AG399" s="423"/>
      <c r="AH399" s="423"/>
      <c r="AI399" s="423"/>
    </row>
    <row r="400">
      <c r="A400" s="419"/>
      <c r="B400" s="419"/>
      <c r="C400" s="419"/>
      <c r="D400" s="419"/>
      <c r="E400" s="387"/>
      <c r="F400" s="387"/>
      <c r="G400" s="423"/>
      <c r="H400" s="423"/>
      <c r="I400" s="423"/>
      <c r="J400" s="423"/>
      <c r="K400" s="423"/>
      <c r="L400" s="423"/>
      <c r="M400" s="423"/>
      <c r="N400" s="423"/>
      <c r="O400" s="423"/>
      <c r="P400" s="423"/>
      <c r="Q400" s="423"/>
      <c r="R400" s="423"/>
      <c r="S400" s="423"/>
      <c r="T400" s="423"/>
      <c r="U400" s="423"/>
      <c r="V400" s="423"/>
      <c r="W400" s="423"/>
      <c r="X400" s="423"/>
      <c r="Y400" s="423"/>
      <c r="Z400" s="423"/>
      <c r="AA400" s="423"/>
      <c r="AB400" s="423"/>
      <c r="AC400" s="423"/>
      <c r="AD400" s="423"/>
      <c r="AE400" s="423"/>
      <c r="AF400" s="423"/>
      <c r="AG400" s="423"/>
      <c r="AH400" s="423"/>
      <c r="AI400" s="423"/>
    </row>
    <row r="401">
      <c r="A401" s="419"/>
      <c r="B401" s="419"/>
      <c r="C401" s="419"/>
      <c r="D401" s="419"/>
      <c r="E401" s="387"/>
      <c r="F401" s="387"/>
      <c r="G401" s="423"/>
      <c r="H401" s="423"/>
      <c r="I401" s="423"/>
      <c r="J401" s="423"/>
      <c r="K401" s="423"/>
      <c r="L401" s="423"/>
      <c r="M401" s="423"/>
      <c r="N401" s="423"/>
      <c r="O401" s="423"/>
      <c r="P401" s="423"/>
      <c r="Q401" s="423"/>
      <c r="R401" s="423"/>
      <c r="S401" s="423"/>
      <c r="T401" s="423"/>
      <c r="U401" s="423"/>
      <c r="V401" s="423"/>
      <c r="W401" s="423"/>
      <c r="X401" s="423"/>
      <c r="Y401" s="423"/>
      <c r="Z401" s="423"/>
      <c r="AA401" s="423"/>
      <c r="AB401" s="423"/>
      <c r="AC401" s="423"/>
      <c r="AD401" s="423"/>
      <c r="AE401" s="423"/>
      <c r="AF401" s="423"/>
      <c r="AG401" s="423"/>
      <c r="AH401" s="423"/>
      <c r="AI401" s="423"/>
    </row>
    <row r="402">
      <c r="A402" s="419"/>
      <c r="B402" s="419"/>
      <c r="C402" s="419"/>
      <c r="D402" s="419"/>
      <c r="E402" s="387"/>
      <c r="F402" s="387"/>
      <c r="G402" s="423"/>
      <c r="H402" s="423"/>
      <c r="I402" s="423"/>
      <c r="J402" s="423"/>
      <c r="K402" s="423"/>
      <c r="L402" s="423"/>
      <c r="M402" s="423"/>
      <c r="N402" s="423"/>
      <c r="O402" s="423"/>
      <c r="P402" s="423"/>
      <c r="Q402" s="423"/>
      <c r="R402" s="423"/>
      <c r="S402" s="423"/>
      <c r="T402" s="423"/>
      <c r="U402" s="423"/>
      <c r="V402" s="423"/>
      <c r="W402" s="423"/>
      <c r="X402" s="423"/>
      <c r="Y402" s="423"/>
      <c r="Z402" s="423"/>
      <c r="AA402" s="423"/>
      <c r="AB402" s="423"/>
      <c r="AC402" s="423"/>
      <c r="AD402" s="423"/>
      <c r="AE402" s="423"/>
      <c r="AF402" s="423"/>
      <c r="AG402" s="423"/>
      <c r="AH402" s="423"/>
      <c r="AI402" s="423"/>
    </row>
    <row r="403">
      <c r="A403" s="419"/>
      <c r="B403" s="419"/>
      <c r="C403" s="419"/>
      <c r="D403" s="419"/>
      <c r="E403" s="387"/>
      <c r="F403" s="387"/>
      <c r="G403" s="423"/>
      <c r="H403" s="423"/>
      <c r="I403" s="423"/>
      <c r="J403" s="423"/>
      <c r="K403" s="423"/>
      <c r="L403" s="423"/>
      <c r="M403" s="423"/>
      <c r="N403" s="423"/>
      <c r="O403" s="423"/>
      <c r="P403" s="423"/>
      <c r="Q403" s="423"/>
      <c r="R403" s="423"/>
      <c r="S403" s="423"/>
      <c r="T403" s="423"/>
      <c r="U403" s="423"/>
      <c r="V403" s="423"/>
      <c r="W403" s="423"/>
      <c r="X403" s="423"/>
      <c r="Y403" s="423"/>
      <c r="Z403" s="423"/>
      <c r="AA403" s="423"/>
      <c r="AB403" s="423"/>
      <c r="AC403" s="423"/>
      <c r="AD403" s="423"/>
      <c r="AE403" s="423"/>
      <c r="AF403" s="423"/>
      <c r="AG403" s="423"/>
      <c r="AH403" s="423"/>
      <c r="AI403" s="423"/>
    </row>
    <row r="404">
      <c r="A404" s="419"/>
      <c r="B404" s="419"/>
      <c r="C404" s="419"/>
      <c r="D404" s="419"/>
      <c r="E404" s="387"/>
      <c r="F404" s="387"/>
      <c r="G404" s="423"/>
      <c r="H404" s="423"/>
      <c r="I404" s="423"/>
      <c r="J404" s="423"/>
      <c r="K404" s="423"/>
      <c r="L404" s="423"/>
      <c r="M404" s="423"/>
      <c r="N404" s="423"/>
      <c r="O404" s="423"/>
      <c r="P404" s="423"/>
      <c r="Q404" s="423"/>
      <c r="R404" s="423"/>
      <c r="S404" s="423"/>
      <c r="T404" s="423"/>
      <c r="U404" s="423"/>
      <c r="V404" s="423"/>
      <c r="W404" s="423"/>
      <c r="X404" s="423"/>
      <c r="Y404" s="423"/>
      <c r="Z404" s="423"/>
      <c r="AA404" s="423"/>
      <c r="AB404" s="423"/>
      <c r="AC404" s="423"/>
      <c r="AD404" s="423"/>
      <c r="AE404" s="423"/>
      <c r="AF404" s="423"/>
      <c r="AG404" s="423"/>
      <c r="AH404" s="423"/>
      <c r="AI404" s="423"/>
    </row>
    <row r="405">
      <c r="A405" s="419"/>
      <c r="B405" s="419"/>
      <c r="C405" s="419"/>
      <c r="D405" s="419"/>
      <c r="E405" s="387"/>
      <c r="F405" s="387"/>
      <c r="G405" s="423"/>
      <c r="H405" s="423"/>
      <c r="I405" s="423"/>
      <c r="J405" s="423"/>
      <c r="K405" s="423"/>
      <c r="L405" s="423"/>
      <c r="M405" s="423"/>
      <c r="N405" s="423"/>
      <c r="O405" s="423"/>
      <c r="P405" s="423"/>
      <c r="Q405" s="423"/>
      <c r="R405" s="423"/>
      <c r="S405" s="423"/>
      <c r="T405" s="423"/>
      <c r="U405" s="423"/>
      <c r="V405" s="423"/>
      <c r="W405" s="423"/>
      <c r="X405" s="423"/>
      <c r="Y405" s="423"/>
      <c r="Z405" s="423"/>
      <c r="AA405" s="423"/>
      <c r="AB405" s="423"/>
      <c r="AC405" s="423"/>
      <c r="AD405" s="423"/>
      <c r="AE405" s="423"/>
      <c r="AF405" s="423"/>
      <c r="AG405" s="423"/>
      <c r="AH405" s="423"/>
      <c r="AI405" s="423"/>
    </row>
    <row r="406">
      <c r="A406" s="419"/>
      <c r="B406" s="419"/>
      <c r="C406" s="419"/>
      <c r="D406" s="419"/>
      <c r="E406" s="387"/>
      <c r="F406" s="387"/>
      <c r="G406" s="423"/>
      <c r="H406" s="423"/>
      <c r="I406" s="423"/>
      <c r="J406" s="423"/>
      <c r="K406" s="423"/>
      <c r="L406" s="423"/>
      <c r="M406" s="423"/>
      <c r="N406" s="423"/>
      <c r="O406" s="423"/>
      <c r="P406" s="423"/>
      <c r="Q406" s="423"/>
      <c r="R406" s="423"/>
      <c r="S406" s="423"/>
      <c r="T406" s="423"/>
      <c r="U406" s="423"/>
      <c r="V406" s="423"/>
      <c r="W406" s="423"/>
      <c r="X406" s="423"/>
      <c r="Y406" s="423"/>
      <c r="Z406" s="423"/>
      <c r="AA406" s="423"/>
      <c r="AB406" s="423"/>
      <c r="AC406" s="423"/>
      <c r="AD406" s="423"/>
      <c r="AE406" s="423"/>
      <c r="AF406" s="423"/>
      <c r="AG406" s="423"/>
      <c r="AH406" s="423"/>
      <c r="AI406" s="423"/>
    </row>
    <row r="407">
      <c r="A407" s="419"/>
      <c r="B407" s="419"/>
      <c r="C407" s="419"/>
      <c r="D407" s="419"/>
      <c r="E407" s="387"/>
      <c r="F407" s="387"/>
      <c r="G407" s="423"/>
      <c r="H407" s="423"/>
      <c r="I407" s="423"/>
      <c r="J407" s="423"/>
      <c r="K407" s="423"/>
      <c r="L407" s="423"/>
      <c r="M407" s="423"/>
      <c r="N407" s="423"/>
      <c r="O407" s="423"/>
      <c r="P407" s="423"/>
      <c r="Q407" s="423"/>
      <c r="R407" s="423"/>
      <c r="S407" s="423"/>
      <c r="T407" s="423"/>
      <c r="U407" s="423"/>
      <c r="V407" s="423"/>
      <c r="W407" s="423"/>
      <c r="X407" s="423"/>
      <c r="Y407" s="423"/>
      <c r="Z407" s="423"/>
      <c r="AA407" s="423"/>
      <c r="AB407" s="423"/>
      <c r="AC407" s="423"/>
      <c r="AD407" s="423"/>
      <c r="AE407" s="423"/>
      <c r="AF407" s="423"/>
      <c r="AG407" s="423"/>
      <c r="AH407" s="423"/>
      <c r="AI407" s="423"/>
    </row>
    <row r="408">
      <c r="A408" s="419"/>
      <c r="B408" s="419"/>
      <c r="C408" s="419"/>
      <c r="D408" s="419"/>
      <c r="E408" s="387"/>
      <c r="F408" s="387"/>
      <c r="G408" s="423"/>
      <c r="H408" s="423"/>
      <c r="I408" s="423"/>
      <c r="J408" s="423"/>
      <c r="K408" s="423"/>
      <c r="L408" s="423"/>
      <c r="M408" s="423"/>
      <c r="N408" s="423"/>
      <c r="O408" s="423"/>
      <c r="P408" s="423"/>
      <c r="Q408" s="423"/>
      <c r="R408" s="423"/>
      <c r="S408" s="423"/>
      <c r="T408" s="423"/>
      <c r="U408" s="423"/>
      <c r="V408" s="423"/>
      <c r="W408" s="423"/>
      <c r="X408" s="423"/>
      <c r="Y408" s="423"/>
      <c r="Z408" s="423"/>
      <c r="AA408" s="423"/>
      <c r="AB408" s="423"/>
      <c r="AC408" s="423"/>
      <c r="AD408" s="423"/>
      <c r="AE408" s="423"/>
      <c r="AF408" s="423"/>
      <c r="AG408" s="423"/>
      <c r="AH408" s="423"/>
      <c r="AI408" s="423"/>
    </row>
    <row r="409">
      <c r="A409" s="419"/>
      <c r="B409" s="419"/>
      <c r="C409" s="419"/>
      <c r="D409" s="419"/>
      <c r="E409" s="387"/>
      <c r="F409" s="387"/>
      <c r="G409" s="423"/>
      <c r="H409" s="423"/>
      <c r="I409" s="423"/>
      <c r="J409" s="423"/>
      <c r="K409" s="423"/>
      <c r="L409" s="423"/>
      <c r="M409" s="423"/>
      <c r="N409" s="423"/>
      <c r="O409" s="423"/>
      <c r="P409" s="423"/>
      <c r="Q409" s="423"/>
      <c r="R409" s="423"/>
      <c r="S409" s="423"/>
      <c r="T409" s="423"/>
      <c r="U409" s="423"/>
      <c r="V409" s="423"/>
      <c r="W409" s="423"/>
      <c r="X409" s="423"/>
      <c r="Y409" s="423"/>
      <c r="Z409" s="423"/>
      <c r="AA409" s="423"/>
      <c r="AB409" s="423"/>
      <c r="AC409" s="423"/>
      <c r="AD409" s="423"/>
      <c r="AE409" s="423"/>
      <c r="AF409" s="423"/>
      <c r="AG409" s="423"/>
      <c r="AH409" s="423"/>
      <c r="AI409" s="423"/>
    </row>
    <row r="410">
      <c r="A410" s="419"/>
      <c r="B410" s="419"/>
      <c r="C410" s="419"/>
      <c r="D410" s="419"/>
      <c r="E410" s="387"/>
      <c r="F410" s="387"/>
      <c r="G410" s="423"/>
      <c r="H410" s="423"/>
      <c r="I410" s="423"/>
      <c r="J410" s="423"/>
      <c r="K410" s="423"/>
      <c r="L410" s="423"/>
      <c r="M410" s="423"/>
      <c r="N410" s="423"/>
      <c r="O410" s="423"/>
      <c r="P410" s="423"/>
      <c r="Q410" s="423"/>
      <c r="R410" s="423"/>
      <c r="S410" s="423"/>
      <c r="T410" s="423"/>
      <c r="U410" s="423"/>
      <c r="V410" s="423"/>
      <c r="W410" s="423"/>
      <c r="X410" s="423"/>
      <c r="Y410" s="423"/>
      <c r="Z410" s="423"/>
      <c r="AA410" s="423"/>
      <c r="AB410" s="423"/>
      <c r="AC410" s="423"/>
      <c r="AD410" s="423"/>
      <c r="AE410" s="423"/>
      <c r="AF410" s="423"/>
      <c r="AG410" s="423"/>
      <c r="AH410" s="423"/>
      <c r="AI410" s="423"/>
    </row>
    <row r="411">
      <c r="A411" s="419"/>
      <c r="B411" s="419"/>
      <c r="C411" s="419"/>
      <c r="D411" s="419"/>
      <c r="E411" s="387"/>
      <c r="F411" s="387"/>
      <c r="G411" s="423"/>
      <c r="H411" s="423"/>
      <c r="I411" s="423"/>
      <c r="J411" s="423"/>
      <c r="K411" s="423"/>
      <c r="L411" s="423"/>
      <c r="M411" s="423"/>
      <c r="N411" s="423"/>
      <c r="O411" s="423"/>
      <c r="P411" s="423"/>
      <c r="Q411" s="423"/>
      <c r="R411" s="423"/>
      <c r="S411" s="423"/>
      <c r="T411" s="423"/>
      <c r="U411" s="423"/>
      <c r="V411" s="423"/>
      <c r="W411" s="423"/>
      <c r="X411" s="423"/>
      <c r="Y411" s="423"/>
      <c r="Z411" s="423"/>
      <c r="AA411" s="423"/>
      <c r="AB411" s="423"/>
      <c r="AC411" s="423"/>
      <c r="AD411" s="423"/>
      <c r="AE411" s="423"/>
      <c r="AF411" s="423"/>
      <c r="AG411" s="423"/>
      <c r="AH411" s="423"/>
      <c r="AI411" s="423"/>
    </row>
    <row r="412">
      <c r="A412" s="419"/>
      <c r="B412" s="419"/>
      <c r="C412" s="419"/>
      <c r="D412" s="419"/>
      <c r="E412" s="387"/>
      <c r="F412" s="387"/>
      <c r="G412" s="423"/>
      <c r="H412" s="423"/>
      <c r="I412" s="423"/>
      <c r="J412" s="423"/>
      <c r="K412" s="423"/>
      <c r="L412" s="423"/>
      <c r="M412" s="423"/>
      <c r="N412" s="423"/>
      <c r="O412" s="423"/>
      <c r="P412" s="423"/>
      <c r="Q412" s="423"/>
      <c r="R412" s="423"/>
      <c r="S412" s="423"/>
      <c r="T412" s="423"/>
      <c r="U412" s="423"/>
      <c r="V412" s="423"/>
      <c r="W412" s="423"/>
      <c r="X412" s="423"/>
      <c r="Y412" s="423"/>
      <c r="Z412" s="423"/>
      <c r="AA412" s="423"/>
      <c r="AB412" s="423"/>
      <c r="AC412" s="423"/>
      <c r="AD412" s="423"/>
      <c r="AE412" s="423"/>
      <c r="AF412" s="423"/>
      <c r="AG412" s="423"/>
      <c r="AH412" s="423"/>
      <c r="AI412" s="423"/>
    </row>
    <row r="413">
      <c r="A413" s="419"/>
      <c r="B413" s="419"/>
      <c r="C413" s="419"/>
      <c r="D413" s="419"/>
      <c r="E413" s="387"/>
      <c r="F413" s="387"/>
      <c r="G413" s="423"/>
      <c r="H413" s="423"/>
      <c r="I413" s="423"/>
      <c r="J413" s="423"/>
      <c r="K413" s="423"/>
      <c r="L413" s="423"/>
      <c r="M413" s="423"/>
      <c r="N413" s="423"/>
      <c r="O413" s="423"/>
      <c r="P413" s="423"/>
      <c r="Q413" s="423"/>
      <c r="R413" s="423"/>
      <c r="S413" s="423"/>
      <c r="T413" s="423"/>
      <c r="U413" s="423"/>
      <c r="V413" s="423"/>
      <c r="W413" s="423"/>
      <c r="X413" s="423"/>
      <c r="Y413" s="423"/>
      <c r="Z413" s="423"/>
      <c r="AA413" s="423"/>
      <c r="AB413" s="423"/>
      <c r="AC413" s="423"/>
      <c r="AD413" s="423"/>
      <c r="AE413" s="423"/>
      <c r="AF413" s="423"/>
      <c r="AG413" s="423"/>
      <c r="AH413" s="423"/>
      <c r="AI413" s="423"/>
    </row>
    <row r="414">
      <c r="A414" s="419"/>
      <c r="B414" s="419"/>
      <c r="C414" s="419"/>
      <c r="D414" s="419"/>
      <c r="E414" s="387"/>
      <c r="F414" s="387"/>
      <c r="G414" s="423"/>
      <c r="H414" s="423"/>
      <c r="I414" s="423"/>
      <c r="J414" s="423"/>
      <c r="K414" s="423"/>
      <c r="L414" s="423"/>
      <c r="M414" s="423"/>
      <c r="N414" s="423"/>
      <c r="O414" s="423"/>
      <c r="P414" s="423"/>
      <c r="Q414" s="423"/>
      <c r="R414" s="423"/>
      <c r="S414" s="423"/>
      <c r="T414" s="423"/>
      <c r="U414" s="423"/>
      <c r="V414" s="423"/>
      <c r="W414" s="423"/>
      <c r="X414" s="423"/>
      <c r="Y414" s="423"/>
      <c r="Z414" s="423"/>
      <c r="AA414" s="423"/>
      <c r="AB414" s="423"/>
      <c r="AC414" s="423"/>
      <c r="AD414" s="423"/>
      <c r="AE414" s="423"/>
      <c r="AF414" s="423"/>
      <c r="AG414" s="423"/>
      <c r="AH414" s="423"/>
      <c r="AI414" s="423"/>
    </row>
    <row r="415">
      <c r="A415" s="419"/>
      <c r="B415" s="419"/>
      <c r="C415" s="419"/>
      <c r="D415" s="419"/>
      <c r="E415" s="387"/>
      <c r="F415" s="387"/>
      <c r="G415" s="423"/>
      <c r="H415" s="423"/>
      <c r="I415" s="423"/>
      <c r="J415" s="423"/>
      <c r="K415" s="423"/>
      <c r="L415" s="423"/>
      <c r="M415" s="423"/>
      <c r="N415" s="423"/>
      <c r="O415" s="423"/>
      <c r="P415" s="423"/>
      <c r="Q415" s="423"/>
      <c r="R415" s="423"/>
      <c r="S415" s="423"/>
      <c r="T415" s="423"/>
      <c r="U415" s="423"/>
      <c r="V415" s="423"/>
      <c r="W415" s="423"/>
      <c r="X415" s="423"/>
      <c r="Y415" s="423"/>
      <c r="Z415" s="423"/>
      <c r="AA415" s="423"/>
      <c r="AB415" s="423"/>
      <c r="AC415" s="423"/>
      <c r="AD415" s="423"/>
      <c r="AE415" s="423"/>
      <c r="AF415" s="423"/>
      <c r="AG415" s="423"/>
      <c r="AH415" s="423"/>
      <c r="AI415" s="423"/>
    </row>
    <row r="416">
      <c r="A416" s="419"/>
      <c r="B416" s="419"/>
      <c r="C416" s="419"/>
      <c r="D416" s="419"/>
      <c r="E416" s="387"/>
      <c r="F416" s="387"/>
      <c r="G416" s="423"/>
      <c r="H416" s="423"/>
      <c r="I416" s="423"/>
      <c r="J416" s="423"/>
      <c r="K416" s="423"/>
      <c r="L416" s="423"/>
      <c r="M416" s="423"/>
      <c r="N416" s="423"/>
      <c r="O416" s="423"/>
      <c r="P416" s="423"/>
      <c r="Q416" s="423"/>
      <c r="R416" s="423"/>
      <c r="S416" s="423"/>
      <c r="T416" s="423"/>
      <c r="U416" s="423"/>
      <c r="V416" s="423"/>
      <c r="W416" s="423"/>
      <c r="X416" s="423"/>
      <c r="Y416" s="423"/>
      <c r="Z416" s="423"/>
      <c r="AA416" s="423"/>
      <c r="AB416" s="423"/>
      <c r="AC416" s="423"/>
      <c r="AD416" s="423"/>
      <c r="AE416" s="423"/>
      <c r="AF416" s="423"/>
      <c r="AG416" s="423"/>
      <c r="AH416" s="423"/>
      <c r="AI416" s="423"/>
    </row>
    <row r="417">
      <c r="A417" s="419"/>
      <c r="B417" s="419"/>
      <c r="C417" s="419"/>
      <c r="D417" s="419"/>
      <c r="E417" s="387"/>
      <c r="F417" s="387"/>
      <c r="G417" s="423"/>
      <c r="H417" s="423"/>
      <c r="I417" s="423"/>
      <c r="J417" s="423"/>
      <c r="K417" s="423"/>
      <c r="L417" s="423"/>
      <c r="M417" s="423"/>
      <c r="N417" s="423"/>
      <c r="O417" s="423"/>
      <c r="P417" s="423"/>
      <c r="Q417" s="423"/>
      <c r="R417" s="423"/>
      <c r="S417" s="423"/>
      <c r="T417" s="423"/>
      <c r="U417" s="423"/>
      <c r="V417" s="423"/>
      <c r="W417" s="423"/>
      <c r="X417" s="423"/>
      <c r="Y417" s="423"/>
      <c r="Z417" s="423"/>
      <c r="AA417" s="423"/>
      <c r="AB417" s="423"/>
      <c r="AC417" s="423"/>
      <c r="AD417" s="423"/>
      <c r="AE417" s="423"/>
      <c r="AF417" s="423"/>
      <c r="AG417" s="423"/>
      <c r="AH417" s="423"/>
      <c r="AI417" s="423"/>
    </row>
    <row r="418">
      <c r="A418" s="419"/>
      <c r="B418" s="419"/>
      <c r="C418" s="419"/>
      <c r="D418" s="419"/>
      <c r="E418" s="387"/>
      <c r="F418" s="387"/>
      <c r="G418" s="423"/>
      <c r="H418" s="423"/>
      <c r="I418" s="423"/>
      <c r="J418" s="423"/>
      <c r="K418" s="423"/>
      <c r="L418" s="423"/>
      <c r="M418" s="423"/>
      <c r="N418" s="423"/>
      <c r="O418" s="423"/>
      <c r="P418" s="423"/>
      <c r="Q418" s="423"/>
      <c r="R418" s="423"/>
      <c r="S418" s="423"/>
      <c r="T418" s="423"/>
      <c r="U418" s="423"/>
      <c r="V418" s="423"/>
      <c r="W418" s="423"/>
      <c r="X418" s="423"/>
      <c r="Y418" s="423"/>
      <c r="Z418" s="423"/>
      <c r="AA418" s="423"/>
      <c r="AB418" s="423"/>
      <c r="AC418" s="423"/>
      <c r="AD418" s="423"/>
      <c r="AE418" s="423"/>
      <c r="AF418" s="423"/>
      <c r="AG418" s="423"/>
      <c r="AH418" s="423"/>
      <c r="AI418" s="423"/>
    </row>
    <row r="419">
      <c r="A419" s="419"/>
      <c r="B419" s="419"/>
      <c r="C419" s="419"/>
      <c r="D419" s="419"/>
      <c r="E419" s="387"/>
      <c r="F419" s="387"/>
      <c r="G419" s="423"/>
      <c r="H419" s="423"/>
      <c r="I419" s="423"/>
      <c r="J419" s="423"/>
      <c r="K419" s="423"/>
      <c r="L419" s="423"/>
      <c r="M419" s="423"/>
      <c r="N419" s="423"/>
      <c r="O419" s="423"/>
      <c r="P419" s="423"/>
      <c r="Q419" s="423"/>
      <c r="R419" s="423"/>
      <c r="S419" s="423"/>
      <c r="T419" s="423"/>
      <c r="U419" s="423"/>
      <c r="V419" s="423"/>
      <c r="W419" s="423"/>
      <c r="X419" s="423"/>
      <c r="Y419" s="423"/>
      <c r="Z419" s="423"/>
      <c r="AA419" s="423"/>
      <c r="AB419" s="423"/>
      <c r="AC419" s="423"/>
      <c r="AD419" s="423"/>
      <c r="AE419" s="423"/>
      <c r="AF419" s="423"/>
      <c r="AG419" s="423"/>
      <c r="AH419" s="423"/>
      <c r="AI419" s="423"/>
    </row>
    <row r="420">
      <c r="A420" s="419"/>
      <c r="B420" s="419"/>
      <c r="C420" s="419"/>
      <c r="D420" s="419"/>
      <c r="E420" s="387"/>
      <c r="F420" s="387"/>
      <c r="G420" s="423"/>
      <c r="H420" s="423"/>
      <c r="I420" s="423"/>
      <c r="J420" s="423"/>
      <c r="K420" s="423"/>
      <c r="L420" s="423"/>
      <c r="M420" s="423"/>
      <c r="N420" s="423"/>
      <c r="O420" s="423"/>
      <c r="P420" s="423"/>
      <c r="Q420" s="423"/>
      <c r="R420" s="423"/>
      <c r="S420" s="423"/>
      <c r="T420" s="423"/>
      <c r="U420" s="423"/>
      <c r="V420" s="423"/>
      <c r="W420" s="423"/>
      <c r="X420" s="423"/>
      <c r="Y420" s="423"/>
      <c r="Z420" s="423"/>
      <c r="AA420" s="423"/>
      <c r="AB420" s="423"/>
      <c r="AC420" s="423"/>
      <c r="AD420" s="423"/>
      <c r="AE420" s="423"/>
      <c r="AF420" s="423"/>
      <c r="AG420" s="423"/>
      <c r="AH420" s="423"/>
      <c r="AI420" s="423"/>
    </row>
    <row r="421">
      <c r="A421" s="419"/>
      <c r="B421" s="419"/>
      <c r="C421" s="419"/>
      <c r="D421" s="419"/>
      <c r="E421" s="387"/>
      <c r="F421" s="387"/>
      <c r="G421" s="423"/>
      <c r="H421" s="423"/>
      <c r="I421" s="423"/>
      <c r="J421" s="423"/>
      <c r="K421" s="423"/>
      <c r="L421" s="423"/>
      <c r="M421" s="423"/>
      <c r="N421" s="423"/>
      <c r="O421" s="423"/>
      <c r="P421" s="423"/>
      <c r="Q421" s="423"/>
      <c r="R421" s="423"/>
      <c r="S421" s="423"/>
      <c r="T421" s="423"/>
      <c r="U421" s="423"/>
      <c r="V421" s="423"/>
      <c r="W421" s="423"/>
      <c r="X421" s="423"/>
      <c r="Y421" s="423"/>
      <c r="Z421" s="423"/>
      <c r="AA421" s="423"/>
      <c r="AB421" s="423"/>
      <c r="AC421" s="423"/>
      <c r="AD421" s="423"/>
      <c r="AE421" s="423"/>
      <c r="AF421" s="423"/>
      <c r="AG421" s="423"/>
      <c r="AH421" s="423"/>
      <c r="AI421" s="423"/>
    </row>
    <row r="422">
      <c r="A422" s="419"/>
      <c r="B422" s="419"/>
      <c r="C422" s="419"/>
      <c r="D422" s="419"/>
      <c r="E422" s="387"/>
      <c r="F422" s="387"/>
      <c r="G422" s="423"/>
      <c r="H422" s="423"/>
      <c r="I422" s="423"/>
      <c r="J422" s="423"/>
      <c r="K422" s="423"/>
      <c r="L422" s="423"/>
      <c r="M422" s="423"/>
      <c r="N422" s="423"/>
      <c r="O422" s="423"/>
      <c r="P422" s="423"/>
      <c r="Q422" s="423"/>
      <c r="R422" s="423"/>
      <c r="S422" s="423"/>
      <c r="T422" s="423"/>
      <c r="U422" s="423"/>
      <c r="V422" s="423"/>
      <c r="W422" s="423"/>
      <c r="X422" s="423"/>
      <c r="Y422" s="423"/>
      <c r="Z422" s="423"/>
      <c r="AA422" s="423"/>
      <c r="AB422" s="423"/>
      <c r="AC422" s="423"/>
      <c r="AD422" s="423"/>
      <c r="AE422" s="423"/>
      <c r="AF422" s="423"/>
      <c r="AG422" s="423"/>
      <c r="AH422" s="423"/>
      <c r="AI422" s="423"/>
    </row>
    <row r="423">
      <c r="A423" s="419"/>
      <c r="B423" s="419"/>
      <c r="C423" s="419"/>
      <c r="D423" s="419"/>
      <c r="E423" s="387"/>
      <c r="F423" s="387"/>
      <c r="G423" s="423"/>
      <c r="H423" s="423"/>
      <c r="I423" s="423"/>
      <c r="J423" s="423"/>
      <c r="K423" s="423"/>
      <c r="L423" s="423"/>
      <c r="M423" s="423"/>
      <c r="N423" s="423"/>
      <c r="O423" s="423"/>
      <c r="P423" s="423"/>
      <c r="Q423" s="423"/>
      <c r="R423" s="423"/>
      <c r="S423" s="423"/>
      <c r="T423" s="423"/>
      <c r="U423" s="423"/>
      <c r="V423" s="423"/>
      <c r="W423" s="423"/>
      <c r="X423" s="423"/>
      <c r="Y423" s="423"/>
      <c r="Z423" s="423"/>
      <c r="AA423" s="423"/>
      <c r="AB423" s="423"/>
      <c r="AC423" s="423"/>
      <c r="AD423" s="423"/>
      <c r="AE423" s="423"/>
      <c r="AF423" s="423"/>
      <c r="AG423" s="423"/>
      <c r="AH423" s="423"/>
      <c r="AI423" s="423"/>
    </row>
    <row r="424">
      <c r="A424" s="419"/>
      <c r="B424" s="419"/>
      <c r="C424" s="419"/>
      <c r="D424" s="419"/>
      <c r="E424" s="387"/>
      <c r="F424" s="387"/>
      <c r="G424" s="423"/>
      <c r="H424" s="423"/>
      <c r="I424" s="423"/>
      <c r="J424" s="423"/>
      <c r="K424" s="423"/>
      <c r="L424" s="423"/>
      <c r="M424" s="423"/>
      <c r="N424" s="423"/>
      <c r="O424" s="423"/>
      <c r="P424" s="423"/>
      <c r="Q424" s="423"/>
      <c r="R424" s="423"/>
      <c r="S424" s="423"/>
      <c r="T424" s="423"/>
      <c r="U424" s="423"/>
      <c r="V424" s="423"/>
      <c r="W424" s="423"/>
      <c r="X424" s="423"/>
      <c r="Y424" s="423"/>
      <c r="Z424" s="423"/>
      <c r="AA424" s="423"/>
      <c r="AB424" s="423"/>
      <c r="AC424" s="423"/>
      <c r="AD424" s="423"/>
      <c r="AE424" s="423"/>
      <c r="AF424" s="423"/>
      <c r="AG424" s="423"/>
      <c r="AH424" s="423"/>
      <c r="AI424" s="423"/>
    </row>
    <row r="425">
      <c r="A425" s="419"/>
      <c r="B425" s="419"/>
      <c r="C425" s="419"/>
      <c r="D425" s="419"/>
      <c r="E425" s="387"/>
      <c r="F425" s="387"/>
      <c r="G425" s="423"/>
      <c r="H425" s="423"/>
      <c r="I425" s="423"/>
      <c r="J425" s="423"/>
      <c r="K425" s="423"/>
      <c r="L425" s="423"/>
      <c r="M425" s="423"/>
      <c r="N425" s="423"/>
      <c r="O425" s="423"/>
      <c r="P425" s="423"/>
      <c r="Q425" s="423"/>
      <c r="R425" s="423"/>
      <c r="S425" s="423"/>
      <c r="T425" s="423"/>
      <c r="U425" s="423"/>
      <c r="V425" s="423"/>
      <c r="W425" s="423"/>
      <c r="X425" s="423"/>
      <c r="Y425" s="423"/>
      <c r="Z425" s="423"/>
      <c r="AA425" s="423"/>
      <c r="AB425" s="423"/>
      <c r="AC425" s="423"/>
      <c r="AD425" s="423"/>
      <c r="AE425" s="423"/>
      <c r="AF425" s="423"/>
      <c r="AG425" s="423"/>
      <c r="AH425" s="423"/>
      <c r="AI425" s="423"/>
    </row>
    <row r="426">
      <c r="A426" s="419"/>
      <c r="B426" s="419"/>
      <c r="C426" s="419"/>
      <c r="D426" s="419"/>
      <c r="E426" s="290">
        <v>109650.0</v>
      </c>
      <c r="F426" s="387"/>
      <c r="G426" s="423"/>
      <c r="H426" s="423"/>
      <c r="I426" s="423"/>
      <c r="J426" s="423"/>
      <c r="K426" s="423"/>
      <c r="L426" s="423"/>
      <c r="M426" s="423"/>
      <c r="N426" s="423"/>
      <c r="O426" s="423"/>
      <c r="P426" s="423"/>
      <c r="Q426" s="423"/>
      <c r="R426" s="423"/>
      <c r="S426" s="423"/>
      <c r="T426" s="423"/>
      <c r="U426" s="423"/>
      <c r="V426" s="423"/>
      <c r="W426" s="423"/>
      <c r="X426" s="423"/>
      <c r="Y426" s="423"/>
      <c r="Z426" s="423"/>
      <c r="AA426" s="423"/>
      <c r="AB426" s="423"/>
      <c r="AC426" s="423"/>
      <c r="AD426" s="423"/>
      <c r="AE426" s="423"/>
      <c r="AF426" s="423"/>
      <c r="AG426" s="423"/>
      <c r="AH426" s="423"/>
      <c r="AI426" s="423"/>
    </row>
    <row r="427">
      <c r="A427" s="419"/>
      <c r="B427" s="419"/>
      <c r="C427" s="419"/>
      <c r="D427" s="419"/>
      <c r="E427" s="290">
        <v>90000.0</v>
      </c>
      <c r="F427" s="387"/>
      <c r="G427" s="423"/>
      <c r="H427" s="423"/>
      <c r="I427" s="423"/>
      <c r="J427" s="423"/>
      <c r="K427" s="423"/>
      <c r="L427" s="423"/>
      <c r="M427" s="423"/>
      <c r="N427" s="423"/>
      <c r="O427" s="423"/>
      <c r="P427" s="423"/>
      <c r="Q427" s="423"/>
      <c r="R427" s="423"/>
      <c r="S427" s="423"/>
      <c r="T427" s="423"/>
      <c r="U427" s="423"/>
      <c r="V427" s="423"/>
      <c r="W427" s="423"/>
      <c r="X427" s="423"/>
      <c r="Y427" s="423"/>
      <c r="Z427" s="423"/>
      <c r="AA427" s="423"/>
      <c r="AB427" s="423"/>
      <c r="AC427" s="423"/>
      <c r="AD427" s="423"/>
      <c r="AE427" s="423"/>
      <c r="AF427" s="423"/>
      <c r="AG427" s="423"/>
      <c r="AH427" s="423"/>
      <c r="AI427" s="423"/>
    </row>
    <row r="428">
      <c r="A428" s="419"/>
      <c r="B428" s="419"/>
      <c r="C428" s="419"/>
      <c r="D428" s="419"/>
      <c r="E428" s="290">
        <v>339150.0</v>
      </c>
      <c r="F428" s="387"/>
      <c r="G428" s="423"/>
      <c r="H428" s="423"/>
      <c r="I428" s="423"/>
      <c r="J428" s="423"/>
      <c r="K428" s="423"/>
      <c r="L428" s="423"/>
      <c r="M428" s="423"/>
      <c r="N428" s="423"/>
      <c r="O428" s="423"/>
      <c r="P428" s="423"/>
      <c r="Q428" s="423"/>
      <c r="R428" s="423"/>
      <c r="S428" s="423"/>
      <c r="T428" s="423"/>
      <c r="U428" s="423"/>
      <c r="V428" s="423"/>
      <c r="W428" s="423"/>
      <c r="X428" s="423"/>
      <c r="Y428" s="423"/>
      <c r="Z428" s="423"/>
      <c r="AA428" s="423"/>
      <c r="AB428" s="423"/>
      <c r="AC428" s="423"/>
      <c r="AD428" s="423"/>
      <c r="AE428" s="423"/>
      <c r="AF428" s="423"/>
      <c r="AG428" s="423"/>
      <c r="AH428" s="423"/>
      <c r="AI428" s="423"/>
    </row>
    <row r="429">
      <c r="A429" s="419"/>
      <c r="B429" s="419"/>
      <c r="C429" s="419"/>
      <c r="D429" s="419"/>
      <c r="E429" s="345">
        <v>135000.0</v>
      </c>
      <c r="F429" s="387"/>
      <c r="G429" s="423"/>
      <c r="H429" s="423"/>
      <c r="I429" s="423"/>
      <c r="J429" s="423"/>
      <c r="K429" s="423"/>
      <c r="L429" s="423"/>
      <c r="M429" s="423"/>
      <c r="N429" s="423"/>
      <c r="O429" s="423"/>
      <c r="P429" s="423"/>
      <c r="Q429" s="423"/>
      <c r="R429" s="423"/>
      <c r="S429" s="423"/>
      <c r="T429" s="423"/>
      <c r="U429" s="423"/>
      <c r="V429" s="423"/>
      <c r="W429" s="423"/>
      <c r="X429" s="423"/>
      <c r="Y429" s="423"/>
      <c r="Z429" s="423"/>
      <c r="AA429" s="423"/>
      <c r="AB429" s="423"/>
      <c r="AC429" s="423"/>
      <c r="AD429" s="423"/>
      <c r="AE429" s="423"/>
      <c r="AF429" s="423"/>
      <c r="AG429" s="423"/>
      <c r="AH429" s="423"/>
      <c r="AI429" s="423"/>
    </row>
    <row r="430">
      <c r="A430" s="419"/>
      <c r="B430" s="419"/>
      <c r="C430" s="419"/>
      <c r="D430" s="419"/>
      <c r="E430" s="345">
        <v>148665.0</v>
      </c>
      <c r="F430" s="387"/>
      <c r="G430" s="423"/>
      <c r="H430" s="423"/>
      <c r="I430" s="423"/>
      <c r="J430" s="423"/>
      <c r="K430" s="423"/>
      <c r="L430" s="423"/>
      <c r="M430" s="423"/>
      <c r="N430" s="423"/>
      <c r="O430" s="423"/>
      <c r="P430" s="423"/>
      <c r="Q430" s="423"/>
      <c r="R430" s="423"/>
      <c r="S430" s="423"/>
      <c r="T430" s="423"/>
      <c r="U430" s="423"/>
      <c r="V430" s="423"/>
      <c r="W430" s="423"/>
      <c r="X430" s="423"/>
      <c r="Y430" s="423"/>
      <c r="Z430" s="423"/>
      <c r="AA430" s="423"/>
      <c r="AB430" s="423"/>
      <c r="AC430" s="423"/>
      <c r="AD430" s="423"/>
      <c r="AE430" s="423"/>
      <c r="AF430" s="423"/>
      <c r="AG430" s="423"/>
      <c r="AH430" s="423"/>
      <c r="AI430" s="423"/>
    </row>
    <row r="431">
      <c r="A431" s="419"/>
      <c r="B431" s="419"/>
      <c r="C431" s="419"/>
      <c r="D431" s="419"/>
      <c r="E431" s="345">
        <v>135000.0</v>
      </c>
      <c r="F431" s="387"/>
      <c r="G431" s="423"/>
      <c r="H431" s="423"/>
      <c r="I431" s="423"/>
      <c r="J431" s="423"/>
      <c r="K431" s="423"/>
      <c r="L431" s="423"/>
      <c r="M431" s="423"/>
      <c r="N431" s="423"/>
      <c r="O431" s="423"/>
      <c r="P431" s="423"/>
      <c r="Q431" s="423"/>
      <c r="R431" s="423"/>
      <c r="S431" s="423"/>
      <c r="T431" s="423"/>
      <c r="U431" s="423"/>
      <c r="V431" s="423"/>
      <c r="W431" s="423"/>
      <c r="X431" s="423"/>
      <c r="Y431" s="423"/>
      <c r="Z431" s="423"/>
      <c r="AA431" s="423"/>
      <c r="AB431" s="423"/>
      <c r="AC431" s="423"/>
      <c r="AD431" s="423"/>
      <c r="AE431" s="423"/>
      <c r="AF431" s="423"/>
      <c r="AG431" s="423"/>
      <c r="AH431" s="423"/>
      <c r="AI431" s="423"/>
    </row>
    <row r="432">
      <c r="A432" s="419"/>
      <c r="B432" s="419"/>
      <c r="C432" s="419"/>
      <c r="D432" s="419"/>
      <c r="E432" s="345">
        <v>148665.0</v>
      </c>
      <c r="F432" s="387"/>
      <c r="G432" s="423"/>
      <c r="H432" s="423"/>
      <c r="I432" s="423"/>
      <c r="J432" s="423"/>
      <c r="K432" s="423"/>
      <c r="L432" s="423"/>
      <c r="M432" s="423"/>
      <c r="N432" s="423"/>
      <c r="O432" s="423"/>
      <c r="P432" s="423"/>
      <c r="Q432" s="423"/>
      <c r="R432" s="423"/>
      <c r="S432" s="423"/>
      <c r="T432" s="423"/>
      <c r="U432" s="423"/>
      <c r="V432" s="423"/>
      <c r="W432" s="423"/>
      <c r="X432" s="423"/>
      <c r="Y432" s="423"/>
      <c r="Z432" s="423"/>
      <c r="AA432" s="423"/>
      <c r="AB432" s="423"/>
      <c r="AC432" s="423"/>
      <c r="AD432" s="423"/>
      <c r="AE432" s="423"/>
      <c r="AF432" s="423"/>
      <c r="AG432" s="423"/>
      <c r="AH432" s="423"/>
      <c r="AI432" s="423"/>
    </row>
    <row r="433">
      <c r="A433" s="419"/>
      <c r="B433" s="419"/>
      <c r="C433" s="419"/>
      <c r="D433" s="419"/>
      <c r="E433" s="345">
        <v>220150.0</v>
      </c>
      <c r="F433" s="387"/>
      <c r="G433" s="423"/>
      <c r="H433" s="423"/>
      <c r="I433" s="423"/>
      <c r="J433" s="423"/>
      <c r="K433" s="423"/>
      <c r="L433" s="423"/>
      <c r="M433" s="423"/>
      <c r="N433" s="423"/>
      <c r="O433" s="423"/>
      <c r="P433" s="423"/>
      <c r="Q433" s="423"/>
      <c r="R433" s="423"/>
      <c r="S433" s="423"/>
      <c r="T433" s="423"/>
      <c r="U433" s="423"/>
      <c r="V433" s="423"/>
      <c r="W433" s="423"/>
      <c r="X433" s="423"/>
      <c r="Y433" s="423"/>
      <c r="Z433" s="423"/>
      <c r="AA433" s="423"/>
      <c r="AB433" s="423"/>
      <c r="AC433" s="423"/>
      <c r="AD433" s="423"/>
      <c r="AE433" s="423"/>
      <c r="AF433" s="423"/>
      <c r="AG433" s="423"/>
      <c r="AH433" s="423"/>
      <c r="AI433" s="423"/>
    </row>
    <row r="434">
      <c r="A434" s="419"/>
      <c r="B434" s="419"/>
      <c r="C434" s="419"/>
      <c r="D434" s="419"/>
      <c r="E434" s="345">
        <v>242165.0</v>
      </c>
      <c r="F434" s="387"/>
      <c r="G434" s="423"/>
      <c r="H434" s="423"/>
      <c r="I434" s="423"/>
      <c r="J434" s="423"/>
      <c r="K434" s="423"/>
      <c r="L434" s="423"/>
      <c r="M434" s="423"/>
      <c r="N434" s="423"/>
      <c r="O434" s="423"/>
      <c r="P434" s="423"/>
      <c r="Q434" s="423"/>
      <c r="R434" s="423"/>
      <c r="S434" s="423"/>
      <c r="T434" s="423"/>
      <c r="U434" s="423"/>
      <c r="V434" s="423"/>
      <c r="W434" s="423"/>
      <c r="X434" s="423"/>
      <c r="Y434" s="423"/>
      <c r="Z434" s="423"/>
      <c r="AA434" s="423"/>
      <c r="AB434" s="423"/>
      <c r="AC434" s="423"/>
      <c r="AD434" s="423"/>
      <c r="AE434" s="423"/>
      <c r="AF434" s="423"/>
      <c r="AG434" s="423"/>
      <c r="AH434" s="423"/>
      <c r="AI434" s="423"/>
    </row>
    <row r="435">
      <c r="A435" s="419"/>
      <c r="B435" s="419"/>
      <c r="C435" s="419"/>
      <c r="D435" s="419"/>
      <c r="E435" s="345">
        <v>145000.0</v>
      </c>
      <c r="F435" s="387"/>
      <c r="G435" s="423"/>
      <c r="H435" s="423"/>
      <c r="I435" s="423"/>
      <c r="J435" s="423"/>
      <c r="K435" s="423"/>
      <c r="L435" s="423"/>
      <c r="M435" s="423"/>
      <c r="N435" s="423"/>
      <c r="O435" s="423"/>
      <c r="P435" s="423"/>
      <c r="Q435" s="423"/>
      <c r="R435" s="423"/>
      <c r="S435" s="423"/>
      <c r="T435" s="423"/>
      <c r="U435" s="423"/>
      <c r="V435" s="423"/>
      <c r="W435" s="423"/>
      <c r="X435" s="423"/>
      <c r="Y435" s="423"/>
      <c r="Z435" s="423"/>
      <c r="AA435" s="423"/>
      <c r="AB435" s="423"/>
      <c r="AC435" s="423"/>
      <c r="AD435" s="423"/>
      <c r="AE435" s="423"/>
      <c r="AF435" s="423"/>
      <c r="AG435" s="423"/>
      <c r="AH435" s="423"/>
      <c r="AI435" s="423"/>
    </row>
    <row r="436">
      <c r="A436" s="419"/>
      <c r="B436" s="419"/>
      <c r="C436" s="419"/>
      <c r="D436" s="419"/>
      <c r="E436" s="345">
        <v>165000.0</v>
      </c>
      <c r="F436" s="387"/>
      <c r="G436" s="423"/>
      <c r="H436" s="423"/>
      <c r="I436" s="423"/>
      <c r="J436" s="423"/>
      <c r="K436" s="423"/>
      <c r="L436" s="423"/>
      <c r="M436" s="423"/>
      <c r="N436" s="423"/>
      <c r="O436" s="423"/>
      <c r="P436" s="423"/>
      <c r="Q436" s="423"/>
      <c r="R436" s="423"/>
      <c r="S436" s="423"/>
      <c r="T436" s="423"/>
      <c r="U436" s="423"/>
      <c r="V436" s="423"/>
      <c r="W436" s="423"/>
      <c r="X436" s="423"/>
      <c r="Y436" s="423"/>
      <c r="Z436" s="423"/>
      <c r="AA436" s="423"/>
      <c r="AB436" s="423"/>
      <c r="AC436" s="423"/>
      <c r="AD436" s="423"/>
      <c r="AE436" s="423"/>
      <c r="AF436" s="423"/>
      <c r="AG436" s="423"/>
      <c r="AH436" s="423"/>
      <c r="AI436" s="423"/>
    </row>
    <row r="437">
      <c r="A437" s="419"/>
      <c r="B437" s="419"/>
      <c r="C437" s="419"/>
      <c r="D437" s="419"/>
      <c r="E437" s="345">
        <v>185000.0</v>
      </c>
      <c r="F437" s="387"/>
      <c r="G437" s="423"/>
      <c r="H437" s="423"/>
      <c r="I437" s="423"/>
      <c r="J437" s="423"/>
      <c r="K437" s="423"/>
      <c r="L437" s="423"/>
      <c r="M437" s="423"/>
      <c r="N437" s="423"/>
      <c r="O437" s="423"/>
      <c r="P437" s="423"/>
      <c r="Q437" s="423"/>
      <c r="R437" s="423"/>
      <c r="S437" s="423"/>
      <c r="T437" s="423"/>
      <c r="U437" s="423"/>
      <c r="V437" s="423"/>
      <c r="W437" s="423"/>
      <c r="X437" s="423"/>
      <c r="Y437" s="423"/>
      <c r="Z437" s="423"/>
      <c r="AA437" s="423"/>
      <c r="AB437" s="423"/>
      <c r="AC437" s="423"/>
      <c r="AD437" s="423"/>
      <c r="AE437" s="423"/>
      <c r="AF437" s="423"/>
      <c r="AG437" s="423"/>
      <c r="AH437" s="423"/>
      <c r="AI437" s="423"/>
    </row>
    <row r="438">
      <c r="A438" s="419"/>
      <c r="B438" s="419"/>
      <c r="C438" s="419"/>
      <c r="D438" s="419"/>
      <c r="E438" s="345">
        <v>200000.0</v>
      </c>
      <c r="F438" s="387"/>
      <c r="G438" s="423"/>
      <c r="H438" s="423"/>
      <c r="I438" s="423"/>
      <c r="J438" s="423"/>
      <c r="K438" s="423"/>
      <c r="L438" s="423"/>
      <c r="M438" s="423"/>
      <c r="N438" s="423"/>
      <c r="O438" s="423"/>
      <c r="P438" s="423"/>
      <c r="Q438" s="423"/>
      <c r="R438" s="423"/>
      <c r="S438" s="423"/>
      <c r="T438" s="423"/>
      <c r="U438" s="423"/>
      <c r="V438" s="423"/>
      <c r="W438" s="423"/>
      <c r="X438" s="423"/>
      <c r="Y438" s="423"/>
      <c r="Z438" s="423"/>
      <c r="AA438" s="423"/>
      <c r="AB438" s="423"/>
      <c r="AC438" s="423"/>
      <c r="AD438" s="423"/>
      <c r="AE438" s="423"/>
      <c r="AF438" s="423"/>
      <c r="AG438" s="423"/>
      <c r="AH438" s="423"/>
      <c r="AI438" s="423"/>
    </row>
    <row r="439">
      <c r="A439" s="419"/>
      <c r="B439" s="419"/>
      <c r="C439" s="419"/>
      <c r="D439" s="419"/>
      <c r="E439" s="345">
        <v>275000.0</v>
      </c>
      <c r="F439" s="387"/>
      <c r="G439" s="423"/>
      <c r="H439" s="423"/>
      <c r="I439" s="423"/>
      <c r="J439" s="423"/>
      <c r="K439" s="423"/>
      <c r="L439" s="423"/>
      <c r="M439" s="423"/>
      <c r="N439" s="423"/>
      <c r="O439" s="423"/>
      <c r="P439" s="423"/>
      <c r="Q439" s="423"/>
      <c r="R439" s="423"/>
      <c r="S439" s="423"/>
      <c r="T439" s="423"/>
      <c r="U439" s="423"/>
      <c r="V439" s="423"/>
      <c r="W439" s="423"/>
      <c r="X439" s="423"/>
      <c r="Y439" s="423"/>
      <c r="Z439" s="423"/>
      <c r="AA439" s="423"/>
      <c r="AB439" s="423"/>
      <c r="AC439" s="423"/>
      <c r="AD439" s="423"/>
      <c r="AE439" s="423"/>
      <c r="AF439" s="423"/>
      <c r="AG439" s="423"/>
      <c r="AH439" s="423"/>
      <c r="AI439" s="423"/>
    </row>
    <row r="440">
      <c r="A440" s="419"/>
      <c r="B440" s="419"/>
      <c r="C440" s="419"/>
      <c r="D440" s="419"/>
      <c r="E440" s="345">
        <v>310000.0</v>
      </c>
      <c r="F440" s="387"/>
      <c r="G440" s="423"/>
      <c r="H440" s="423"/>
      <c r="I440" s="423"/>
      <c r="J440" s="423"/>
      <c r="K440" s="423"/>
      <c r="L440" s="423"/>
      <c r="M440" s="423"/>
      <c r="N440" s="423"/>
      <c r="O440" s="423"/>
      <c r="P440" s="423"/>
      <c r="Q440" s="423"/>
      <c r="R440" s="423"/>
      <c r="S440" s="423"/>
      <c r="T440" s="423"/>
      <c r="U440" s="423"/>
      <c r="V440" s="423"/>
      <c r="W440" s="423"/>
      <c r="X440" s="423"/>
      <c r="Y440" s="423"/>
      <c r="Z440" s="423"/>
      <c r="AA440" s="423"/>
      <c r="AB440" s="423"/>
      <c r="AC440" s="423"/>
      <c r="AD440" s="423"/>
      <c r="AE440" s="423"/>
      <c r="AF440" s="423"/>
      <c r="AG440" s="423"/>
      <c r="AH440" s="423"/>
      <c r="AI440" s="423"/>
    </row>
    <row r="441">
      <c r="A441" s="419"/>
      <c r="B441" s="419"/>
      <c r="C441" s="419"/>
      <c r="D441" s="419"/>
      <c r="E441" s="345">
        <v>412500.0</v>
      </c>
      <c r="F441" s="387"/>
      <c r="G441" s="423"/>
      <c r="H441" s="423"/>
      <c r="I441" s="423"/>
      <c r="J441" s="423"/>
      <c r="K441" s="423"/>
      <c r="L441" s="423"/>
      <c r="M441" s="423"/>
      <c r="N441" s="423"/>
      <c r="O441" s="423"/>
      <c r="P441" s="423"/>
      <c r="Q441" s="423"/>
      <c r="R441" s="423"/>
      <c r="S441" s="423"/>
      <c r="T441" s="423"/>
      <c r="U441" s="423"/>
      <c r="V441" s="423"/>
      <c r="W441" s="423"/>
      <c r="X441" s="423"/>
      <c r="Y441" s="423"/>
      <c r="Z441" s="423"/>
      <c r="AA441" s="423"/>
      <c r="AB441" s="423"/>
      <c r="AC441" s="423"/>
      <c r="AD441" s="423"/>
      <c r="AE441" s="423"/>
      <c r="AF441" s="423"/>
      <c r="AG441" s="423"/>
      <c r="AH441" s="423"/>
      <c r="AI441" s="423"/>
    </row>
    <row r="442">
      <c r="A442" s="419"/>
      <c r="B442" s="419"/>
      <c r="C442" s="419"/>
      <c r="D442" s="419"/>
      <c r="E442" s="345">
        <v>465000.0</v>
      </c>
      <c r="F442" s="387"/>
      <c r="G442" s="423"/>
      <c r="H442" s="423"/>
      <c r="I442" s="423"/>
      <c r="J442" s="423"/>
      <c r="K442" s="423"/>
      <c r="L442" s="423"/>
      <c r="M442" s="423"/>
      <c r="N442" s="423"/>
      <c r="O442" s="423"/>
      <c r="P442" s="423"/>
      <c r="Q442" s="423"/>
      <c r="R442" s="423"/>
      <c r="S442" s="423"/>
      <c r="T442" s="423"/>
      <c r="U442" s="423"/>
      <c r="V442" s="423"/>
      <c r="W442" s="423"/>
      <c r="X442" s="423"/>
      <c r="Y442" s="423"/>
      <c r="Z442" s="423"/>
      <c r="AA442" s="423"/>
      <c r="AB442" s="423"/>
      <c r="AC442" s="423"/>
      <c r="AD442" s="423"/>
      <c r="AE442" s="423"/>
      <c r="AF442" s="423"/>
      <c r="AG442" s="423"/>
      <c r="AH442" s="423"/>
      <c r="AI442" s="423"/>
    </row>
    <row r="443">
      <c r="A443" s="419"/>
      <c r="B443" s="419"/>
      <c r="C443" s="419"/>
      <c r="D443" s="419"/>
      <c r="E443" s="345">
        <v>561000.0</v>
      </c>
      <c r="F443" s="387"/>
      <c r="G443" s="423"/>
      <c r="H443" s="423"/>
      <c r="I443" s="423"/>
      <c r="J443" s="423"/>
      <c r="K443" s="423"/>
      <c r="L443" s="423"/>
      <c r="M443" s="423"/>
      <c r="N443" s="423"/>
      <c r="O443" s="423"/>
      <c r="P443" s="423"/>
      <c r="Q443" s="423"/>
      <c r="R443" s="423"/>
      <c r="S443" s="423"/>
      <c r="T443" s="423"/>
      <c r="U443" s="423"/>
      <c r="V443" s="423"/>
      <c r="W443" s="423"/>
      <c r="X443" s="423"/>
      <c r="Y443" s="423"/>
      <c r="Z443" s="423"/>
      <c r="AA443" s="423"/>
      <c r="AB443" s="423"/>
      <c r="AC443" s="423"/>
      <c r="AD443" s="423"/>
      <c r="AE443" s="423"/>
      <c r="AF443" s="423"/>
      <c r="AG443" s="423"/>
      <c r="AH443" s="423"/>
      <c r="AI443" s="423"/>
    </row>
    <row r="444">
      <c r="A444" s="419"/>
      <c r="B444" s="419"/>
      <c r="C444" s="419"/>
      <c r="D444" s="419"/>
      <c r="E444" s="345">
        <v>561000.0</v>
      </c>
      <c r="F444" s="387"/>
      <c r="G444" s="423"/>
      <c r="H444" s="423"/>
      <c r="I444" s="423"/>
      <c r="J444" s="423"/>
      <c r="K444" s="423"/>
      <c r="L444" s="423"/>
      <c r="M444" s="423"/>
      <c r="N444" s="423"/>
      <c r="O444" s="423"/>
      <c r="P444" s="423"/>
      <c r="Q444" s="423"/>
      <c r="R444" s="423"/>
      <c r="S444" s="423"/>
      <c r="T444" s="423"/>
      <c r="U444" s="423"/>
      <c r="V444" s="423"/>
      <c r="W444" s="423"/>
      <c r="X444" s="423"/>
      <c r="Y444" s="423"/>
      <c r="Z444" s="423"/>
      <c r="AA444" s="423"/>
      <c r="AB444" s="423"/>
      <c r="AC444" s="423"/>
      <c r="AD444" s="423"/>
      <c r="AE444" s="423"/>
      <c r="AF444" s="423"/>
      <c r="AG444" s="423"/>
      <c r="AH444" s="423"/>
      <c r="AI444" s="423"/>
    </row>
    <row r="445">
      <c r="A445" s="419"/>
      <c r="B445" s="419"/>
      <c r="C445" s="419"/>
      <c r="D445" s="419"/>
      <c r="E445" s="345">
        <v>93500.0</v>
      </c>
      <c r="F445" s="387"/>
      <c r="G445" s="423"/>
      <c r="H445" s="423"/>
      <c r="I445" s="423"/>
      <c r="J445" s="423"/>
      <c r="K445" s="423"/>
      <c r="L445" s="423"/>
      <c r="M445" s="423"/>
      <c r="N445" s="423"/>
      <c r="O445" s="423"/>
      <c r="P445" s="423"/>
      <c r="Q445" s="423"/>
      <c r="R445" s="423"/>
      <c r="S445" s="423"/>
      <c r="T445" s="423"/>
      <c r="U445" s="423"/>
      <c r="V445" s="423"/>
      <c r="W445" s="423"/>
      <c r="X445" s="423"/>
      <c r="Y445" s="423"/>
      <c r="Z445" s="423"/>
      <c r="AA445" s="423"/>
      <c r="AB445" s="423"/>
      <c r="AC445" s="423"/>
      <c r="AD445" s="423"/>
      <c r="AE445" s="423"/>
      <c r="AF445" s="423"/>
      <c r="AG445" s="423"/>
      <c r="AH445" s="423"/>
      <c r="AI445" s="423"/>
    </row>
    <row r="446">
      <c r="A446" s="419"/>
      <c r="B446" s="419"/>
      <c r="C446" s="419"/>
      <c r="D446" s="419"/>
      <c r="E446" s="345">
        <v>105000.0</v>
      </c>
      <c r="F446" s="387"/>
      <c r="G446" s="423"/>
      <c r="H446" s="423"/>
      <c r="I446" s="423"/>
      <c r="J446" s="423"/>
      <c r="K446" s="423"/>
      <c r="L446" s="423"/>
      <c r="M446" s="423"/>
      <c r="N446" s="423"/>
      <c r="O446" s="423"/>
      <c r="P446" s="423"/>
      <c r="Q446" s="423"/>
      <c r="R446" s="423"/>
      <c r="S446" s="423"/>
      <c r="T446" s="423"/>
      <c r="U446" s="423"/>
      <c r="V446" s="423"/>
      <c r="W446" s="423"/>
      <c r="X446" s="423"/>
      <c r="Y446" s="423"/>
      <c r="Z446" s="423"/>
      <c r="AA446" s="423"/>
      <c r="AB446" s="423"/>
      <c r="AC446" s="423"/>
      <c r="AD446" s="423"/>
      <c r="AE446" s="423"/>
      <c r="AF446" s="423"/>
      <c r="AG446" s="423"/>
      <c r="AH446" s="423"/>
      <c r="AI446" s="423"/>
    </row>
    <row r="447">
      <c r="A447" s="419"/>
      <c r="B447" s="419"/>
      <c r="C447" s="419"/>
      <c r="D447" s="419"/>
      <c r="E447" s="345">
        <v>240000.0</v>
      </c>
      <c r="F447" s="387"/>
      <c r="G447" s="423"/>
      <c r="H447" s="423"/>
      <c r="I447" s="423"/>
      <c r="J447" s="423"/>
      <c r="K447" s="423"/>
      <c r="L447" s="423"/>
      <c r="M447" s="423"/>
      <c r="N447" s="423"/>
      <c r="O447" s="423"/>
      <c r="P447" s="423"/>
      <c r="Q447" s="423"/>
      <c r="R447" s="423"/>
      <c r="S447" s="423"/>
      <c r="T447" s="423"/>
      <c r="U447" s="423"/>
      <c r="V447" s="423"/>
      <c r="W447" s="423"/>
      <c r="X447" s="423"/>
      <c r="Y447" s="423"/>
      <c r="Z447" s="423"/>
      <c r="AA447" s="423"/>
      <c r="AB447" s="423"/>
      <c r="AC447" s="423"/>
      <c r="AD447" s="423"/>
      <c r="AE447" s="423"/>
      <c r="AF447" s="423"/>
      <c r="AG447" s="423"/>
      <c r="AH447" s="423"/>
      <c r="AI447" s="423"/>
    </row>
    <row r="448">
      <c r="A448" s="419"/>
      <c r="B448" s="419"/>
      <c r="C448" s="419"/>
      <c r="D448" s="419"/>
      <c r="E448" s="345">
        <v>264000.0</v>
      </c>
      <c r="F448" s="387"/>
      <c r="G448" s="423"/>
      <c r="H448" s="423"/>
      <c r="I448" s="423"/>
      <c r="J448" s="423"/>
      <c r="K448" s="423"/>
      <c r="L448" s="423"/>
      <c r="M448" s="423"/>
      <c r="N448" s="423"/>
      <c r="O448" s="423"/>
      <c r="P448" s="423"/>
      <c r="Q448" s="423"/>
      <c r="R448" s="423"/>
      <c r="S448" s="423"/>
      <c r="T448" s="423"/>
      <c r="U448" s="423"/>
      <c r="V448" s="423"/>
      <c r="W448" s="423"/>
      <c r="X448" s="423"/>
      <c r="Y448" s="423"/>
      <c r="Z448" s="423"/>
      <c r="AA448" s="423"/>
      <c r="AB448" s="423"/>
      <c r="AC448" s="423"/>
      <c r="AD448" s="423"/>
      <c r="AE448" s="423"/>
      <c r="AF448" s="423"/>
      <c r="AG448" s="423"/>
      <c r="AH448" s="423"/>
      <c r="AI448" s="423"/>
    </row>
    <row r="449">
      <c r="A449" s="419"/>
      <c r="B449" s="419"/>
      <c r="C449" s="419"/>
      <c r="D449" s="419"/>
      <c r="E449" s="345">
        <v>160000.0</v>
      </c>
      <c r="F449" s="387"/>
      <c r="G449" s="423"/>
      <c r="H449" s="423"/>
      <c r="I449" s="423"/>
      <c r="J449" s="423"/>
      <c r="K449" s="423"/>
      <c r="L449" s="423"/>
      <c r="M449" s="423"/>
      <c r="N449" s="423"/>
      <c r="O449" s="423"/>
      <c r="P449" s="423"/>
      <c r="Q449" s="423"/>
      <c r="R449" s="423"/>
      <c r="S449" s="423"/>
      <c r="T449" s="423"/>
      <c r="U449" s="423"/>
      <c r="V449" s="423"/>
      <c r="W449" s="423"/>
      <c r="X449" s="423"/>
      <c r="Y449" s="423"/>
      <c r="Z449" s="423"/>
      <c r="AA449" s="423"/>
      <c r="AB449" s="423"/>
      <c r="AC449" s="423"/>
      <c r="AD449" s="423"/>
      <c r="AE449" s="423"/>
      <c r="AF449" s="423"/>
      <c r="AG449" s="423"/>
      <c r="AH449" s="423"/>
      <c r="AI449" s="423"/>
    </row>
    <row r="450">
      <c r="A450" s="419"/>
      <c r="B450" s="419"/>
      <c r="C450" s="419"/>
      <c r="D450" s="419"/>
      <c r="E450" s="345">
        <v>176000.0</v>
      </c>
      <c r="F450" s="387"/>
      <c r="G450" s="423"/>
      <c r="H450" s="423"/>
      <c r="I450" s="423"/>
      <c r="J450" s="423"/>
      <c r="K450" s="423"/>
      <c r="L450" s="423"/>
      <c r="M450" s="423"/>
      <c r="N450" s="423"/>
      <c r="O450" s="423"/>
      <c r="P450" s="423"/>
      <c r="Q450" s="423"/>
      <c r="R450" s="423"/>
      <c r="S450" s="423"/>
      <c r="T450" s="423"/>
      <c r="U450" s="423"/>
      <c r="V450" s="423"/>
      <c r="W450" s="423"/>
      <c r="X450" s="423"/>
      <c r="Y450" s="423"/>
      <c r="Z450" s="423"/>
      <c r="AA450" s="423"/>
      <c r="AB450" s="423"/>
      <c r="AC450" s="423"/>
      <c r="AD450" s="423"/>
      <c r="AE450" s="423"/>
      <c r="AF450" s="423"/>
      <c r="AG450" s="423"/>
      <c r="AH450" s="423"/>
      <c r="AI450" s="423"/>
    </row>
    <row r="451">
      <c r="A451" s="419"/>
      <c r="B451" s="419"/>
      <c r="C451" s="419"/>
      <c r="D451" s="419"/>
      <c r="E451" s="345">
        <v>260000.0</v>
      </c>
      <c r="F451" s="387"/>
      <c r="G451" s="423"/>
      <c r="H451" s="423"/>
      <c r="I451" s="423"/>
      <c r="J451" s="423"/>
      <c r="K451" s="423"/>
      <c r="L451" s="423"/>
      <c r="M451" s="423"/>
      <c r="N451" s="423"/>
      <c r="O451" s="423"/>
      <c r="P451" s="423"/>
      <c r="Q451" s="423"/>
      <c r="R451" s="423"/>
      <c r="S451" s="423"/>
      <c r="T451" s="423"/>
      <c r="U451" s="423"/>
      <c r="V451" s="423"/>
      <c r="W451" s="423"/>
      <c r="X451" s="423"/>
      <c r="Y451" s="423"/>
      <c r="Z451" s="423"/>
      <c r="AA451" s="423"/>
      <c r="AB451" s="423"/>
      <c r="AC451" s="423"/>
      <c r="AD451" s="423"/>
      <c r="AE451" s="423"/>
      <c r="AF451" s="423"/>
      <c r="AG451" s="423"/>
      <c r="AH451" s="423"/>
      <c r="AI451" s="423"/>
    </row>
    <row r="452">
      <c r="A452" s="419"/>
      <c r="B452" s="419"/>
      <c r="C452" s="419"/>
      <c r="D452" s="419"/>
      <c r="E452" s="345">
        <v>260000.0</v>
      </c>
      <c r="F452" s="387"/>
      <c r="G452" s="423"/>
      <c r="H452" s="423"/>
      <c r="I452" s="423"/>
      <c r="J452" s="423"/>
      <c r="K452" s="423"/>
      <c r="L452" s="423"/>
      <c r="M452" s="423"/>
      <c r="N452" s="423"/>
      <c r="O452" s="423"/>
      <c r="P452" s="423"/>
      <c r="Q452" s="423"/>
      <c r="R452" s="423"/>
      <c r="S452" s="423"/>
      <c r="T452" s="423"/>
      <c r="U452" s="423"/>
      <c r="V452" s="423"/>
      <c r="W452" s="423"/>
      <c r="X452" s="423"/>
      <c r="Y452" s="423"/>
      <c r="Z452" s="423"/>
      <c r="AA452" s="423"/>
      <c r="AB452" s="423"/>
      <c r="AC452" s="423"/>
      <c r="AD452" s="423"/>
      <c r="AE452" s="423"/>
      <c r="AF452" s="423"/>
      <c r="AG452" s="423"/>
      <c r="AH452" s="423"/>
      <c r="AI452" s="423"/>
    </row>
    <row r="453">
      <c r="A453" s="419"/>
      <c r="B453" s="419"/>
      <c r="C453" s="419"/>
      <c r="D453" s="419"/>
      <c r="E453" s="345">
        <v>1556000.0</v>
      </c>
      <c r="F453" s="387"/>
      <c r="G453" s="423"/>
      <c r="H453" s="423"/>
      <c r="I453" s="423"/>
      <c r="J453" s="423"/>
      <c r="K453" s="423"/>
      <c r="L453" s="423"/>
      <c r="M453" s="423"/>
      <c r="N453" s="423"/>
      <c r="O453" s="423"/>
      <c r="P453" s="423"/>
      <c r="Q453" s="423"/>
      <c r="R453" s="423"/>
      <c r="S453" s="423"/>
      <c r="T453" s="423"/>
      <c r="U453" s="423"/>
      <c r="V453" s="423"/>
      <c r="W453" s="423"/>
      <c r="X453" s="423"/>
      <c r="Y453" s="423"/>
      <c r="Z453" s="423"/>
      <c r="AA453" s="423"/>
      <c r="AB453" s="423"/>
      <c r="AC453" s="423"/>
      <c r="AD453" s="423"/>
      <c r="AE453" s="423"/>
      <c r="AF453" s="423"/>
      <c r="AG453" s="423"/>
      <c r="AH453" s="423"/>
      <c r="AI453" s="423"/>
    </row>
    <row r="454">
      <c r="A454" s="419"/>
      <c r="B454" s="419"/>
      <c r="C454" s="419"/>
      <c r="D454" s="419"/>
      <c r="E454" s="345">
        <v>500000.0</v>
      </c>
      <c r="F454" s="387"/>
      <c r="G454" s="423"/>
      <c r="H454" s="423"/>
      <c r="I454" s="423"/>
      <c r="J454" s="423"/>
      <c r="K454" s="423"/>
      <c r="L454" s="423"/>
      <c r="M454" s="423"/>
      <c r="N454" s="423"/>
      <c r="O454" s="423"/>
      <c r="P454" s="423"/>
      <c r="Q454" s="423"/>
      <c r="R454" s="423"/>
      <c r="S454" s="423"/>
      <c r="T454" s="423"/>
      <c r="U454" s="423"/>
      <c r="V454" s="423"/>
      <c r="W454" s="423"/>
      <c r="X454" s="423"/>
      <c r="Y454" s="423"/>
      <c r="Z454" s="423"/>
      <c r="AA454" s="423"/>
      <c r="AB454" s="423"/>
      <c r="AC454" s="423"/>
      <c r="AD454" s="423"/>
      <c r="AE454" s="423"/>
      <c r="AF454" s="423"/>
      <c r="AG454" s="423"/>
      <c r="AH454" s="423"/>
      <c r="AI454" s="423"/>
    </row>
    <row r="455">
      <c r="A455" s="419"/>
      <c r="B455" s="419"/>
      <c r="C455" s="419"/>
      <c r="D455" s="419"/>
      <c r="E455" s="345">
        <v>980000.0</v>
      </c>
      <c r="F455" s="387"/>
      <c r="G455" s="423"/>
      <c r="H455" s="423"/>
      <c r="I455" s="423"/>
      <c r="J455" s="423"/>
      <c r="K455" s="423"/>
      <c r="L455" s="423"/>
      <c r="M455" s="423"/>
      <c r="N455" s="423"/>
      <c r="O455" s="423"/>
      <c r="P455" s="423"/>
      <c r="Q455" s="423"/>
      <c r="R455" s="423"/>
      <c r="S455" s="423"/>
      <c r="T455" s="423"/>
      <c r="U455" s="423"/>
      <c r="V455" s="423"/>
      <c r="W455" s="423"/>
      <c r="X455" s="423"/>
      <c r="Y455" s="423"/>
      <c r="Z455" s="423"/>
      <c r="AA455" s="423"/>
      <c r="AB455" s="423"/>
      <c r="AC455" s="423"/>
      <c r="AD455" s="423"/>
      <c r="AE455" s="423"/>
      <c r="AF455" s="423"/>
      <c r="AG455" s="423"/>
      <c r="AH455" s="423"/>
      <c r="AI455" s="423"/>
    </row>
    <row r="456">
      <c r="A456" s="419"/>
      <c r="B456" s="419"/>
      <c r="C456" s="419"/>
      <c r="D456" s="419"/>
      <c r="E456" s="345">
        <f>130000*16</f>
        <v>2080000</v>
      </c>
      <c r="F456" s="387"/>
      <c r="G456" s="423"/>
      <c r="H456" s="423"/>
      <c r="I456" s="423"/>
      <c r="J456" s="423"/>
      <c r="K456" s="423"/>
      <c r="L456" s="423"/>
      <c r="M456" s="423"/>
      <c r="N456" s="423"/>
      <c r="O456" s="423"/>
      <c r="P456" s="423"/>
      <c r="Q456" s="423"/>
      <c r="R456" s="423"/>
      <c r="S456" s="423"/>
      <c r="T456" s="423"/>
      <c r="U456" s="423"/>
      <c r="V456" s="423"/>
      <c r="W456" s="423"/>
      <c r="X456" s="423"/>
      <c r="Y456" s="423"/>
      <c r="Z456" s="423"/>
      <c r="AA456" s="423"/>
      <c r="AB456" s="423"/>
      <c r="AC456" s="423"/>
      <c r="AD456" s="423"/>
      <c r="AE456" s="423"/>
      <c r="AF456" s="423"/>
      <c r="AG456" s="423"/>
      <c r="AH456" s="423"/>
      <c r="AI456" s="423"/>
    </row>
    <row r="457">
      <c r="A457" s="419"/>
      <c r="B457" s="419"/>
      <c r="C457" s="419"/>
      <c r="D457" s="419"/>
      <c r="E457" s="345">
        <f>200000*2</f>
        <v>400000</v>
      </c>
      <c r="F457" s="387"/>
      <c r="G457" s="423"/>
      <c r="H457" s="423"/>
      <c r="I457" s="423"/>
      <c r="J457" s="423"/>
      <c r="K457" s="423"/>
      <c r="L457" s="423"/>
      <c r="M457" s="423"/>
      <c r="N457" s="423"/>
      <c r="O457" s="423"/>
      <c r="P457" s="423"/>
      <c r="Q457" s="423"/>
      <c r="R457" s="423"/>
      <c r="S457" s="423"/>
      <c r="T457" s="423"/>
      <c r="U457" s="423"/>
      <c r="V457" s="423"/>
      <c r="W457" s="423"/>
      <c r="X457" s="423"/>
      <c r="Y457" s="423"/>
      <c r="Z457" s="423"/>
      <c r="AA457" s="423"/>
      <c r="AB457" s="423"/>
      <c r="AC457" s="423"/>
      <c r="AD457" s="423"/>
      <c r="AE457" s="423"/>
      <c r="AF457" s="423"/>
      <c r="AG457" s="423"/>
      <c r="AH457" s="423"/>
      <c r="AI457" s="423"/>
    </row>
    <row r="458">
      <c r="A458" s="419"/>
      <c r="B458" s="419"/>
      <c r="C458" s="419"/>
      <c r="D458" s="419"/>
      <c r="E458" s="345">
        <f>4000000+(70000*16)</f>
        <v>5120000</v>
      </c>
      <c r="F458" s="387"/>
      <c r="G458" s="423"/>
      <c r="H458" s="423"/>
      <c r="I458" s="423"/>
      <c r="J458" s="423"/>
      <c r="K458" s="423"/>
      <c r="L458" s="423"/>
      <c r="M458" s="423"/>
      <c r="N458" s="423"/>
      <c r="O458" s="423"/>
      <c r="P458" s="423"/>
      <c r="Q458" s="423"/>
      <c r="R458" s="423"/>
      <c r="S458" s="423"/>
      <c r="T458" s="423"/>
      <c r="U458" s="423"/>
      <c r="V458" s="423"/>
      <c r="W458" s="423"/>
      <c r="X458" s="423"/>
      <c r="Y458" s="423"/>
      <c r="Z458" s="423"/>
      <c r="AA458" s="423"/>
      <c r="AB458" s="423"/>
      <c r="AC458" s="423"/>
      <c r="AD458" s="423"/>
      <c r="AE458" s="423"/>
      <c r="AF458" s="423"/>
      <c r="AG458" s="423"/>
      <c r="AH458" s="423"/>
      <c r="AI458" s="423"/>
    </row>
    <row r="459">
      <c r="A459" s="419"/>
      <c r="B459" s="419"/>
      <c r="C459" s="419"/>
      <c r="D459" s="419"/>
      <c r="E459" s="345">
        <f t="shared" ref="E459:E460" si="132">200000*2</f>
        <v>400000</v>
      </c>
      <c r="F459" s="387"/>
      <c r="G459" s="423"/>
      <c r="H459" s="423"/>
      <c r="I459" s="423"/>
      <c r="J459" s="423"/>
      <c r="K459" s="423"/>
      <c r="L459" s="423"/>
      <c r="M459" s="423"/>
      <c r="N459" s="423"/>
      <c r="O459" s="423"/>
      <c r="P459" s="423"/>
      <c r="Q459" s="423"/>
      <c r="R459" s="423"/>
      <c r="S459" s="423"/>
      <c r="T459" s="423"/>
      <c r="U459" s="423"/>
      <c r="V459" s="423"/>
      <c r="W459" s="423"/>
      <c r="X459" s="423"/>
      <c r="Y459" s="423"/>
      <c r="Z459" s="423"/>
      <c r="AA459" s="423"/>
      <c r="AB459" s="423"/>
      <c r="AC459" s="423"/>
      <c r="AD459" s="423"/>
      <c r="AE459" s="423"/>
      <c r="AF459" s="423"/>
      <c r="AG459" s="423"/>
      <c r="AH459" s="423"/>
      <c r="AI459" s="423"/>
    </row>
    <row r="460">
      <c r="A460" s="419"/>
      <c r="B460" s="419"/>
      <c r="C460" s="419"/>
      <c r="D460" s="419"/>
      <c r="E460" s="345">
        <f t="shared" si="132"/>
        <v>400000</v>
      </c>
      <c r="F460" s="387"/>
      <c r="G460" s="423"/>
      <c r="H460" s="423"/>
      <c r="I460" s="423"/>
      <c r="J460" s="423"/>
      <c r="K460" s="423"/>
      <c r="L460" s="423"/>
      <c r="M460" s="423"/>
      <c r="N460" s="423"/>
      <c r="O460" s="423"/>
      <c r="P460" s="423"/>
      <c r="Q460" s="423"/>
      <c r="R460" s="423"/>
      <c r="S460" s="423"/>
      <c r="T460" s="423"/>
      <c r="U460" s="423"/>
      <c r="V460" s="423"/>
      <c r="W460" s="423"/>
      <c r="X460" s="423"/>
      <c r="Y460" s="423"/>
      <c r="Z460" s="423"/>
      <c r="AA460" s="423"/>
      <c r="AB460" s="423"/>
      <c r="AC460" s="423"/>
      <c r="AD460" s="423"/>
      <c r="AE460" s="423"/>
      <c r="AF460" s="423"/>
      <c r="AG460" s="423"/>
      <c r="AH460" s="423"/>
      <c r="AI460" s="423"/>
    </row>
    <row r="461">
      <c r="A461" s="419"/>
      <c r="B461" s="419"/>
      <c r="C461" s="419"/>
      <c r="D461" s="419"/>
      <c r="E461" s="345">
        <f>200000*16</f>
        <v>3200000</v>
      </c>
      <c r="F461" s="387"/>
      <c r="G461" s="423"/>
      <c r="H461" s="423"/>
      <c r="I461" s="423"/>
      <c r="J461" s="423"/>
      <c r="K461" s="423"/>
      <c r="L461" s="423"/>
      <c r="M461" s="423"/>
      <c r="N461" s="423"/>
      <c r="O461" s="423"/>
      <c r="P461" s="423"/>
      <c r="Q461" s="423"/>
      <c r="R461" s="423"/>
      <c r="S461" s="423"/>
      <c r="T461" s="423"/>
      <c r="U461" s="423"/>
      <c r="V461" s="423"/>
      <c r="W461" s="423"/>
      <c r="X461" s="423"/>
      <c r="Y461" s="423"/>
      <c r="Z461" s="423"/>
      <c r="AA461" s="423"/>
      <c r="AB461" s="423"/>
      <c r="AC461" s="423"/>
      <c r="AD461" s="423"/>
      <c r="AE461" s="423"/>
      <c r="AF461" s="423"/>
      <c r="AG461" s="423"/>
      <c r="AH461" s="423"/>
      <c r="AI461" s="423"/>
    </row>
    <row r="462">
      <c r="A462" s="419"/>
      <c r="B462" s="419"/>
      <c r="C462" s="419"/>
      <c r="D462" s="419"/>
      <c r="E462" s="387"/>
      <c r="F462" s="387"/>
      <c r="G462" s="423"/>
      <c r="H462" s="423"/>
      <c r="I462" s="423"/>
      <c r="J462" s="423"/>
      <c r="K462" s="423"/>
      <c r="L462" s="423"/>
      <c r="M462" s="423"/>
      <c r="N462" s="423"/>
      <c r="O462" s="423"/>
      <c r="P462" s="423"/>
      <c r="Q462" s="423"/>
      <c r="R462" s="423"/>
      <c r="S462" s="423"/>
      <c r="T462" s="423"/>
      <c r="U462" s="423"/>
      <c r="V462" s="423"/>
      <c r="W462" s="423"/>
      <c r="X462" s="423"/>
      <c r="Y462" s="423"/>
      <c r="Z462" s="423"/>
      <c r="AA462" s="423"/>
      <c r="AB462" s="423"/>
      <c r="AC462" s="423"/>
      <c r="AD462" s="423"/>
      <c r="AE462" s="423"/>
      <c r="AF462" s="423"/>
      <c r="AG462" s="423"/>
      <c r="AH462" s="423"/>
      <c r="AI462" s="423"/>
    </row>
    <row r="463">
      <c r="A463" s="419"/>
      <c r="B463" s="419"/>
      <c r="C463" s="419"/>
      <c r="D463" s="419"/>
      <c r="E463" s="387"/>
      <c r="F463" s="387"/>
      <c r="G463" s="423"/>
      <c r="H463" s="423"/>
      <c r="I463" s="423"/>
      <c r="J463" s="423"/>
      <c r="K463" s="423"/>
      <c r="L463" s="423"/>
      <c r="M463" s="423"/>
      <c r="N463" s="423"/>
      <c r="O463" s="423"/>
      <c r="P463" s="423"/>
      <c r="Q463" s="423"/>
      <c r="R463" s="423"/>
      <c r="S463" s="423"/>
      <c r="T463" s="423"/>
      <c r="U463" s="423"/>
      <c r="V463" s="423"/>
      <c r="W463" s="423"/>
      <c r="X463" s="423"/>
      <c r="Y463" s="423"/>
      <c r="Z463" s="423"/>
      <c r="AA463" s="423"/>
      <c r="AB463" s="423"/>
      <c r="AC463" s="423"/>
      <c r="AD463" s="423"/>
      <c r="AE463" s="423"/>
      <c r="AF463" s="423"/>
      <c r="AG463" s="423"/>
      <c r="AH463" s="423"/>
      <c r="AI463" s="423"/>
    </row>
    <row r="464">
      <c r="A464" s="419"/>
      <c r="B464" s="419"/>
      <c r="C464" s="419"/>
      <c r="D464" s="419"/>
      <c r="E464" s="387"/>
      <c r="F464" s="387"/>
      <c r="G464" s="423"/>
      <c r="H464" s="423"/>
      <c r="I464" s="423"/>
      <c r="J464" s="423"/>
      <c r="K464" s="423"/>
      <c r="L464" s="423"/>
      <c r="M464" s="423"/>
      <c r="N464" s="423"/>
      <c r="O464" s="423"/>
      <c r="P464" s="423"/>
      <c r="Q464" s="423"/>
      <c r="R464" s="423"/>
      <c r="S464" s="423"/>
      <c r="T464" s="423"/>
      <c r="U464" s="423"/>
      <c r="V464" s="423"/>
      <c r="W464" s="423"/>
      <c r="X464" s="423"/>
      <c r="Y464" s="423"/>
      <c r="Z464" s="423"/>
      <c r="AA464" s="423"/>
      <c r="AB464" s="423"/>
      <c r="AC464" s="423"/>
      <c r="AD464" s="423"/>
      <c r="AE464" s="423"/>
      <c r="AF464" s="423"/>
      <c r="AG464" s="423"/>
      <c r="AH464" s="423"/>
      <c r="AI464" s="423"/>
    </row>
    <row r="465">
      <c r="A465" s="419"/>
      <c r="B465" s="419"/>
      <c r="C465" s="419"/>
      <c r="D465" s="419"/>
      <c r="E465" s="387"/>
      <c r="F465" s="387"/>
      <c r="G465" s="423"/>
      <c r="H465" s="423"/>
      <c r="I465" s="423"/>
      <c r="J465" s="423"/>
      <c r="K465" s="423"/>
      <c r="L465" s="423"/>
      <c r="M465" s="423"/>
      <c r="N465" s="423"/>
      <c r="O465" s="423"/>
      <c r="P465" s="423"/>
      <c r="Q465" s="423"/>
      <c r="R465" s="423"/>
      <c r="S465" s="423"/>
      <c r="T465" s="423"/>
      <c r="U465" s="423"/>
      <c r="V465" s="423"/>
      <c r="W465" s="423"/>
      <c r="X465" s="423"/>
      <c r="Y465" s="423"/>
      <c r="Z465" s="423"/>
      <c r="AA465" s="423"/>
      <c r="AB465" s="423"/>
      <c r="AC465" s="423"/>
      <c r="AD465" s="423"/>
      <c r="AE465" s="423"/>
      <c r="AF465" s="423"/>
      <c r="AG465" s="423"/>
      <c r="AH465" s="423"/>
      <c r="AI465" s="423"/>
    </row>
    <row r="466">
      <c r="A466" s="419"/>
      <c r="B466" s="419"/>
      <c r="C466" s="419"/>
      <c r="D466" s="419"/>
      <c r="E466" s="387"/>
      <c r="F466" s="387"/>
      <c r="G466" s="423"/>
      <c r="H466" s="423"/>
      <c r="I466" s="423"/>
      <c r="J466" s="423"/>
      <c r="K466" s="423"/>
      <c r="L466" s="423"/>
      <c r="M466" s="423"/>
      <c r="N466" s="423"/>
      <c r="O466" s="423"/>
      <c r="P466" s="423"/>
      <c r="Q466" s="423"/>
      <c r="R466" s="423"/>
      <c r="S466" s="423"/>
      <c r="T466" s="423"/>
      <c r="U466" s="423"/>
      <c r="V466" s="423"/>
      <c r="W466" s="423"/>
      <c r="X466" s="423"/>
      <c r="Y466" s="423"/>
      <c r="Z466" s="423"/>
      <c r="AA466" s="423"/>
      <c r="AB466" s="423"/>
      <c r="AC466" s="423"/>
      <c r="AD466" s="423"/>
      <c r="AE466" s="423"/>
      <c r="AF466" s="423"/>
      <c r="AG466" s="423"/>
      <c r="AH466" s="423"/>
      <c r="AI466" s="423"/>
    </row>
    <row r="467">
      <c r="A467" s="419"/>
      <c r="B467" s="419"/>
      <c r="C467" s="419"/>
      <c r="D467" s="419"/>
      <c r="E467" s="387"/>
      <c r="F467" s="387"/>
      <c r="G467" s="423"/>
      <c r="H467" s="423"/>
      <c r="I467" s="423"/>
      <c r="J467" s="423"/>
      <c r="K467" s="423"/>
      <c r="L467" s="423"/>
      <c r="M467" s="423"/>
      <c r="N467" s="423"/>
      <c r="O467" s="423"/>
      <c r="P467" s="423"/>
      <c r="Q467" s="423"/>
      <c r="R467" s="423"/>
      <c r="S467" s="423"/>
      <c r="T467" s="423"/>
      <c r="U467" s="423"/>
      <c r="V467" s="423"/>
      <c r="W467" s="423"/>
      <c r="X467" s="423"/>
      <c r="Y467" s="423"/>
      <c r="Z467" s="423"/>
      <c r="AA467" s="423"/>
      <c r="AB467" s="423"/>
      <c r="AC467" s="423"/>
      <c r="AD467" s="423"/>
      <c r="AE467" s="423"/>
      <c r="AF467" s="423"/>
      <c r="AG467" s="423"/>
      <c r="AH467" s="423"/>
      <c r="AI467" s="423"/>
    </row>
    <row r="468">
      <c r="A468" s="419"/>
      <c r="B468" s="419"/>
      <c r="C468" s="419"/>
      <c r="D468" s="419"/>
      <c r="E468" s="387"/>
      <c r="F468" s="387"/>
      <c r="G468" s="423"/>
      <c r="H468" s="423"/>
      <c r="I468" s="423"/>
      <c r="J468" s="423"/>
      <c r="K468" s="423"/>
      <c r="L468" s="423"/>
      <c r="M468" s="423"/>
      <c r="N468" s="423"/>
      <c r="O468" s="423"/>
      <c r="P468" s="423"/>
      <c r="Q468" s="423"/>
      <c r="R468" s="423"/>
      <c r="S468" s="423"/>
      <c r="T468" s="423"/>
      <c r="U468" s="423"/>
      <c r="V468" s="423"/>
      <c r="W468" s="423"/>
      <c r="X468" s="423"/>
      <c r="Y468" s="423"/>
      <c r="Z468" s="423"/>
      <c r="AA468" s="423"/>
      <c r="AB468" s="423"/>
      <c r="AC468" s="423"/>
      <c r="AD468" s="423"/>
      <c r="AE468" s="423"/>
      <c r="AF468" s="423"/>
      <c r="AG468" s="423"/>
      <c r="AH468" s="423"/>
      <c r="AI468" s="423"/>
    </row>
    <row r="469">
      <c r="A469" s="419"/>
      <c r="B469" s="419"/>
      <c r="C469" s="419"/>
      <c r="D469" s="419"/>
      <c r="E469" s="387"/>
      <c r="F469" s="387"/>
      <c r="G469" s="423"/>
      <c r="H469" s="423"/>
      <c r="I469" s="423"/>
      <c r="J469" s="423"/>
      <c r="K469" s="423"/>
      <c r="L469" s="423"/>
      <c r="M469" s="423"/>
      <c r="N469" s="423"/>
      <c r="O469" s="423"/>
      <c r="P469" s="423"/>
      <c r="Q469" s="423"/>
      <c r="R469" s="423"/>
      <c r="S469" s="423"/>
      <c r="T469" s="423"/>
      <c r="U469" s="423"/>
      <c r="V469" s="423"/>
      <c r="W469" s="423"/>
      <c r="X469" s="423"/>
      <c r="Y469" s="423"/>
      <c r="Z469" s="423"/>
      <c r="AA469" s="423"/>
      <c r="AB469" s="423"/>
      <c r="AC469" s="423"/>
      <c r="AD469" s="423"/>
      <c r="AE469" s="423"/>
      <c r="AF469" s="423"/>
      <c r="AG469" s="423"/>
      <c r="AH469" s="423"/>
      <c r="AI469" s="423"/>
    </row>
    <row r="470">
      <c r="A470" s="419"/>
      <c r="B470" s="419"/>
      <c r="C470" s="419"/>
      <c r="D470" s="419"/>
      <c r="E470" s="387"/>
      <c r="F470" s="387"/>
      <c r="G470" s="423"/>
      <c r="H470" s="423"/>
      <c r="I470" s="423"/>
      <c r="J470" s="423"/>
      <c r="K470" s="423"/>
      <c r="L470" s="423"/>
      <c r="M470" s="423"/>
      <c r="N470" s="423"/>
      <c r="O470" s="423"/>
      <c r="P470" s="423"/>
      <c r="Q470" s="423"/>
      <c r="R470" s="423"/>
      <c r="S470" s="423"/>
      <c r="T470" s="423"/>
      <c r="U470" s="423"/>
      <c r="V470" s="423"/>
      <c r="W470" s="423"/>
      <c r="X470" s="423"/>
      <c r="Y470" s="423"/>
      <c r="Z470" s="423"/>
      <c r="AA470" s="423"/>
      <c r="AB470" s="423"/>
      <c r="AC470" s="423"/>
      <c r="AD470" s="423"/>
      <c r="AE470" s="423"/>
      <c r="AF470" s="423"/>
      <c r="AG470" s="423"/>
      <c r="AH470" s="423"/>
      <c r="AI470" s="423"/>
    </row>
    <row r="471">
      <c r="A471" s="419"/>
      <c r="B471" s="419"/>
      <c r="C471" s="419"/>
      <c r="D471" s="419"/>
      <c r="E471" s="387"/>
      <c r="F471" s="387"/>
      <c r="G471" s="423"/>
      <c r="H471" s="423"/>
      <c r="I471" s="423"/>
      <c r="J471" s="423"/>
      <c r="K471" s="423"/>
      <c r="L471" s="423"/>
      <c r="M471" s="423"/>
      <c r="N471" s="423"/>
      <c r="O471" s="423"/>
      <c r="P471" s="423"/>
      <c r="Q471" s="423"/>
      <c r="R471" s="423"/>
      <c r="S471" s="423"/>
      <c r="T471" s="423"/>
      <c r="U471" s="423"/>
      <c r="V471" s="423"/>
      <c r="W471" s="423"/>
      <c r="X471" s="423"/>
      <c r="Y471" s="423"/>
      <c r="Z471" s="423"/>
      <c r="AA471" s="423"/>
      <c r="AB471" s="423"/>
      <c r="AC471" s="423"/>
      <c r="AD471" s="423"/>
      <c r="AE471" s="423"/>
      <c r="AF471" s="423"/>
      <c r="AG471" s="423"/>
      <c r="AH471" s="423"/>
      <c r="AI471" s="423"/>
    </row>
    <row r="472">
      <c r="A472" s="419"/>
      <c r="B472" s="419"/>
      <c r="C472" s="419"/>
      <c r="D472" s="419"/>
      <c r="E472" s="387"/>
      <c r="F472" s="387"/>
      <c r="G472" s="423"/>
      <c r="H472" s="423"/>
      <c r="I472" s="423"/>
      <c r="J472" s="423"/>
      <c r="K472" s="423"/>
      <c r="L472" s="423"/>
      <c r="M472" s="423"/>
      <c r="N472" s="423"/>
      <c r="O472" s="423"/>
      <c r="P472" s="423"/>
      <c r="Q472" s="423"/>
      <c r="R472" s="423"/>
      <c r="S472" s="423"/>
      <c r="T472" s="423"/>
      <c r="U472" s="423"/>
      <c r="V472" s="423"/>
      <c r="W472" s="423"/>
      <c r="X472" s="423"/>
      <c r="Y472" s="423"/>
      <c r="Z472" s="423"/>
      <c r="AA472" s="423"/>
      <c r="AB472" s="423"/>
      <c r="AC472" s="423"/>
      <c r="AD472" s="423"/>
      <c r="AE472" s="423"/>
      <c r="AF472" s="423"/>
      <c r="AG472" s="423"/>
      <c r="AH472" s="423"/>
      <c r="AI472" s="423"/>
    </row>
    <row r="473">
      <c r="A473" s="419"/>
      <c r="B473" s="419"/>
      <c r="C473" s="419"/>
      <c r="D473" s="419"/>
      <c r="E473" s="387"/>
      <c r="F473" s="387"/>
      <c r="G473" s="423"/>
      <c r="H473" s="423"/>
      <c r="I473" s="423"/>
      <c r="J473" s="423"/>
      <c r="K473" s="423"/>
      <c r="L473" s="423"/>
      <c r="M473" s="423"/>
      <c r="N473" s="423"/>
      <c r="O473" s="423"/>
      <c r="P473" s="423"/>
      <c r="Q473" s="423"/>
      <c r="R473" s="423"/>
      <c r="S473" s="423"/>
      <c r="T473" s="423"/>
      <c r="U473" s="423"/>
      <c r="V473" s="423"/>
      <c r="W473" s="423"/>
      <c r="X473" s="423"/>
      <c r="Y473" s="423"/>
      <c r="Z473" s="423"/>
      <c r="AA473" s="423"/>
      <c r="AB473" s="423"/>
      <c r="AC473" s="423"/>
      <c r="AD473" s="423"/>
      <c r="AE473" s="423"/>
      <c r="AF473" s="423"/>
      <c r="AG473" s="423"/>
      <c r="AH473" s="423"/>
      <c r="AI473" s="423"/>
    </row>
    <row r="474">
      <c r="A474" s="419"/>
      <c r="B474" s="419"/>
      <c r="C474" s="419"/>
      <c r="D474" s="419"/>
      <c r="E474" s="387"/>
      <c r="F474" s="387"/>
      <c r="G474" s="423"/>
      <c r="H474" s="423"/>
      <c r="I474" s="423"/>
      <c r="J474" s="423"/>
      <c r="K474" s="423"/>
      <c r="L474" s="423"/>
      <c r="M474" s="423"/>
      <c r="N474" s="423"/>
      <c r="O474" s="423"/>
      <c r="P474" s="423"/>
      <c r="Q474" s="423"/>
      <c r="R474" s="423"/>
      <c r="S474" s="423"/>
      <c r="T474" s="423"/>
      <c r="U474" s="423"/>
      <c r="V474" s="423"/>
      <c r="W474" s="423"/>
      <c r="X474" s="423"/>
      <c r="Y474" s="423"/>
      <c r="Z474" s="423"/>
      <c r="AA474" s="423"/>
      <c r="AB474" s="423"/>
      <c r="AC474" s="423"/>
      <c r="AD474" s="423"/>
      <c r="AE474" s="423"/>
      <c r="AF474" s="423"/>
      <c r="AG474" s="423"/>
      <c r="AH474" s="423"/>
      <c r="AI474" s="423"/>
    </row>
    <row r="475">
      <c r="A475" s="419"/>
      <c r="B475" s="419"/>
      <c r="C475" s="419"/>
      <c r="D475" s="419"/>
      <c r="E475" s="387"/>
      <c r="F475" s="387"/>
      <c r="G475" s="423"/>
      <c r="H475" s="423"/>
      <c r="I475" s="423"/>
      <c r="J475" s="423"/>
      <c r="K475" s="423"/>
      <c r="L475" s="423"/>
      <c r="M475" s="423"/>
      <c r="N475" s="423"/>
      <c r="O475" s="423"/>
      <c r="P475" s="423"/>
      <c r="Q475" s="423"/>
      <c r="R475" s="423"/>
      <c r="S475" s="423"/>
      <c r="T475" s="423"/>
      <c r="U475" s="423"/>
      <c r="V475" s="423"/>
      <c r="W475" s="423"/>
      <c r="X475" s="423"/>
      <c r="Y475" s="423"/>
      <c r="Z475" s="423"/>
      <c r="AA475" s="423"/>
      <c r="AB475" s="423"/>
      <c r="AC475" s="423"/>
      <c r="AD475" s="423"/>
      <c r="AE475" s="423"/>
      <c r="AF475" s="423"/>
      <c r="AG475" s="423"/>
      <c r="AH475" s="423"/>
      <c r="AI475" s="423"/>
    </row>
    <row r="476">
      <c r="A476" s="419"/>
      <c r="B476" s="419"/>
      <c r="C476" s="419"/>
      <c r="D476" s="419"/>
      <c r="E476" s="387"/>
      <c r="F476" s="387"/>
      <c r="G476" s="423"/>
      <c r="H476" s="423"/>
      <c r="I476" s="423"/>
      <c r="J476" s="423"/>
      <c r="K476" s="423"/>
      <c r="L476" s="423"/>
      <c r="M476" s="423"/>
      <c r="N476" s="423"/>
      <c r="O476" s="423"/>
      <c r="P476" s="423"/>
      <c r="Q476" s="423"/>
      <c r="R476" s="423"/>
      <c r="S476" s="423"/>
      <c r="T476" s="423"/>
      <c r="U476" s="423"/>
      <c r="V476" s="423"/>
      <c r="W476" s="423"/>
      <c r="X476" s="423"/>
      <c r="Y476" s="423"/>
      <c r="Z476" s="423"/>
      <c r="AA476" s="423"/>
      <c r="AB476" s="423"/>
      <c r="AC476" s="423"/>
      <c r="AD476" s="423"/>
      <c r="AE476" s="423"/>
      <c r="AF476" s="423"/>
      <c r="AG476" s="423"/>
      <c r="AH476" s="423"/>
      <c r="AI476" s="423"/>
    </row>
    <row r="477">
      <c r="A477" s="419"/>
      <c r="B477" s="419"/>
      <c r="C477" s="419"/>
      <c r="D477" s="419"/>
      <c r="E477" s="387"/>
      <c r="F477" s="387"/>
      <c r="G477" s="423"/>
      <c r="H477" s="423"/>
      <c r="I477" s="423"/>
      <c r="J477" s="423"/>
      <c r="K477" s="423"/>
      <c r="L477" s="423"/>
      <c r="M477" s="423"/>
      <c r="N477" s="423"/>
      <c r="O477" s="423"/>
      <c r="P477" s="423"/>
      <c r="Q477" s="423"/>
      <c r="R477" s="423"/>
      <c r="S477" s="423"/>
      <c r="T477" s="423"/>
      <c r="U477" s="423"/>
      <c r="V477" s="423"/>
      <c r="W477" s="423"/>
      <c r="X477" s="423"/>
      <c r="Y477" s="423"/>
      <c r="Z477" s="423"/>
      <c r="AA477" s="423"/>
      <c r="AB477" s="423"/>
      <c r="AC477" s="423"/>
      <c r="AD477" s="423"/>
      <c r="AE477" s="423"/>
      <c r="AF477" s="423"/>
      <c r="AG477" s="423"/>
      <c r="AH477" s="423"/>
      <c r="AI477" s="423"/>
    </row>
    <row r="478">
      <c r="A478" s="419"/>
      <c r="B478" s="419"/>
      <c r="C478" s="419"/>
      <c r="D478" s="419"/>
      <c r="E478" s="387"/>
      <c r="F478" s="387"/>
      <c r="G478" s="423"/>
      <c r="H478" s="423"/>
      <c r="I478" s="423"/>
      <c r="J478" s="423"/>
      <c r="K478" s="423"/>
      <c r="L478" s="423"/>
      <c r="M478" s="423"/>
      <c r="N478" s="423"/>
      <c r="O478" s="423"/>
      <c r="P478" s="423"/>
      <c r="Q478" s="423"/>
      <c r="R478" s="423"/>
      <c r="S478" s="423"/>
      <c r="T478" s="423"/>
      <c r="U478" s="423"/>
      <c r="V478" s="423"/>
      <c r="W478" s="423"/>
      <c r="X478" s="423"/>
      <c r="Y478" s="423"/>
      <c r="Z478" s="423"/>
      <c r="AA478" s="423"/>
      <c r="AB478" s="423"/>
      <c r="AC478" s="423"/>
      <c r="AD478" s="423"/>
      <c r="AE478" s="423"/>
      <c r="AF478" s="423"/>
      <c r="AG478" s="423"/>
      <c r="AH478" s="423"/>
      <c r="AI478" s="423"/>
    </row>
    <row r="479">
      <c r="A479" s="419"/>
      <c r="B479" s="419"/>
      <c r="C479" s="419"/>
      <c r="D479" s="419"/>
      <c r="E479" s="387"/>
      <c r="F479" s="387"/>
      <c r="G479" s="423"/>
      <c r="H479" s="423"/>
      <c r="I479" s="423"/>
      <c r="J479" s="423"/>
      <c r="K479" s="423"/>
      <c r="L479" s="423"/>
      <c r="M479" s="423"/>
      <c r="N479" s="423"/>
      <c r="O479" s="423"/>
      <c r="P479" s="423"/>
      <c r="Q479" s="423"/>
      <c r="R479" s="423"/>
      <c r="S479" s="423"/>
      <c r="T479" s="423"/>
      <c r="U479" s="423"/>
      <c r="V479" s="423"/>
      <c r="W479" s="423"/>
      <c r="X479" s="423"/>
      <c r="Y479" s="423"/>
      <c r="Z479" s="423"/>
      <c r="AA479" s="423"/>
      <c r="AB479" s="423"/>
      <c r="AC479" s="423"/>
      <c r="AD479" s="423"/>
      <c r="AE479" s="423"/>
      <c r="AF479" s="423"/>
      <c r="AG479" s="423"/>
      <c r="AH479" s="423"/>
      <c r="AI479" s="423"/>
    </row>
    <row r="480">
      <c r="A480" s="419"/>
      <c r="B480" s="419"/>
      <c r="C480" s="419"/>
      <c r="D480" s="419"/>
      <c r="E480" s="387"/>
      <c r="F480" s="387"/>
      <c r="G480" s="423"/>
      <c r="H480" s="423"/>
      <c r="I480" s="423"/>
      <c r="J480" s="423"/>
      <c r="K480" s="423"/>
      <c r="L480" s="423"/>
      <c r="M480" s="423"/>
      <c r="N480" s="423"/>
      <c r="O480" s="423"/>
      <c r="P480" s="423"/>
      <c r="Q480" s="423"/>
      <c r="R480" s="423"/>
      <c r="S480" s="423"/>
      <c r="T480" s="423"/>
      <c r="U480" s="423"/>
      <c r="V480" s="423"/>
      <c r="W480" s="423"/>
      <c r="X480" s="423"/>
      <c r="Y480" s="423"/>
      <c r="Z480" s="423"/>
      <c r="AA480" s="423"/>
      <c r="AB480" s="423"/>
      <c r="AC480" s="423"/>
      <c r="AD480" s="423"/>
      <c r="AE480" s="423"/>
      <c r="AF480" s="423"/>
      <c r="AG480" s="423"/>
      <c r="AH480" s="423"/>
      <c r="AI480" s="423"/>
    </row>
    <row r="481">
      <c r="A481" s="419"/>
      <c r="B481" s="419"/>
      <c r="C481" s="419"/>
      <c r="D481" s="419"/>
      <c r="E481" s="387"/>
      <c r="F481" s="387"/>
      <c r="G481" s="423"/>
      <c r="H481" s="423"/>
      <c r="I481" s="423"/>
      <c r="J481" s="423"/>
      <c r="K481" s="423"/>
      <c r="L481" s="423"/>
      <c r="M481" s="423"/>
      <c r="N481" s="423"/>
      <c r="O481" s="423"/>
      <c r="P481" s="423"/>
      <c r="Q481" s="423"/>
      <c r="R481" s="423"/>
      <c r="S481" s="423"/>
      <c r="T481" s="423"/>
      <c r="U481" s="423"/>
      <c r="V481" s="423"/>
      <c r="W481" s="423"/>
      <c r="X481" s="423"/>
      <c r="Y481" s="423"/>
      <c r="Z481" s="423"/>
      <c r="AA481" s="423"/>
      <c r="AB481" s="423"/>
      <c r="AC481" s="423"/>
      <c r="AD481" s="423"/>
      <c r="AE481" s="423"/>
      <c r="AF481" s="423"/>
      <c r="AG481" s="423"/>
      <c r="AH481" s="423"/>
      <c r="AI481" s="423"/>
    </row>
    <row r="482">
      <c r="A482" s="419"/>
      <c r="B482" s="419"/>
      <c r="C482" s="419"/>
      <c r="D482" s="419"/>
      <c r="E482" s="387"/>
      <c r="F482" s="387"/>
      <c r="G482" s="423"/>
      <c r="H482" s="423"/>
      <c r="I482" s="423"/>
      <c r="J482" s="423"/>
      <c r="K482" s="423"/>
      <c r="L482" s="423"/>
      <c r="M482" s="423"/>
      <c r="N482" s="423"/>
      <c r="O482" s="423"/>
      <c r="P482" s="423"/>
      <c r="Q482" s="423"/>
      <c r="R482" s="423"/>
      <c r="S482" s="423"/>
      <c r="T482" s="423"/>
      <c r="U482" s="423"/>
      <c r="V482" s="423"/>
      <c r="W482" s="423"/>
      <c r="X482" s="423"/>
      <c r="Y482" s="423"/>
      <c r="Z482" s="423"/>
      <c r="AA482" s="423"/>
      <c r="AB482" s="423"/>
      <c r="AC482" s="423"/>
      <c r="AD482" s="423"/>
      <c r="AE482" s="423"/>
      <c r="AF482" s="423"/>
      <c r="AG482" s="423"/>
      <c r="AH482" s="423"/>
      <c r="AI482" s="423"/>
    </row>
    <row r="483">
      <c r="A483" s="419"/>
      <c r="B483" s="419"/>
      <c r="C483" s="419"/>
      <c r="D483" s="419"/>
      <c r="E483" s="387"/>
      <c r="F483" s="387"/>
      <c r="G483" s="423"/>
      <c r="H483" s="423"/>
      <c r="I483" s="423"/>
      <c r="J483" s="423"/>
      <c r="K483" s="423"/>
      <c r="L483" s="423"/>
      <c r="M483" s="423"/>
      <c r="N483" s="423"/>
      <c r="O483" s="423"/>
      <c r="P483" s="423"/>
      <c r="Q483" s="423"/>
      <c r="R483" s="423"/>
      <c r="S483" s="423"/>
      <c r="T483" s="423"/>
      <c r="U483" s="423"/>
      <c r="V483" s="423"/>
      <c r="W483" s="423"/>
      <c r="X483" s="423"/>
      <c r="Y483" s="423"/>
      <c r="Z483" s="423"/>
      <c r="AA483" s="423"/>
      <c r="AB483" s="423"/>
      <c r="AC483" s="423"/>
      <c r="AD483" s="423"/>
      <c r="AE483" s="423"/>
      <c r="AF483" s="423"/>
      <c r="AG483" s="423"/>
      <c r="AH483" s="423"/>
      <c r="AI483" s="423"/>
    </row>
    <row r="484">
      <c r="A484" s="419"/>
      <c r="B484" s="419"/>
      <c r="C484" s="419"/>
      <c r="D484" s="419"/>
      <c r="E484" s="387"/>
      <c r="F484" s="387"/>
      <c r="G484" s="423"/>
      <c r="H484" s="423"/>
      <c r="I484" s="423"/>
      <c r="J484" s="423"/>
      <c r="K484" s="423"/>
      <c r="L484" s="423"/>
      <c r="M484" s="423"/>
      <c r="N484" s="423"/>
      <c r="O484" s="423"/>
      <c r="P484" s="423"/>
      <c r="Q484" s="423"/>
      <c r="R484" s="423"/>
      <c r="S484" s="423"/>
      <c r="T484" s="423"/>
      <c r="U484" s="423"/>
      <c r="V484" s="423"/>
      <c r="W484" s="423"/>
      <c r="X484" s="423"/>
      <c r="Y484" s="423"/>
      <c r="Z484" s="423"/>
      <c r="AA484" s="423"/>
      <c r="AB484" s="423"/>
      <c r="AC484" s="423"/>
      <c r="AD484" s="423"/>
      <c r="AE484" s="423"/>
      <c r="AF484" s="423"/>
      <c r="AG484" s="423"/>
      <c r="AH484" s="423"/>
      <c r="AI484" s="423"/>
    </row>
    <row r="485">
      <c r="A485" s="419"/>
      <c r="B485" s="419"/>
      <c r="C485" s="419"/>
      <c r="D485" s="419"/>
      <c r="E485" s="387"/>
      <c r="F485" s="387"/>
      <c r="G485" s="423"/>
      <c r="H485" s="423"/>
      <c r="I485" s="423"/>
      <c r="J485" s="423"/>
      <c r="K485" s="423"/>
      <c r="L485" s="423"/>
      <c r="M485" s="423"/>
      <c r="N485" s="423"/>
      <c r="O485" s="423"/>
      <c r="P485" s="423"/>
      <c r="Q485" s="423"/>
      <c r="R485" s="423"/>
      <c r="S485" s="423"/>
      <c r="T485" s="423"/>
      <c r="U485" s="423"/>
      <c r="V485" s="423"/>
      <c r="W485" s="423"/>
      <c r="X485" s="423"/>
      <c r="Y485" s="423"/>
      <c r="Z485" s="423"/>
      <c r="AA485" s="423"/>
      <c r="AB485" s="423"/>
      <c r="AC485" s="423"/>
      <c r="AD485" s="423"/>
      <c r="AE485" s="423"/>
      <c r="AF485" s="423"/>
      <c r="AG485" s="423"/>
      <c r="AH485" s="423"/>
      <c r="AI485" s="423"/>
    </row>
    <row r="486">
      <c r="A486" s="419"/>
      <c r="B486" s="419"/>
      <c r="C486" s="419"/>
      <c r="D486" s="419"/>
      <c r="E486" s="387"/>
      <c r="F486" s="387"/>
      <c r="G486" s="423"/>
      <c r="H486" s="423"/>
      <c r="I486" s="423"/>
      <c r="J486" s="423"/>
      <c r="K486" s="423"/>
      <c r="L486" s="423"/>
      <c r="M486" s="423"/>
      <c r="N486" s="423"/>
      <c r="O486" s="423"/>
      <c r="P486" s="423"/>
      <c r="Q486" s="423"/>
      <c r="R486" s="423"/>
      <c r="S486" s="423"/>
      <c r="T486" s="423"/>
      <c r="U486" s="423"/>
      <c r="V486" s="423"/>
      <c r="W486" s="423"/>
      <c r="X486" s="423"/>
      <c r="Y486" s="423"/>
      <c r="Z486" s="423"/>
      <c r="AA486" s="423"/>
      <c r="AB486" s="423"/>
      <c r="AC486" s="423"/>
      <c r="AD486" s="423"/>
      <c r="AE486" s="423"/>
      <c r="AF486" s="423"/>
      <c r="AG486" s="423"/>
      <c r="AH486" s="423"/>
      <c r="AI486" s="423"/>
    </row>
    <row r="487">
      <c r="A487" s="419"/>
      <c r="B487" s="419"/>
      <c r="C487" s="419"/>
      <c r="D487" s="419"/>
      <c r="E487" s="387"/>
      <c r="F487" s="387"/>
      <c r="G487" s="423"/>
      <c r="H487" s="423"/>
      <c r="I487" s="423"/>
      <c r="J487" s="423"/>
      <c r="K487" s="423"/>
      <c r="L487" s="423"/>
      <c r="M487" s="423"/>
      <c r="N487" s="423"/>
      <c r="O487" s="423"/>
      <c r="P487" s="423"/>
      <c r="Q487" s="423"/>
      <c r="R487" s="423"/>
      <c r="S487" s="423"/>
      <c r="T487" s="423"/>
      <c r="U487" s="423"/>
      <c r="V487" s="423"/>
      <c r="W487" s="423"/>
      <c r="X487" s="423"/>
      <c r="Y487" s="423"/>
      <c r="Z487" s="423"/>
      <c r="AA487" s="423"/>
      <c r="AB487" s="423"/>
      <c r="AC487" s="423"/>
      <c r="AD487" s="423"/>
      <c r="AE487" s="423"/>
      <c r="AF487" s="423"/>
      <c r="AG487" s="423"/>
      <c r="AH487" s="423"/>
      <c r="AI487" s="423"/>
    </row>
    <row r="488">
      <c r="A488" s="419"/>
      <c r="B488" s="419"/>
      <c r="C488" s="419"/>
      <c r="D488" s="419"/>
      <c r="E488" s="387"/>
      <c r="F488" s="387"/>
      <c r="G488" s="423"/>
      <c r="H488" s="423"/>
      <c r="I488" s="423"/>
      <c r="J488" s="423"/>
      <c r="K488" s="423"/>
      <c r="L488" s="423"/>
      <c r="M488" s="423"/>
      <c r="N488" s="423"/>
      <c r="O488" s="423"/>
      <c r="P488" s="423"/>
      <c r="Q488" s="423"/>
      <c r="R488" s="423"/>
      <c r="S488" s="423"/>
      <c r="T488" s="423"/>
      <c r="U488" s="423"/>
      <c r="V488" s="423"/>
      <c r="W488" s="423"/>
      <c r="X488" s="423"/>
      <c r="Y488" s="423"/>
      <c r="Z488" s="423"/>
      <c r="AA488" s="423"/>
      <c r="AB488" s="423"/>
      <c r="AC488" s="423"/>
      <c r="AD488" s="423"/>
      <c r="AE488" s="423"/>
      <c r="AF488" s="423"/>
      <c r="AG488" s="423"/>
      <c r="AH488" s="423"/>
      <c r="AI488" s="423"/>
    </row>
    <row r="489">
      <c r="A489" s="419"/>
      <c r="B489" s="419"/>
      <c r="C489" s="419"/>
      <c r="D489" s="419"/>
      <c r="E489" s="387"/>
      <c r="F489" s="387"/>
      <c r="G489" s="423"/>
      <c r="H489" s="423"/>
      <c r="I489" s="423"/>
      <c r="J489" s="423"/>
      <c r="K489" s="423"/>
      <c r="L489" s="423"/>
      <c r="M489" s="423"/>
      <c r="N489" s="423"/>
      <c r="O489" s="423"/>
      <c r="P489" s="423"/>
      <c r="Q489" s="423"/>
      <c r="R489" s="423"/>
      <c r="S489" s="423"/>
      <c r="T489" s="423"/>
      <c r="U489" s="423"/>
      <c r="V489" s="423"/>
      <c r="W489" s="423"/>
      <c r="X489" s="423"/>
      <c r="Y489" s="423"/>
      <c r="Z489" s="423"/>
      <c r="AA489" s="423"/>
      <c r="AB489" s="423"/>
      <c r="AC489" s="423"/>
      <c r="AD489" s="423"/>
      <c r="AE489" s="423"/>
      <c r="AF489" s="423"/>
      <c r="AG489" s="423"/>
      <c r="AH489" s="423"/>
      <c r="AI489" s="423"/>
    </row>
    <row r="490">
      <c r="A490" s="419"/>
      <c r="B490" s="419"/>
      <c r="C490" s="419"/>
      <c r="D490" s="419"/>
      <c r="E490" s="387"/>
      <c r="F490" s="387"/>
      <c r="G490" s="423"/>
      <c r="H490" s="423"/>
      <c r="I490" s="423"/>
      <c r="J490" s="423"/>
      <c r="K490" s="423"/>
      <c r="L490" s="423"/>
      <c r="M490" s="423"/>
      <c r="N490" s="423"/>
      <c r="O490" s="423"/>
      <c r="P490" s="423"/>
      <c r="Q490" s="423"/>
      <c r="R490" s="423"/>
      <c r="S490" s="423"/>
      <c r="T490" s="423"/>
      <c r="U490" s="423"/>
      <c r="V490" s="423"/>
      <c r="W490" s="423"/>
      <c r="X490" s="423"/>
      <c r="Y490" s="423"/>
      <c r="Z490" s="423"/>
      <c r="AA490" s="423"/>
      <c r="AB490" s="423"/>
      <c r="AC490" s="423"/>
      <c r="AD490" s="423"/>
      <c r="AE490" s="423"/>
      <c r="AF490" s="423"/>
      <c r="AG490" s="423"/>
      <c r="AH490" s="423"/>
      <c r="AI490" s="423"/>
    </row>
    <row r="491">
      <c r="A491" s="419"/>
      <c r="B491" s="419"/>
      <c r="C491" s="419"/>
      <c r="D491" s="419"/>
      <c r="E491" s="387"/>
      <c r="F491" s="387"/>
      <c r="G491" s="423"/>
      <c r="H491" s="423"/>
      <c r="I491" s="423"/>
      <c r="J491" s="423"/>
      <c r="K491" s="423"/>
      <c r="L491" s="423"/>
      <c r="M491" s="423"/>
      <c r="N491" s="423"/>
      <c r="O491" s="423"/>
      <c r="P491" s="423"/>
      <c r="Q491" s="423"/>
      <c r="R491" s="423"/>
      <c r="S491" s="423"/>
      <c r="T491" s="423"/>
      <c r="U491" s="423"/>
      <c r="V491" s="423"/>
      <c r="W491" s="423"/>
      <c r="X491" s="423"/>
      <c r="Y491" s="423"/>
      <c r="Z491" s="423"/>
      <c r="AA491" s="423"/>
      <c r="AB491" s="423"/>
      <c r="AC491" s="423"/>
      <c r="AD491" s="423"/>
      <c r="AE491" s="423"/>
      <c r="AF491" s="423"/>
      <c r="AG491" s="423"/>
      <c r="AH491" s="423"/>
      <c r="AI491" s="423"/>
    </row>
    <row r="492">
      <c r="A492" s="419"/>
      <c r="B492" s="419"/>
      <c r="C492" s="419"/>
      <c r="D492" s="419"/>
      <c r="E492" s="387"/>
      <c r="F492" s="387"/>
      <c r="G492" s="423"/>
      <c r="H492" s="423"/>
      <c r="I492" s="423"/>
      <c r="J492" s="423"/>
      <c r="K492" s="423"/>
      <c r="L492" s="423"/>
      <c r="M492" s="423"/>
      <c r="N492" s="423"/>
      <c r="O492" s="423"/>
      <c r="P492" s="423"/>
      <c r="Q492" s="423"/>
      <c r="R492" s="423"/>
      <c r="S492" s="423"/>
      <c r="T492" s="423"/>
      <c r="U492" s="423"/>
      <c r="V492" s="423"/>
      <c r="W492" s="423"/>
      <c r="X492" s="423"/>
      <c r="Y492" s="423"/>
      <c r="Z492" s="423"/>
      <c r="AA492" s="423"/>
      <c r="AB492" s="423"/>
      <c r="AC492" s="423"/>
      <c r="AD492" s="423"/>
      <c r="AE492" s="423"/>
      <c r="AF492" s="423"/>
      <c r="AG492" s="423"/>
      <c r="AH492" s="423"/>
      <c r="AI492" s="423"/>
    </row>
    <row r="493">
      <c r="A493" s="419"/>
      <c r="B493" s="419"/>
      <c r="C493" s="419"/>
      <c r="D493" s="419"/>
      <c r="E493" s="387"/>
      <c r="F493" s="387"/>
      <c r="G493" s="423"/>
      <c r="H493" s="423"/>
      <c r="I493" s="423"/>
      <c r="J493" s="423"/>
      <c r="K493" s="423"/>
      <c r="L493" s="423"/>
      <c r="M493" s="423"/>
      <c r="N493" s="423"/>
      <c r="O493" s="423"/>
      <c r="P493" s="423"/>
      <c r="Q493" s="423"/>
      <c r="R493" s="423"/>
      <c r="S493" s="423"/>
      <c r="T493" s="423"/>
      <c r="U493" s="423"/>
      <c r="V493" s="423"/>
      <c r="W493" s="423"/>
      <c r="X493" s="423"/>
      <c r="Y493" s="423"/>
      <c r="Z493" s="423"/>
      <c r="AA493" s="423"/>
      <c r="AB493" s="423"/>
      <c r="AC493" s="423"/>
      <c r="AD493" s="423"/>
      <c r="AE493" s="423"/>
      <c r="AF493" s="423"/>
      <c r="AG493" s="423"/>
      <c r="AH493" s="423"/>
      <c r="AI493" s="423"/>
    </row>
    <row r="494">
      <c r="A494" s="419"/>
      <c r="B494" s="419"/>
      <c r="C494" s="419"/>
      <c r="D494" s="419"/>
      <c r="E494" s="387"/>
      <c r="F494" s="387"/>
      <c r="G494" s="423"/>
      <c r="H494" s="423"/>
      <c r="I494" s="423"/>
      <c r="J494" s="423"/>
      <c r="K494" s="423"/>
      <c r="L494" s="423"/>
      <c r="M494" s="423"/>
      <c r="N494" s="423"/>
      <c r="O494" s="423"/>
      <c r="P494" s="423"/>
      <c r="Q494" s="423"/>
      <c r="R494" s="423"/>
      <c r="S494" s="423"/>
      <c r="T494" s="423"/>
      <c r="U494" s="423"/>
      <c r="V494" s="423"/>
      <c r="W494" s="423"/>
      <c r="X494" s="423"/>
      <c r="Y494" s="423"/>
      <c r="Z494" s="423"/>
      <c r="AA494" s="423"/>
      <c r="AB494" s="423"/>
      <c r="AC494" s="423"/>
      <c r="AD494" s="423"/>
      <c r="AE494" s="423"/>
      <c r="AF494" s="423"/>
      <c r="AG494" s="423"/>
      <c r="AH494" s="423"/>
      <c r="AI494" s="423"/>
    </row>
    <row r="495">
      <c r="A495" s="419"/>
      <c r="B495" s="419"/>
      <c r="C495" s="419"/>
      <c r="D495" s="419"/>
      <c r="E495" s="387"/>
      <c r="F495" s="387"/>
      <c r="G495" s="423"/>
      <c r="H495" s="423"/>
      <c r="I495" s="423"/>
      <c r="J495" s="423"/>
      <c r="K495" s="423"/>
      <c r="L495" s="423"/>
      <c r="M495" s="423"/>
      <c r="N495" s="423"/>
      <c r="O495" s="423"/>
      <c r="P495" s="423"/>
      <c r="Q495" s="423"/>
      <c r="R495" s="423"/>
      <c r="S495" s="423"/>
      <c r="T495" s="423"/>
      <c r="U495" s="423"/>
      <c r="V495" s="423"/>
      <c r="W495" s="423"/>
      <c r="X495" s="423"/>
      <c r="Y495" s="423"/>
      <c r="Z495" s="423"/>
      <c r="AA495" s="423"/>
      <c r="AB495" s="423"/>
      <c r="AC495" s="423"/>
      <c r="AD495" s="423"/>
      <c r="AE495" s="423"/>
      <c r="AF495" s="423"/>
      <c r="AG495" s="423"/>
      <c r="AH495" s="423"/>
      <c r="AI495" s="423"/>
    </row>
    <row r="496">
      <c r="A496" s="419"/>
      <c r="B496" s="419"/>
      <c r="C496" s="419"/>
      <c r="D496" s="419"/>
      <c r="E496" s="387"/>
      <c r="F496" s="387"/>
      <c r="G496" s="423"/>
      <c r="H496" s="423"/>
      <c r="I496" s="423"/>
      <c r="J496" s="423"/>
      <c r="K496" s="423"/>
      <c r="L496" s="423"/>
      <c r="M496" s="423"/>
      <c r="N496" s="423"/>
      <c r="O496" s="423"/>
      <c r="P496" s="423"/>
      <c r="Q496" s="423"/>
      <c r="R496" s="423"/>
      <c r="S496" s="423"/>
      <c r="T496" s="423"/>
      <c r="U496" s="423"/>
      <c r="V496" s="423"/>
      <c r="W496" s="423"/>
      <c r="X496" s="423"/>
      <c r="Y496" s="423"/>
      <c r="Z496" s="423"/>
      <c r="AA496" s="423"/>
      <c r="AB496" s="423"/>
      <c r="AC496" s="423"/>
      <c r="AD496" s="423"/>
      <c r="AE496" s="423"/>
      <c r="AF496" s="423"/>
      <c r="AG496" s="423"/>
      <c r="AH496" s="423"/>
      <c r="AI496" s="423"/>
    </row>
    <row r="497">
      <c r="A497" s="419"/>
      <c r="B497" s="419"/>
      <c r="C497" s="419"/>
      <c r="D497" s="419"/>
      <c r="E497" s="387"/>
      <c r="F497" s="387"/>
      <c r="G497" s="423"/>
      <c r="H497" s="423"/>
      <c r="I497" s="423"/>
      <c r="J497" s="423"/>
      <c r="K497" s="423"/>
      <c r="L497" s="423"/>
      <c r="M497" s="423"/>
      <c r="N497" s="423"/>
      <c r="O497" s="423"/>
      <c r="P497" s="423"/>
      <c r="Q497" s="423"/>
      <c r="R497" s="423"/>
      <c r="S497" s="423"/>
      <c r="T497" s="423"/>
      <c r="U497" s="423"/>
      <c r="V497" s="423"/>
      <c r="W497" s="423"/>
      <c r="X497" s="423"/>
      <c r="Y497" s="423"/>
      <c r="Z497" s="423"/>
      <c r="AA497" s="423"/>
      <c r="AB497" s="423"/>
      <c r="AC497" s="423"/>
      <c r="AD497" s="423"/>
      <c r="AE497" s="423"/>
      <c r="AF497" s="423"/>
      <c r="AG497" s="423"/>
      <c r="AH497" s="423"/>
      <c r="AI497" s="423"/>
    </row>
    <row r="498">
      <c r="A498" s="419"/>
      <c r="B498" s="419"/>
      <c r="C498" s="419"/>
      <c r="D498" s="419"/>
      <c r="E498" s="387"/>
      <c r="F498" s="387"/>
      <c r="G498" s="423"/>
      <c r="H498" s="423"/>
      <c r="I498" s="423"/>
      <c r="J498" s="423"/>
      <c r="K498" s="423"/>
      <c r="L498" s="423"/>
      <c r="M498" s="423"/>
      <c r="N498" s="423"/>
      <c r="O498" s="423"/>
      <c r="P498" s="423"/>
      <c r="Q498" s="423"/>
      <c r="R498" s="423"/>
      <c r="S498" s="423"/>
      <c r="T498" s="423"/>
      <c r="U498" s="423"/>
      <c r="V498" s="423"/>
      <c r="W498" s="423"/>
      <c r="X498" s="423"/>
      <c r="Y498" s="423"/>
      <c r="Z498" s="423"/>
      <c r="AA498" s="423"/>
      <c r="AB498" s="423"/>
      <c r="AC498" s="423"/>
      <c r="AD498" s="423"/>
      <c r="AE498" s="423"/>
      <c r="AF498" s="423"/>
      <c r="AG498" s="423"/>
      <c r="AH498" s="423"/>
      <c r="AI498" s="423"/>
    </row>
    <row r="499">
      <c r="A499" s="419"/>
      <c r="B499" s="419"/>
      <c r="C499" s="419"/>
      <c r="D499" s="419"/>
      <c r="E499" s="387"/>
      <c r="F499" s="387"/>
      <c r="G499" s="423"/>
      <c r="H499" s="423"/>
      <c r="I499" s="423"/>
      <c r="J499" s="423"/>
      <c r="K499" s="423"/>
      <c r="L499" s="423"/>
      <c r="M499" s="423"/>
      <c r="N499" s="423"/>
      <c r="O499" s="423"/>
      <c r="P499" s="423"/>
      <c r="Q499" s="423"/>
      <c r="R499" s="423"/>
      <c r="S499" s="423"/>
      <c r="T499" s="423"/>
      <c r="U499" s="423"/>
      <c r="V499" s="423"/>
      <c r="W499" s="423"/>
      <c r="X499" s="423"/>
      <c r="Y499" s="423"/>
      <c r="Z499" s="423"/>
      <c r="AA499" s="423"/>
      <c r="AB499" s="423"/>
      <c r="AC499" s="423"/>
      <c r="AD499" s="423"/>
      <c r="AE499" s="423"/>
      <c r="AF499" s="423"/>
      <c r="AG499" s="423"/>
      <c r="AH499" s="423"/>
      <c r="AI499" s="423"/>
    </row>
    <row r="500">
      <c r="A500" s="419"/>
      <c r="B500" s="419"/>
      <c r="C500" s="419"/>
      <c r="D500" s="419"/>
      <c r="E500" s="387"/>
      <c r="F500" s="387"/>
      <c r="G500" s="423"/>
      <c r="H500" s="423"/>
      <c r="I500" s="423"/>
      <c r="J500" s="423"/>
      <c r="K500" s="423"/>
      <c r="L500" s="423"/>
      <c r="M500" s="423"/>
      <c r="N500" s="423"/>
      <c r="O500" s="423"/>
      <c r="P500" s="423"/>
      <c r="Q500" s="423"/>
      <c r="R500" s="423"/>
      <c r="S500" s="423"/>
      <c r="T500" s="423"/>
      <c r="U500" s="423"/>
      <c r="V500" s="423"/>
      <c r="W500" s="423"/>
      <c r="X500" s="423"/>
      <c r="Y500" s="423"/>
      <c r="Z500" s="423"/>
      <c r="AA500" s="423"/>
      <c r="AB500" s="423"/>
      <c r="AC500" s="423"/>
      <c r="AD500" s="423"/>
      <c r="AE500" s="423"/>
      <c r="AF500" s="423"/>
      <c r="AG500" s="423"/>
      <c r="AH500" s="423"/>
      <c r="AI500" s="423"/>
    </row>
    <row r="501">
      <c r="A501" s="419"/>
      <c r="B501" s="419"/>
      <c r="C501" s="419"/>
      <c r="D501" s="419"/>
      <c r="E501" s="387"/>
      <c r="F501" s="387"/>
      <c r="G501" s="423"/>
      <c r="H501" s="423"/>
      <c r="I501" s="423"/>
      <c r="J501" s="423"/>
      <c r="K501" s="423"/>
      <c r="L501" s="423"/>
      <c r="M501" s="423"/>
      <c r="N501" s="423"/>
      <c r="O501" s="423"/>
      <c r="P501" s="423"/>
      <c r="Q501" s="423"/>
      <c r="R501" s="423"/>
      <c r="S501" s="423"/>
      <c r="T501" s="423"/>
      <c r="U501" s="423"/>
      <c r="V501" s="423"/>
      <c r="W501" s="423"/>
      <c r="X501" s="423"/>
      <c r="Y501" s="423"/>
      <c r="Z501" s="423"/>
      <c r="AA501" s="423"/>
      <c r="AB501" s="423"/>
      <c r="AC501" s="423"/>
      <c r="AD501" s="423"/>
      <c r="AE501" s="423"/>
      <c r="AF501" s="423"/>
      <c r="AG501" s="423"/>
      <c r="AH501" s="423"/>
      <c r="AI501" s="423"/>
    </row>
    <row r="502">
      <c r="A502" s="419"/>
      <c r="B502" s="419"/>
      <c r="C502" s="419"/>
      <c r="D502" s="419"/>
      <c r="E502" s="387"/>
      <c r="F502" s="387"/>
      <c r="G502" s="423"/>
      <c r="H502" s="423"/>
      <c r="I502" s="423"/>
      <c r="J502" s="423"/>
      <c r="K502" s="423"/>
      <c r="L502" s="423"/>
      <c r="M502" s="423"/>
      <c r="N502" s="423"/>
      <c r="O502" s="423"/>
      <c r="P502" s="423"/>
      <c r="Q502" s="423"/>
      <c r="R502" s="423"/>
      <c r="S502" s="423"/>
      <c r="T502" s="423"/>
      <c r="U502" s="423"/>
      <c r="V502" s="423"/>
      <c r="W502" s="423"/>
      <c r="X502" s="423"/>
      <c r="Y502" s="423"/>
      <c r="Z502" s="423"/>
      <c r="AA502" s="423"/>
      <c r="AB502" s="423"/>
      <c r="AC502" s="423"/>
      <c r="AD502" s="423"/>
      <c r="AE502" s="423"/>
      <c r="AF502" s="423"/>
      <c r="AG502" s="423"/>
      <c r="AH502" s="423"/>
      <c r="AI502" s="423"/>
    </row>
    <row r="503">
      <c r="A503" s="419"/>
      <c r="B503" s="419"/>
      <c r="C503" s="419"/>
      <c r="D503" s="419"/>
      <c r="E503" s="387"/>
      <c r="F503" s="387"/>
      <c r="G503" s="423"/>
      <c r="H503" s="423"/>
      <c r="I503" s="423"/>
      <c r="J503" s="423"/>
      <c r="K503" s="423"/>
      <c r="L503" s="423"/>
      <c r="M503" s="423"/>
      <c r="N503" s="423"/>
      <c r="O503" s="423"/>
      <c r="P503" s="423"/>
      <c r="Q503" s="423"/>
      <c r="R503" s="423"/>
      <c r="S503" s="423"/>
      <c r="T503" s="423"/>
      <c r="U503" s="423"/>
      <c r="V503" s="423"/>
      <c r="W503" s="423"/>
      <c r="X503" s="423"/>
      <c r="Y503" s="423"/>
      <c r="Z503" s="423"/>
      <c r="AA503" s="423"/>
      <c r="AB503" s="423"/>
      <c r="AC503" s="423"/>
      <c r="AD503" s="423"/>
      <c r="AE503" s="423"/>
      <c r="AF503" s="423"/>
      <c r="AG503" s="423"/>
      <c r="AH503" s="423"/>
      <c r="AI503" s="423"/>
    </row>
    <row r="504">
      <c r="A504" s="419"/>
      <c r="B504" s="419"/>
      <c r="C504" s="419"/>
      <c r="D504" s="419"/>
      <c r="E504" s="387"/>
      <c r="F504" s="387"/>
      <c r="G504" s="423"/>
      <c r="H504" s="423"/>
      <c r="I504" s="423"/>
      <c r="J504" s="423"/>
      <c r="K504" s="423"/>
      <c r="L504" s="423"/>
      <c r="M504" s="423"/>
      <c r="N504" s="423"/>
      <c r="O504" s="423"/>
      <c r="P504" s="423"/>
      <c r="Q504" s="423"/>
      <c r="R504" s="423"/>
      <c r="S504" s="423"/>
      <c r="T504" s="423"/>
      <c r="U504" s="423"/>
      <c r="V504" s="423"/>
      <c r="W504" s="423"/>
      <c r="X504" s="423"/>
      <c r="Y504" s="423"/>
      <c r="Z504" s="423"/>
      <c r="AA504" s="423"/>
      <c r="AB504" s="423"/>
      <c r="AC504" s="423"/>
      <c r="AD504" s="423"/>
      <c r="AE504" s="423"/>
      <c r="AF504" s="423"/>
      <c r="AG504" s="423"/>
      <c r="AH504" s="423"/>
      <c r="AI504" s="423"/>
    </row>
    <row r="505">
      <c r="A505" s="419"/>
      <c r="B505" s="419"/>
      <c r="C505" s="419"/>
      <c r="D505" s="419"/>
      <c r="E505" s="387"/>
      <c r="F505" s="387"/>
      <c r="G505" s="423"/>
      <c r="H505" s="423"/>
      <c r="I505" s="423"/>
      <c r="J505" s="423"/>
      <c r="K505" s="423"/>
      <c r="L505" s="423"/>
      <c r="M505" s="423"/>
      <c r="N505" s="423"/>
      <c r="O505" s="423"/>
      <c r="P505" s="423"/>
      <c r="Q505" s="423"/>
      <c r="R505" s="423"/>
      <c r="S505" s="423"/>
      <c r="T505" s="423"/>
      <c r="U505" s="423"/>
      <c r="V505" s="423"/>
      <c r="W505" s="423"/>
      <c r="X505" s="423"/>
      <c r="Y505" s="423"/>
      <c r="Z505" s="423"/>
      <c r="AA505" s="423"/>
      <c r="AB505" s="423"/>
      <c r="AC505" s="423"/>
      <c r="AD505" s="423"/>
      <c r="AE505" s="423"/>
      <c r="AF505" s="423"/>
      <c r="AG505" s="423"/>
      <c r="AH505" s="423"/>
      <c r="AI505" s="423"/>
    </row>
    <row r="506">
      <c r="A506" s="419"/>
      <c r="B506" s="419"/>
      <c r="C506" s="419"/>
      <c r="D506" s="419"/>
      <c r="E506" s="387"/>
      <c r="F506" s="387"/>
      <c r="G506" s="423"/>
      <c r="H506" s="423"/>
      <c r="I506" s="423"/>
      <c r="J506" s="423"/>
      <c r="K506" s="423"/>
      <c r="L506" s="423"/>
      <c r="M506" s="423"/>
      <c r="N506" s="423"/>
      <c r="O506" s="423"/>
      <c r="P506" s="423"/>
      <c r="Q506" s="423"/>
      <c r="R506" s="423"/>
      <c r="S506" s="423"/>
      <c r="T506" s="423"/>
      <c r="U506" s="423"/>
      <c r="V506" s="423"/>
      <c r="W506" s="423"/>
      <c r="X506" s="423"/>
      <c r="Y506" s="423"/>
      <c r="Z506" s="423"/>
      <c r="AA506" s="423"/>
      <c r="AB506" s="423"/>
      <c r="AC506" s="423"/>
      <c r="AD506" s="423"/>
      <c r="AE506" s="423"/>
      <c r="AF506" s="423"/>
      <c r="AG506" s="423"/>
      <c r="AH506" s="423"/>
      <c r="AI506" s="423"/>
    </row>
    <row r="507">
      <c r="A507" s="419"/>
      <c r="B507" s="419"/>
      <c r="C507" s="419"/>
      <c r="D507" s="419"/>
      <c r="E507" s="387"/>
      <c r="F507" s="387"/>
      <c r="G507" s="423"/>
      <c r="H507" s="423"/>
      <c r="I507" s="423"/>
      <c r="J507" s="423"/>
      <c r="K507" s="423"/>
      <c r="L507" s="423"/>
      <c r="M507" s="423"/>
      <c r="N507" s="423"/>
      <c r="O507" s="423"/>
      <c r="P507" s="423"/>
      <c r="Q507" s="423"/>
      <c r="R507" s="423"/>
      <c r="S507" s="423"/>
      <c r="T507" s="423"/>
      <c r="U507" s="423"/>
      <c r="V507" s="423"/>
      <c r="W507" s="423"/>
      <c r="X507" s="423"/>
      <c r="Y507" s="423"/>
      <c r="Z507" s="423"/>
      <c r="AA507" s="423"/>
      <c r="AB507" s="423"/>
      <c r="AC507" s="423"/>
      <c r="AD507" s="423"/>
      <c r="AE507" s="423"/>
      <c r="AF507" s="423"/>
      <c r="AG507" s="423"/>
      <c r="AH507" s="423"/>
      <c r="AI507" s="423"/>
    </row>
    <row r="508">
      <c r="A508" s="419"/>
      <c r="B508" s="419"/>
      <c r="C508" s="419"/>
      <c r="D508" s="419"/>
      <c r="E508" s="387"/>
      <c r="F508" s="387"/>
      <c r="G508" s="423"/>
      <c r="H508" s="423"/>
      <c r="I508" s="423"/>
      <c r="J508" s="423"/>
      <c r="K508" s="423"/>
      <c r="L508" s="423"/>
      <c r="M508" s="423"/>
      <c r="N508" s="423"/>
      <c r="O508" s="423"/>
      <c r="P508" s="423"/>
      <c r="Q508" s="423"/>
      <c r="R508" s="423"/>
      <c r="S508" s="423"/>
      <c r="T508" s="423"/>
      <c r="U508" s="423"/>
      <c r="V508" s="423"/>
      <c r="W508" s="423"/>
      <c r="X508" s="423"/>
      <c r="Y508" s="423"/>
      <c r="Z508" s="423"/>
      <c r="AA508" s="423"/>
      <c r="AB508" s="423"/>
      <c r="AC508" s="423"/>
      <c r="AD508" s="423"/>
      <c r="AE508" s="423"/>
      <c r="AF508" s="423"/>
      <c r="AG508" s="423"/>
      <c r="AH508" s="423"/>
      <c r="AI508" s="423"/>
    </row>
    <row r="509">
      <c r="A509" s="419"/>
      <c r="B509" s="419"/>
      <c r="C509" s="419"/>
      <c r="D509" s="419"/>
      <c r="E509" s="387"/>
      <c r="F509" s="387"/>
      <c r="G509" s="423"/>
      <c r="H509" s="423"/>
      <c r="I509" s="423"/>
      <c r="J509" s="423"/>
      <c r="K509" s="423"/>
      <c r="L509" s="423"/>
      <c r="M509" s="423"/>
      <c r="N509" s="423"/>
      <c r="O509" s="423"/>
      <c r="P509" s="423"/>
      <c r="Q509" s="423"/>
      <c r="R509" s="423"/>
      <c r="S509" s="423"/>
      <c r="T509" s="423"/>
      <c r="U509" s="423"/>
      <c r="V509" s="423"/>
      <c r="W509" s="423"/>
      <c r="X509" s="423"/>
      <c r="Y509" s="423"/>
      <c r="Z509" s="423"/>
      <c r="AA509" s="423"/>
      <c r="AB509" s="423"/>
      <c r="AC509" s="423"/>
      <c r="AD509" s="423"/>
      <c r="AE509" s="423"/>
      <c r="AF509" s="423"/>
      <c r="AG509" s="423"/>
      <c r="AH509" s="423"/>
      <c r="AI509" s="423"/>
    </row>
    <row r="510">
      <c r="A510" s="419"/>
      <c r="B510" s="419"/>
      <c r="C510" s="419"/>
      <c r="D510" s="419"/>
      <c r="E510" s="387"/>
      <c r="F510" s="387"/>
      <c r="G510" s="423"/>
      <c r="H510" s="423"/>
      <c r="I510" s="423"/>
      <c r="J510" s="423"/>
      <c r="K510" s="423"/>
      <c r="L510" s="423"/>
      <c r="M510" s="423"/>
      <c r="N510" s="423"/>
      <c r="O510" s="423"/>
      <c r="P510" s="423"/>
      <c r="Q510" s="423"/>
      <c r="R510" s="423"/>
      <c r="S510" s="423"/>
      <c r="T510" s="423"/>
      <c r="U510" s="423"/>
      <c r="V510" s="423"/>
      <c r="W510" s="423"/>
      <c r="X510" s="423"/>
      <c r="Y510" s="423"/>
      <c r="Z510" s="423"/>
      <c r="AA510" s="423"/>
      <c r="AB510" s="423"/>
      <c r="AC510" s="423"/>
      <c r="AD510" s="423"/>
      <c r="AE510" s="423"/>
      <c r="AF510" s="423"/>
      <c r="AG510" s="423"/>
      <c r="AH510" s="423"/>
      <c r="AI510" s="423"/>
    </row>
    <row r="511">
      <c r="A511" s="419"/>
      <c r="B511" s="419"/>
      <c r="C511" s="419"/>
      <c r="D511" s="419"/>
      <c r="E511" s="387"/>
      <c r="F511" s="387"/>
      <c r="G511" s="423"/>
      <c r="H511" s="423"/>
      <c r="I511" s="423"/>
      <c r="J511" s="423"/>
      <c r="K511" s="423"/>
      <c r="L511" s="423"/>
      <c r="M511" s="423"/>
      <c r="N511" s="423"/>
      <c r="O511" s="423"/>
      <c r="P511" s="423"/>
      <c r="Q511" s="423"/>
      <c r="R511" s="423"/>
      <c r="S511" s="423"/>
      <c r="T511" s="423"/>
      <c r="U511" s="423"/>
      <c r="V511" s="423"/>
      <c r="W511" s="423"/>
      <c r="X511" s="423"/>
      <c r="Y511" s="423"/>
      <c r="Z511" s="423"/>
      <c r="AA511" s="423"/>
      <c r="AB511" s="423"/>
      <c r="AC511" s="423"/>
      <c r="AD511" s="423"/>
      <c r="AE511" s="423"/>
      <c r="AF511" s="423"/>
      <c r="AG511" s="423"/>
      <c r="AH511" s="423"/>
      <c r="AI511" s="423"/>
    </row>
    <row r="512">
      <c r="A512" s="419"/>
      <c r="B512" s="419"/>
      <c r="C512" s="419"/>
      <c r="D512" s="419"/>
      <c r="E512" s="387"/>
      <c r="F512" s="387"/>
      <c r="G512" s="423"/>
      <c r="H512" s="423"/>
      <c r="I512" s="423"/>
      <c r="J512" s="423"/>
      <c r="K512" s="423"/>
      <c r="L512" s="423"/>
      <c r="M512" s="423"/>
      <c r="N512" s="423"/>
      <c r="O512" s="423"/>
      <c r="P512" s="423"/>
      <c r="Q512" s="423"/>
      <c r="R512" s="423"/>
      <c r="S512" s="423"/>
      <c r="T512" s="423"/>
      <c r="U512" s="423"/>
      <c r="V512" s="423"/>
      <c r="W512" s="423"/>
      <c r="X512" s="423"/>
      <c r="Y512" s="423"/>
      <c r="Z512" s="423"/>
      <c r="AA512" s="423"/>
      <c r="AB512" s="423"/>
      <c r="AC512" s="423"/>
      <c r="AD512" s="423"/>
      <c r="AE512" s="423"/>
      <c r="AF512" s="423"/>
      <c r="AG512" s="423"/>
      <c r="AH512" s="423"/>
      <c r="AI512" s="423"/>
    </row>
    <row r="513">
      <c r="A513" s="419"/>
      <c r="B513" s="419"/>
      <c r="C513" s="419"/>
      <c r="D513" s="419"/>
      <c r="E513" s="387"/>
      <c r="F513" s="387"/>
      <c r="G513" s="423"/>
      <c r="H513" s="423"/>
      <c r="I513" s="423"/>
      <c r="J513" s="423"/>
      <c r="K513" s="423"/>
      <c r="L513" s="423"/>
      <c r="M513" s="423"/>
      <c r="N513" s="423"/>
      <c r="O513" s="423"/>
      <c r="P513" s="423"/>
      <c r="Q513" s="423"/>
      <c r="R513" s="423"/>
      <c r="S513" s="423"/>
      <c r="T513" s="423"/>
      <c r="U513" s="423"/>
      <c r="V513" s="423"/>
      <c r="W513" s="423"/>
      <c r="X513" s="423"/>
      <c r="Y513" s="423"/>
      <c r="Z513" s="423"/>
      <c r="AA513" s="423"/>
      <c r="AB513" s="423"/>
      <c r="AC513" s="423"/>
      <c r="AD513" s="423"/>
      <c r="AE513" s="423"/>
      <c r="AF513" s="423"/>
      <c r="AG513" s="423"/>
      <c r="AH513" s="423"/>
      <c r="AI513" s="423"/>
    </row>
    <row r="514">
      <c r="A514" s="419"/>
      <c r="B514" s="419"/>
      <c r="C514" s="419"/>
      <c r="D514" s="419"/>
      <c r="E514" s="387"/>
      <c r="F514" s="387"/>
      <c r="G514" s="423"/>
      <c r="H514" s="423"/>
      <c r="I514" s="423"/>
      <c r="J514" s="423"/>
      <c r="K514" s="423"/>
      <c r="L514" s="423"/>
      <c r="M514" s="423"/>
      <c r="N514" s="423"/>
      <c r="O514" s="423"/>
      <c r="P514" s="423"/>
      <c r="Q514" s="423"/>
      <c r="R514" s="423"/>
      <c r="S514" s="423"/>
      <c r="T514" s="423"/>
      <c r="U514" s="423"/>
      <c r="V514" s="423"/>
      <c r="W514" s="423"/>
      <c r="X514" s="423"/>
      <c r="Y514" s="423"/>
      <c r="Z514" s="423"/>
      <c r="AA514" s="423"/>
      <c r="AB514" s="423"/>
      <c r="AC514" s="423"/>
      <c r="AD514" s="423"/>
      <c r="AE514" s="423"/>
      <c r="AF514" s="423"/>
      <c r="AG514" s="423"/>
      <c r="AH514" s="423"/>
      <c r="AI514" s="423"/>
    </row>
    <row r="515">
      <c r="A515" s="419"/>
      <c r="B515" s="419"/>
      <c r="C515" s="419"/>
      <c r="D515" s="419"/>
      <c r="E515" s="387"/>
      <c r="F515" s="387"/>
      <c r="G515" s="423"/>
      <c r="H515" s="423"/>
      <c r="I515" s="423"/>
      <c r="J515" s="423"/>
      <c r="K515" s="423"/>
      <c r="L515" s="423"/>
      <c r="M515" s="423"/>
      <c r="N515" s="423"/>
      <c r="O515" s="423"/>
      <c r="P515" s="423"/>
      <c r="Q515" s="423"/>
      <c r="R515" s="423"/>
      <c r="S515" s="423"/>
      <c r="T515" s="423"/>
      <c r="U515" s="423"/>
      <c r="V515" s="423"/>
      <c r="W515" s="423"/>
      <c r="X515" s="423"/>
      <c r="Y515" s="423"/>
      <c r="Z515" s="423"/>
      <c r="AA515" s="423"/>
      <c r="AB515" s="423"/>
      <c r="AC515" s="423"/>
      <c r="AD515" s="423"/>
      <c r="AE515" s="423"/>
      <c r="AF515" s="423"/>
      <c r="AG515" s="423"/>
      <c r="AH515" s="423"/>
      <c r="AI515" s="423"/>
    </row>
    <row r="516">
      <c r="A516" s="419"/>
      <c r="B516" s="419"/>
      <c r="C516" s="419"/>
      <c r="D516" s="419"/>
      <c r="E516" s="387"/>
      <c r="F516" s="387"/>
      <c r="G516" s="423"/>
      <c r="H516" s="423"/>
      <c r="I516" s="423"/>
      <c r="J516" s="423"/>
      <c r="K516" s="423"/>
      <c r="L516" s="423"/>
      <c r="M516" s="423"/>
      <c r="N516" s="423"/>
      <c r="O516" s="423"/>
      <c r="P516" s="423"/>
      <c r="Q516" s="423"/>
      <c r="R516" s="423"/>
      <c r="S516" s="423"/>
      <c r="T516" s="423"/>
      <c r="U516" s="423"/>
      <c r="V516" s="423"/>
      <c r="W516" s="423"/>
      <c r="X516" s="423"/>
      <c r="Y516" s="423"/>
      <c r="Z516" s="423"/>
      <c r="AA516" s="423"/>
      <c r="AB516" s="423"/>
      <c r="AC516" s="423"/>
      <c r="AD516" s="423"/>
      <c r="AE516" s="423"/>
      <c r="AF516" s="423"/>
      <c r="AG516" s="423"/>
      <c r="AH516" s="423"/>
      <c r="AI516" s="423"/>
    </row>
    <row r="517">
      <c r="A517" s="419"/>
      <c r="B517" s="419"/>
      <c r="C517" s="419"/>
      <c r="D517" s="419"/>
      <c r="E517" s="387"/>
      <c r="F517" s="387"/>
      <c r="G517" s="423"/>
      <c r="H517" s="423"/>
      <c r="I517" s="423"/>
      <c r="J517" s="423"/>
      <c r="K517" s="423"/>
      <c r="L517" s="423"/>
      <c r="M517" s="423"/>
      <c r="N517" s="423"/>
      <c r="O517" s="423"/>
      <c r="P517" s="423"/>
      <c r="Q517" s="423"/>
      <c r="R517" s="423"/>
      <c r="S517" s="423"/>
      <c r="T517" s="423"/>
      <c r="U517" s="423"/>
      <c r="V517" s="423"/>
      <c r="W517" s="423"/>
      <c r="X517" s="423"/>
      <c r="Y517" s="423"/>
      <c r="Z517" s="423"/>
      <c r="AA517" s="423"/>
      <c r="AB517" s="423"/>
      <c r="AC517" s="423"/>
      <c r="AD517" s="423"/>
      <c r="AE517" s="423"/>
      <c r="AF517" s="423"/>
      <c r="AG517" s="423"/>
      <c r="AH517" s="423"/>
      <c r="AI517" s="423"/>
    </row>
    <row r="518">
      <c r="A518" s="419"/>
      <c r="B518" s="419"/>
      <c r="C518" s="419"/>
      <c r="D518" s="419"/>
      <c r="E518" s="387"/>
      <c r="F518" s="387"/>
      <c r="G518" s="423"/>
      <c r="H518" s="423"/>
      <c r="I518" s="423"/>
      <c r="J518" s="423"/>
      <c r="K518" s="423"/>
      <c r="L518" s="423"/>
      <c r="M518" s="423"/>
      <c r="N518" s="423"/>
      <c r="O518" s="423"/>
      <c r="P518" s="423"/>
      <c r="Q518" s="423"/>
      <c r="R518" s="423"/>
      <c r="S518" s="423"/>
      <c r="T518" s="423"/>
      <c r="U518" s="423"/>
      <c r="V518" s="423"/>
      <c r="W518" s="423"/>
      <c r="X518" s="423"/>
      <c r="Y518" s="423"/>
      <c r="Z518" s="423"/>
      <c r="AA518" s="423"/>
      <c r="AB518" s="423"/>
      <c r="AC518" s="423"/>
      <c r="AD518" s="423"/>
      <c r="AE518" s="423"/>
      <c r="AF518" s="423"/>
      <c r="AG518" s="423"/>
      <c r="AH518" s="423"/>
      <c r="AI518" s="423"/>
    </row>
    <row r="519">
      <c r="A519" s="419"/>
      <c r="B519" s="419"/>
      <c r="C519" s="419"/>
      <c r="D519" s="419"/>
      <c r="E519" s="387"/>
      <c r="F519" s="387"/>
      <c r="G519" s="423"/>
      <c r="H519" s="423"/>
      <c r="I519" s="423"/>
      <c r="J519" s="423"/>
      <c r="K519" s="423"/>
      <c r="L519" s="423"/>
      <c r="M519" s="423"/>
      <c r="N519" s="423"/>
      <c r="O519" s="423"/>
      <c r="P519" s="423"/>
      <c r="Q519" s="423"/>
      <c r="R519" s="423"/>
      <c r="S519" s="423"/>
      <c r="T519" s="423"/>
      <c r="U519" s="423"/>
      <c r="V519" s="423"/>
      <c r="W519" s="423"/>
      <c r="X519" s="423"/>
      <c r="Y519" s="423"/>
      <c r="Z519" s="423"/>
      <c r="AA519" s="423"/>
      <c r="AB519" s="423"/>
      <c r="AC519" s="423"/>
      <c r="AD519" s="423"/>
      <c r="AE519" s="423"/>
      <c r="AF519" s="423"/>
      <c r="AG519" s="423"/>
      <c r="AH519" s="423"/>
      <c r="AI519" s="423"/>
    </row>
    <row r="520">
      <c r="A520" s="419"/>
      <c r="B520" s="419"/>
      <c r="C520" s="419"/>
      <c r="D520" s="419"/>
      <c r="E520" s="387"/>
      <c r="F520" s="387"/>
      <c r="G520" s="423"/>
      <c r="H520" s="423"/>
      <c r="I520" s="423"/>
      <c r="J520" s="423"/>
      <c r="K520" s="423"/>
      <c r="L520" s="423"/>
      <c r="M520" s="423"/>
      <c r="N520" s="423"/>
      <c r="O520" s="423"/>
      <c r="P520" s="423"/>
      <c r="Q520" s="423"/>
      <c r="R520" s="423"/>
      <c r="S520" s="423"/>
      <c r="T520" s="423"/>
      <c r="U520" s="423"/>
      <c r="V520" s="423"/>
      <c r="W520" s="423"/>
      <c r="X520" s="423"/>
      <c r="Y520" s="423"/>
      <c r="Z520" s="423"/>
      <c r="AA520" s="423"/>
      <c r="AB520" s="423"/>
      <c r="AC520" s="423"/>
      <c r="AD520" s="423"/>
      <c r="AE520" s="423"/>
      <c r="AF520" s="423"/>
      <c r="AG520" s="423"/>
      <c r="AH520" s="423"/>
      <c r="AI520" s="423"/>
    </row>
    <row r="521">
      <c r="A521" s="419"/>
      <c r="B521" s="419"/>
      <c r="C521" s="419"/>
      <c r="D521" s="419"/>
      <c r="E521" s="387"/>
      <c r="F521" s="387"/>
      <c r="G521" s="423"/>
      <c r="H521" s="423"/>
      <c r="I521" s="423"/>
      <c r="J521" s="423"/>
      <c r="K521" s="423"/>
      <c r="L521" s="423"/>
      <c r="M521" s="423"/>
      <c r="N521" s="423"/>
      <c r="O521" s="423"/>
      <c r="P521" s="423"/>
      <c r="Q521" s="423"/>
      <c r="R521" s="423"/>
      <c r="S521" s="423"/>
      <c r="T521" s="423"/>
      <c r="U521" s="423"/>
      <c r="V521" s="423"/>
      <c r="W521" s="423"/>
      <c r="X521" s="423"/>
      <c r="Y521" s="423"/>
      <c r="Z521" s="423"/>
      <c r="AA521" s="423"/>
      <c r="AB521" s="423"/>
      <c r="AC521" s="423"/>
      <c r="AD521" s="423"/>
      <c r="AE521" s="423"/>
      <c r="AF521" s="423"/>
      <c r="AG521" s="423"/>
      <c r="AH521" s="423"/>
      <c r="AI521" s="423"/>
    </row>
    <row r="522">
      <c r="A522" s="419"/>
      <c r="B522" s="419"/>
      <c r="C522" s="419"/>
      <c r="D522" s="419"/>
      <c r="E522" s="387"/>
      <c r="F522" s="387"/>
      <c r="G522" s="423"/>
      <c r="H522" s="423"/>
      <c r="I522" s="423"/>
      <c r="J522" s="423"/>
      <c r="K522" s="423"/>
      <c r="L522" s="423"/>
      <c r="M522" s="423"/>
      <c r="N522" s="423"/>
      <c r="O522" s="423"/>
      <c r="P522" s="423"/>
      <c r="Q522" s="423"/>
      <c r="R522" s="423"/>
      <c r="S522" s="423"/>
      <c r="T522" s="423"/>
      <c r="U522" s="423"/>
      <c r="V522" s="423"/>
      <c r="W522" s="423"/>
      <c r="X522" s="423"/>
      <c r="Y522" s="423"/>
      <c r="Z522" s="423"/>
      <c r="AA522" s="423"/>
      <c r="AB522" s="423"/>
      <c r="AC522" s="423"/>
      <c r="AD522" s="423"/>
      <c r="AE522" s="423"/>
      <c r="AF522" s="423"/>
      <c r="AG522" s="423"/>
      <c r="AH522" s="423"/>
      <c r="AI522" s="423"/>
    </row>
    <row r="523">
      <c r="A523" s="419"/>
      <c r="B523" s="419"/>
      <c r="C523" s="419"/>
      <c r="D523" s="419"/>
      <c r="E523" s="387"/>
      <c r="F523" s="387"/>
      <c r="G523" s="423"/>
      <c r="H523" s="423"/>
      <c r="I523" s="423"/>
      <c r="J523" s="423"/>
      <c r="K523" s="423"/>
      <c r="L523" s="423"/>
      <c r="M523" s="423"/>
      <c r="N523" s="423"/>
      <c r="O523" s="423"/>
      <c r="P523" s="423"/>
      <c r="Q523" s="423"/>
      <c r="R523" s="423"/>
      <c r="S523" s="423"/>
      <c r="T523" s="423"/>
      <c r="U523" s="423"/>
      <c r="V523" s="423"/>
      <c r="W523" s="423"/>
      <c r="X523" s="423"/>
      <c r="Y523" s="423"/>
      <c r="Z523" s="423"/>
      <c r="AA523" s="423"/>
      <c r="AB523" s="423"/>
      <c r="AC523" s="423"/>
      <c r="AD523" s="423"/>
      <c r="AE523" s="423"/>
      <c r="AF523" s="423"/>
      <c r="AG523" s="423"/>
      <c r="AH523" s="423"/>
      <c r="AI523" s="423"/>
    </row>
    <row r="524">
      <c r="A524" s="419"/>
      <c r="B524" s="419"/>
      <c r="C524" s="419"/>
      <c r="D524" s="419"/>
      <c r="E524" s="387"/>
      <c r="F524" s="387"/>
      <c r="G524" s="423"/>
      <c r="H524" s="423"/>
      <c r="I524" s="423"/>
      <c r="J524" s="423"/>
      <c r="K524" s="423"/>
      <c r="L524" s="423"/>
      <c r="M524" s="423"/>
      <c r="N524" s="423"/>
      <c r="O524" s="423"/>
      <c r="P524" s="423"/>
      <c r="Q524" s="423"/>
      <c r="R524" s="423"/>
      <c r="S524" s="423"/>
      <c r="T524" s="423"/>
      <c r="U524" s="423"/>
      <c r="V524" s="423"/>
      <c r="W524" s="423"/>
      <c r="X524" s="423"/>
      <c r="Y524" s="423"/>
      <c r="Z524" s="423"/>
      <c r="AA524" s="423"/>
      <c r="AB524" s="423"/>
      <c r="AC524" s="423"/>
      <c r="AD524" s="423"/>
      <c r="AE524" s="423"/>
      <c r="AF524" s="423"/>
      <c r="AG524" s="423"/>
      <c r="AH524" s="423"/>
      <c r="AI524" s="423"/>
    </row>
    <row r="525">
      <c r="A525" s="419"/>
      <c r="B525" s="419"/>
      <c r="C525" s="419"/>
      <c r="D525" s="419"/>
      <c r="E525" s="387"/>
      <c r="F525" s="387"/>
      <c r="G525" s="423"/>
      <c r="H525" s="423"/>
      <c r="I525" s="423"/>
      <c r="J525" s="423"/>
      <c r="K525" s="423"/>
      <c r="L525" s="423"/>
      <c r="M525" s="423"/>
      <c r="N525" s="423"/>
      <c r="O525" s="423"/>
      <c r="P525" s="423"/>
      <c r="Q525" s="423"/>
      <c r="R525" s="423"/>
      <c r="S525" s="423"/>
      <c r="T525" s="423"/>
      <c r="U525" s="423"/>
      <c r="V525" s="423"/>
      <c r="W525" s="423"/>
      <c r="X525" s="423"/>
      <c r="Y525" s="423"/>
      <c r="Z525" s="423"/>
      <c r="AA525" s="423"/>
      <c r="AB525" s="423"/>
      <c r="AC525" s="423"/>
      <c r="AD525" s="423"/>
      <c r="AE525" s="423"/>
      <c r="AF525" s="423"/>
      <c r="AG525" s="423"/>
      <c r="AH525" s="423"/>
      <c r="AI525" s="423"/>
    </row>
    <row r="526">
      <c r="A526" s="419"/>
      <c r="B526" s="419"/>
      <c r="C526" s="419"/>
      <c r="D526" s="419"/>
      <c r="E526" s="387"/>
      <c r="F526" s="387"/>
      <c r="G526" s="423"/>
      <c r="H526" s="423"/>
      <c r="I526" s="423"/>
      <c r="J526" s="423"/>
      <c r="K526" s="423"/>
      <c r="L526" s="423"/>
      <c r="M526" s="423"/>
      <c r="N526" s="423"/>
      <c r="O526" s="423"/>
      <c r="P526" s="423"/>
      <c r="Q526" s="423"/>
      <c r="R526" s="423"/>
      <c r="S526" s="423"/>
      <c r="T526" s="423"/>
      <c r="U526" s="423"/>
      <c r="V526" s="423"/>
      <c r="W526" s="423"/>
      <c r="X526" s="423"/>
      <c r="Y526" s="423"/>
      <c r="Z526" s="423"/>
      <c r="AA526" s="423"/>
      <c r="AB526" s="423"/>
      <c r="AC526" s="423"/>
      <c r="AD526" s="423"/>
      <c r="AE526" s="423"/>
      <c r="AF526" s="423"/>
      <c r="AG526" s="423"/>
      <c r="AH526" s="423"/>
      <c r="AI526" s="423"/>
    </row>
    <row r="527">
      <c r="A527" s="419"/>
      <c r="B527" s="419"/>
      <c r="C527" s="419"/>
      <c r="D527" s="419"/>
      <c r="E527" s="387"/>
      <c r="F527" s="387"/>
      <c r="G527" s="423"/>
      <c r="H527" s="423"/>
      <c r="I527" s="423"/>
      <c r="J527" s="423"/>
      <c r="K527" s="423"/>
      <c r="L527" s="423"/>
      <c r="M527" s="423"/>
      <c r="N527" s="423"/>
      <c r="O527" s="423"/>
      <c r="P527" s="423"/>
      <c r="Q527" s="423"/>
      <c r="R527" s="423"/>
      <c r="S527" s="423"/>
      <c r="T527" s="423"/>
      <c r="U527" s="423"/>
      <c r="V527" s="423"/>
      <c r="W527" s="423"/>
      <c r="X527" s="423"/>
      <c r="Y527" s="423"/>
      <c r="Z527" s="423"/>
      <c r="AA527" s="423"/>
      <c r="AB527" s="423"/>
      <c r="AC527" s="423"/>
      <c r="AD527" s="423"/>
      <c r="AE527" s="423"/>
      <c r="AF527" s="423"/>
      <c r="AG527" s="423"/>
      <c r="AH527" s="423"/>
      <c r="AI527" s="423"/>
    </row>
    <row r="528">
      <c r="A528" s="419"/>
      <c r="B528" s="419"/>
      <c r="C528" s="419"/>
      <c r="D528" s="419"/>
      <c r="E528" s="387"/>
      <c r="F528" s="387"/>
      <c r="G528" s="423"/>
      <c r="H528" s="423"/>
      <c r="I528" s="423"/>
      <c r="J528" s="423"/>
      <c r="K528" s="423"/>
      <c r="L528" s="423"/>
      <c r="M528" s="423"/>
      <c r="N528" s="423"/>
      <c r="O528" s="423"/>
      <c r="P528" s="423"/>
      <c r="Q528" s="423"/>
      <c r="R528" s="423"/>
      <c r="S528" s="423"/>
      <c r="T528" s="423"/>
      <c r="U528" s="423"/>
      <c r="V528" s="423"/>
      <c r="W528" s="423"/>
      <c r="X528" s="423"/>
      <c r="Y528" s="423"/>
      <c r="Z528" s="423"/>
      <c r="AA528" s="423"/>
      <c r="AB528" s="423"/>
      <c r="AC528" s="423"/>
      <c r="AD528" s="423"/>
      <c r="AE528" s="423"/>
      <c r="AF528" s="423"/>
      <c r="AG528" s="423"/>
      <c r="AH528" s="423"/>
      <c r="AI528" s="423"/>
    </row>
    <row r="529">
      <c r="A529" s="419"/>
      <c r="B529" s="419"/>
      <c r="C529" s="419"/>
      <c r="D529" s="419"/>
      <c r="E529" s="387"/>
      <c r="F529" s="387"/>
      <c r="G529" s="423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423"/>
      <c r="U529" s="423"/>
      <c r="V529" s="423"/>
      <c r="W529" s="423"/>
      <c r="X529" s="423"/>
      <c r="Y529" s="423"/>
      <c r="Z529" s="423"/>
      <c r="AA529" s="423"/>
      <c r="AB529" s="423"/>
      <c r="AC529" s="423"/>
      <c r="AD529" s="423"/>
      <c r="AE529" s="423"/>
      <c r="AF529" s="423"/>
      <c r="AG529" s="423"/>
      <c r="AH529" s="423"/>
      <c r="AI529" s="423"/>
    </row>
    <row r="530">
      <c r="A530" s="419"/>
      <c r="B530" s="419"/>
      <c r="C530" s="419"/>
      <c r="D530" s="419"/>
      <c r="E530" s="387"/>
      <c r="F530" s="387"/>
      <c r="G530" s="423"/>
      <c r="H530" s="423"/>
      <c r="I530" s="423"/>
      <c r="J530" s="423"/>
      <c r="K530" s="423"/>
      <c r="L530" s="423"/>
      <c r="M530" s="423"/>
      <c r="N530" s="423"/>
      <c r="O530" s="423"/>
      <c r="P530" s="423"/>
      <c r="Q530" s="423"/>
      <c r="R530" s="423"/>
      <c r="S530" s="423"/>
      <c r="T530" s="423"/>
      <c r="U530" s="423"/>
      <c r="V530" s="423"/>
      <c r="W530" s="423"/>
      <c r="X530" s="423"/>
      <c r="Y530" s="423"/>
      <c r="Z530" s="423"/>
      <c r="AA530" s="423"/>
      <c r="AB530" s="423"/>
      <c r="AC530" s="423"/>
      <c r="AD530" s="423"/>
      <c r="AE530" s="423"/>
      <c r="AF530" s="423"/>
      <c r="AG530" s="423"/>
      <c r="AH530" s="423"/>
      <c r="AI530" s="423"/>
    </row>
    <row r="531">
      <c r="A531" s="419"/>
      <c r="B531" s="419"/>
      <c r="C531" s="419"/>
      <c r="D531" s="419"/>
      <c r="E531" s="387"/>
      <c r="F531" s="387"/>
      <c r="G531" s="423"/>
      <c r="H531" s="423"/>
      <c r="I531" s="423"/>
      <c r="J531" s="423"/>
      <c r="K531" s="423"/>
      <c r="L531" s="423"/>
      <c r="M531" s="423"/>
      <c r="N531" s="423"/>
      <c r="O531" s="423"/>
      <c r="P531" s="423"/>
      <c r="Q531" s="423"/>
      <c r="R531" s="423"/>
      <c r="S531" s="423"/>
      <c r="T531" s="423"/>
      <c r="U531" s="423"/>
      <c r="V531" s="423"/>
      <c r="W531" s="423"/>
      <c r="X531" s="423"/>
      <c r="Y531" s="423"/>
      <c r="Z531" s="423"/>
      <c r="AA531" s="423"/>
      <c r="AB531" s="423"/>
      <c r="AC531" s="423"/>
      <c r="AD531" s="423"/>
      <c r="AE531" s="423"/>
      <c r="AF531" s="423"/>
      <c r="AG531" s="423"/>
      <c r="AH531" s="423"/>
      <c r="AI531" s="423"/>
    </row>
    <row r="532">
      <c r="A532" s="419"/>
      <c r="B532" s="419"/>
      <c r="C532" s="419"/>
      <c r="D532" s="419"/>
      <c r="E532" s="387"/>
      <c r="F532" s="387"/>
      <c r="G532" s="423"/>
      <c r="H532" s="423"/>
      <c r="I532" s="423"/>
      <c r="J532" s="423"/>
      <c r="K532" s="423"/>
      <c r="L532" s="423"/>
      <c r="M532" s="423"/>
      <c r="N532" s="423"/>
      <c r="O532" s="423"/>
      <c r="P532" s="423"/>
      <c r="Q532" s="423"/>
      <c r="R532" s="423"/>
      <c r="S532" s="423"/>
      <c r="T532" s="423"/>
      <c r="U532" s="423"/>
      <c r="V532" s="423"/>
      <c r="W532" s="423"/>
      <c r="X532" s="423"/>
      <c r="Y532" s="423"/>
      <c r="Z532" s="423"/>
      <c r="AA532" s="423"/>
      <c r="AB532" s="423"/>
      <c r="AC532" s="423"/>
      <c r="AD532" s="423"/>
      <c r="AE532" s="423"/>
      <c r="AF532" s="423"/>
      <c r="AG532" s="423"/>
      <c r="AH532" s="423"/>
      <c r="AI532" s="423"/>
    </row>
    <row r="533">
      <c r="A533" s="419"/>
      <c r="B533" s="419"/>
      <c r="C533" s="419"/>
      <c r="D533" s="419"/>
      <c r="E533" s="387"/>
      <c r="F533" s="387"/>
      <c r="G533" s="423"/>
      <c r="H533" s="423"/>
      <c r="I533" s="423"/>
      <c r="J533" s="423"/>
      <c r="K533" s="423"/>
      <c r="L533" s="423"/>
      <c r="M533" s="423"/>
      <c r="N533" s="423"/>
      <c r="O533" s="423"/>
      <c r="P533" s="423"/>
      <c r="Q533" s="423"/>
      <c r="R533" s="423"/>
      <c r="S533" s="423"/>
      <c r="T533" s="423"/>
      <c r="U533" s="423"/>
      <c r="V533" s="423"/>
      <c r="W533" s="423"/>
      <c r="X533" s="423"/>
      <c r="Y533" s="423"/>
      <c r="Z533" s="423"/>
      <c r="AA533" s="423"/>
      <c r="AB533" s="423"/>
      <c r="AC533" s="423"/>
      <c r="AD533" s="423"/>
      <c r="AE533" s="423"/>
      <c r="AF533" s="423"/>
      <c r="AG533" s="423"/>
      <c r="AH533" s="423"/>
      <c r="AI533" s="423"/>
    </row>
    <row r="534">
      <c r="A534" s="419"/>
      <c r="B534" s="419"/>
      <c r="C534" s="419"/>
      <c r="D534" s="419"/>
      <c r="E534" s="387"/>
      <c r="F534" s="387"/>
      <c r="G534" s="423"/>
      <c r="H534" s="423"/>
      <c r="I534" s="423"/>
      <c r="J534" s="423"/>
      <c r="K534" s="423"/>
      <c r="L534" s="423"/>
      <c r="M534" s="423"/>
      <c r="N534" s="423"/>
      <c r="O534" s="423"/>
      <c r="P534" s="423"/>
      <c r="Q534" s="423"/>
      <c r="R534" s="423"/>
      <c r="S534" s="423"/>
      <c r="T534" s="423"/>
      <c r="U534" s="423"/>
      <c r="V534" s="423"/>
      <c r="W534" s="423"/>
      <c r="X534" s="423"/>
      <c r="Y534" s="423"/>
      <c r="Z534" s="423"/>
      <c r="AA534" s="423"/>
      <c r="AB534" s="423"/>
      <c r="AC534" s="423"/>
      <c r="AD534" s="423"/>
      <c r="AE534" s="423"/>
      <c r="AF534" s="423"/>
      <c r="AG534" s="423"/>
      <c r="AH534" s="423"/>
      <c r="AI534" s="423"/>
    </row>
    <row r="535">
      <c r="A535" s="419"/>
      <c r="B535" s="419"/>
      <c r="C535" s="419"/>
      <c r="D535" s="419"/>
      <c r="E535" s="387"/>
      <c r="F535" s="387"/>
      <c r="G535" s="423"/>
      <c r="H535" s="423"/>
      <c r="I535" s="423"/>
      <c r="J535" s="423"/>
      <c r="K535" s="423"/>
      <c r="L535" s="423"/>
      <c r="M535" s="423"/>
      <c r="N535" s="423"/>
      <c r="O535" s="423"/>
      <c r="P535" s="423"/>
      <c r="Q535" s="423"/>
      <c r="R535" s="423"/>
      <c r="S535" s="423"/>
      <c r="T535" s="423"/>
      <c r="U535" s="423"/>
      <c r="V535" s="423"/>
      <c r="W535" s="423"/>
      <c r="X535" s="423"/>
      <c r="Y535" s="423"/>
      <c r="Z535" s="423"/>
      <c r="AA535" s="423"/>
      <c r="AB535" s="423"/>
      <c r="AC535" s="423"/>
      <c r="AD535" s="423"/>
      <c r="AE535" s="423"/>
      <c r="AF535" s="423"/>
      <c r="AG535" s="423"/>
      <c r="AH535" s="423"/>
      <c r="AI535" s="423"/>
    </row>
    <row r="536">
      <c r="A536" s="419"/>
      <c r="B536" s="419"/>
      <c r="C536" s="419"/>
      <c r="D536" s="419"/>
      <c r="E536" s="387"/>
      <c r="F536" s="387"/>
      <c r="G536" s="423"/>
      <c r="H536" s="423"/>
      <c r="I536" s="423"/>
      <c r="J536" s="423"/>
      <c r="K536" s="423"/>
      <c r="L536" s="423"/>
      <c r="M536" s="423"/>
      <c r="N536" s="423"/>
      <c r="O536" s="423"/>
      <c r="P536" s="423"/>
      <c r="Q536" s="423"/>
      <c r="R536" s="423"/>
      <c r="S536" s="423"/>
      <c r="T536" s="423"/>
      <c r="U536" s="423"/>
      <c r="V536" s="423"/>
      <c r="W536" s="423"/>
      <c r="X536" s="423"/>
      <c r="Y536" s="423"/>
      <c r="Z536" s="423"/>
      <c r="AA536" s="423"/>
      <c r="AB536" s="423"/>
      <c r="AC536" s="423"/>
      <c r="AD536" s="423"/>
      <c r="AE536" s="423"/>
      <c r="AF536" s="423"/>
      <c r="AG536" s="423"/>
      <c r="AH536" s="423"/>
      <c r="AI536" s="423"/>
    </row>
    <row r="537">
      <c r="A537" s="419"/>
      <c r="B537" s="419"/>
      <c r="C537" s="419"/>
      <c r="D537" s="419"/>
      <c r="E537" s="387"/>
      <c r="F537" s="387"/>
      <c r="G537" s="423"/>
      <c r="H537" s="423"/>
      <c r="I537" s="423"/>
      <c r="J537" s="423"/>
      <c r="K537" s="423"/>
      <c r="L537" s="423"/>
      <c r="M537" s="423"/>
      <c r="N537" s="423"/>
      <c r="O537" s="423"/>
      <c r="P537" s="423"/>
      <c r="Q537" s="423"/>
      <c r="R537" s="423"/>
      <c r="S537" s="423"/>
      <c r="T537" s="423"/>
      <c r="U537" s="423"/>
      <c r="V537" s="423"/>
      <c r="W537" s="423"/>
      <c r="X537" s="423"/>
      <c r="Y537" s="423"/>
      <c r="Z537" s="423"/>
      <c r="AA537" s="423"/>
      <c r="AB537" s="423"/>
      <c r="AC537" s="423"/>
      <c r="AD537" s="423"/>
      <c r="AE537" s="423"/>
      <c r="AF537" s="423"/>
      <c r="AG537" s="423"/>
      <c r="AH537" s="423"/>
      <c r="AI537" s="423"/>
    </row>
    <row r="538">
      <c r="A538" s="419"/>
      <c r="B538" s="419"/>
      <c r="C538" s="419"/>
      <c r="D538" s="419"/>
      <c r="E538" s="387"/>
      <c r="F538" s="387"/>
      <c r="G538" s="423"/>
      <c r="H538" s="423"/>
      <c r="I538" s="423"/>
      <c r="J538" s="423"/>
      <c r="K538" s="423"/>
      <c r="L538" s="423"/>
      <c r="M538" s="423"/>
      <c r="N538" s="423"/>
      <c r="O538" s="423"/>
      <c r="P538" s="423"/>
      <c r="Q538" s="423"/>
      <c r="R538" s="423"/>
      <c r="S538" s="423"/>
      <c r="T538" s="423"/>
      <c r="U538" s="423"/>
      <c r="V538" s="423"/>
      <c r="W538" s="423"/>
      <c r="X538" s="423"/>
      <c r="Y538" s="423"/>
      <c r="Z538" s="423"/>
      <c r="AA538" s="423"/>
      <c r="AB538" s="423"/>
      <c r="AC538" s="423"/>
      <c r="AD538" s="423"/>
      <c r="AE538" s="423"/>
      <c r="AF538" s="423"/>
      <c r="AG538" s="423"/>
      <c r="AH538" s="423"/>
      <c r="AI538" s="423"/>
    </row>
    <row r="539">
      <c r="A539" s="419"/>
      <c r="B539" s="419"/>
      <c r="C539" s="419"/>
      <c r="D539" s="419"/>
      <c r="E539" s="387"/>
      <c r="F539" s="387"/>
      <c r="G539" s="423"/>
      <c r="H539" s="423"/>
      <c r="I539" s="423"/>
      <c r="J539" s="423"/>
      <c r="K539" s="423"/>
      <c r="L539" s="423"/>
      <c r="M539" s="423"/>
      <c r="N539" s="423"/>
      <c r="O539" s="423"/>
      <c r="P539" s="423"/>
      <c r="Q539" s="423"/>
      <c r="R539" s="423"/>
      <c r="S539" s="423"/>
      <c r="T539" s="423"/>
      <c r="U539" s="423"/>
      <c r="V539" s="423"/>
      <c r="W539" s="423"/>
      <c r="X539" s="423"/>
      <c r="Y539" s="423"/>
      <c r="Z539" s="423"/>
      <c r="AA539" s="423"/>
      <c r="AB539" s="423"/>
      <c r="AC539" s="423"/>
      <c r="AD539" s="423"/>
      <c r="AE539" s="423"/>
      <c r="AF539" s="423"/>
      <c r="AG539" s="423"/>
      <c r="AH539" s="423"/>
      <c r="AI539" s="423"/>
    </row>
    <row r="540">
      <c r="A540" s="419"/>
      <c r="B540" s="419"/>
      <c r="C540" s="419"/>
      <c r="D540" s="419"/>
      <c r="E540" s="387"/>
      <c r="F540" s="387"/>
      <c r="G540" s="423"/>
      <c r="H540" s="423"/>
      <c r="I540" s="423"/>
      <c r="J540" s="423"/>
      <c r="K540" s="423"/>
      <c r="L540" s="423"/>
      <c r="M540" s="423"/>
      <c r="N540" s="423"/>
      <c r="O540" s="423"/>
      <c r="P540" s="423"/>
      <c r="Q540" s="423"/>
      <c r="R540" s="423"/>
      <c r="S540" s="423"/>
      <c r="T540" s="423"/>
      <c r="U540" s="423"/>
      <c r="V540" s="423"/>
      <c r="W540" s="423"/>
      <c r="X540" s="423"/>
      <c r="Y540" s="423"/>
      <c r="Z540" s="423"/>
      <c r="AA540" s="423"/>
      <c r="AB540" s="423"/>
      <c r="AC540" s="423"/>
      <c r="AD540" s="423"/>
      <c r="AE540" s="423"/>
      <c r="AF540" s="423"/>
      <c r="AG540" s="423"/>
      <c r="AH540" s="423"/>
      <c r="AI540" s="423"/>
    </row>
    <row r="541">
      <c r="A541" s="419"/>
      <c r="B541" s="419"/>
      <c r="C541" s="419"/>
      <c r="D541" s="419"/>
      <c r="E541" s="387"/>
      <c r="F541" s="387"/>
      <c r="G541" s="423"/>
      <c r="H541" s="423"/>
      <c r="I541" s="423"/>
      <c r="J541" s="423"/>
      <c r="K541" s="423"/>
      <c r="L541" s="423"/>
      <c r="M541" s="423"/>
      <c r="N541" s="423"/>
      <c r="O541" s="423"/>
      <c r="P541" s="423"/>
      <c r="Q541" s="423"/>
      <c r="R541" s="423"/>
      <c r="S541" s="423"/>
      <c r="T541" s="423"/>
      <c r="U541" s="423"/>
      <c r="V541" s="423"/>
      <c r="W541" s="423"/>
      <c r="X541" s="423"/>
      <c r="Y541" s="423"/>
      <c r="Z541" s="423"/>
      <c r="AA541" s="423"/>
      <c r="AB541" s="423"/>
      <c r="AC541" s="423"/>
      <c r="AD541" s="423"/>
      <c r="AE541" s="423"/>
      <c r="AF541" s="423"/>
      <c r="AG541" s="423"/>
      <c r="AH541" s="423"/>
      <c r="AI541" s="423"/>
    </row>
    <row r="542">
      <c r="A542" s="419"/>
      <c r="B542" s="419"/>
      <c r="C542" s="419"/>
      <c r="D542" s="419"/>
      <c r="E542" s="387"/>
      <c r="F542" s="387"/>
      <c r="G542" s="423"/>
      <c r="H542" s="423"/>
      <c r="I542" s="423"/>
      <c r="J542" s="423"/>
      <c r="K542" s="423"/>
      <c r="L542" s="423"/>
      <c r="M542" s="423"/>
      <c r="N542" s="423"/>
      <c r="O542" s="423"/>
      <c r="P542" s="423"/>
      <c r="Q542" s="423"/>
      <c r="R542" s="423"/>
      <c r="S542" s="423"/>
      <c r="T542" s="423"/>
      <c r="U542" s="423"/>
      <c r="V542" s="423"/>
      <c r="W542" s="423"/>
      <c r="X542" s="423"/>
      <c r="Y542" s="423"/>
      <c r="Z542" s="423"/>
      <c r="AA542" s="423"/>
      <c r="AB542" s="423"/>
      <c r="AC542" s="423"/>
      <c r="AD542" s="423"/>
      <c r="AE542" s="423"/>
      <c r="AF542" s="423"/>
      <c r="AG542" s="423"/>
      <c r="AH542" s="423"/>
      <c r="AI542" s="423"/>
    </row>
    <row r="543">
      <c r="A543" s="419"/>
      <c r="B543" s="419"/>
      <c r="C543" s="419"/>
      <c r="D543" s="419"/>
      <c r="E543" s="387"/>
      <c r="F543" s="387"/>
      <c r="G543" s="423"/>
      <c r="H543" s="423"/>
      <c r="I543" s="423"/>
      <c r="J543" s="423"/>
      <c r="K543" s="423"/>
      <c r="L543" s="423"/>
      <c r="M543" s="423"/>
      <c r="N543" s="423"/>
      <c r="O543" s="423"/>
      <c r="P543" s="423"/>
      <c r="Q543" s="423"/>
      <c r="R543" s="423"/>
      <c r="S543" s="423"/>
      <c r="T543" s="423"/>
      <c r="U543" s="423"/>
      <c r="V543" s="423"/>
      <c r="W543" s="423"/>
      <c r="X543" s="423"/>
      <c r="Y543" s="423"/>
      <c r="Z543" s="423"/>
      <c r="AA543" s="423"/>
      <c r="AB543" s="423"/>
      <c r="AC543" s="423"/>
      <c r="AD543" s="423"/>
      <c r="AE543" s="423"/>
      <c r="AF543" s="423"/>
      <c r="AG543" s="423"/>
      <c r="AH543" s="423"/>
      <c r="AI543" s="423"/>
    </row>
    <row r="544">
      <c r="A544" s="419"/>
      <c r="B544" s="419"/>
      <c r="C544" s="419"/>
      <c r="D544" s="419"/>
      <c r="E544" s="387"/>
      <c r="F544" s="387"/>
      <c r="G544" s="423"/>
      <c r="H544" s="423"/>
      <c r="I544" s="423"/>
      <c r="J544" s="423"/>
      <c r="K544" s="423"/>
      <c r="L544" s="423"/>
      <c r="M544" s="423"/>
      <c r="N544" s="423"/>
      <c r="O544" s="423"/>
      <c r="P544" s="423"/>
      <c r="Q544" s="423"/>
      <c r="R544" s="423"/>
      <c r="S544" s="423"/>
      <c r="T544" s="423"/>
      <c r="U544" s="423"/>
      <c r="V544" s="423"/>
      <c r="W544" s="423"/>
      <c r="X544" s="423"/>
      <c r="Y544" s="423"/>
      <c r="Z544" s="423"/>
      <c r="AA544" s="423"/>
      <c r="AB544" s="423"/>
      <c r="AC544" s="423"/>
      <c r="AD544" s="423"/>
      <c r="AE544" s="423"/>
      <c r="AF544" s="423"/>
      <c r="AG544" s="423"/>
      <c r="AH544" s="423"/>
      <c r="AI544" s="423"/>
    </row>
    <row r="545">
      <c r="A545" s="419"/>
      <c r="B545" s="419"/>
      <c r="C545" s="419"/>
      <c r="D545" s="419"/>
      <c r="E545" s="387"/>
      <c r="F545" s="387"/>
      <c r="G545" s="423"/>
      <c r="H545" s="423"/>
      <c r="I545" s="423"/>
      <c r="J545" s="423"/>
      <c r="K545" s="423"/>
      <c r="L545" s="423"/>
      <c r="M545" s="423"/>
      <c r="N545" s="423"/>
      <c r="O545" s="423"/>
      <c r="P545" s="423"/>
      <c r="Q545" s="423"/>
      <c r="R545" s="423"/>
      <c r="S545" s="423"/>
      <c r="T545" s="423"/>
      <c r="U545" s="423"/>
      <c r="V545" s="423"/>
      <c r="W545" s="423"/>
      <c r="X545" s="423"/>
      <c r="Y545" s="423"/>
      <c r="Z545" s="423"/>
      <c r="AA545" s="423"/>
      <c r="AB545" s="423"/>
      <c r="AC545" s="423"/>
      <c r="AD545" s="423"/>
      <c r="AE545" s="423"/>
      <c r="AF545" s="423"/>
      <c r="AG545" s="423"/>
      <c r="AH545" s="423"/>
      <c r="AI545" s="423"/>
    </row>
    <row r="546">
      <c r="A546" s="419"/>
      <c r="B546" s="419"/>
      <c r="C546" s="419"/>
      <c r="D546" s="419"/>
      <c r="E546" s="387"/>
      <c r="F546" s="387"/>
      <c r="G546" s="423"/>
      <c r="H546" s="423"/>
      <c r="I546" s="423"/>
      <c r="J546" s="423"/>
      <c r="K546" s="423"/>
      <c r="L546" s="423"/>
      <c r="M546" s="423"/>
      <c r="N546" s="423"/>
      <c r="O546" s="423"/>
      <c r="P546" s="423"/>
      <c r="Q546" s="423"/>
      <c r="R546" s="423"/>
      <c r="S546" s="423"/>
      <c r="T546" s="423"/>
      <c r="U546" s="423"/>
      <c r="V546" s="423"/>
      <c r="W546" s="423"/>
      <c r="X546" s="423"/>
      <c r="Y546" s="423"/>
      <c r="Z546" s="423"/>
      <c r="AA546" s="423"/>
      <c r="AB546" s="423"/>
      <c r="AC546" s="423"/>
      <c r="AD546" s="423"/>
      <c r="AE546" s="423"/>
      <c r="AF546" s="423"/>
      <c r="AG546" s="423"/>
      <c r="AH546" s="423"/>
      <c r="AI546" s="423"/>
    </row>
    <row r="547">
      <c r="A547" s="419"/>
      <c r="B547" s="419"/>
      <c r="C547" s="419"/>
      <c r="D547" s="419"/>
      <c r="E547" s="387"/>
      <c r="F547" s="387"/>
      <c r="G547" s="423"/>
      <c r="H547" s="423"/>
      <c r="I547" s="423"/>
      <c r="J547" s="423"/>
      <c r="K547" s="423"/>
      <c r="L547" s="423"/>
      <c r="M547" s="423"/>
      <c r="N547" s="423"/>
      <c r="O547" s="423"/>
      <c r="P547" s="423"/>
      <c r="Q547" s="423"/>
      <c r="R547" s="423"/>
      <c r="S547" s="423"/>
      <c r="T547" s="423"/>
      <c r="U547" s="423"/>
      <c r="V547" s="423"/>
      <c r="W547" s="423"/>
      <c r="X547" s="423"/>
      <c r="Y547" s="423"/>
      <c r="Z547" s="423"/>
      <c r="AA547" s="423"/>
      <c r="AB547" s="423"/>
      <c r="AC547" s="423"/>
      <c r="AD547" s="423"/>
      <c r="AE547" s="423"/>
      <c r="AF547" s="423"/>
      <c r="AG547" s="423"/>
      <c r="AH547" s="423"/>
      <c r="AI547" s="423"/>
    </row>
    <row r="548">
      <c r="A548" s="419"/>
      <c r="B548" s="419"/>
      <c r="C548" s="419"/>
      <c r="D548" s="419"/>
      <c r="E548" s="387"/>
      <c r="F548" s="387"/>
      <c r="G548" s="423"/>
      <c r="H548" s="423"/>
      <c r="I548" s="423"/>
      <c r="J548" s="423"/>
      <c r="K548" s="423"/>
      <c r="L548" s="423"/>
      <c r="M548" s="423"/>
      <c r="N548" s="423"/>
      <c r="O548" s="423"/>
      <c r="P548" s="423"/>
      <c r="Q548" s="423"/>
      <c r="R548" s="423"/>
      <c r="S548" s="423"/>
      <c r="T548" s="423"/>
      <c r="U548" s="423"/>
      <c r="V548" s="423"/>
      <c r="W548" s="423"/>
      <c r="X548" s="423"/>
      <c r="Y548" s="423"/>
      <c r="Z548" s="423"/>
      <c r="AA548" s="423"/>
      <c r="AB548" s="423"/>
      <c r="AC548" s="423"/>
      <c r="AD548" s="423"/>
      <c r="AE548" s="423"/>
      <c r="AF548" s="423"/>
      <c r="AG548" s="423"/>
      <c r="AH548" s="423"/>
      <c r="AI548" s="423"/>
    </row>
    <row r="549">
      <c r="A549" s="419"/>
      <c r="B549" s="419"/>
      <c r="C549" s="419"/>
      <c r="D549" s="419"/>
      <c r="E549" s="387"/>
      <c r="F549" s="387"/>
      <c r="G549" s="423"/>
      <c r="H549" s="423"/>
      <c r="I549" s="423"/>
      <c r="J549" s="423"/>
      <c r="K549" s="423"/>
      <c r="L549" s="423"/>
      <c r="M549" s="423"/>
      <c r="N549" s="423"/>
      <c r="O549" s="423"/>
      <c r="P549" s="423"/>
      <c r="Q549" s="423"/>
      <c r="R549" s="423"/>
      <c r="S549" s="423"/>
      <c r="T549" s="423"/>
      <c r="U549" s="423"/>
      <c r="V549" s="423"/>
      <c r="W549" s="423"/>
      <c r="X549" s="423"/>
      <c r="Y549" s="423"/>
      <c r="Z549" s="423"/>
      <c r="AA549" s="423"/>
      <c r="AB549" s="423"/>
      <c r="AC549" s="423"/>
      <c r="AD549" s="423"/>
      <c r="AE549" s="423"/>
      <c r="AF549" s="423"/>
      <c r="AG549" s="423"/>
      <c r="AH549" s="423"/>
      <c r="AI549" s="423"/>
    </row>
    <row r="550">
      <c r="A550" s="419"/>
      <c r="B550" s="419"/>
      <c r="C550" s="419"/>
      <c r="D550" s="419"/>
      <c r="E550" s="387"/>
      <c r="F550" s="387"/>
      <c r="G550" s="423"/>
      <c r="H550" s="423"/>
      <c r="I550" s="423"/>
      <c r="J550" s="423"/>
      <c r="K550" s="423"/>
      <c r="L550" s="423"/>
      <c r="M550" s="423"/>
      <c r="N550" s="423"/>
      <c r="O550" s="423"/>
      <c r="P550" s="423"/>
      <c r="Q550" s="423"/>
      <c r="R550" s="423"/>
      <c r="S550" s="423"/>
      <c r="T550" s="423"/>
      <c r="U550" s="423"/>
      <c r="V550" s="423"/>
      <c r="W550" s="423"/>
      <c r="X550" s="423"/>
      <c r="Y550" s="423"/>
      <c r="Z550" s="423"/>
      <c r="AA550" s="423"/>
      <c r="AB550" s="423"/>
      <c r="AC550" s="423"/>
      <c r="AD550" s="423"/>
      <c r="AE550" s="423"/>
      <c r="AF550" s="423"/>
      <c r="AG550" s="423"/>
      <c r="AH550" s="423"/>
      <c r="AI550" s="423"/>
    </row>
    <row r="551">
      <c r="A551" s="419"/>
      <c r="B551" s="419"/>
      <c r="C551" s="419"/>
      <c r="D551" s="419"/>
      <c r="E551" s="387"/>
      <c r="F551" s="387"/>
      <c r="G551" s="423"/>
      <c r="H551" s="423"/>
      <c r="I551" s="423"/>
      <c r="J551" s="423"/>
      <c r="K551" s="423"/>
      <c r="L551" s="423"/>
      <c r="M551" s="423"/>
      <c r="N551" s="423"/>
      <c r="O551" s="423"/>
      <c r="P551" s="423"/>
      <c r="Q551" s="423"/>
      <c r="R551" s="423"/>
      <c r="S551" s="423"/>
      <c r="T551" s="423"/>
      <c r="U551" s="423"/>
      <c r="V551" s="423"/>
      <c r="W551" s="423"/>
      <c r="X551" s="423"/>
      <c r="Y551" s="423"/>
      <c r="Z551" s="423"/>
      <c r="AA551" s="423"/>
      <c r="AB551" s="423"/>
      <c r="AC551" s="423"/>
      <c r="AD551" s="423"/>
      <c r="AE551" s="423"/>
      <c r="AF551" s="423"/>
      <c r="AG551" s="423"/>
      <c r="AH551" s="423"/>
      <c r="AI551" s="423"/>
    </row>
    <row r="552">
      <c r="A552" s="419"/>
      <c r="B552" s="419"/>
      <c r="C552" s="419"/>
      <c r="D552" s="419"/>
      <c r="E552" s="387"/>
      <c r="F552" s="387"/>
      <c r="G552" s="423"/>
      <c r="H552" s="423"/>
      <c r="I552" s="423"/>
      <c r="J552" s="423"/>
      <c r="K552" s="423"/>
      <c r="L552" s="423"/>
      <c r="M552" s="423"/>
      <c r="N552" s="423"/>
      <c r="O552" s="423"/>
      <c r="P552" s="423"/>
      <c r="Q552" s="423"/>
      <c r="R552" s="423"/>
      <c r="S552" s="423"/>
      <c r="T552" s="423"/>
      <c r="U552" s="423"/>
      <c r="V552" s="423"/>
      <c r="W552" s="423"/>
      <c r="X552" s="423"/>
      <c r="Y552" s="423"/>
      <c r="Z552" s="423"/>
      <c r="AA552" s="423"/>
      <c r="AB552" s="423"/>
      <c r="AC552" s="423"/>
      <c r="AD552" s="423"/>
      <c r="AE552" s="423"/>
      <c r="AF552" s="423"/>
      <c r="AG552" s="423"/>
      <c r="AH552" s="423"/>
      <c r="AI552" s="423"/>
    </row>
    <row r="553">
      <c r="A553" s="419"/>
      <c r="B553" s="419"/>
      <c r="C553" s="419"/>
      <c r="D553" s="419"/>
      <c r="E553" s="387"/>
      <c r="F553" s="387"/>
      <c r="G553" s="423"/>
      <c r="H553" s="423"/>
      <c r="I553" s="423"/>
      <c r="J553" s="423"/>
      <c r="K553" s="423"/>
      <c r="L553" s="423"/>
      <c r="M553" s="423"/>
      <c r="N553" s="423"/>
      <c r="O553" s="423"/>
      <c r="P553" s="423"/>
      <c r="Q553" s="423"/>
      <c r="R553" s="423"/>
      <c r="S553" s="423"/>
      <c r="T553" s="423"/>
      <c r="U553" s="423"/>
      <c r="V553" s="423"/>
      <c r="W553" s="423"/>
      <c r="X553" s="423"/>
      <c r="Y553" s="423"/>
      <c r="Z553" s="423"/>
      <c r="AA553" s="423"/>
      <c r="AB553" s="423"/>
      <c r="AC553" s="423"/>
      <c r="AD553" s="423"/>
      <c r="AE553" s="423"/>
      <c r="AF553" s="423"/>
      <c r="AG553" s="423"/>
      <c r="AH553" s="423"/>
      <c r="AI553" s="423"/>
    </row>
    <row r="554">
      <c r="A554" s="419"/>
      <c r="B554" s="419"/>
      <c r="C554" s="419"/>
      <c r="D554" s="419"/>
      <c r="E554" s="387"/>
      <c r="F554" s="387"/>
      <c r="G554" s="423"/>
      <c r="H554" s="423"/>
      <c r="I554" s="423"/>
      <c r="J554" s="423"/>
      <c r="K554" s="423"/>
      <c r="L554" s="423"/>
      <c r="M554" s="423"/>
      <c r="N554" s="423"/>
      <c r="O554" s="423"/>
      <c r="P554" s="423"/>
      <c r="Q554" s="423"/>
      <c r="R554" s="423"/>
      <c r="S554" s="423"/>
      <c r="T554" s="423"/>
      <c r="U554" s="423"/>
      <c r="V554" s="423"/>
      <c r="W554" s="423"/>
      <c r="X554" s="423"/>
      <c r="Y554" s="423"/>
      <c r="Z554" s="423"/>
      <c r="AA554" s="423"/>
      <c r="AB554" s="423"/>
      <c r="AC554" s="423"/>
      <c r="AD554" s="423"/>
      <c r="AE554" s="423"/>
      <c r="AF554" s="423"/>
      <c r="AG554" s="423"/>
      <c r="AH554" s="423"/>
      <c r="AI554" s="423"/>
    </row>
    <row r="555">
      <c r="A555" s="419"/>
      <c r="B555" s="419"/>
      <c r="C555" s="419"/>
      <c r="D555" s="419"/>
      <c r="E555" s="387"/>
      <c r="F555" s="387"/>
      <c r="G555" s="423"/>
      <c r="H555" s="423"/>
      <c r="I555" s="423"/>
      <c r="J555" s="423"/>
      <c r="K555" s="423"/>
      <c r="L555" s="423"/>
      <c r="M555" s="423"/>
      <c r="N555" s="423"/>
      <c r="O555" s="423"/>
      <c r="P555" s="423"/>
      <c r="Q555" s="423"/>
      <c r="R555" s="423"/>
      <c r="S555" s="423"/>
      <c r="T555" s="423"/>
      <c r="U555" s="423"/>
      <c r="V555" s="423"/>
      <c r="W555" s="423"/>
      <c r="X555" s="423"/>
      <c r="Y555" s="423"/>
      <c r="Z555" s="423"/>
      <c r="AA555" s="423"/>
      <c r="AB555" s="423"/>
      <c r="AC555" s="423"/>
      <c r="AD555" s="423"/>
      <c r="AE555" s="423"/>
      <c r="AF555" s="423"/>
      <c r="AG555" s="423"/>
      <c r="AH555" s="423"/>
      <c r="AI555" s="423"/>
    </row>
    <row r="556">
      <c r="A556" s="419"/>
      <c r="B556" s="419"/>
      <c r="C556" s="419"/>
      <c r="D556" s="419"/>
      <c r="E556" s="387"/>
      <c r="F556" s="387"/>
      <c r="G556" s="423"/>
      <c r="H556" s="423"/>
      <c r="I556" s="423"/>
      <c r="J556" s="423"/>
      <c r="K556" s="423"/>
      <c r="L556" s="423"/>
      <c r="M556" s="423"/>
      <c r="N556" s="423"/>
      <c r="O556" s="423"/>
      <c r="P556" s="423"/>
      <c r="Q556" s="423"/>
      <c r="R556" s="423"/>
      <c r="S556" s="423"/>
      <c r="T556" s="423"/>
      <c r="U556" s="423"/>
      <c r="V556" s="423"/>
      <c r="W556" s="423"/>
      <c r="X556" s="423"/>
      <c r="Y556" s="423"/>
      <c r="Z556" s="423"/>
      <c r="AA556" s="423"/>
      <c r="AB556" s="423"/>
      <c r="AC556" s="423"/>
      <c r="AD556" s="423"/>
      <c r="AE556" s="423"/>
      <c r="AF556" s="423"/>
      <c r="AG556" s="423"/>
      <c r="AH556" s="423"/>
      <c r="AI556" s="423"/>
    </row>
    <row r="557">
      <c r="A557" s="419"/>
      <c r="B557" s="419"/>
      <c r="C557" s="419"/>
      <c r="D557" s="419"/>
      <c r="E557" s="387"/>
      <c r="F557" s="387"/>
      <c r="G557" s="423"/>
      <c r="H557" s="423"/>
      <c r="I557" s="423"/>
      <c r="J557" s="423"/>
      <c r="K557" s="423"/>
      <c r="L557" s="423"/>
      <c r="M557" s="423"/>
      <c r="N557" s="423"/>
      <c r="O557" s="423"/>
      <c r="P557" s="423"/>
      <c r="Q557" s="423"/>
      <c r="R557" s="423"/>
      <c r="S557" s="423"/>
      <c r="T557" s="423"/>
      <c r="U557" s="423"/>
      <c r="V557" s="423"/>
      <c r="W557" s="423"/>
      <c r="X557" s="423"/>
      <c r="Y557" s="423"/>
      <c r="Z557" s="423"/>
      <c r="AA557" s="423"/>
      <c r="AB557" s="423"/>
      <c r="AC557" s="423"/>
      <c r="AD557" s="423"/>
      <c r="AE557" s="423"/>
      <c r="AF557" s="423"/>
      <c r="AG557" s="423"/>
      <c r="AH557" s="423"/>
      <c r="AI557" s="423"/>
    </row>
    <row r="558">
      <c r="A558" s="419"/>
      <c r="B558" s="419"/>
      <c r="C558" s="419"/>
      <c r="D558" s="419"/>
      <c r="E558" s="387"/>
      <c r="F558" s="387"/>
      <c r="G558" s="423"/>
      <c r="H558" s="423"/>
      <c r="I558" s="423"/>
      <c r="J558" s="423"/>
      <c r="K558" s="423"/>
      <c r="L558" s="423"/>
      <c r="M558" s="423"/>
      <c r="N558" s="423"/>
      <c r="O558" s="423"/>
      <c r="P558" s="423"/>
      <c r="Q558" s="423"/>
      <c r="R558" s="423"/>
      <c r="S558" s="423"/>
      <c r="T558" s="423"/>
      <c r="U558" s="423"/>
      <c r="V558" s="423"/>
      <c r="W558" s="423"/>
      <c r="X558" s="423"/>
      <c r="Y558" s="423"/>
      <c r="Z558" s="423"/>
      <c r="AA558" s="423"/>
      <c r="AB558" s="423"/>
      <c r="AC558" s="423"/>
      <c r="AD558" s="423"/>
      <c r="AE558" s="423"/>
      <c r="AF558" s="423"/>
      <c r="AG558" s="423"/>
      <c r="AH558" s="423"/>
      <c r="AI558" s="423"/>
    </row>
    <row r="559">
      <c r="A559" s="419"/>
      <c r="B559" s="419"/>
      <c r="C559" s="419"/>
      <c r="D559" s="419"/>
      <c r="E559" s="387"/>
      <c r="F559" s="387"/>
      <c r="G559" s="423"/>
      <c r="H559" s="423"/>
      <c r="I559" s="423"/>
      <c r="J559" s="423"/>
      <c r="K559" s="423"/>
      <c r="L559" s="423"/>
      <c r="M559" s="423"/>
      <c r="N559" s="423"/>
      <c r="O559" s="423"/>
      <c r="P559" s="423"/>
      <c r="Q559" s="423"/>
      <c r="R559" s="423"/>
      <c r="S559" s="423"/>
      <c r="T559" s="423"/>
      <c r="U559" s="423"/>
      <c r="V559" s="423"/>
      <c r="W559" s="423"/>
      <c r="X559" s="423"/>
      <c r="Y559" s="423"/>
      <c r="Z559" s="423"/>
      <c r="AA559" s="423"/>
      <c r="AB559" s="423"/>
      <c r="AC559" s="423"/>
      <c r="AD559" s="423"/>
      <c r="AE559" s="423"/>
      <c r="AF559" s="423"/>
      <c r="AG559" s="423"/>
      <c r="AH559" s="423"/>
      <c r="AI559" s="423"/>
    </row>
    <row r="560">
      <c r="A560" s="419"/>
      <c r="B560" s="419"/>
      <c r="C560" s="419"/>
      <c r="D560" s="419"/>
      <c r="E560" s="387"/>
      <c r="F560" s="387"/>
      <c r="G560" s="423"/>
      <c r="H560" s="423"/>
      <c r="I560" s="423"/>
      <c r="J560" s="423"/>
      <c r="K560" s="423"/>
      <c r="L560" s="423"/>
      <c r="M560" s="423"/>
      <c r="N560" s="423"/>
      <c r="O560" s="423"/>
      <c r="P560" s="423"/>
      <c r="Q560" s="423"/>
      <c r="R560" s="423"/>
      <c r="S560" s="423"/>
      <c r="T560" s="423"/>
      <c r="U560" s="423"/>
      <c r="V560" s="423"/>
      <c r="W560" s="423"/>
      <c r="X560" s="423"/>
      <c r="Y560" s="423"/>
      <c r="Z560" s="423"/>
      <c r="AA560" s="423"/>
      <c r="AB560" s="423"/>
      <c r="AC560" s="423"/>
      <c r="AD560" s="423"/>
      <c r="AE560" s="423"/>
      <c r="AF560" s="423"/>
      <c r="AG560" s="423"/>
      <c r="AH560" s="423"/>
      <c r="AI560" s="423"/>
    </row>
    <row r="561">
      <c r="A561" s="419"/>
      <c r="B561" s="419"/>
      <c r="C561" s="419"/>
      <c r="D561" s="419"/>
      <c r="E561" s="387"/>
      <c r="F561" s="387"/>
      <c r="G561" s="423"/>
      <c r="H561" s="423"/>
      <c r="I561" s="423"/>
      <c r="J561" s="423"/>
      <c r="K561" s="423"/>
      <c r="L561" s="423"/>
      <c r="M561" s="423"/>
      <c r="N561" s="423"/>
      <c r="O561" s="423"/>
      <c r="P561" s="423"/>
      <c r="Q561" s="423"/>
      <c r="R561" s="423"/>
      <c r="S561" s="423"/>
      <c r="T561" s="423"/>
      <c r="U561" s="423"/>
      <c r="V561" s="423"/>
      <c r="W561" s="423"/>
      <c r="X561" s="423"/>
      <c r="Y561" s="423"/>
      <c r="Z561" s="423"/>
      <c r="AA561" s="423"/>
      <c r="AB561" s="423"/>
      <c r="AC561" s="423"/>
      <c r="AD561" s="423"/>
      <c r="AE561" s="423"/>
      <c r="AF561" s="423"/>
      <c r="AG561" s="423"/>
      <c r="AH561" s="423"/>
      <c r="AI561" s="423"/>
    </row>
    <row r="562">
      <c r="A562" s="419"/>
      <c r="B562" s="419"/>
      <c r="C562" s="419"/>
      <c r="D562" s="419"/>
      <c r="E562" s="387"/>
      <c r="F562" s="387"/>
      <c r="G562" s="423"/>
      <c r="H562" s="423"/>
      <c r="I562" s="423"/>
      <c r="J562" s="423"/>
      <c r="K562" s="423"/>
      <c r="L562" s="423"/>
      <c r="M562" s="423"/>
      <c r="N562" s="423"/>
      <c r="O562" s="423"/>
      <c r="P562" s="423"/>
      <c r="Q562" s="423"/>
      <c r="R562" s="423"/>
      <c r="S562" s="423"/>
      <c r="T562" s="423"/>
      <c r="U562" s="423"/>
      <c r="V562" s="423"/>
      <c r="W562" s="423"/>
      <c r="X562" s="423"/>
      <c r="Y562" s="423"/>
      <c r="Z562" s="423"/>
      <c r="AA562" s="423"/>
      <c r="AB562" s="423"/>
      <c r="AC562" s="423"/>
      <c r="AD562" s="423"/>
      <c r="AE562" s="423"/>
      <c r="AF562" s="423"/>
      <c r="AG562" s="423"/>
      <c r="AH562" s="423"/>
      <c r="AI562" s="423"/>
    </row>
    <row r="563">
      <c r="A563" s="419"/>
      <c r="B563" s="419"/>
      <c r="C563" s="419"/>
      <c r="D563" s="419"/>
      <c r="E563" s="387"/>
      <c r="F563" s="387"/>
      <c r="G563" s="423"/>
      <c r="H563" s="423"/>
      <c r="I563" s="423"/>
      <c r="J563" s="423"/>
      <c r="K563" s="423"/>
      <c r="L563" s="423"/>
      <c r="M563" s="423"/>
      <c r="N563" s="423"/>
      <c r="O563" s="423"/>
      <c r="P563" s="423"/>
      <c r="Q563" s="423"/>
      <c r="R563" s="423"/>
      <c r="S563" s="423"/>
      <c r="T563" s="423"/>
      <c r="U563" s="423"/>
      <c r="V563" s="423"/>
      <c r="W563" s="423"/>
      <c r="X563" s="423"/>
      <c r="Y563" s="423"/>
      <c r="Z563" s="423"/>
      <c r="AA563" s="423"/>
      <c r="AB563" s="423"/>
      <c r="AC563" s="423"/>
      <c r="AD563" s="423"/>
      <c r="AE563" s="423"/>
      <c r="AF563" s="423"/>
      <c r="AG563" s="423"/>
      <c r="AH563" s="423"/>
      <c r="AI563" s="423"/>
    </row>
    <row r="564">
      <c r="A564" s="419"/>
      <c r="B564" s="419"/>
      <c r="C564" s="419"/>
      <c r="D564" s="419"/>
      <c r="E564" s="387"/>
      <c r="F564" s="387"/>
      <c r="G564" s="423"/>
      <c r="H564" s="423"/>
      <c r="I564" s="423"/>
      <c r="J564" s="423"/>
      <c r="K564" s="423"/>
      <c r="L564" s="423"/>
      <c r="M564" s="423"/>
      <c r="N564" s="423"/>
      <c r="O564" s="423"/>
      <c r="P564" s="423"/>
      <c r="Q564" s="423"/>
      <c r="R564" s="423"/>
      <c r="S564" s="423"/>
      <c r="T564" s="423"/>
      <c r="U564" s="423"/>
      <c r="V564" s="423"/>
      <c r="W564" s="423"/>
      <c r="X564" s="423"/>
      <c r="Y564" s="423"/>
      <c r="Z564" s="423"/>
      <c r="AA564" s="423"/>
      <c r="AB564" s="423"/>
      <c r="AC564" s="423"/>
      <c r="AD564" s="423"/>
      <c r="AE564" s="423"/>
      <c r="AF564" s="423"/>
      <c r="AG564" s="423"/>
      <c r="AH564" s="423"/>
      <c r="AI564" s="423"/>
    </row>
    <row r="565">
      <c r="A565" s="419"/>
      <c r="B565" s="419"/>
      <c r="C565" s="419"/>
      <c r="D565" s="419"/>
      <c r="E565" s="387"/>
      <c r="F565" s="387"/>
      <c r="G565" s="423"/>
      <c r="H565" s="423"/>
      <c r="I565" s="423"/>
      <c r="J565" s="423"/>
      <c r="K565" s="423"/>
      <c r="L565" s="423"/>
      <c r="M565" s="423"/>
      <c r="N565" s="423"/>
      <c r="O565" s="423"/>
      <c r="P565" s="423"/>
      <c r="Q565" s="423"/>
      <c r="R565" s="423"/>
      <c r="S565" s="423"/>
      <c r="T565" s="423"/>
      <c r="U565" s="423"/>
      <c r="V565" s="423"/>
      <c r="W565" s="423"/>
      <c r="X565" s="423"/>
      <c r="Y565" s="423"/>
      <c r="Z565" s="423"/>
      <c r="AA565" s="423"/>
      <c r="AB565" s="423"/>
      <c r="AC565" s="423"/>
      <c r="AD565" s="423"/>
      <c r="AE565" s="423"/>
      <c r="AF565" s="423"/>
      <c r="AG565" s="423"/>
      <c r="AH565" s="423"/>
      <c r="AI565" s="423"/>
    </row>
    <row r="566">
      <c r="A566" s="419"/>
      <c r="B566" s="419"/>
      <c r="C566" s="419"/>
      <c r="D566" s="419"/>
      <c r="E566" s="387"/>
      <c r="F566" s="387"/>
      <c r="G566" s="423"/>
      <c r="H566" s="423"/>
      <c r="I566" s="423"/>
      <c r="J566" s="423"/>
      <c r="K566" s="423"/>
      <c r="L566" s="423"/>
      <c r="M566" s="423"/>
      <c r="N566" s="423"/>
      <c r="O566" s="423"/>
      <c r="P566" s="423"/>
      <c r="Q566" s="423"/>
      <c r="R566" s="423"/>
      <c r="S566" s="423"/>
      <c r="T566" s="423"/>
      <c r="U566" s="423"/>
      <c r="V566" s="423"/>
      <c r="W566" s="423"/>
      <c r="X566" s="423"/>
      <c r="Y566" s="423"/>
      <c r="Z566" s="423"/>
      <c r="AA566" s="423"/>
      <c r="AB566" s="423"/>
      <c r="AC566" s="423"/>
      <c r="AD566" s="423"/>
      <c r="AE566" s="423"/>
      <c r="AF566" s="423"/>
      <c r="AG566" s="423"/>
      <c r="AH566" s="423"/>
      <c r="AI566" s="423"/>
    </row>
    <row r="567">
      <c r="A567" s="419"/>
      <c r="B567" s="419"/>
      <c r="C567" s="419"/>
      <c r="D567" s="419"/>
      <c r="E567" s="387"/>
      <c r="F567" s="387"/>
      <c r="G567" s="423"/>
      <c r="H567" s="423"/>
      <c r="I567" s="423"/>
      <c r="J567" s="423"/>
      <c r="K567" s="423"/>
      <c r="L567" s="423"/>
      <c r="M567" s="423"/>
      <c r="N567" s="423"/>
      <c r="O567" s="423"/>
      <c r="P567" s="423"/>
      <c r="Q567" s="423"/>
      <c r="R567" s="423"/>
      <c r="S567" s="423"/>
      <c r="T567" s="423"/>
      <c r="U567" s="423"/>
      <c r="V567" s="423"/>
      <c r="W567" s="423"/>
      <c r="X567" s="423"/>
      <c r="Y567" s="423"/>
      <c r="Z567" s="423"/>
      <c r="AA567" s="423"/>
      <c r="AB567" s="423"/>
      <c r="AC567" s="423"/>
      <c r="AD567" s="423"/>
      <c r="AE567" s="423"/>
      <c r="AF567" s="423"/>
      <c r="AG567" s="423"/>
      <c r="AH567" s="423"/>
      <c r="AI567" s="423"/>
    </row>
    <row r="568">
      <c r="A568" s="419"/>
      <c r="B568" s="419"/>
      <c r="C568" s="419"/>
      <c r="D568" s="419"/>
      <c r="E568" s="387"/>
      <c r="F568" s="387"/>
      <c r="G568" s="423"/>
      <c r="H568" s="423"/>
      <c r="I568" s="423"/>
      <c r="J568" s="423"/>
      <c r="K568" s="423"/>
      <c r="L568" s="423"/>
      <c r="M568" s="423"/>
      <c r="N568" s="423"/>
      <c r="O568" s="423"/>
      <c r="P568" s="423"/>
      <c r="Q568" s="423"/>
      <c r="R568" s="423"/>
      <c r="S568" s="423"/>
      <c r="T568" s="423"/>
      <c r="U568" s="423"/>
      <c r="V568" s="423"/>
      <c r="W568" s="423"/>
      <c r="X568" s="423"/>
      <c r="Y568" s="423"/>
      <c r="Z568" s="423"/>
      <c r="AA568" s="423"/>
      <c r="AB568" s="423"/>
      <c r="AC568" s="423"/>
      <c r="AD568" s="423"/>
      <c r="AE568" s="423"/>
      <c r="AF568" s="423"/>
      <c r="AG568" s="423"/>
      <c r="AH568" s="423"/>
      <c r="AI568" s="423"/>
    </row>
    <row r="569">
      <c r="A569" s="419"/>
      <c r="B569" s="419"/>
      <c r="C569" s="419"/>
      <c r="D569" s="419"/>
      <c r="E569" s="387"/>
      <c r="F569" s="387"/>
      <c r="G569" s="423"/>
      <c r="H569" s="423"/>
      <c r="I569" s="423"/>
      <c r="J569" s="423"/>
      <c r="K569" s="423"/>
      <c r="L569" s="423"/>
      <c r="M569" s="423"/>
      <c r="N569" s="423"/>
      <c r="O569" s="423"/>
      <c r="P569" s="423"/>
      <c r="Q569" s="423"/>
      <c r="R569" s="423"/>
      <c r="S569" s="423"/>
      <c r="T569" s="423"/>
      <c r="U569" s="423"/>
      <c r="V569" s="423"/>
      <c r="W569" s="423"/>
      <c r="X569" s="423"/>
      <c r="Y569" s="423"/>
      <c r="Z569" s="423"/>
      <c r="AA569" s="423"/>
      <c r="AB569" s="423"/>
      <c r="AC569" s="423"/>
      <c r="AD569" s="423"/>
      <c r="AE569" s="423"/>
      <c r="AF569" s="423"/>
      <c r="AG569" s="423"/>
      <c r="AH569" s="423"/>
      <c r="AI569" s="423"/>
    </row>
    <row r="570">
      <c r="A570" s="419"/>
      <c r="B570" s="419"/>
      <c r="C570" s="419"/>
      <c r="D570" s="419"/>
      <c r="E570" s="387"/>
      <c r="F570" s="387"/>
      <c r="G570" s="423"/>
      <c r="H570" s="423"/>
      <c r="I570" s="423"/>
      <c r="J570" s="423"/>
      <c r="K570" s="423"/>
      <c r="L570" s="423"/>
      <c r="M570" s="423"/>
      <c r="N570" s="423"/>
      <c r="O570" s="423"/>
      <c r="P570" s="423"/>
      <c r="Q570" s="423"/>
      <c r="R570" s="423"/>
      <c r="S570" s="423"/>
      <c r="T570" s="423"/>
      <c r="U570" s="423"/>
      <c r="V570" s="423"/>
      <c r="W570" s="423"/>
      <c r="X570" s="423"/>
      <c r="Y570" s="423"/>
      <c r="Z570" s="423"/>
      <c r="AA570" s="423"/>
      <c r="AB570" s="423"/>
      <c r="AC570" s="423"/>
      <c r="AD570" s="423"/>
      <c r="AE570" s="423"/>
      <c r="AF570" s="423"/>
      <c r="AG570" s="423"/>
      <c r="AH570" s="423"/>
      <c r="AI570" s="423"/>
    </row>
    <row r="571">
      <c r="A571" s="419"/>
      <c r="B571" s="419"/>
      <c r="C571" s="419"/>
      <c r="D571" s="419"/>
      <c r="E571" s="387"/>
      <c r="F571" s="387"/>
      <c r="G571" s="423"/>
      <c r="H571" s="423"/>
      <c r="I571" s="423"/>
      <c r="J571" s="423"/>
      <c r="K571" s="423"/>
      <c r="L571" s="423"/>
      <c r="M571" s="423"/>
      <c r="N571" s="423"/>
      <c r="O571" s="423"/>
      <c r="P571" s="423"/>
      <c r="Q571" s="423"/>
      <c r="R571" s="423"/>
      <c r="S571" s="423"/>
      <c r="T571" s="423"/>
      <c r="U571" s="423"/>
      <c r="V571" s="423"/>
      <c r="W571" s="423"/>
      <c r="X571" s="423"/>
      <c r="Y571" s="423"/>
      <c r="Z571" s="423"/>
      <c r="AA571" s="423"/>
      <c r="AB571" s="423"/>
      <c r="AC571" s="423"/>
      <c r="AD571" s="423"/>
      <c r="AE571" s="423"/>
      <c r="AF571" s="423"/>
      <c r="AG571" s="423"/>
      <c r="AH571" s="423"/>
      <c r="AI571" s="423"/>
    </row>
    <row r="572">
      <c r="A572" s="419"/>
      <c r="B572" s="419"/>
      <c r="C572" s="419"/>
      <c r="D572" s="419"/>
      <c r="E572" s="387"/>
      <c r="F572" s="387"/>
      <c r="G572" s="423"/>
      <c r="H572" s="423"/>
      <c r="I572" s="423"/>
      <c r="J572" s="423"/>
      <c r="K572" s="423"/>
      <c r="L572" s="423"/>
      <c r="M572" s="423"/>
      <c r="N572" s="423"/>
      <c r="O572" s="423"/>
      <c r="P572" s="423"/>
      <c r="Q572" s="423"/>
      <c r="R572" s="423"/>
      <c r="S572" s="423"/>
      <c r="T572" s="423"/>
      <c r="U572" s="423"/>
      <c r="V572" s="423"/>
      <c r="W572" s="423"/>
      <c r="X572" s="423"/>
      <c r="Y572" s="423"/>
      <c r="Z572" s="423"/>
      <c r="AA572" s="423"/>
      <c r="AB572" s="423"/>
      <c r="AC572" s="423"/>
      <c r="AD572" s="423"/>
      <c r="AE572" s="423"/>
      <c r="AF572" s="423"/>
      <c r="AG572" s="423"/>
      <c r="AH572" s="423"/>
      <c r="AI572" s="423"/>
    </row>
    <row r="573">
      <c r="A573" s="419"/>
      <c r="B573" s="419"/>
      <c r="C573" s="419"/>
      <c r="D573" s="419"/>
      <c r="E573" s="387"/>
      <c r="F573" s="387"/>
      <c r="G573" s="423"/>
      <c r="H573" s="423"/>
      <c r="I573" s="423"/>
      <c r="J573" s="423"/>
      <c r="K573" s="423"/>
      <c r="L573" s="423"/>
      <c r="M573" s="423"/>
      <c r="N573" s="423"/>
      <c r="O573" s="423"/>
      <c r="P573" s="423"/>
      <c r="Q573" s="423"/>
      <c r="R573" s="423"/>
      <c r="S573" s="423"/>
      <c r="T573" s="423"/>
      <c r="U573" s="423"/>
      <c r="V573" s="423"/>
      <c r="W573" s="423"/>
      <c r="X573" s="423"/>
      <c r="Y573" s="423"/>
      <c r="Z573" s="423"/>
      <c r="AA573" s="423"/>
      <c r="AB573" s="423"/>
      <c r="AC573" s="423"/>
      <c r="AD573" s="423"/>
      <c r="AE573" s="423"/>
      <c r="AF573" s="423"/>
      <c r="AG573" s="423"/>
      <c r="AH573" s="423"/>
      <c r="AI573" s="423"/>
    </row>
    <row r="574">
      <c r="A574" s="419"/>
      <c r="B574" s="419"/>
      <c r="C574" s="419"/>
      <c r="D574" s="419"/>
      <c r="E574" s="387"/>
      <c r="F574" s="387"/>
      <c r="G574" s="423"/>
      <c r="H574" s="423"/>
      <c r="I574" s="423"/>
      <c r="J574" s="423"/>
      <c r="K574" s="423"/>
      <c r="L574" s="423"/>
      <c r="M574" s="423"/>
      <c r="N574" s="423"/>
      <c r="O574" s="423"/>
      <c r="P574" s="423"/>
      <c r="Q574" s="423"/>
      <c r="R574" s="423"/>
      <c r="S574" s="423"/>
      <c r="T574" s="423"/>
      <c r="U574" s="423"/>
      <c r="V574" s="423"/>
      <c r="W574" s="423"/>
      <c r="X574" s="423"/>
      <c r="Y574" s="423"/>
      <c r="Z574" s="423"/>
      <c r="AA574" s="423"/>
      <c r="AB574" s="423"/>
      <c r="AC574" s="423"/>
      <c r="AD574" s="423"/>
      <c r="AE574" s="423"/>
      <c r="AF574" s="423"/>
      <c r="AG574" s="423"/>
      <c r="AH574" s="423"/>
      <c r="AI574" s="423"/>
    </row>
    <row r="575">
      <c r="A575" s="419"/>
      <c r="B575" s="419"/>
      <c r="C575" s="419"/>
      <c r="D575" s="419"/>
      <c r="E575" s="387"/>
      <c r="F575" s="387"/>
      <c r="G575" s="423"/>
      <c r="H575" s="423"/>
      <c r="I575" s="423"/>
      <c r="J575" s="423"/>
      <c r="K575" s="423"/>
      <c r="L575" s="423"/>
      <c r="M575" s="423"/>
      <c r="N575" s="423"/>
      <c r="O575" s="423"/>
      <c r="P575" s="423"/>
      <c r="Q575" s="423"/>
      <c r="R575" s="423"/>
      <c r="S575" s="423"/>
      <c r="T575" s="423"/>
      <c r="U575" s="423"/>
      <c r="V575" s="423"/>
      <c r="W575" s="423"/>
      <c r="X575" s="423"/>
      <c r="Y575" s="423"/>
      <c r="Z575" s="423"/>
      <c r="AA575" s="423"/>
      <c r="AB575" s="423"/>
      <c r="AC575" s="423"/>
      <c r="AD575" s="423"/>
      <c r="AE575" s="423"/>
      <c r="AF575" s="423"/>
      <c r="AG575" s="423"/>
      <c r="AH575" s="423"/>
      <c r="AI575" s="423"/>
    </row>
    <row r="576">
      <c r="A576" s="419"/>
      <c r="B576" s="419"/>
      <c r="C576" s="419"/>
      <c r="D576" s="419"/>
      <c r="E576" s="387"/>
      <c r="F576" s="387"/>
      <c r="G576" s="423"/>
      <c r="H576" s="423"/>
      <c r="I576" s="423"/>
      <c r="J576" s="423"/>
      <c r="K576" s="423"/>
      <c r="L576" s="423"/>
      <c r="M576" s="423"/>
      <c r="N576" s="423"/>
      <c r="O576" s="423"/>
      <c r="P576" s="423"/>
      <c r="Q576" s="423"/>
      <c r="R576" s="423"/>
      <c r="S576" s="423"/>
      <c r="T576" s="423"/>
      <c r="U576" s="423"/>
      <c r="V576" s="423"/>
      <c r="W576" s="423"/>
      <c r="X576" s="423"/>
      <c r="Y576" s="423"/>
      <c r="Z576" s="423"/>
      <c r="AA576" s="423"/>
      <c r="AB576" s="423"/>
      <c r="AC576" s="423"/>
      <c r="AD576" s="423"/>
      <c r="AE576" s="423"/>
      <c r="AF576" s="423"/>
      <c r="AG576" s="423"/>
      <c r="AH576" s="423"/>
      <c r="AI576" s="423"/>
    </row>
    <row r="577">
      <c r="A577" s="419"/>
      <c r="B577" s="419"/>
      <c r="C577" s="419"/>
      <c r="D577" s="419"/>
      <c r="E577" s="387"/>
      <c r="F577" s="387"/>
      <c r="G577" s="423"/>
      <c r="H577" s="423"/>
      <c r="I577" s="423"/>
      <c r="J577" s="423"/>
      <c r="K577" s="423"/>
      <c r="L577" s="423"/>
      <c r="M577" s="423"/>
      <c r="N577" s="423"/>
      <c r="O577" s="423"/>
      <c r="P577" s="423"/>
      <c r="Q577" s="423"/>
      <c r="R577" s="423"/>
      <c r="S577" s="423"/>
      <c r="T577" s="423"/>
      <c r="U577" s="423"/>
      <c r="V577" s="423"/>
      <c r="W577" s="423"/>
      <c r="X577" s="423"/>
      <c r="Y577" s="423"/>
      <c r="Z577" s="423"/>
      <c r="AA577" s="423"/>
      <c r="AB577" s="423"/>
      <c r="AC577" s="423"/>
      <c r="AD577" s="423"/>
      <c r="AE577" s="423"/>
      <c r="AF577" s="423"/>
      <c r="AG577" s="423"/>
      <c r="AH577" s="423"/>
      <c r="AI577" s="423"/>
    </row>
    <row r="578">
      <c r="A578" s="419"/>
      <c r="B578" s="419"/>
      <c r="C578" s="419"/>
      <c r="D578" s="419"/>
      <c r="E578" s="387"/>
      <c r="F578" s="387"/>
      <c r="G578" s="423"/>
      <c r="H578" s="423"/>
      <c r="I578" s="423"/>
      <c r="J578" s="423"/>
      <c r="K578" s="423"/>
      <c r="L578" s="423"/>
      <c r="M578" s="423"/>
      <c r="N578" s="423"/>
      <c r="O578" s="423"/>
      <c r="P578" s="423"/>
      <c r="Q578" s="423"/>
      <c r="R578" s="423"/>
      <c r="S578" s="423"/>
      <c r="T578" s="423"/>
      <c r="U578" s="423"/>
      <c r="V578" s="423"/>
      <c r="W578" s="423"/>
      <c r="X578" s="423"/>
      <c r="Y578" s="423"/>
      <c r="Z578" s="423"/>
      <c r="AA578" s="423"/>
      <c r="AB578" s="423"/>
      <c r="AC578" s="423"/>
      <c r="AD578" s="423"/>
      <c r="AE578" s="423"/>
      <c r="AF578" s="423"/>
      <c r="AG578" s="423"/>
      <c r="AH578" s="423"/>
      <c r="AI578" s="423"/>
    </row>
    <row r="579">
      <c r="A579" s="419"/>
      <c r="B579" s="419"/>
      <c r="C579" s="419"/>
      <c r="D579" s="419"/>
      <c r="E579" s="387"/>
      <c r="F579" s="387"/>
      <c r="G579" s="423"/>
      <c r="H579" s="423"/>
      <c r="I579" s="423"/>
      <c r="J579" s="423"/>
      <c r="K579" s="423"/>
      <c r="L579" s="423"/>
      <c r="M579" s="423"/>
      <c r="N579" s="423"/>
      <c r="O579" s="423"/>
      <c r="P579" s="423"/>
      <c r="Q579" s="423"/>
      <c r="R579" s="423"/>
      <c r="S579" s="423"/>
      <c r="T579" s="423"/>
      <c r="U579" s="423"/>
      <c r="V579" s="423"/>
      <c r="W579" s="423"/>
      <c r="X579" s="423"/>
      <c r="Y579" s="423"/>
      <c r="Z579" s="423"/>
      <c r="AA579" s="423"/>
      <c r="AB579" s="423"/>
      <c r="AC579" s="423"/>
      <c r="AD579" s="423"/>
      <c r="AE579" s="423"/>
      <c r="AF579" s="423"/>
      <c r="AG579" s="423"/>
      <c r="AH579" s="423"/>
      <c r="AI579" s="423"/>
    </row>
    <row r="580">
      <c r="A580" s="419"/>
      <c r="B580" s="419"/>
      <c r="C580" s="419"/>
      <c r="D580" s="419"/>
      <c r="E580" s="387"/>
      <c r="F580" s="387"/>
      <c r="G580" s="423"/>
      <c r="H580" s="423"/>
      <c r="I580" s="423"/>
      <c r="J580" s="423"/>
      <c r="K580" s="423"/>
      <c r="L580" s="423"/>
      <c r="M580" s="423"/>
      <c r="N580" s="423"/>
      <c r="O580" s="423"/>
      <c r="P580" s="423"/>
      <c r="Q580" s="423"/>
      <c r="R580" s="423"/>
      <c r="S580" s="423"/>
      <c r="T580" s="423"/>
      <c r="U580" s="423"/>
      <c r="V580" s="423"/>
      <c r="W580" s="423"/>
      <c r="X580" s="423"/>
      <c r="Y580" s="423"/>
      <c r="Z580" s="423"/>
      <c r="AA580" s="423"/>
      <c r="AB580" s="423"/>
      <c r="AC580" s="423"/>
      <c r="AD580" s="423"/>
      <c r="AE580" s="423"/>
      <c r="AF580" s="423"/>
      <c r="AG580" s="423"/>
      <c r="AH580" s="423"/>
      <c r="AI580" s="423"/>
    </row>
    <row r="581">
      <c r="A581" s="419"/>
      <c r="B581" s="419"/>
      <c r="C581" s="419"/>
      <c r="D581" s="419"/>
      <c r="E581" s="387"/>
      <c r="F581" s="387"/>
      <c r="G581" s="423"/>
      <c r="H581" s="423"/>
      <c r="I581" s="423"/>
      <c r="J581" s="423"/>
      <c r="K581" s="423"/>
      <c r="L581" s="423"/>
      <c r="M581" s="423"/>
      <c r="N581" s="423"/>
      <c r="O581" s="423"/>
      <c r="P581" s="423"/>
      <c r="Q581" s="423"/>
      <c r="R581" s="423"/>
      <c r="S581" s="423"/>
      <c r="T581" s="423"/>
      <c r="U581" s="423"/>
      <c r="V581" s="423"/>
      <c r="W581" s="423"/>
      <c r="X581" s="423"/>
      <c r="Y581" s="423"/>
      <c r="Z581" s="423"/>
      <c r="AA581" s="423"/>
      <c r="AB581" s="423"/>
      <c r="AC581" s="423"/>
      <c r="AD581" s="423"/>
      <c r="AE581" s="423"/>
      <c r="AF581" s="423"/>
      <c r="AG581" s="423"/>
      <c r="AH581" s="423"/>
      <c r="AI581" s="423"/>
    </row>
    <row r="582">
      <c r="A582" s="419"/>
      <c r="B582" s="419"/>
      <c r="C582" s="419"/>
      <c r="D582" s="419"/>
      <c r="E582" s="387"/>
      <c r="F582" s="387"/>
      <c r="G582" s="423"/>
      <c r="H582" s="423"/>
      <c r="I582" s="423"/>
      <c r="J582" s="423"/>
      <c r="K582" s="423"/>
      <c r="L582" s="423"/>
      <c r="M582" s="423"/>
      <c r="N582" s="423"/>
      <c r="O582" s="423"/>
      <c r="P582" s="423"/>
      <c r="Q582" s="423"/>
      <c r="R582" s="423"/>
      <c r="S582" s="423"/>
      <c r="T582" s="423"/>
      <c r="U582" s="423"/>
      <c r="V582" s="423"/>
      <c r="W582" s="423"/>
      <c r="X582" s="423"/>
      <c r="Y582" s="423"/>
      <c r="Z582" s="423"/>
      <c r="AA582" s="423"/>
      <c r="AB582" s="423"/>
      <c r="AC582" s="423"/>
      <c r="AD582" s="423"/>
      <c r="AE582" s="423"/>
      <c r="AF582" s="423"/>
      <c r="AG582" s="423"/>
      <c r="AH582" s="423"/>
      <c r="AI582" s="423"/>
    </row>
    <row r="583">
      <c r="A583" s="419"/>
      <c r="B583" s="419"/>
      <c r="C583" s="419"/>
      <c r="D583" s="419"/>
      <c r="E583" s="387"/>
      <c r="F583" s="387"/>
      <c r="G583" s="423"/>
      <c r="H583" s="423"/>
      <c r="I583" s="423"/>
      <c r="J583" s="423"/>
      <c r="K583" s="423"/>
      <c r="L583" s="423"/>
      <c r="M583" s="423"/>
      <c r="N583" s="423"/>
      <c r="O583" s="423"/>
      <c r="P583" s="423"/>
      <c r="Q583" s="423"/>
      <c r="R583" s="423"/>
      <c r="S583" s="423"/>
      <c r="T583" s="423"/>
      <c r="U583" s="423"/>
      <c r="V583" s="423"/>
      <c r="W583" s="423"/>
      <c r="X583" s="423"/>
      <c r="Y583" s="423"/>
      <c r="Z583" s="423"/>
      <c r="AA583" s="423"/>
      <c r="AB583" s="423"/>
      <c r="AC583" s="423"/>
      <c r="AD583" s="423"/>
      <c r="AE583" s="423"/>
      <c r="AF583" s="423"/>
      <c r="AG583" s="423"/>
      <c r="AH583" s="423"/>
      <c r="AI583" s="423"/>
    </row>
    <row r="584">
      <c r="A584" s="419"/>
      <c r="B584" s="419"/>
      <c r="C584" s="419"/>
      <c r="D584" s="419"/>
      <c r="E584" s="387"/>
      <c r="F584" s="387"/>
      <c r="G584" s="423"/>
      <c r="H584" s="423"/>
      <c r="I584" s="423"/>
      <c r="J584" s="423"/>
      <c r="K584" s="423"/>
      <c r="L584" s="423"/>
      <c r="M584" s="423"/>
      <c r="N584" s="423"/>
      <c r="O584" s="423"/>
      <c r="P584" s="423"/>
      <c r="Q584" s="423"/>
      <c r="R584" s="423"/>
      <c r="S584" s="423"/>
      <c r="T584" s="423"/>
      <c r="U584" s="423"/>
      <c r="V584" s="423"/>
      <c r="W584" s="423"/>
      <c r="X584" s="423"/>
      <c r="Y584" s="423"/>
      <c r="Z584" s="423"/>
      <c r="AA584" s="423"/>
      <c r="AB584" s="423"/>
      <c r="AC584" s="423"/>
      <c r="AD584" s="423"/>
      <c r="AE584" s="423"/>
      <c r="AF584" s="423"/>
      <c r="AG584" s="423"/>
      <c r="AH584" s="423"/>
      <c r="AI584" s="423"/>
    </row>
    <row r="585">
      <c r="A585" s="419"/>
      <c r="B585" s="419"/>
      <c r="C585" s="419"/>
      <c r="D585" s="419"/>
      <c r="E585" s="387"/>
      <c r="F585" s="387"/>
      <c r="G585" s="423"/>
      <c r="H585" s="423"/>
      <c r="I585" s="423"/>
      <c r="J585" s="423"/>
      <c r="K585" s="423"/>
      <c r="L585" s="423"/>
      <c r="M585" s="423"/>
      <c r="N585" s="423"/>
      <c r="O585" s="423"/>
      <c r="P585" s="423"/>
      <c r="Q585" s="423"/>
      <c r="R585" s="423"/>
      <c r="S585" s="423"/>
      <c r="T585" s="423"/>
      <c r="U585" s="423"/>
      <c r="V585" s="423"/>
      <c r="W585" s="423"/>
      <c r="X585" s="423"/>
      <c r="Y585" s="423"/>
      <c r="Z585" s="423"/>
      <c r="AA585" s="423"/>
      <c r="AB585" s="423"/>
      <c r="AC585" s="423"/>
      <c r="AD585" s="423"/>
      <c r="AE585" s="423"/>
      <c r="AF585" s="423"/>
      <c r="AG585" s="423"/>
      <c r="AH585" s="423"/>
      <c r="AI585" s="423"/>
    </row>
    <row r="586">
      <c r="A586" s="419"/>
      <c r="B586" s="419"/>
      <c r="C586" s="419"/>
      <c r="D586" s="419"/>
      <c r="E586" s="387"/>
      <c r="F586" s="387"/>
      <c r="G586" s="423"/>
      <c r="H586" s="423"/>
      <c r="I586" s="423"/>
      <c r="J586" s="423"/>
      <c r="K586" s="423"/>
      <c r="L586" s="423"/>
      <c r="M586" s="423"/>
      <c r="N586" s="423"/>
      <c r="O586" s="423"/>
      <c r="P586" s="423"/>
      <c r="Q586" s="423"/>
      <c r="R586" s="423"/>
      <c r="S586" s="423"/>
      <c r="T586" s="423"/>
      <c r="U586" s="423"/>
      <c r="V586" s="423"/>
      <c r="W586" s="423"/>
      <c r="X586" s="423"/>
      <c r="Y586" s="423"/>
      <c r="Z586" s="423"/>
      <c r="AA586" s="423"/>
      <c r="AB586" s="423"/>
      <c r="AC586" s="423"/>
      <c r="AD586" s="423"/>
      <c r="AE586" s="423"/>
      <c r="AF586" s="423"/>
      <c r="AG586" s="423"/>
      <c r="AH586" s="423"/>
      <c r="AI586" s="423"/>
    </row>
    <row r="587">
      <c r="A587" s="419"/>
      <c r="B587" s="419"/>
      <c r="C587" s="419"/>
      <c r="D587" s="419"/>
      <c r="E587" s="387"/>
      <c r="F587" s="387"/>
      <c r="G587" s="423"/>
      <c r="H587" s="423"/>
      <c r="I587" s="423"/>
      <c r="J587" s="423"/>
      <c r="K587" s="423"/>
      <c r="L587" s="423"/>
      <c r="M587" s="423"/>
      <c r="N587" s="423"/>
      <c r="O587" s="423"/>
      <c r="P587" s="423"/>
      <c r="Q587" s="423"/>
      <c r="R587" s="423"/>
      <c r="S587" s="423"/>
      <c r="T587" s="423"/>
      <c r="U587" s="423"/>
      <c r="V587" s="423"/>
      <c r="W587" s="423"/>
      <c r="X587" s="423"/>
      <c r="Y587" s="423"/>
      <c r="Z587" s="423"/>
      <c r="AA587" s="423"/>
      <c r="AB587" s="423"/>
      <c r="AC587" s="423"/>
      <c r="AD587" s="423"/>
      <c r="AE587" s="423"/>
      <c r="AF587" s="423"/>
      <c r="AG587" s="423"/>
      <c r="AH587" s="423"/>
      <c r="AI587" s="423"/>
    </row>
    <row r="588">
      <c r="A588" s="419"/>
      <c r="B588" s="419"/>
      <c r="C588" s="419"/>
      <c r="D588" s="419"/>
      <c r="E588" s="387"/>
      <c r="F588" s="387"/>
      <c r="G588" s="423"/>
      <c r="H588" s="423"/>
      <c r="I588" s="423"/>
      <c r="J588" s="423"/>
      <c r="K588" s="423"/>
      <c r="L588" s="423"/>
      <c r="M588" s="423"/>
      <c r="N588" s="423"/>
      <c r="O588" s="423"/>
      <c r="P588" s="423"/>
      <c r="Q588" s="423"/>
      <c r="R588" s="423"/>
      <c r="S588" s="423"/>
      <c r="T588" s="423"/>
      <c r="U588" s="423"/>
      <c r="V588" s="423"/>
      <c r="W588" s="423"/>
      <c r="X588" s="423"/>
      <c r="Y588" s="423"/>
      <c r="Z588" s="423"/>
      <c r="AA588" s="423"/>
      <c r="AB588" s="423"/>
      <c r="AC588" s="423"/>
      <c r="AD588" s="423"/>
      <c r="AE588" s="423"/>
      <c r="AF588" s="423"/>
      <c r="AG588" s="423"/>
      <c r="AH588" s="423"/>
      <c r="AI588" s="423"/>
    </row>
    <row r="589">
      <c r="A589" s="419"/>
      <c r="B589" s="419"/>
      <c r="C589" s="419"/>
      <c r="D589" s="419"/>
      <c r="E589" s="387"/>
      <c r="F589" s="387"/>
      <c r="G589" s="423"/>
      <c r="H589" s="423"/>
      <c r="I589" s="423"/>
      <c r="J589" s="423"/>
      <c r="K589" s="423"/>
      <c r="L589" s="423"/>
      <c r="M589" s="423"/>
      <c r="N589" s="423"/>
      <c r="O589" s="423"/>
      <c r="P589" s="423"/>
      <c r="Q589" s="423"/>
      <c r="R589" s="423"/>
      <c r="S589" s="423"/>
      <c r="T589" s="423"/>
      <c r="U589" s="423"/>
      <c r="V589" s="423"/>
      <c r="W589" s="423"/>
      <c r="X589" s="423"/>
      <c r="Y589" s="423"/>
      <c r="Z589" s="423"/>
      <c r="AA589" s="423"/>
      <c r="AB589" s="423"/>
      <c r="AC589" s="423"/>
      <c r="AD589" s="423"/>
      <c r="AE589" s="423"/>
      <c r="AF589" s="423"/>
      <c r="AG589" s="423"/>
      <c r="AH589" s="423"/>
      <c r="AI589" s="423"/>
    </row>
    <row r="590">
      <c r="A590" s="419"/>
      <c r="B590" s="419"/>
      <c r="C590" s="419"/>
      <c r="D590" s="419"/>
      <c r="E590" s="387"/>
      <c r="F590" s="387"/>
      <c r="G590" s="423"/>
      <c r="H590" s="423"/>
      <c r="I590" s="423"/>
      <c r="J590" s="423"/>
      <c r="K590" s="423"/>
      <c r="L590" s="423"/>
      <c r="M590" s="423"/>
      <c r="N590" s="423"/>
      <c r="O590" s="423"/>
      <c r="P590" s="423"/>
      <c r="Q590" s="423"/>
      <c r="R590" s="423"/>
      <c r="S590" s="423"/>
      <c r="T590" s="423"/>
      <c r="U590" s="423"/>
      <c r="V590" s="423"/>
      <c r="W590" s="423"/>
      <c r="X590" s="423"/>
      <c r="Y590" s="423"/>
      <c r="Z590" s="423"/>
      <c r="AA590" s="423"/>
      <c r="AB590" s="423"/>
      <c r="AC590" s="423"/>
      <c r="AD590" s="423"/>
      <c r="AE590" s="423"/>
      <c r="AF590" s="423"/>
      <c r="AG590" s="423"/>
      <c r="AH590" s="423"/>
      <c r="AI590" s="423"/>
    </row>
    <row r="591">
      <c r="A591" s="419"/>
      <c r="B591" s="419"/>
      <c r="C591" s="419"/>
      <c r="D591" s="419"/>
      <c r="E591" s="387"/>
      <c r="F591" s="387"/>
      <c r="G591" s="423"/>
      <c r="H591" s="423"/>
      <c r="I591" s="423"/>
      <c r="J591" s="423"/>
      <c r="K591" s="423"/>
      <c r="L591" s="423"/>
      <c r="M591" s="423"/>
      <c r="N591" s="423"/>
      <c r="O591" s="423"/>
      <c r="P591" s="423"/>
      <c r="Q591" s="423"/>
      <c r="R591" s="423"/>
      <c r="S591" s="423"/>
      <c r="T591" s="423"/>
      <c r="U591" s="423"/>
      <c r="V591" s="423"/>
      <c r="W591" s="423"/>
      <c r="X591" s="423"/>
      <c r="Y591" s="423"/>
      <c r="Z591" s="423"/>
      <c r="AA591" s="423"/>
      <c r="AB591" s="423"/>
      <c r="AC591" s="423"/>
      <c r="AD591" s="423"/>
      <c r="AE591" s="423"/>
      <c r="AF591" s="423"/>
      <c r="AG591" s="423"/>
      <c r="AH591" s="423"/>
      <c r="AI591" s="423"/>
    </row>
    <row r="592">
      <c r="A592" s="419"/>
      <c r="B592" s="419"/>
      <c r="C592" s="419"/>
      <c r="D592" s="419"/>
      <c r="E592" s="387"/>
      <c r="F592" s="387"/>
      <c r="G592" s="423"/>
      <c r="H592" s="423"/>
      <c r="I592" s="423"/>
      <c r="J592" s="423"/>
      <c r="K592" s="423"/>
      <c r="L592" s="423"/>
      <c r="M592" s="423"/>
      <c r="N592" s="423"/>
      <c r="O592" s="423"/>
      <c r="P592" s="423"/>
      <c r="Q592" s="423"/>
      <c r="R592" s="423"/>
      <c r="S592" s="423"/>
      <c r="T592" s="423"/>
      <c r="U592" s="423"/>
      <c r="V592" s="423"/>
      <c r="W592" s="423"/>
      <c r="X592" s="423"/>
      <c r="Y592" s="423"/>
      <c r="Z592" s="423"/>
      <c r="AA592" s="423"/>
      <c r="AB592" s="423"/>
      <c r="AC592" s="423"/>
      <c r="AD592" s="423"/>
      <c r="AE592" s="423"/>
      <c r="AF592" s="423"/>
      <c r="AG592" s="423"/>
      <c r="AH592" s="423"/>
      <c r="AI592" s="423"/>
    </row>
    <row r="593">
      <c r="A593" s="419"/>
      <c r="B593" s="419"/>
      <c r="C593" s="419"/>
      <c r="D593" s="419"/>
      <c r="E593" s="387"/>
      <c r="F593" s="387"/>
      <c r="G593" s="423"/>
      <c r="H593" s="423"/>
      <c r="I593" s="423"/>
      <c r="J593" s="423"/>
      <c r="K593" s="423"/>
      <c r="L593" s="423"/>
      <c r="M593" s="423"/>
      <c r="N593" s="423"/>
      <c r="O593" s="423"/>
      <c r="P593" s="423"/>
      <c r="Q593" s="423"/>
      <c r="R593" s="423"/>
      <c r="S593" s="423"/>
      <c r="T593" s="423"/>
      <c r="U593" s="423"/>
      <c r="V593" s="423"/>
      <c r="W593" s="423"/>
      <c r="X593" s="423"/>
      <c r="Y593" s="423"/>
      <c r="Z593" s="423"/>
      <c r="AA593" s="423"/>
      <c r="AB593" s="423"/>
      <c r="AC593" s="423"/>
      <c r="AD593" s="423"/>
      <c r="AE593" s="423"/>
      <c r="AF593" s="423"/>
      <c r="AG593" s="423"/>
      <c r="AH593" s="423"/>
      <c r="AI593" s="423"/>
    </row>
    <row r="594">
      <c r="A594" s="419"/>
      <c r="B594" s="419"/>
      <c r="C594" s="419"/>
      <c r="D594" s="419"/>
      <c r="E594" s="387"/>
      <c r="F594" s="387"/>
      <c r="G594" s="423"/>
      <c r="H594" s="423"/>
      <c r="I594" s="423"/>
      <c r="J594" s="423"/>
      <c r="K594" s="423"/>
      <c r="L594" s="423"/>
      <c r="M594" s="423"/>
      <c r="N594" s="423"/>
      <c r="O594" s="423"/>
      <c r="P594" s="423"/>
      <c r="Q594" s="423"/>
      <c r="R594" s="423"/>
      <c r="S594" s="423"/>
      <c r="T594" s="423"/>
      <c r="U594" s="423"/>
      <c r="V594" s="423"/>
      <c r="W594" s="423"/>
      <c r="X594" s="423"/>
      <c r="Y594" s="423"/>
      <c r="Z594" s="423"/>
      <c r="AA594" s="423"/>
      <c r="AB594" s="423"/>
      <c r="AC594" s="423"/>
      <c r="AD594" s="423"/>
      <c r="AE594" s="423"/>
      <c r="AF594" s="423"/>
      <c r="AG594" s="423"/>
      <c r="AH594" s="423"/>
      <c r="AI594" s="423"/>
    </row>
    <row r="595">
      <c r="A595" s="419"/>
      <c r="B595" s="419"/>
      <c r="C595" s="419"/>
      <c r="D595" s="419"/>
      <c r="E595" s="387"/>
      <c r="F595" s="387"/>
      <c r="G595" s="423"/>
      <c r="H595" s="423"/>
      <c r="I595" s="423"/>
      <c r="J595" s="423"/>
      <c r="K595" s="423"/>
      <c r="L595" s="423"/>
      <c r="M595" s="423"/>
      <c r="N595" s="423"/>
      <c r="O595" s="423"/>
      <c r="P595" s="423"/>
      <c r="Q595" s="423"/>
      <c r="R595" s="423"/>
      <c r="S595" s="423"/>
      <c r="T595" s="423"/>
      <c r="U595" s="423"/>
      <c r="V595" s="423"/>
      <c r="W595" s="423"/>
      <c r="X595" s="423"/>
      <c r="Y595" s="423"/>
      <c r="Z595" s="423"/>
      <c r="AA595" s="423"/>
      <c r="AB595" s="423"/>
      <c r="AC595" s="423"/>
      <c r="AD595" s="423"/>
      <c r="AE595" s="423"/>
      <c r="AF595" s="423"/>
      <c r="AG595" s="423"/>
      <c r="AH595" s="423"/>
      <c r="AI595" s="423"/>
    </row>
    <row r="596">
      <c r="A596" s="419"/>
      <c r="B596" s="419"/>
      <c r="C596" s="419"/>
      <c r="D596" s="419"/>
      <c r="E596" s="387"/>
      <c r="F596" s="387"/>
      <c r="G596" s="423"/>
      <c r="H596" s="423"/>
      <c r="I596" s="423"/>
      <c r="J596" s="423"/>
      <c r="K596" s="423"/>
      <c r="L596" s="423"/>
      <c r="M596" s="423"/>
      <c r="N596" s="423"/>
      <c r="O596" s="423"/>
      <c r="P596" s="423"/>
      <c r="Q596" s="423"/>
      <c r="R596" s="423"/>
      <c r="S596" s="423"/>
      <c r="T596" s="423"/>
      <c r="U596" s="423"/>
      <c r="V596" s="423"/>
      <c r="W596" s="423"/>
      <c r="X596" s="423"/>
      <c r="Y596" s="423"/>
      <c r="Z596" s="423"/>
      <c r="AA596" s="423"/>
      <c r="AB596" s="423"/>
      <c r="AC596" s="423"/>
      <c r="AD596" s="423"/>
      <c r="AE596" s="423"/>
      <c r="AF596" s="423"/>
      <c r="AG596" s="423"/>
      <c r="AH596" s="423"/>
      <c r="AI596" s="423"/>
    </row>
    <row r="597">
      <c r="A597" s="419"/>
      <c r="B597" s="419"/>
      <c r="C597" s="419"/>
      <c r="D597" s="419"/>
      <c r="E597" s="387"/>
      <c r="F597" s="387"/>
      <c r="G597" s="423"/>
      <c r="H597" s="423"/>
      <c r="I597" s="423"/>
      <c r="J597" s="423"/>
      <c r="K597" s="423"/>
      <c r="L597" s="423"/>
      <c r="M597" s="423"/>
      <c r="N597" s="423"/>
      <c r="O597" s="423"/>
      <c r="P597" s="423"/>
      <c r="Q597" s="423"/>
      <c r="R597" s="423"/>
      <c r="S597" s="423"/>
      <c r="T597" s="423"/>
      <c r="U597" s="423"/>
      <c r="V597" s="423"/>
      <c r="W597" s="423"/>
      <c r="X597" s="423"/>
      <c r="Y597" s="423"/>
      <c r="Z597" s="423"/>
      <c r="AA597" s="423"/>
      <c r="AB597" s="423"/>
      <c r="AC597" s="423"/>
      <c r="AD597" s="423"/>
      <c r="AE597" s="423"/>
      <c r="AF597" s="423"/>
      <c r="AG597" s="423"/>
      <c r="AH597" s="423"/>
      <c r="AI597" s="423"/>
    </row>
    <row r="598">
      <c r="A598" s="419"/>
      <c r="B598" s="419"/>
      <c r="C598" s="419"/>
      <c r="D598" s="419"/>
      <c r="E598" s="387"/>
      <c r="F598" s="387"/>
      <c r="G598" s="423"/>
      <c r="H598" s="423"/>
      <c r="I598" s="423"/>
      <c r="J598" s="423"/>
      <c r="K598" s="423"/>
      <c r="L598" s="423"/>
      <c r="M598" s="423"/>
      <c r="N598" s="423"/>
      <c r="O598" s="423"/>
      <c r="P598" s="423"/>
      <c r="Q598" s="423"/>
      <c r="R598" s="423"/>
      <c r="S598" s="423"/>
      <c r="T598" s="423"/>
      <c r="U598" s="423"/>
      <c r="V598" s="423"/>
      <c r="W598" s="423"/>
      <c r="X598" s="423"/>
      <c r="Y598" s="423"/>
      <c r="Z598" s="423"/>
      <c r="AA598" s="423"/>
      <c r="AB598" s="423"/>
      <c r="AC598" s="423"/>
      <c r="AD598" s="423"/>
      <c r="AE598" s="423"/>
      <c r="AF598" s="423"/>
      <c r="AG598" s="423"/>
      <c r="AH598" s="423"/>
      <c r="AI598" s="423"/>
    </row>
    <row r="599">
      <c r="A599" s="419"/>
      <c r="B599" s="419"/>
      <c r="C599" s="419"/>
      <c r="D599" s="419"/>
      <c r="E599" s="387"/>
      <c r="F599" s="387"/>
      <c r="G599" s="423"/>
      <c r="H599" s="423"/>
      <c r="I599" s="423"/>
      <c r="J599" s="423"/>
      <c r="K599" s="423"/>
      <c r="L599" s="423"/>
      <c r="M599" s="423"/>
      <c r="N599" s="423"/>
      <c r="O599" s="423"/>
      <c r="P599" s="423"/>
      <c r="Q599" s="423"/>
      <c r="R599" s="423"/>
      <c r="S599" s="423"/>
      <c r="T599" s="423"/>
      <c r="U599" s="423"/>
      <c r="V599" s="423"/>
      <c r="W599" s="423"/>
      <c r="X599" s="423"/>
      <c r="Y599" s="423"/>
      <c r="Z599" s="423"/>
      <c r="AA599" s="423"/>
      <c r="AB599" s="423"/>
      <c r="AC599" s="423"/>
      <c r="AD599" s="423"/>
      <c r="AE599" s="423"/>
      <c r="AF599" s="423"/>
      <c r="AG599" s="423"/>
      <c r="AH599" s="423"/>
      <c r="AI599" s="423"/>
    </row>
    <row r="600">
      <c r="A600" s="419"/>
      <c r="B600" s="419"/>
      <c r="C600" s="419"/>
      <c r="D600" s="419"/>
      <c r="E600" s="387"/>
      <c r="F600" s="387"/>
      <c r="G600" s="423"/>
      <c r="H600" s="423"/>
      <c r="I600" s="423"/>
      <c r="J600" s="423"/>
      <c r="K600" s="423"/>
      <c r="L600" s="423"/>
      <c r="M600" s="423"/>
      <c r="N600" s="423"/>
      <c r="O600" s="423"/>
      <c r="P600" s="423"/>
      <c r="Q600" s="423"/>
      <c r="R600" s="423"/>
      <c r="S600" s="423"/>
      <c r="T600" s="423"/>
      <c r="U600" s="423"/>
      <c r="V600" s="423"/>
      <c r="W600" s="423"/>
      <c r="X600" s="423"/>
      <c r="Y600" s="423"/>
      <c r="Z600" s="423"/>
      <c r="AA600" s="423"/>
      <c r="AB600" s="423"/>
      <c r="AC600" s="423"/>
      <c r="AD600" s="423"/>
      <c r="AE600" s="423"/>
      <c r="AF600" s="423"/>
      <c r="AG600" s="423"/>
      <c r="AH600" s="423"/>
      <c r="AI600" s="423"/>
    </row>
    <row r="601">
      <c r="A601" s="419"/>
      <c r="B601" s="419"/>
      <c r="C601" s="419"/>
      <c r="D601" s="419"/>
      <c r="E601" s="387"/>
      <c r="F601" s="387"/>
      <c r="G601" s="423"/>
      <c r="H601" s="423"/>
      <c r="I601" s="423"/>
      <c r="J601" s="423"/>
      <c r="K601" s="423"/>
      <c r="L601" s="423"/>
      <c r="M601" s="423"/>
      <c r="N601" s="423"/>
      <c r="O601" s="423"/>
      <c r="P601" s="423"/>
      <c r="Q601" s="423"/>
      <c r="R601" s="423"/>
      <c r="S601" s="423"/>
      <c r="T601" s="423"/>
      <c r="U601" s="423"/>
      <c r="V601" s="423"/>
      <c r="W601" s="423"/>
      <c r="X601" s="423"/>
      <c r="Y601" s="423"/>
      <c r="Z601" s="423"/>
      <c r="AA601" s="423"/>
      <c r="AB601" s="423"/>
      <c r="AC601" s="423"/>
      <c r="AD601" s="423"/>
      <c r="AE601" s="423"/>
      <c r="AF601" s="423"/>
      <c r="AG601" s="423"/>
      <c r="AH601" s="423"/>
      <c r="AI601" s="423"/>
    </row>
    <row r="602">
      <c r="A602" s="419"/>
      <c r="B602" s="419"/>
      <c r="C602" s="419"/>
      <c r="D602" s="419"/>
      <c r="E602" s="387"/>
      <c r="F602" s="387"/>
      <c r="G602" s="423"/>
      <c r="H602" s="423"/>
      <c r="I602" s="423"/>
      <c r="J602" s="423"/>
      <c r="K602" s="423"/>
      <c r="L602" s="423"/>
      <c r="M602" s="423"/>
      <c r="N602" s="423"/>
      <c r="O602" s="423"/>
      <c r="P602" s="423"/>
      <c r="Q602" s="423"/>
      <c r="R602" s="423"/>
      <c r="S602" s="423"/>
      <c r="T602" s="423"/>
      <c r="U602" s="423"/>
      <c r="V602" s="423"/>
      <c r="W602" s="423"/>
      <c r="X602" s="423"/>
      <c r="Y602" s="423"/>
      <c r="Z602" s="423"/>
      <c r="AA602" s="423"/>
      <c r="AB602" s="423"/>
      <c r="AC602" s="423"/>
      <c r="AD602" s="423"/>
      <c r="AE602" s="423"/>
      <c r="AF602" s="423"/>
      <c r="AG602" s="423"/>
      <c r="AH602" s="423"/>
      <c r="AI602" s="423"/>
    </row>
    <row r="603">
      <c r="A603" s="419"/>
      <c r="B603" s="419"/>
      <c r="C603" s="419"/>
      <c r="D603" s="419"/>
      <c r="E603" s="387"/>
      <c r="F603" s="387"/>
      <c r="G603" s="423"/>
      <c r="H603" s="423"/>
      <c r="I603" s="423"/>
      <c r="J603" s="423"/>
      <c r="K603" s="423"/>
      <c r="L603" s="423"/>
      <c r="M603" s="423"/>
      <c r="N603" s="423"/>
      <c r="O603" s="423"/>
      <c r="P603" s="423"/>
      <c r="Q603" s="423"/>
      <c r="R603" s="423"/>
      <c r="S603" s="423"/>
      <c r="T603" s="423"/>
      <c r="U603" s="423"/>
      <c r="V603" s="423"/>
      <c r="W603" s="423"/>
      <c r="X603" s="423"/>
      <c r="Y603" s="423"/>
      <c r="Z603" s="423"/>
      <c r="AA603" s="423"/>
      <c r="AB603" s="423"/>
      <c r="AC603" s="423"/>
      <c r="AD603" s="423"/>
      <c r="AE603" s="423"/>
      <c r="AF603" s="423"/>
      <c r="AG603" s="423"/>
      <c r="AH603" s="423"/>
      <c r="AI603" s="423"/>
    </row>
    <row r="604">
      <c r="A604" s="419"/>
      <c r="B604" s="419"/>
      <c r="C604" s="419"/>
      <c r="D604" s="419"/>
      <c r="E604" s="387"/>
      <c r="F604" s="387"/>
      <c r="G604" s="423"/>
      <c r="H604" s="423"/>
      <c r="I604" s="423"/>
      <c r="J604" s="423"/>
      <c r="K604" s="423"/>
      <c r="L604" s="423"/>
      <c r="M604" s="423"/>
      <c r="N604" s="423"/>
      <c r="O604" s="423"/>
      <c r="P604" s="423"/>
      <c r="Q604" s="423"/>
      <c r="R604" s="423"/>
      <c r="S604" s="423"/>
      <c r="T604" s="423"/>
      <c r="U604" s="423"/>
      <c r="V604" s="423"/>
      <c r="W604" s="423"/>
      <c r="X604" s="423"/>
      <c r="Y604" s="423"/>
      <c r="Z604" s="423"/>
      <c r="AA604" s="423"/>
      <c r="AB604" s="423"/>
      <c r="AC604" s="423"/>
      <c r="AD604" s="423"/>
      <c r="AE604" s="423"/>
      <c r="AF604" s="423"/>
      <c r="AG604" s="423"/>
      <c r="AH604" s="423"/>
      <c r="AI604" s="423"/>
    </row>
    <row r="605">
      <c r="A605" s="419"/>
      <c r="B605" s="419"/>
      <c r="C605" s="419"/>
      <c r="D605" s="419"/>
      <c r="E605" s="387"/>
      <c r="F605" s="387"/>
      <c r="G605" s="423"/>
      <c r="H605" s="423"/>
      <c r="I605" s="423"/>
      <c r="J605" s="423"/>
      <c r="K605" s="423"/>
      <c r="L605" s="423"/>
      <c r="M605" s="423"/>
      <c r="N605" s="423"/>
      <c r="O605" s="423"/>
      <c r="P605" s="423"/>
      <c r="Q605" s="423"/>
      <c r="R605" s="423"/>
      <c r="S605" s="423"/>
      <c r="T605" s="423"/>
      <c r="U605" s="423"/>
      <c r="V605" s="423"/>
      <c r="W605" s="423"/>
      <c r="X605" s="423"/>
      <c r="Y605" s="423"/>
      <c r="Z605" s="423"/>
      <c r="AA605" s="423"/>
      <c r="AB605" s="423"/>
      <c r="AC605" s="423"/>
      <c r="AD605" s="423"/>
      <c r="AE605" s="423"/>
      <c r="AF605" s="423"/>
      <c r="AG605" s="423"/>
      <c r="AH605" s="423"/>
      <c r="AI605" s="423"/>
    </row>
    <row r="606">
      <c r="A606" s="419"/>
      <c r="B606" s="419"/>
      <c r="C606" s="419"/>
      <c r="D606" s="419"/>
      <c r="E606" s="387"/>
      <c r="F606" s="387"/>
      <c r="G606" s="423"/>
      <c r="H606" s="423"/>
      <c r="I606" s="423"/>
      <c r="J606" s="423"/>
      <c r="K606" s="423"/>
      <c r="L606" s="423"/>
      <c r="M606" s="423"/>
      <c r="N606" s="423"/>
      <c r="O606" s="423"/>
      <c r="P606" s="423"/>
      <c r="Q606" s="423"/>
      <c r="R606" s="423"/>
      <c r="S606" s="423"/>
      <c r="T606" s="423"/>
      <c r="U606" s="423"/>
      <c r="V606" s="423"/>
      <c r="W606" s="423"/>
      <c r="X606" s="423"/>
      <c r="Y606" s="423"/>
      <c r="Z606" s="423"/>
      <c r="AA606" s="423"/>
      <c r="AB606" s="423"/>
      <c r="AC606" s="423"/>
      <c r="AD606" s="423"/>
      <c r="AE606" s="423"/>
      <c r="AF606" s="423"/>
      <c r="AG606" s="423"/>
      <c r="AH606" s="423"/>
      <c r="AI606" s="423"/>
    </row>
    <row r="607">
      <c r="A607" s="419"/>
      <c r="B607" s="419"/>
      <c r="C607" s="419"/>
      <c r="D607" s="419"/>
      <c r="E607" s="387"/>
      <c r="F607" s="387"/>
      <c r="G607" s="423"/>
      <c r="H607" s="423"/>
      <c r="I607" s="423"/>
      <c r="J607" s="423"/>
      <c r="K607" s="423"/>
      <c r="L607" s="423"/>
      <c r="M607" s="423"/>
      <c r="N607" s="423"/>
      <c r="O607" s="423"/>
      <c r="P607" s="423"/>
      <c r="Q607" s="423"/>
      <c r="R607" s="423"/>
      <c r="S607" s="423"/>
      <c r="T607" s="423"/>
      <c r="U607" s="423"/>
      <c r="V607" s="423"/>
      <c r="W607" s="423"/>
      <c r="X607" s="423"/>
      <c r="Y607" s="423"/>
      <c r="Z607" s="423"/>
      <c r="AA607" s="423"/>
      <c r="AB607" s="423"/>
      <c r="AC607" s="423"/>
      <c r="AD607" s="423"/>
      <c r="AE607" s="423"/>
      <c r="AF607" s="423"/>
      <c r="AG607" s="423"/>
      <c r="AH607" s="423"/>
      <c r="AI607" s="423"/>
    </row>
    <row r="608">
      <c r="A608" s="419"/>
      <c r="B608" s="419"/>
      <c r="C608" s="419"/>
      <c r="D608" s="419"/>
      <c r="E608" s="387"/>
      <c r="F608" s="387"/>
      <c r="G608" s="423"/>
      <c r="H608" s="423"/>
      <c r="I608" s="423"/>
      <c r="J608" s="423"/>
      <c r="K608" s="423"/>
      <c r="L608" s="423"/>
      <c r="M608" s="423"/>
      <c r="N608" s="423"/>
      <c r="O608" s="423"/>
      <c r="P608" s="423"/>
      <c r="Q608" s="423"/>
      <c r="R608" s="423"/>
      <c r="S608" s="423"/>
      <c r="T608" s="423"/>
      <c r="U608" s="423"/>
      <c r="V608" s="423"/>
      <c r="W608" s="423"/>
      <c r="X608" s="423"/>
      <c r="Y608" s="423"/>
      <c r="Z608" s="423"/>
      <c r="AA608" s="423"/>
      <c r="AB608" s="423"/>
      <c r="AC608" s="423"/>
      <c r="AD608" s="423"/>
      <c r="AE608" s="423"/>
      <c r="AF608" s="423"/>
      <c r="AG608" s="423"/>
      <c r="AH608" s="423"/>
      <c r="AI608" s="423"/>
    </row>
    <row r="609">
      <c r="A609" s="419"/>
      <c r="B609" s="419"/>
      <c r="C609" s="419"/>
      <c r="D609" s="419"/>
      <c r="E609" s="387"/>
      <c r="F609" s="387"/>
      <c r="G609" s="423"/>
      <c r="H609" s="423"/>
      <c r="I609" s="423"/>
      <c r="J609" s="423"/>
      <c r="K609" s="423"/>
      <c r="L609" s="423"/>
      <c r="M609" s="423"/>
      <c r="N609" s="423"/>
      <c r="O609" s="423"/>
      <c r="P609" s="423"/>
      <c r="Q609" s="423"/>
      <c r="R609" s="423"/>
      <c r="S609" s="423"/>
      <c r="T609" s="423"/>
      <c r="U609" s="423"/>
      <c r="V609" s="423"/>
      <c r="W609" s="423"/>
      <c r="X609" s="423"/>
      <c r="Y609" s="423"/>
      <c r="Z609" s="423"/>
      <c r="AA609" s="423"/>
      <c r="AB609" s="423"/>
      <c r="AC609" s="423"/>
      <c r="AD609" s="423"/>
      <c r="AE609" s="423"/>
      <c r="AF609" s="423"/>
      <c r="AG609" s="423"/>
      <c r="AH609" s="423"/>
      <c r="AI609" s="423"/>
    </row>
    <row r="610">
      <c r="A610" s="419"/>
      <c r="B610" s="419"/>
      <c r="C610" s="419"/>
      <c r="D610" s="419"/>
      <c r="E610" s="387"/>
      <c r="F610" s="387"/>
      <c r="G610" s="423"/>
      <c r="H610" s="423"/>
      <c r="I610" s="423"/>
      <c r="J610" s="423"/>
      <c r="K610" s="423"/>
      <c r="L610" s="423"/>
      <c r="M610" s="423"/>
      <c r="N610" s="423"/>
      <c r="O610" s="423"/>
      <c r="P610" s="423"/>
      <c r="Q610" s="423"/>
      <c r="R610" s="423"/>
      <c r="S610" s="423"/>
      <c r="T610" s="423"/>
      <c r="U610" s="423"/>
      <c r="V610" s="423"/>
      <c r="W610" s="423"/>
      <c r="X610" s="423"/>
      <c r="Y610" s="423"/>
      <c r="Z610" s="423"/>
      <c r="AA610" s="423"/>
      <c r="AB610" s="423"/>
      <c r="AC610" s="423"/>
      <c r="AD610" s="423"/>
      <c r="AE610" s="423"/>
      <c r="AF610" s="423"/>
      <c r="AG610" s="423"/>
      <c r="AH610" s="423"/>
      <c r="AI610" s="423"/>
    </row>
    <row r="611">
      <c r="A611" s="419"/>
      <c r="B611" s="419"/>
      <c r="C611" s="419"/>
      <c r="D611" s="419"/>
      <c r="E611" s="387"/>
      <c r="F611" s="387"/>
      <c r="G611" s="423"/>
      <c r="H611" s="423"/>
      <c r="I611" s="423"/>
      <c r="J611" s="423"/>
      <c r="K611" s="423"/>
      <c r="L611" s="423"/>
      <c r="M611" s="423"/>
      <c r="N611" s="423"/>
      <c r="O611" s="423"/>
      <c r="P611" s="423"/>
      <c r="Q611" s="423"/>
      <c r="R611" s="423"/>
      <c r="S611" s="423"/>
      <c r="T611" s="423"/>
      <c r="U611" s="423"/>
      <c r="V611" s="423"/>
      <c r="W611" s="423"/>
      <c r="X611" s="423"/>
      <c r="Y611" s="423"/>
      <c r="Z611" s="423"/>
      <c r="AA611" s="423"/>
      <c r="AB611" s="423"/>
      <c r="AC611" s="423"/>
      <c r="AD611" s="423"/>
      <c r="AE611" s="423"/>
      <c r="AF611" s="423"/>
      <c r="AG611" s="423"/>
      <c r="AH611" s="423"/>
      <c r="AI611" s="423"/>
    </row>
    <row r="612">
      <c r="A612" s="419"/>
      <c r="B612" s="419"/>
      <c r="C612" s="419"/>
      <c r="D612" s="419"/>
      <c r="E612" s="387"/>
      <c r="F612" s="387"/>
      <c r="G612" s="423"/>
      <c r="H612" s="423"/>
      <c r="I612" s="423"/>
      <c r="J612" s="423"/>
      <c r="K612" s="423"/>
      <c r="L612" s="423"/>
      <c r="M612" s="423"/>
      <c r="N612" s="423"/>
      <c r="O612" s="423"/>
      <c r="P612" s="423"/>
      <c r="Q612" s="423"/>
      <c r="R612" s="423"/>
      <c r="S612" s="423"/>
      <c r="T612" s="423"/>
      <c r="U612" s="423"/>
      <c r="V612" s="423"/>
      <c r="W612" s="423"/>
      <c r="X612" s="423"/>
      <c r="Y612" s="423"/>
      <c r="Z612" s="423"/>
      <c r="AA612" s="423"/>
      <c r="AB612" s="423"/>
      <c r="AC612" s="423"/>
      <c r="AD612" s="423"/>
      <c r="AE612" s="423"/>
      <c r="AF612" s="423"/>
      <c r="AG612" s="423"/>
      <c r="AH612" s="423"/>
      <c r="AI612" s="423"/>
    </row>
    <row r="613">
      <c r="A613" s="419"/>
      <c r="B613" s="419"/>
      <c r="C613" s="419"/>
      <c r="D613" s="419"/>
      <c r="E613" s="387"/>
      <c r="F613" s="387"/>
      <c r="G613" s="423"/>
      <c r="H613" s="423"/>
      <c r="I613" s="423"/>
      <c r="J613" s="423"/>
      <c r="K613" s="423"/>
      <c r="L613" s="423"/>
      <c r="M613" s="423"/>
      <c r="N613" s="423"/>
      <c r="O613" s="423"/>
      <c r="P613" s="423"/>
      <c r="Q613" s="423"/>
      <c r="R613" s="423"/>
      <c r="S613" s="423"/>
      <c r="T613" s="423"/>
      <c r="U613" s="423"/>
      <c r="V613" s="423"/>
      <c r="W613" s="423"/>
      <c r="X613" s="423"/>
      <c r="Y613" s="423"/>
      <c r="Z613" s="423"/>
      <c r="AA613" s="423"/>
      <c r="AB613" s="423"/>
      <c r="AC613" s="423"/>
      <c r="AD613" s="423"/>
      <c r="AE613" s="423"/>
      <c r="AF613" s="423"/>
      <c r="AG613" s="423"/>
      <c r="AH613" s="423"/>
      <c r="AI613" s="423"/>
    </row>
    <row r="614">
      <c r="A614" s="419"/>
      <c r="B614" s="419"/>
      <c r="C614" s="419"/>
      <c r="D614" s="419"/>
      <c r="E614" s="387"/>
      <c r="F614" s="387"/>
      <c r="G614" s="423"/>
      <c r="H614" s="423"/>
      <c r="I614" s="423"/>
      <c r="J614" s="423"/>
      <c r="K614" s="423"/>
      <c r="L614" s="423"/>
      <c r="M614" s="423"/>
      <c r="N614" s="423"/>
      <c r="O614" s="423"/>
      <c r="P614" s="423"/>
      <c r="Q614" s="423"/>
      <c r="R614" s="423"/>
      <c r="S614" s="423"/>
      <c r="T614" s="423"/>
      <c r="U614" s="423"/>
      <c r="V614" s="423"/>
      <c r="W614" s="423"/>
      <c r="X614" s="423"/>
      <c r="Y614" s="423"/>
      <c r="Z614" s="423"/>
      <c r="AA614" s="423"/>
      <c r="AB614" s="423"/>
      <c r="AC614" s="423"/>
      <c r="AD614" s="423"/>
      <c r="AE614" s="423"/>
      <c r="AF614" s="423"/>
      <c r="AG614" s="423"/>
      <c r="AH614" s="423"/>
      <c r="AI614" s="423"/>
    </row>
    <row r="615">
      <c r="A615" s="419"/>
      <c r="B615" s="419"/>
      <c r="C615" s="419"/>
      <c r="D615" s="419"/>
      <c r="E615" s="387"/>
      <c r="F615" s="387"/>
      <c r="G615" s="423"/>
      <c r="H615" s="423"/>
      <c r="I615" s="423"/>
      <c r="J615" s="423"/>
      <c r="K615" s="423"/>
      <c r="L615" s="423"/>
      <c r="M615" s="423"/>
      <c r="N615" s="423"/>
      <c r="O615" s="423"/>
      <c r="P615" s="423"/>
      <c r="Q615" s="423"/>
      <c r="R615" s="423"/>
      <c r="S615" s="423"/>
      <c r="T615" s="423"/>
      <c r="U615" s="423"/>
      <c r="V615" s="423"/>
      <c r="W615" s="423"/>
      <c r="X615" s="423"/>
      <c r="Y615" s="423"/>
      <c r="Z615" s="423"/>
      <c r="AA615" s="423"/>
      <c r="AB615" s="423"/>
      <c r="AC615" s="423"/>
      <c r="AD615" s="423"/>
      <c r="AE615" s="423"/>
      <c r="AF615" s="423"/>
      <c r="AG615" s="423"/>
      <c r="AH615" s="423"/>
      <c r="AI615" s="423"/>
    </row>
    <row r="616">
      <c r="A616" s="419"/>
      <c r="B616" s="419"/>
      <c r="C616" s="419"/>
      <c r="D616" s="419"/>
      <c r="E616" s="387"/>
      <c r="F616" s="387"/>
      <c r="G616" s="423"/>
      <c r="H616" s="423"/>
      <c r="I616" s="423"/>
      <c r="J616" s="423"/>
      <c r="K616" s="423"/>
      <c r="L616" s="423"/>
      <c r="M616" s="423"/>
      <c r="N616" s="423"/>
      <c r="O616" s="423"/>
      <c r="P616" s="423"/>
      <c r="Q616" s="423"/>
      <c r="R616" s="423"/>
      <c r="S616" s="423"/>
      <c r="T616" s="423"/>
      <c r="U616" s="423"/>
      <c r="V616" s="423"/>
      <c r="W616" s="423"/>
      <c r="X616" s="423"/>
      <c r="Y616" s="423"/>
      <c r="Z616" s="423"/>
      <c r="AA616" s="423"/>
      <c r="AB616" s="423"/>
      <c r="AC616" s="423"/>
      <c r="AD616" s="423"/>
      <c r="AE616" s="423"/>
      <c r="AF616" s="423"/>
      <c r="AG616" s="423"/>
      <c r="AH616" s="423"/>
      <c r="AI616" s="423"/>
    </row>
    <row r="617">
      <c r="A617" s="419"/>
      <c r="B617" s="419"/>
      <c r="C617" s="419"/>
      <c r="D617" s="419"/>
      <c r="E617" s="387"/>
      <c r="F617" s="387"/>
      <c r="G617" s="423"/>
      <c r="H617" s="423"/>
      <c r="I617" s="423"/>
      <c r="J617" s="423"/>
      <c r="K617" s="423"/>
      <c r="L617" s="423"/>
      <c r="M617" s="423"/>
      <c r="N617" s="423"/>
      <c r="O617" s="423"/>
      <c r="P617" s="423"/>
      <c r="Q617" s="423"/>
      <c r="R617" s="423"/>
      <c r="S617" s="423"/>
      <c r="T617" s="423"/>
      <c r="U617" s="423"/>
      <c r="V617" s="423"/>
      <c r="W617" s="423"/>
      <c r="X617" s="423"/>
      <c r="Y617" s="423"/>
      <c r="Z617" s="423"/>
      <c r="AA617" s="423"/>
      <c r="AB617" s="423"/>
      <c r="AC617" s="423"/>
      <c r="AD617" s="423"/>
      <c r="AE617" s="423"/>
      <c r="AF617" s="423"/>
      <c r="AG617" s="423"/>
      <c r="AH617" s="423"/>
      <c r="AI617" s="423"/>
    </row>
    <row r="618">
      <c r="A618" s="419"/>
      <c r="B618" s="419"/>
      <c r="C618" s="419"/>
      <c r="D618" s="419"/>
      <c r="E618" s="387"/>
      <c r="F618" s="387"/>
      <c r="G618" s="423"/>
      <c r="H618" s="423"/>
      <c r="I618" s="423"/>
      <c r="J618" s="423"/>
      <c r="K618" s="423"/>
      <c r="L618" s="423"/>
      <c r="M618" s="423"/>
      <c r="N618" s="423"/>
      <c r="O618" s="423"/>
      <c r="P618" s="423"/>
      <c r="Q618" s="423"/>
      <c r="R618" s="423"/>
      <c r="S618" s="423"/>
      <c r="T618" s="423"/>
      <c r="U618" s="423"/>
      <c r="V618" s="423"/>
      <c r="W618" s="423"/>
      <c r="X618" s="423"/>
      <c r="Y618" s="423"/>
      <c r="Z618" s="423"/>
      <c r="AA618" s="423"/>
      <c r="AB618" s="423"/>
      <c r="AC618" s="423"/>
      <c r="AD618" s="423"/>
      <c r="AE618" s="423"/>
      <c r="AF618" s="423"/>
      <c r="AG618" s="423"/>
      <c r="AH618" s="423"/>
      <c r="AI618" s="423"/>
    </row>
    <row r="619">
      <c r="A619" s="419"/>
      <c r="B619" s="419"/>
      <c r="C619" s="419"/>
      <c r="D619" s="419"/>
      <c r="E619" s="387"/>
      <c r="F619" s="387"/>
      <c r="G619" s="423"/>
      <c r="H619" s="423"/>
      <c r="I619" s="423"/>
      <c r="J619" s="423"/>
      <c r="K619" s="423"/>
      <c r="L619" s="423"/>
      <c r="M619" s="423"/>
      <c r="N619" s="423"/>
      <c r="O619" s="423"/>
      <c r="P619" s="423"/>
      <c r="Q619" s="423"/>
      <c r="R619" s="423"/>
      <c r="S619" s="423"/>
      <c r="T619" s="423"/>
      <c r="U619" s="423"/>
      <c r="V619" s="423"/>
      <c r="W619" s="423"/>
      <c r="X619" s="423"/>
      <c r="Y619" s="423"/>
      <c r="Z619" s="423"/>
      <c r="AA619" s="423"/>
      <c r="AB619" s="423"/>
      <c r="AC619" s="423"/>
      <c r="AD619" s="423"/>
      <c r="AE619" s="423"/>
      <c r="AF619" s="423"/>
      <c r="AG619" s="423"/>
      <c r="AH619" s="423"/>
      <c r="AI619" s="423"/>
    </row>
    <row r="620">
      <c r="A620" s="419"/>
      <c r="B620" s="419"/>
      <c r="C620" s="419"/>
      <c r="D620" s="419"/>
      <c r="E620" s="387"/>
      <c r="F620" s="387"/>
      <c r="G620" s="423"/>
      <c r="H620" s="423"/>
      <c r="I620" s="423"/>
      <c r="J620" s="423"/>
      <c r="K620" s="423"/>
      <c r="L620" s="423"/>
      <c r="M620" s="423"/>
      <c r="N620" s="423"/>
      <c r="O620" s="423"/>
      <c r="P620" s="423"/>
      <c r="Q620" s="423"/>
      <c r="R620" s="423"/>
      <c r="S620" s="423"/>
      <c r="T620" s="423"/>
      <c r="U620" s="423"/>
      <c r="V620" s="423"/>
      <c r="W620" s="423"/>
      <c r="X620" s="423"/>
      <c r="Y620" s="423"/>
      <c r="Z620" s="423"/>
      <c r="AA620" s="423"/>
      <c r="AB620" s="423"/>
      <c r="AC620" s="423"/>
      <c r="AD620" s="423"/>
      <c r="AE620" s="423"/>
      <c r="AF620" s="423"/>
      <c r="AG620" s="423"/>
      <c r="AH620" s="423"/>
      <c r="AI620" s="423"/>
    </row>
    <row r="621">
      <c r="A621" s="419"/>
      <c r="B621" s="419"/>
      <c r="C621" s="419"/>
      <c r="D621" s="419"/>
      <c r="E621" s="387"/>
      <c r="F621" s="387"/>
      <c r="G621" s="423"/>
      <c r="H621" s="423"/>
      <c r="I621" s="423"/>
      <c r="J621" s="423"/>
      <c r="K621" s="423"/>
      <c r="L621" s="423"/>
      <c r="M621" s="423"/>
      <c r="N621" s="423"/>
      <c r="O621" s="423"/>
      <c r="P621" s="423"/>
      <c r="Q621" s="423"/>
      <c r="R621" s="423"/>
      <c r="S621" s="423"/>
      <c r="T621" s="423"/>
      <c r="U621" s="423"/>
      <c r="V621" s="423"/>
      <c r="W621" s="423"/>
      <c r="X621" s="423"/>
      <c r="Y621" s="423"/>
      <c r="Z621" s="423"/>
      <c r="AA621" s="423"/>
      <c r="AB621" s="423"/>
      <c r="AC621" s="423"/>
      <c r="AD621" s="423"/>
      <c r="AE621" s="423"/>
      <c r="AF621" s="423"/>
      <c r="AG621" s="423"/>
      <c r="AH621" s="423"/>
      <c r="AI621" s="423"/>
    </row>
    <row r="622">
      <c r="A622" s="419"/>
      <c r="B622" s="419"/>
      <c r="C622" s="419"/>
      <c r="D622" s="419"/>
      <c r="E622" s="387"/>
      <c r="F622" s="387"/>
      <c r="G622" s="423"/>
      <c r="H622" s="423"/>
      <c r="I622" s="423"/>
      <c r="J622" s="423"/>
      <c r="K622" s="423"/>
      <c r="L622" s="423"/>
      <c r="M622" s="423"/>
      <c r="N622" s="423"/>
      <c r="O622" s="423"/>
      <c r="P622" s="423"/>
      <c r="Q622" s="423"/>
      <c r="R622" s="423"/>
      <c r="S622" s="423"/>
      <c r="T622" s="423"/>
      <c r="U622" s="423"/>
      <c r="V622" s="423"/>
      <c r="W622" s="423"/>
      <c r="X622" s="423"/>
      <c r="Y622" s="423"/>
      <c r="Z622" s="423"/>
      <c r="AA622" s="423"/>
      <c r="AB622" s="423"/>
      <c r="AC622" s="423"/>
      <c r="AD622" s="423"/>
      <c r="AE622" s="423"/>
      <c r="AF622" s="423"/>
      <c r="AG622" s="423"/>
      <c r="AH622" s="423"/>
      <c r="AI622" s="423"/>
    </row>
    <row r="623">
      <c r="A623" s="419"/>
      <c r="B623" s="419"/>
      <c r="C623" s="419"/>
      <c r="D623" s="419"/>
      <c r="E623" s="387"/>
      <c r="F623" s="387"/>
      <c r="G623" s="423"/>
      <c r="H623" s="423"/>
      <c r="I623" s="423"/>
      <c r="J623" s="423"/>
      <c r="K623" s="423"/>
      <c r="L623" s="423"/>
      <c r="M623" s="423"/>
      <c r="N623" s="423"/>
      <c r="O623" s="423"/>
      <c r="P623" s="423"/>
      <c r="Q623" s="423"/>
      <c r="R623" s="423"/>
      <c r="S623" s="423"/>
      <c r="T623" s="423"/>
      <c r="U623" s="423"/>
      <c r="V623" s="423"/>
      <c r="W623" s="423"/>
      <c r="X623" s="423"/>
      <c r="Y623" s="423"/>
      <c r="Z623" s="423"/>
      <c r="AA623" s="423"/>
      <c r="AB623" s="423"/>
      <c r="AC623" s="423"/>
      <c r="AD623" s="423"/>
      <c r="AE623" s="423"/>
      <c r="AF623" s="423"/>
      <c r="AG623" s="423"/>
      <c r="AH623" s="423"/>
      <c r="AI623" s="423"/>
    </row>
    <row r="624">
      <c r="A624" s="419"/>
      <c r="B624" s="419"/>
      <c r="C624" s="419"/>
      <c r="D624" s="419"/>
      <c r="E624" s="387"/>
      <c r="F624" s="387"/>
      <c r="G624" s="423"/>
      <c r="H624" s="423"/>
      <c r="I624" s="423"/>
      <c r="J624" s="423"/>
      <c r="K624" s="423"/>
      <c r="L624" s="423"/>
      <c r="M624" s="423"/>
      <c r="N624" s="423"/>
      <c r="O624" s="423"/>
      <c r="P624" s="423"/>
      <c r="Q624" s="423"/>
      <c r="R624" s="423"/>
      <c r="S624" s="423"/>
      <c r="T624" s="423"/>
      <c r="U624" s="423"/>
      <c r="V624" s="423"/>
      <c r="W624" s="423"/>
      <c r="X624" s="423"/>
      <c r="Y624" s="423"/>
      <c r="Z624" s="423"/>
      <c r="AA624" s="423"/>
      <c r="AB624" s="423"/>
      <c r="AC624" s="423"/>
      <c r="AD624" s="423"/>
      <c r="AE624" s="423"/>
      <c r="AF624" s="423"/>
      <c r="AG624" s="423"/>
      <c r="AH624" s="423"/>
      <c r="AI624" s="423"/>
    </row>
    <row r="625">
      <c r="A625" s="419"/>
      <c r="B625" s="419"/>
      <c r="C625" s="419"/>
      <c r="D625" s="419"/>
      <c r="E625" s="387"/>
      <c r="F625" s="387"/>
      <c r="G625" s="423"/>
      <c r="H625" s="423"/>
      <c r="I625" s="423"/>
      <c r="J625" s="423"/>
      <c r="K625" s="423"/>
      <c r="L625" s="423"/>
      <c r="M625" s="423"/>
      <c r="N625" s="423"/>
      <c r="O625" s="423"/>
      <c r="P625" s="423"/>
      <c r="Q625" s="423"/>
      <c r="R625" s="423"/>
      <c r="S625" s="423"/>
      <c r="T625" s="423"/>
      <c r="U625" s="423"/>
      <c r="V625" s="423"/>
      <c r="W625" s="423"/>
      <c r="X625" s="423"/>
      <c r="Y625" s="423"/>
      <c r="Z625" s="423"/>
      <c r="AA625" s="423"/>
      <c r="AB625" s="423"/>
      <c r="AC625" s="423"/>
      <c r="AD625" s="423"/>
      <c r="AE625" s="423"/>
      <c r="AF625" s="423"/>
      <c r="AG625" s="423"/>
      <c r="AH625" s="423"/>
      <c r="AI625" s="423"/>
    </row>
    <row r="626">
      <c r="A626" s="419"/>
      <c r="B626" s="419"/>
      <c r="C626" s="419"/>
      <c r="D626" s="419"/>
      <c r="E626" s="387"/>
      <c r="F626" s="387"/>
      <c r="G626" s="423"/>
      <c r="H626" s="423"/>
      <c r="I626" s="423"/>
      <c r="J626" s="423"/>
      <c r="K626" s="423"/>
      <c r="L626" s="423"/>
      <c r="M626" s="423"/>
      <c r="N626" s="423"/>
      <c r="O626" s="423"/>
      <c r="P626" s="423"/>
      <c r="Q626" s="423"/>
      <c r="R626" s="423"/>
      <c r="S626" s="423"/>
      <c r="T626" s="423"/>
      <c r="U626" s="423"/>
      <c r="V626" s="423"/>
      <c r="W626" s="423"/>
      <c r="X626" s="423"/>
      <c r="Y626" s="423"/>
      <c r="Z626" s="423"/>
      <c r="AA626" s="423"/>
      <c r="AB626" s="423"/>
      <c r="AC626" s="423"/>
      <c r="AD626" s="423"/>
      <c r="AE626" s="423"/>
      <c r="AF626" s="423"/>
      <c r="AG626" s="423"/>
      <c r="AH626" s="423"/>
      <c r="AI626" s="423"/>
    </row>
    <row r="627">
      <c r="A627" s="419"/>
      <c r="B627" s="419"/>
      <c r="C627" s="419"/>
      <c r="D627" s="419"/>
      <c r="E627" s="387"/>
      <c r="F627" s="387"/>
      <c r="G627" s="423"/>
      <c r="H627" s="423"/>
      <c r="I627" s="423"/>
      <c r="J627" s="423"/>
      <c r="K627" s="423"/>
      <c r="L627" s="423"/>
      <c r="M627" s="423"/>
      <c r="N627" s="423"/>
      <c r="O627" s="423"/>
      <c r="P627" s="423"/>
      <c r="Q627" s="423"/>
      <c r="R627" s="423"/>
      <c r="S627" s="423"/>
      <c r="T627" s="423"/>
      <c r="U627" s="423"/>
      <c r="V627" s="423"/>
      <c r="W627" s="423"/>
      <c r="X627" s="423"/>
      <c r="Y627" s="423"/>
      <c r="Z627" s="423"/>
      <c r="AA627" s="423"/>
      <c r="AB627" s="423"/>
      <c r="AC627" s="423"/>
      <c r="AD627" s="423"/>
      <c r="AE627" s="423"/>
      <c r="AF627" s="423"/>
      <c r="AG627" s="423"/>
      <c r="AH627" s="423"/>
      <c r="AI627" s="423"/>
    </row>
    <row r="628">
      <c r="A628" s="419"/>
      <c r="B628" s="419"/>
      <c r="C628" s="419"/>
      <c r="D628" s="419"/>
      <c r="E628" s="387"/>
      <c r="F628" s="387"/>
      <c r="G628" s="423"/>
      <c r="H628" s="423"/>
      <c r="I628" s="423"/>
      <c r="J628" s="423"/>
      <c r="K628" s="423"/>
      <c r="L628" s="423"/>
      <c r="M628" s="423"/>
      <c r="N628" s="423"/>
      <c r="O628" s="423"/>
      <c r="P628" s="423"/>
      <c r="Q628" s="423"/>
      <c r="R628" s="423"/>
      <c r="S628" s="423"/>
      <c r="T628" s="423"/>
      <c r="U628" s="423"/>
      <c r="V628" s="423"/>
      <c r="W628" s="423"/>
      <c r="X628" s="423"/>
      <c r="Y628" s="423"/>
      <c r="Z628" s="423"/>
      <c r="AA628" s="423"/>
      <c r="AB628" s="423"/>
      <c r="AC628" s="423"/>
      <c r="AD628" s="423"/>
      <c r="AE628" s="423"/>
      <c r="AF628" s="423"/>
      <c r="AG628" s="423"/>
      <c r="AH628" s="423"/>
      <c r="AI628" s="423"/>
    </row>
    <row r="629">
      <c r="A629" s="419"/>
      <c r="B629" s="419"/>
      <c r="C629" s="419"/>
      <c r="D629" s="419"/>
      <c r="E629" s="387"/>
      <c r="F629" s="387"/>
      <c r="G629" s="423"/>
      <c r="H629" s="423"/>
      <c r="I629" s="423"/>
      <c r="J629" s="423"/>
      <c r="K629" s="423"/>
      <c r="L629" s="423"/>
      <c r="M629" s="423"/>
      <c r="N629" s="423"/>
      <c r="O629" s="423"/>
      <c r="P629" s="423"/>
      <c r="Q629" s="423"/>
      <c r="R629" s="423"/>
      <c r="S629" s="423"/>
      <c r="T629" s="423"/>
      <c r="U629" s="423"/>
      <c r="V629" s="423"/>
      <c r="W629" s="423"/>
      <c r="X629" s="423"/>
      <c r="Y629" s="423"/>
      <c r="Z629" s="423"/>
      <c r="AA629" s="423"/>
      <c r="AB629" s="423"/>
      <c r="AC629" s="423"/>
      <c r="AD629" s="423"/>
      <c r="AE629" s="423"/>
      <c r="AF629" s="423"/>
      <c r="AG629" s="423"/>
      <c r="AH629" s="423"/>
      <c r="AI629" s="423"/>
    </row>
    <row r="630">
      <c r="A630" s="419"/>
      <c r="B630" s="419"/>
      <c r="C630" s="419"/>
      <c r="D630" s="419"/>
      <c r="E630" s="387"/>
      <c r="F630" s="387"/>
      <c r="G630" s="423"/>
      <c r="H630" s="423"/>
      <c r="I630" s="423"/>
      <c r="J630" s="423"/>
      <c r="K630" s="423"/>
      <c r="L630" s="423"/>
      <c r="M630" s="423"/>
      <c r="N630" s="423"/>
      <c r="O630" s="423"/>
      <c r="P630" s="423"/>
      <c r="Q630" s="423"/>
      <c r="R630" s="423"/>
      <c r="S630" s="423"/>
      <c r="T630" s="423"/>
      <c r="U630" s="423"/>
      <c r="V630" s="423"/>
      <c r="W630" s="423"/>
      <c r="X630" s="423"/>
      <c r="Y630" s="423"/>
      <c r="Z630" s="423"/>
      <c r="AA630" s="423"/>
      <c r="AB630" s="423"/>
      <c r="AC630" s="423"/>
      <c r="AD630" s="423"/>
      <c r="AE630" s="423"/>
      <c r="AF630" s="423"/>
      <c r="AG630" s="423"/>
      <c r="AH630" s="423"/>
      <c r="AI630" s="423"/>
    </row>
    <row r="631">
      <c r="A631" s="419"/>
      <c r="B631" s="419"/>
      <c r="C631" s="419"/>
      <c r="D631" s="419"/>
      <c r="E631" s="387"/>
      <c r="F631" s="387"/>
      <c r="G631" s="423"/>
      <c r="H631" s="423"/>
      <c r="I631" s="423"/>
      <c r="J631" s="423"/>
      <c r="K631" s="423"/>
      <c r="L631" s="423"/>
      <c r="M631" s="423"/>
      <c r="N631" s="423"/>
      <c r="O631" s="423"/>
      <c r="P631" s="423"/>
      <c r="Q631" s="423"/>
      <c r="R631" s="423"/>
      <c r="S631" s="423"/>
      <c r="T631" s="423"/>
      <c r="U631" s="423"/>
      <c r="V631" s="423"/>
      <c r="W631" s="423"/>
      <c r="X631" s="423"/>
      <c r="Y631" s="423"/>
      <c r="Z631" s="423"/>
      <c r="AA631" s="423"/>
      <c r="AB631" s="423"/>
      <c r="AC631" s="423"/>
      <c r="AD631" s="423"/>
      <c r="AE631" s="423"/>
      <c r="AF631" s="423"/>
      <c r="AG631" s="423"/>
      <c r="AH631" s="423"/>
      <c r="AI631" s="423"/>
    </row>
    <row r="632">
      <c r="A632" s="419"/>
      <c r="B632" s="419"/>
      <c r="C632" s="419"/>
      <c r="D632" s="419"/>
      <c r="E632" s="387"/>
      <c r="F632" s="387"/>
      <c r="G632" s="423"/>
      <c r="H632" s="423"/>
      <c r="I632" s="423"/>
      <c r="J632" s="423"/>
      <c r="K632" s="423"/>
      <c r="L632" s="423"/>
      <c r="M632" s="423"/>
      <c r="N632" s="423"/>
      <c r="O632" s="423"/>
      <c r="P632" s="423"/>
      <c r="Q632" s="423"/>
      <c r="R632" s="423"/>
      <c r="S632" s="423"/>
      <c r="T632" s="423"/>
      <c r="U632" s="423"/>
      <c r="V632" s="423"/>
      <c r="W632" s="423"/>
      <c r="X632" s="423"/>
      <c r="Y632" s="423"/>
      <c r="Z632" s="423"/>
      <c r="AA632" s="423"/>
      <c r="AB632" s="423"/>
      <c r="AC632" s="423"/>
      <c r="AD632" s="423"/>
      <c r="AE632" s="423"/>
      <c r="AF632" s="423"/>
      <c r="AG632" s="423"/>
      <c r="AH632" s="423"/>
      <c r="AI632" s="423"/>
    </row>
    <row r="633">
      <c r="A633" s="419"/>
      <c r="B633" s="419"/>
      <c r="C633" s="419"/>
      <c r="D633" s="419"/>
      <c r="E633" s="387"/>
      <c r="F633" s="387"/>
      <c r="G633" s="423"/>
      <c r="H633" s="423"/>
      <c r="I633" s="423"/>
      <c r="J633" s="423"/>
      <c r="K633" s="423"/>
      <c r="L633" s="423"/>
      <c r="M633" s="423"/>
      <c r="N633" s="423"/>
      <c r="O633" s="423"/>
      <c r="P633" s="423"/>
      <c r="Q633" s="423"/>
      <c r="R633" s="423"/>
      <c r="S633" s="423"/>
      <c r="T633" s="423"/>
      <c r="U633" s="423"/>
      <c r="V633" s="423"/>
      <c r="W633" s="423"/>
      <c r="X633" s="423"/>
      <c r="Y633" s="423"/>
      <c r="Z633" s="423"/>
      <c r="AA633" s="423"/>
      <c r="AB633" s="423"/>
      <c r="AC633" s="423"/>
      <c r="AD633" s="423"/>
      <c r="AE633" s="423"/>
      <c r="AF633" s="423"/>
      <c r="AG633" s="423"/>
      <c r="AH633" s="423"/>
      <c r="AI633" s="423"/>
    </row>
    <row r="634">
      <c r="A634" s="419"/>
      <c r="B634" s="419"/>
      <c r="C634" s="419"/>
      <c r="D634" s="419"/>
      <c r="E634" s="387"/>
      <c r="F634" s="387"/>
      <c r="G634" s="423"/>
      <c r="H634" s="423"/>
      <c r="I634" s="423"/>
      <c r="J634" s="423"/>
      <c r="K634" s="423"/>
      <c r="L634" s="423"/>
      <c r="M634" s="423"/>
      <c r="N634" s="423"/>
      <c r="O634" s="423"/>
      <c r="P634" s="423"/>
      <c r="Q634" s="423"/>
      <c r="R634" s="423"/>
      <c r="S634" s="423"/>
      <c r="T634" s="423"/>
      <c r="U634" s="423"/>
      <c r="V634" s="423"/>
      <c r="W634" s="423"/>
      <c r="X634" s="423"/>
      <c r="Y634" s="423"/>
      <c r="Z634" s="423"/>
      <c r="AA634" s="423"/>
      <c r="AB634" s="423"/>
      <c r="AC634" s="423"/>
      <c r="AD634" s="423"/>
      <c r="AE634" s="423"/>
      <c r="AF634" s="423"/>
      <c r="AG634" s="423"/>
      <c r="AH634" s="423"/>
      <c r="AI634" s="423"/>
    </row>
    <row r="635">
      <c r="A635" s="419"/>
      <c r="B635" s="419"/>
      <c r="C635" s="419"/>
      <c r="D635" s="419"/>
      <c r="E635" s="387"/>
      <c r="F635" s="387"/>
      <c r="G635" s="423"/>
      <c r="H635" s="423"/>
      <c r="I635" s="423"/>
      <c r="J635" s="423"/>
      <c r="K635" s="423"/>
      <c r="L635" s="423"/>
      <c r="M635" s="423"/>
      <c r="N635" s="423"/>
      <c r="O635" s="423"/>
      <c r="P635" s="423"/>
      <c r="Q635" s="423"/>
      <c r="R635" s="423"/>
      <c r="S635" s="423"/>
      <c r="T635" s="423"/>
      <c r="U635" s="423"/>
      <c r="V635" s="423"/>
      <c r="W635" s="423"/>
      <c r="X635" s="423"/>
      <c r="Y635" s="423"/>
      <c r="Z635" s="423"/>
      <c r="AA635" s="423"/>
      <c r="AB635" s="423"/>
      <c r="AC635" s="423"/>
      <c r="AD635" s="423"/>
      <c r="AE635" s="423"/>
      <c r="AF635" s="423"/>
      <c r="AG635" s="423"/>
      <c r="AH635" s="423"/>
      <c r="AI635" s="423"/>
    </row>
    <row r="636">
      <c r="A636" s="419"/>
      <c r="B636" s="419"/>
      <c r="C636" s="419"/>
      <c r="D636" s="419"/>
      <c r="E636" s="387"/>
      <c r="F636" s="387"/>
      <c r="G636" s="423"/>
      <c r="H636" s="423"/>
      <c r="I636" s="423"/>
      <c r="J636" s="423"/>
      <c r="K636" s="423"/>
      <c r="L636" s="423"/>
      <c r="M636" s="423"/>
      <c r="N636" s="423"/>
      <c r="O636" s="423"/>
      <c r="P636" s="423"/>
      <c r="Q636" s="423"/>
      <c r="R636" s="423"/>
      <c r="S636" s="423"/>
      <c r="T636" s="423"/>
      <c r="U636" s="423"/>
      <c r="V636" s="423"/>
      <c r="W636" s="423"/>
      <c r="X636" s="423"/>
      <c r="Y636" s="423"/>
      <c r="Z636" s="423"/>
      <c r="AA636" s="423"/>
      <c r="AB636" s="423"/>
      <c r="AC636" s="423"/>
      <c r="AD636" s="423"/>
      <c r="AE636" s="423"/>
      <c r="AF636" s="423"/>
      <c r="AG636" s="423"/>
      <c r="AH636" s="423"/>
      <c r="AI636" s="423"/>
    </row>
    <row r="637">
      <c r="A637" s="419"/>
      <c r="B637" s="419"/>
      <c r="C637" s="419"/>
      <c r="D637" s="419"/>
      <c r="E637" s="387"/>
      <c r="F637" s="387"/>
      <c r="G637" s="423"/>
      <c r="H637" s="423"/>
      <c r="I637" s="423"/>
      <c r="J637" s="423"/>
      <c r="K637" s="423"/>
      <c r="L637" s="423"/>
      <c r="M637" s="423"/>
      <c r="N637" s="423"/>
      <c r="O637" s="423"/>
      <c r="P637" s="423"/>
      <c r="Q637" s="423"/>
      <c r="R637" s="423"/>
      <c r="S637" s="423"/>
      <c r="T637" s="423"/>
      <c r="U637" s="423"/>
      <c r="V637" s="423"/>
      <c r="W637" s="423"/>
      <c r="X637" s="423"/>
      <c r="Y637" s="423"/>
      <c r="Z637" s="423"/>
      <c r="AA637" s="423"/>
      <c r="AB637" s="423"/>
      <c r="AC637" s="423"/>
      <c r="AD637" s="423"/>
      <c r="AE637" s="423"/>
      <c r="AF637" s="423"/>
      <c r="AG637" s="423"/>
      <c r="AH637" s="423"/>
      <c r="AI637" s="423"/>
    </row>
    <row r="638">
      <c r="A638" s="419"/>
      <c r="B638" s="419"/>
      <c r="C638" s="419"/>
      <c r="D638" s="419"/>
      <c r="E638" s="387"/>
      <c r="F638" s="387"/>
      <c r="G638" s="423"/>
      <c r="H638" s="423"/>
      <c r="I638" s="423"/>
      <c r="J638" s="423"/>
      <c r="K638" s="423"/>
      <c r="L638" s="423"/>
      <c r="M638" s="423"/>
      <c r="N638" s="423"/>
      <c r="O638" s="423"/>
      <c r="P638" s="423"/>
      <c r="Q638" s="423"/>
      <c r="R638" s="423"/>
      <c r="S638" s="423"/>
      <c r="T638" s="423"/>
      <c r="U638" s="423"/>
      <c r="V638" s="423"/>
      <c r="W638" s="423"/>
      <c r="X638" s="423"/>
      <c r="Y638" s="423"/>
      <c r="Z638" s="423"/>
      <c r="AA638" s="423"/>
      <c r="AB638" s="423"/>
      <c r="AC638" s="423"/>
      <c r="AD638" s="423"/>
      <c r="AE638" s="423"/>
      <c r="AF638" s="423"/>
      <c r="AG638" s="423"/>
      <c r="AH638" s="423"/>
      <c r="AI638" s="423"/>
    </row>
    <row r="639">
      <c r="A639" s="419"/>
      <c r="B639" s="419"/>
      <c r="C639" s="419"/>
      <c r="D639" s="419"/>
      <c r="E639" s="387"/>
      <c r="F639" s="387"/>
      <c r="G639" s="423"/>
      <c r="H639" s="423"/>
      <c r="I639" s="423"/>
      <c r="J639" s="423"/>
      <c r="K639" s="423"/>
      <c r="L639" s="423"/>
      <c r="M639" s="423"/>
      <c r="N639" s="423"/>
      <c r="O639" s="423"/>
      <c r="P639" s="423"/>
      <c r="Q639" s="423"/>
      <c r="R639" s="423"/>
      <c r="S639" s="423"/>
      <c r="T639" s="423"/>
      <c r="U639" s="423"/>
      <c r="V639" s="423"/>
      <c r="W639" s="423"/>
      <c r="X639" s="423"/>
      <c r="Y639" s="423"/>
      <c r="Z639" s="423"/>
      <c r="AA639" s="423"/>
      <c r="AB639" s="423"/>
      <c r="AC639" s="423"/>
      <c r="AD639" s="423"/>
      <c r="AE639" s="423"/>
      <c r="AF639" s="423"/>
      <c r="AG639" s="423"/>
      <c r="AH639" s="423"/>
      <c r="AI639" s="423"/>
    </row>
    <row r="640">
      <c r="A640" s="419"/>
      <c r="B640" s="419"/>
      <c r="C640" s="419"/>
      <c r="D640" s="419"/>
      <c r="E640" s="387"/>
      <c r="F640" s="387"/>
      <c r="G640" s="423"/>
      <c r="H640" s="423"/>
      <c r="I640" s="423"/>
      <c r="J640" s="423"/>
      <c r="K640" s="423"/>
      <c r="L640" s="423"/>
      <c r="M640" s="423"/>
      <c r="N640" s="423"/>
      <c r="O640" s="423"/>
      <c r="P640" s="423"/>
      <c r="Q640" s="423"/>
      <c r="R640" s="423"/>
      <c r="S640" s="423"/>
      <c r="T640" s="423"/>
      <c r="U640" s="423"/>
      <c r="V640" s="423"/>
      <c r="W640" s="423"/>
      <c r="X640" s="423"/>
      <c r="Y640" s="423"/>
      <c r="Z640" s="423"/>
      <c r="AA640" s="423"/>
      <c r="AB640" s="423"/>
      <c r="AC640" s="423"/>
      <c r="AD640" s="423"/>
      <c r="AE640" s="423"/>
      <c r="AF640" s="423"/>
      <c r="AG640" s="423"/>
      <c r="AH640" s="423"/>
      <c r="AI640" s="423"/>
    </row>
    <row r="641">
      <c r="A641" s="419"/>
      <c r="B641" s="419"/>
      <c r="C641" s="419"/>
      <c r="D641" s="419"/>
      <c r="E641" s="387"/>
      <c r="F641" s="387"/>
      <c r="G641" s="423"/>
      <c r="H641" s="423"/>
      <c r="I641" s="423"/>
      <c r="J641" s="423"/>
      <c r="K641" s="423"/>
      <c r="L641" s="423"/>
      <c r="M641" s="423"/>
      <c r="N641" s="423"/>
      <c r="O641" s="423"/>
      <c r="P641" s="423"/>
      <c r="Q641" s="423"/>
      <c r="R641" s="423"/>
      <c r="S641" s="423"/>
      <c r="T641" s="423"/>
      <c r="U641" s="423"/>
      <c r="V641" s="423"/>
      <c r="W641" s="423"/>
      <c r="X641" s="423"/>
      <c r="Y641" s="423"/>
      <c r="Z641" s="423"/>
      <c r="AA641" s="423"/>
      <c r="AB641" s="423"/>
      <c r="AC641" s="423"/>
      <c r="AD641" s="423"/>
      <c r="AE641" s="423"/>
      <c r="AF641" s="423"/>
      <c r="AG641" s="423"/>
      <c r="AH641" s="423"/>
      <c r="AI641" s="423"/>
    </row>
    <row r="642">
      <c r="A642" s="419"/>
      <c r="B642" s="419"/>
      <c r="C642" s="419"/>
      <c r="D642" s="419"/>
      <c r="E642" s="387"/>
      <c r="F642" s="387"/>
      <c r="G642" s="423"/>
      <c r="H642" s="423"/>
      <c r="I642" s="423"/>
      <c r="J642" s="423"/>
      <c r="K642" s="423"/>
      <c r="L642" s="423"/>
      <c r="M642" s="423"/>
      <c r="N642" s="423"/>
      <c r="O642" s="423"/>
      <c r="P642" s="423"/>
      <c r="Q642" s="423"/>
      <c r="R642" s="423"/>
      <c r="S642" s="423"/>
      <c r="T642" s="423"/>
      <c r="U642" s="423"/>
      <c r="V642" s="423"/>
      <c r="W642" s="423"/>
      <c r="X642" s="423"/>
      <c r="Y642" s="423"/>
      <c r="Z642" s="423"/>
      <c r="AA642" s="423"/>
      <c r="AB642" s="423"/>
      <c r="AC642" s="423"/>
      <c r="AD642" s="423"/>
      <c r="AE642" s="423"/>
      <c r="AF642" s="423"/>
      <c r="AG642" s="423"/>
      <c r="AH642" s="423"/>
      <c r="AI642" s="423"/>
    </row>
    <row r="643">
      <c r="A643" s="419"/>
      <c r="B643" s="419"/>
      <c r="C643" s="419"/>
      <c r="D643" s="419"/>
      <c r="E643" s="387"/>
      <c r="F643" s="387"/>
      <c r="G643" s="423"/>
      <c r="H643" s="423"/>
      <c r="I643" s="423"/>
      <c r="J643" s="423"/>
      <c r="K643" s="423"/>
      <c r="L643" s="423"/>
      <c r="M643" s="423"/>
      <c r="N643" s="423"/>
      <c r="O643" s="423"/>
      <c r="P643" s="423"/>
      <c r="Q643" s="423"/>
      <c r="R643" s="423"/>
      <c r="S643" s="423"/>
      <c r="T643" s="423"/>
      <c r="U643" s="423"/>
      <c r="V643" s="423"/>
      <c r="W643" s="423"/>
      <c r="X643" s="423"/>
      <c r="Y643" s="423"/>
      <c r="Z643" s="423"/>
      <c r="AA643" s="423"/>
      <c r="AB643" s="423"/>
      <c r="AC643" s="423"/>
      <c r="AD643" s="423"/>
      <c r="AE643" s="423"/>
      <c r="AF643" s="423"/>
      <c r="AG643" s="423"/>
      <c r="AH643" s="423"/>
      <c r="AI643" s="423"/>
    </row>
    <row r="644">
      <c r="A644" s="419"/>
      <c r="B644" s="419"/>
      <c r="C644" s="419"/>
      <c r="D644" s="419"/>
      <c r="E644" s="387"/>
      <c r="F644" s="387"/>
      <c r="G644" s="423"/>
      <c r="H644" s="423"/>
      <c r="I644" s="423"/>
      <c r="J644" s="423"/>
      <c r="K644" s="423"/>
      <c r="L644" s="423"/>
      <c r="M644" s="423"/>
      <c r="N644" s="423"/>
      <c r="O644" s="423"/>
      <c r="P644" s="423"/>
      <c r="Q644" s="423"/>
      <c r="R644" s="423"/>
      <c r="S644" s="423"/>
      <c r="T644" s="423"/>
      <c r="U644" s="423"/>
      <c r="V644" s="423"/>
      <c r="W644" s="423"/>
      <c r="X644" s="423"/>
      <c r="Y644" s="423"/>
      <c r="Z644" s="423"/>
      <c r="AA644" s="423"/>
      <c r="AB644" s="423"/>
      <c r="AC644" s="423"/>
      <c r="AD644" s="423"/>
      <c r="AE644" s="423"/>
      <c r="AF644" s="423"/>
      <c r="AG644" s="423"/>
      <c r="AH644" s="423"/>
      <c r="AI644" s="423"/>
    </row>
    <row r="645">
      <c r="A645" s="419"/>
      <c r="B645" s="419"/>
      <c r="C645" s="419"/>
      <c r="D645" s="419"/>
      <c r="E645" s="387"/>
      <c r="F645" s="387"/>
      <c r="G645" s="423"/>
      <c r="H645" s="423"/>
      <c r="I645" s="423"/>
      <c r="J645" s="423"/>
      <c r="K645" s="423"/>
      <c r="L645" s="423"/>
      <c r="M645" s="423"/>
      <c r="N645" s="423"/>
      <c r="O645" s="423"/>
      <c r="P645" s="423"/>
      <c r="Q645" s="423"/>
      <c r="R645" s="423"/>
      <c r="S645" s="423"/>
      <c r="T645" s="423"/>
      <c r="U645" s="423"/>
      <c r="V645" s="423"/>
      <c r="W645" s="423"/>
      <c r="X645" s="423"/>
      <c r="Y645" s="423"/>
      <c r="Z645" s="423"/>
      <c r="AA645" s="423"/>
      <c r="AB645" s="423"/>
      <c r="AC645" s="423"/>
      <c r="AD645" s="423"/>
      <c r="AE645" s="423"/>
      <c r="AF645" s="423"/>
      <c r="AG645" s="423"/>
      <c r="AH645" s="423"/>
      <c r="AI645" s="423"/>
    </row>
    <row r="646">
      <c r="A646" s="419"/>
      <c r="B646" s="419"/>
      <c r="C646" s="419"/>
      <c r="D646" s="419"/>
      <c r="E646" s="387"/>
      <c r="F646" s="387"/>
      <c r="G646" s="423"/>
      <c r="H646" s="423"/>
      <c r="I646" s="423"/>
      <c r="J646" s="423"/>
      <c r="K646" s="423"/>
      <c r="L646" s="423"/>
      <c r="M646" s="423"/>
      <c r="N646" s="423"/>
      <c r="O646" s="423"/>
      <c r="P646" s="423"/>
      <c r="Q646" s="423"/>
      <c r="R646" s="423"/>
      <c r="S646" s="423"/>
      <c r="T646" s="423"/>
      <c r="U646" s="423"/>
      <c r="V646" s="423"/>
      <c r="W646" s="423"/>
      <c r="X646" s="423"/>
      <c r="Y646" s="423"/>
      <c r="Z646" s="423"/>
      <c r="AA646" s="423"/>
      <c r="AB646" s="423"/>
      <c r="AC646" s="423"/>
      <c r="AD646" s="423"/>
      <c r="AE646" s="423"/>
      <c r="AF646" s="423"/>
      <c r="AG646" s="423"/>
      <c r="AH646" s="423"/>
      <c r="AI646" s="423"/>
    </row>
    <row r="647">
      <c r="A647" s="419"/>
      <c r="B647" s="419"/>
      <c r="C647" s="419"/>
      <c r="D647" s="419"/>
      <c r="E647" s="387"/>
      <c r="F647" s="387"/>
      <c r="G647" s="423"/>
      <c r="H647" s="423"/>
      <c r="I647" s="423"/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/>
      <c r="Y647" s="423"/>
      <c r="Z647" s="423"/>
      <c r="AA647" s="423"/>
      <c r="AB647" s="423"/>
      <c r="AC647" s="423"/>
      <c r="AD647" s="423"/>
      <c r="AE647" s="423"/>
      <c r="AF647" s="423"/>
      <c r="AG647" s="423"/>
      <c r="AH647" s="423"/>
      <c r="AI647" s="423"/>
    </row>
    <row r="648">
      <c r="A648" s="419"/>
      <c r="B648" s="419"/>
      <c r="C648" s="419"/>
      <c r="D648" s="419"/>
      <c r="E648" s="387"/>
      <c r="F648" s="387"/>
      <c r="G648" s="423"/>
      <c r="H648" s="423"/>
      <c r="I648" s="423"/>
      <c r="J648" s="423"/>
      <c r="K648" s="423"/>
      <c r="L648" s="423"/>
      <c r="M648" s="423"/>
      <c r="N648" s="423"/>
      <c r="O648" s="423"/>
      <c r="P648" s="423"/>
      <c r="Q648" s="423"/>
      <c r="R648" s="423"/>
      <c r="S648" s="423"/>
      <c r="T648" s="423"/>
      <c r="U648" s="423"/>
      <c r="V648" s="423"/>
      <c r="W648" s="423"/>
      <c r="X648" s="423"/>
      <c r="Y648" s="423"/>
      <c r="Z648" s="423"/>
      <c r="AA648" s="423"/>
      <c r="AB648" s="423"/>
      <c r="AC648" s="423"/>
      <c r="AD648" s="423"/>
      <c r="AE648" s="423"/>
      <c r="AF648" s="423"/>
      <c r="AG648" s="423"/>
      <c r="AH648" s="423"/>
      <c r="AI648" s="423"/>
    </row>
    <row r="649">
      <c r="A649" s="419"/>
      <c r="B649" s="419"/>
      <c r="C649" s="419"/>
      <c r="D649" s="419"/>
      <c r="E649" s="387"/>
      <c r="F649" s="387"/>
      <c r="G649" s="423"/>
      <c r="H649" s="423"/>
      <c r="I649" s="423"/>
      <c r="J649" s="423"/>
      <c r="K649" s="423"/>
      <c r="L649" s="423"/>
      <c r="M649" s="423"/>
      <c r="N649" s="423"/>
      <c r="O649" s="423"/>
      <c r="P649" s="423"/>
      <c r="Q649" s="423"/>
      <c r="R649" s="423"/>
      <c r="S649" s="423"/>
      <c r="T649" s="423"/>
      <c r="U649" s="423"/>
      <c r="V649" s="423"/>
      <c r="W649" s="423"/>
      <c r="X649" s="423"/>
      <c r="Y649" s="423"/>
      <c r="Z649" s="423"/>
      <c r="AA649" s="423"/>
      <c r="AB649" s="423"/>
      <c r="AC649" s="423"/>
      <c r="AD649" s="423"/>
      <c r="AE649" s="423"/>
      <c r="AF649" s="423"/>
      <c r="AG649" s="423"/>
      <c r="AH649" s="423"/>
      <c r="AI649" s="423"/>
    </row>
    <row r="650">
      <c r="A650" s="419"/>
      <c r="B650" s="419"/>
      <c r="C650" s="419"/>
      <c r="D650" s="419"/>
      <c r="E650" s="387"/>
      <c r="F650" s="387"/>
      <c r="G650" s="423"/>
      <c r="H650" s="423"/>
      <c r="I650" s="423"/>
      <c r="J650" s="423"/>
      <c r="K650" s="423"/>
      <c r="L650" s="423"/>
      <c r="M650" s="423"/>
      <c r="N650" s="423"/>
      <c r="O650" s="423"/>
      <c r="P650" s="423"/>
      <c r="Q650" s="423"/>
      <c r="R650" s="423"/>
      <c r="S650" s="423"/>
      <c r="T650" s="423"/>
      <c r="U650" s="423"/>
      <c r="V650" s="423"/>
      <c r="W650" s="423"/>
      <c r="X650" s="423"/>
      <c r="Y650" s="423"/>
      <c r="Z650" s="423"/>
      <c r="AA650" s="423"/>
      <c r="AB650" s="423"/>
      <c r="AC650" s="423"/>
      <c r="AD650" s="423"/>
      <c r="AE650" s="423"/>
      <c r="AF650" s="423"/>
      <c r="AG650" s="423"/>
      <c r="AH650" s="423"/>
      <c r="AI650" s="423"/>
    </row>
    <row r="651">
      <c r="A651" s="419"/>
      <c r="B651" s="419"/>
      <c r="C651" s="419"/>
      <c r="D651" s="419"/>
      <c r="E651" s="387"/>
      <c r="F651" s="387"/>
      <c r="G651" s="423"/>
      <c r="H651" s="423"/>
      <c r="I651" s="423"/>
      <c r="J651" s="423"/>
      <c r="K651" s="423"/>
      <c r="L651" s="423"/>
      <c r="M651" s="423"/>
      <c r="N651" s="423"/>
      <c r="O651" s="423"/>
      <c r="P651" s="423"/>
      <c r="Q651" s="423"/>
      <c r="R651" s="423"/>
      <c r="S651" s="423"/>
      <c r="T651" s="423"/>
      <c r="U651" s="423"/>
      <c r="V651" s="423"/>
      <c r="W651" s="423"/>
      <c r="X651" s="423"/>
      <c r="Y651" s="423"/>
      <c r="Z651" s="423"/>
      <c r="AA651" s="423"/>
      <c r="AB651" s="423"/>
      <c r="AC651" s="423"/>
      <c r="AD651" s="423"/>
      <c r="AE651" s="423"/>
      <c r="AF651" s="423"/>
      <c r="AG651" s="423"/>
      <c r="AH651" s="423"/>
      <c r="AI651" s="423"/>
    </row>
    <row r="652">
      <c r="A652" s="419"/>
      <c r="B652" s="419"/>
      <c r="C652" s="419"/>
      <c r="D652" s="419"/>
      <c r="E652" s="387"/>
      <c r="F652" s="387"/>
      <c r="G652" s="423"/>
      <c r="H652" s="423"/>
      <c r="I652" s="423"/>
      <c r="J652" s="423"/>
      <c r="K652" s="423"/>
      <c r="L652" s="423"/>
      <c r="M652" s="423"/>
      <c r="N652" s="423"/>
      <c r="O652" s="423"/>
      <c r="P652" s="423"/>
      <c r="Q652" s="423"/>
      <c r="R652" s="423"/>
      <c r="S652" s="423"/>
      <c r="T652" s="423"/>
      <c r="U652" s="423"/>
      <c r="V652" s="423"/>
      <c r="W652" s="423"/>
      <c r="X652" s="423"/>
      <c r="Y652" s="423"/>
      <c r="Z652" s="423"/>
      <c r="AA652" s="423"/>
      <c r="AB652" s="423"/>
      <c r="AC652" s="423"/>
      <c r="AD652" s="423"/>
      <c r="AE652" s="423"/>
      <c r="AF652" s="423"/>
      <c r="AG652" s="423"/>
      <c r="AH652" s="423"/>
      <c r="AI652" s="423"/>
    </row>
    <row r="653">
      <c r="A653" s="419"/>
      <c r="B653" s="419"/>
      <c r="C653" s="419"/>
      <c r="D653" s="419"/>
      <c r="E653" s="387"/>
      <c r="F653" s="387"/>
      <c r="G653" s="423"/>
      <c r="H653" s="423"/>
      <c r="I653" s="423"/>
      <c r="J653" s="423"/>
      <c r="K653" s="423"/>
      <c r="L653" s="423"/>
      <c r="M653" s="423"/>
      <c r="N653" s="423"/>
      <c r="O653" s="423"/>
      <c r="P653" s="423"/>
      <c r="Q653" s="423"/>
      <c r="R653" s="423"/>
      <c r="S653" s="423"/>
      <c r="T653" s="423"/>
      <c r="U653" s="423"/>
      <c r="V653" s="423"/>
      <c r="W653" s="423"/>
      <c r="X653" s="423"/>
      <c r="Y653" s="423"/>
      <c r="Z653" s="423"/>
      <c r="AA653" s="423"/>
      <c r="AB653" s="423"/>
      <c r="AC653" s="423"/>
      <c r="AD653" s="423"/>
      <c r="AE653" s="423"/>
      <c r="AF653" s="423"/>
      <c r="AG653" s="423"/>
      <c r="AH653" s="423"/>
      <c r="AI653" s="423"/>
    </row>
    <row r="654">
      <c r="A654" s="419"/>
      <c r="B654" s="419"/>
      <c r="C654" s="419"/>
      <c r="D654" s="419"/>
      <c r="E654" s="387"/>
      <c r="F654" s="387"/>
      <c r="G654" s="423"/>
      <c r="H654" s="423"/>
      <c r="I654" s="423"/>
      <c r="J654" s="423"/>
      <c r="K654" s="423"/>
      <c r="L654" s="423"/>
      <c r="M654" s="423"/>
      <c r="N654" s="423"/>
      <c r="O654" s="423"/>
      <c r="P654" s="423"/>
      <c r="Q654" s="423"/>
      <c r="R654" s="423"/>
      <c r="S654" s="423"/>
      <c r="T654" s="423"/>
      <c r="U654" s="423"/>
      <c r="V654" s="423"/>
      <c r="W654" s="423"/>
      <c r="X654" s="423"/>
      <c r="Y654" s="423"/>
      <c r="Z654" s="423"/>
      <c r="AA654" s="423"/>
      <c r="AB654" s="423"/>
      <c r="AC654" s="423"/>
      <c r="AD654" s="423"/>
      <c r="AE654" s="423"/>
      <c r="AF654" s="423"/>
      <c r="AG654" s="423"/>
      <c r="AH654" s="423"/>
      <c r="AI654" s="423"/>
    </row>
    <row r="655">
      <c r="A655" s="419"/>
      <c r="B655" s="419"/>
      <c r="C655" s="419"/>
      <c r="D655" s="419"/>
      <c r="E655" s="387"/>
      <c r="F655" s="387"/>
      <c r="G655" s="423"/>
      <c r="H655" s="423"/>
      <c r="I655" s="423"/>
      <c r="J655" s="423"/>
      <c r="K655" s="423"/>
      <c r="L655" s="423"/>
      <c r="M655" s="423"/>
      <c r="N655" s="423"/>
      <c r="O655" s="423"/>
      <c r="P655" s="423"/>
      <c r="Q655" s="423"/>
      <c r="R655" s="423"/>
      <c r="S655" s="423"/>
      <c r="T655" s="423"/>
      <c r="U655" s="423"/>
      <c r="V655" s="423"/>
      <c r="W655" s="423"/>
      <c r="X655" s="423"/>
      <c r="Y655" s="423"/>
      <c r="Z655" s="423"/>
      <c r="AA655" s="423"/>
      <c r="AB655" s="423"/>
      <c r="AC655" s="423"/>
      <c r="AD655" s="423"/>
      <c r="AE655" s="423"/>
      <c r="AF655" s="423"/>
      <c r="AG655" s="423"/>
      <c r="AH655" s="423"/>
      <c r="AI655" s="423"/>
    </row>
    <row r="656">
      <c r="A656" s="419"/>
      <c r="B656" s="419"/>
      <c r="C656" s="419"/>
      <c r="D656" s="419"/>
      <c r="E656" s="387"/>
      <c r="F656" s="387"/>
      <c r="G656" s="423"/>
      <c r="H656" s="423"/>
      <c r="I656" s="423"/>
      <c r="J656" s="423"/>
      <c r="K656" s="423"/>
      <c r="L656" s="423"/>
      <c r="M656" s="423"/>
      <c r="N656" s="423"/>
      <c r="O656" s="423"/>
      <c r="P656" s="423"/>
      <c r="Q656" s="423"/>
      <c r="R656" s="423"/>
      <c r="S656" s="423"/>
      <c r="T656" s="423"/>
      <c r="U656" s="423"/>
      <c r="V656" s="423"/>
      <c r="W656" s="423"/>
      <c r="X656" s="423"/>
      <c r="Y656" s="423"/>
      <c r="Z656" s="423"/>
      <c r="AA656" s="423"/>
      <c r="AB656" s="423"/>
      <c r="AC656" s="423"/>
      <c r="AD656" s="423"/>
      <c r="AE656" s="423"/>
      <c r="AF656" s="423"/>
      <c r="AG656" s="423"/>
      <c r="AH656" s="423"/>
      <c r="AI656" s="423"/>
    </row>
    <row r="657">
      <c r="A657" s="419"/>
      <c r="B657" s="419"/>
      <c r="C657" s="419"/>
      <c r="D657" s="419"/>
      <c r="E657" s="387"/>
      <c r="F657" s="387"/>
      <c r="G657" s="423"/>
      <c r="H657" s="423"/>
      <c r="I657" s="423"/>
      <c r="J657" s="423"/>
      <c r="K657" s="423"/>
      <c r="L657" s="423"/>
      <c r="M657" s="423"/>
      <c r="N657" s="423"/>
      <c r="O657" s="423"/>
      <c r="P657" s="423"/>
      <c r="Q657" s="423"/>
      <c r="R657" s="423"/>
      <c r="S657" s="423"/>
      <c r="T657" s="423"/>
      <c r="U657" s="423"/>
      <c r="V657" s="423"/>
      <c r="W657" s="423"/>
      <c r="X657" s="423"/>
      <c r="Y657" s="423"/>
      <c r="Z657" s="423"/>
      <c r="AA657" s="423"/>
      <c r="AB657" s="423"/>
      <c r="AC657" s="423"/>
      <c r="AD657" s="423"/>
      <c r="AE657" s="423"/>
      <c r="AF657" s="423"/>
      <c r="AG657" s="423"/>
      <c r="AH657" s="423"/>
      <c r="AI657" s="423"/>
    </row>
    <row r="658">
      <c r="A658" s="419"/>
      <c r="B658" s="419"/>
      <c r="C658" s="419"/>
      <c r="D658" s="419"/>
      <c r="E658" s="387"/>
      <c r="F658" s="387"/>
      <c r="G658" s="423"/>
      <c r="H658" s="423"/>
      <c r="I658" s="423"/>
      <c r="J658" s="423"/>
      <c r="K658" s="423"/>
      <c r="L658" s="423"/>
      <c r="M658" s="423"/>
      <c r="N658" s="423"/>
      <c r="O658" s="423"/>
      <c r="P658" s="423"/>
      <c r="Q658" s="423"/>
      <c r="R658" s="423"/>
      <c r="S658" s="423"/>
      <c r="T658" s="423"/>
      <c r="U658" s="423"/>
      <c r="V658" s="423"/>
      <c r="W658" s="423"/>
      <c r="X658" s="423"/>
      <c r="Y658" s="423"/>
      <c r="Z658" s="423"/>
      <c r="AA658" s="423"/>
      <c r="AB658" s="423"/>
      <c r="AC658" s="423"/>
      <c r="AD658" s="423"/>
      <c r="AE658" s="423"/>
      <c r="AF658" s="423"/>
      <c r="AG658" s="423"/>
      <c r="AH658" s="423"/>
      <c r="AI658" s="423"/>
    </row>
    <row r="659">
      <c r="A659" s="419"/>
      <c r="B659" s="419"/>
      <c r="C659" s="419"/>
      <c r="D659" s="419"/>
      <c r="E659" s="387"/>
      <c r="F659" s="387"/>
      <c r="G659" s="423"/>
      <c r="H659" s="423"/>
      <c r="I659" s="423"/>
      <c r="J659" s="423"/>
      <c r="K659" s="423"/>
      <c r="L659" s="423"/>
      <c r="M659" s="423"/>
      <c r="N659" s="423"/>
      <c r="O659" s="423"/>
      <c r="P659" s="423"/>
      <c r="Q659" s="423"/>
      <c r="R659" s="423"/>
      <c r="S659" s="423"/>
      <c r="T659" s="423"/>
      <c r="U659" s="423"/>
      <c r="V659" s="423"/>
      <c r="W659" s="423"/>
      <c r="X659" s="423"/>
      <c r="Y659" s="423"/>
      <c r="Z659" s="423"/>
      <c r="AA659" s="423"/>
      <c r="AB659" s="423"/>
      <c r="AC659" s="423"/>
      <c r="AD659" s="423"/>
      <c r="AE659" s="423"/>
      <c r="AF659" s="423"/>
      <c r="AG659" s="423"/>
      <c r="AH659" s="423"/>
      <c r="AI659" s="423"/>
    </row>
    <row r="660">
      <c r="A660" s="419"/>
      <c r="B660" s="419"/>
      <c r="C660" s="419"/>
      <c r="D660" s="419"/>
      <c r="E660" s="387"/>
      <c r="F660" s="387"/>
      <c r="G660" s="423"/>
      <c r="H660" s="423"/>
      <c r="I660" s="423"/>
      <c r="J660" s="423"/>
      <c r="K660" s="423"/>
      <c r="L660" s="423"/>
      <c r="M660" s="423"/>
      <c r="N660" s="423"/>
      <c r="O660" s="423"/>
      <c r="P660" s="423"/>
      <c r="Q660" s="423"/>
      <c r="R660" s="423"/>
      <c r="S660" s="423"/>
      <c r="T660" s="423"/>
      <c r="U660" s="423"/>
      <c r="V660" s="423"/>
      <c r="W660" s="423"/>
      <c r="X660" s="423"/>
      <c r="Y660" s="423"/>
      <c r="Z660" s="423"/>
      <c r="AA660" s="423"/>
      <c r="AB660" s="423"/>
      <c r="AC660" s="423"/>
      <c r="AD660" s="423"/>
      <c r="AE660" s="423"/>
      <c r="AF660" s="423"/>
      <c r="AG660" s="423"/>
      <c r="AH660" s="423"/>
      <c r="AI660" s="423"/>
    </row>
    <row r="661">
      <c r="A661" s="419"/>
      <c r="B661" s="419"/>
      <c r="C661" s="419"/>
      <c r="D661" s="419"/>
      <c r="E661" s="387"/>
      <c r="F661" s="387"/>
      <c r="G661" s="423"/>
      <c r="H661" s="423"/>
      <c r="I661" s="423"/>
      <c r="J661" s="423"/>
      <c r="K661" s="423"/>
      <c r="L661" s="423"/>
      <c r="M661" s="423"/>
      <c r="N661" s="423"/>
      <c r="O661" s="423"/>
      <c r="P661" s="423"/>
      <c r="Q661" s="423"/>
      <c r="R661" s="423"/>
      <c r="S661" s="423"/>
      <c r="T661" s="423"/>
      <c r="U661" s="423"/>
      <c r="V661" s="423"/>
      <c r="W661" s="423"/>
      <c r="X661" s="423"/>
      <c r="Y661" s="423"/>
      <c r="Z661" s="423"/>
      <c r="AA661" s="423"/>
      <c r="AB661" s="423"/>
      <c r="AC661" s="423"/>
      <c r="AD661" s="423"/>
      <c r="AE661" s="423"/>
      <c r="AF661" s="423"/>
      <c r="AG661" s="423"/>
      <c r="AH661" s="423"/>
      <c r="AI661" s="423"/>
    </row>
    <row r="662">
      <c r="A662" s="419"/>
      <c r="B662" s="419"/>
      <c r="C662" s="419"/>
      <c r="D662" s="419"/>
      <c r="E662" s="387"/>
      <c r="F662" s="387"/>
      <c r="G662" s="423"/>
      <c r="H662" s="423"/>
      <c r="I662" s="423"/>
      <c r="J662" s="423"/>
      <c r="K662" s="423"/>
      <c r="L662" s="423"/>
      <c r="M662" s="423"/>
      <c r="N662" s="423"/>
      <c r="O662" s="423"/>
      <c r="P662" s="423"/>
      <c r="Q662" s="423"/>
      <c r="R662" s="423"/>
      <c r="S662" s="423"/>
      <c r="T662" s="423"/>
      <c r="U662" s="423"/>
      <c r="V662" s="423"/>
      <c r="W662" s="423"/>
      <c r="X662" s="423"/>
      <c r="Y662" s="423"/>
      <c r="Z662" s="423"/>
      <c r="AA662" s="423"/>
      <c r="AB662" s="423"/>
      <c r="AC662" s="423"/>
      <c r="AD662" s="423"/>
      <c r="AE662" s="423"/>
      <c r="AF662" s="423"/>
      <c r="AG662" s="423"/>
      <c r="AH662" s="423"/>
      <c r="AI662" s="423"/>
    </row>
    <row r="663">
      <c r="A663" s="419"/>
      <c r="B663" s="419"/>
      <c r="C663" s="419"/>
      <c r="D663" s="419"/>
      <c r="E663" s="387"/>
      <c r="F663" s="387"/>
      <c r="G663" s="423"/>
      <c r="H663" s="423"/>
      <c r="I663" s="423"/>
      <c r="J663" s="423"/>
      <c r="K663" s="423"/>
      <c r="L663" s="423"/>
      <c r="M663" s="423"/>
      <c r="N663" s="423"/>
      <c r="O663" s="423"/>
      <c r="P663" s="423"/>
      <c r="Q663" s="423"/>
      <c r="R663" s="423"/>
      <c r="S663" s="423"/>
      <c r="T663" s="423"/>
      <c r="U663" s="423"/>
      <c r="V663" s="423"/>
      <c r="W663" s="423"/>
      <c r="X663" s="423"/>
      <c r="Y663" s="423"/>
      <c r="Z663" s="423"/>
      <c r="AA663" s="423"/>
      <c r="AB663" s="423"/>
      <c r="AC663" s="423"/>
      <c r="AD663" s="423"/>
      <c r="AE663" s="423"/>
      <c r="AF663" s="423"/>
      <c r="AG663" s="423"/>
      <c r="AH663" s="423"/>
      <c r="AI663" s="423"/>
    </row>
    <row r="664">
      <c r="A664" s="419"/>
      <c r="B664" s="419"/>
      <c r="C664" s="419"/>
      <c r="D664" s="419"/>
      <c r="E664" s="387"/>
      <c r="F664" s="387"/>
      <c r="G664" s="423"/>
      <c r="H664" s="423"/>
      <c r="I664" s="423"/>
      <c r="J664" s="423"/>
      <c r="K664" s="423"/>
      <c r="L664" s="423"/>
      <c r="M664" s="423"/>
      <c r="N664" s="423"/>
      <c r="O664" s="423"/>
      <c r="P664" s="423"/>
      <c r="Q664" s="423"/>
      <c r="R664" s="423"/>
      <c r="S664" s="423"/>
      <c r="T664" s="423"/>
      <c r="U664" s="423"/>
      <c r="V664" s="423"/>
      <c r="W664" s="423"/>
      <c r="X664" s="423"/>
      <c r="Y664" s="423"/>
      <c r="Z664" s="423"/>
      <c r="AA664" s="423"/>
      <c r="AB664" s="423"/>
      <c r="AC664" s="423"/>
      <c r="AD664" s="423"/>
      <c r="AE664" s="423"/>
      <c r="AF664" s="423"/>
      <c r="AG664" s="423"/>
      <c r="AH664" s="423"/>
      <c r="AI664" s="423"/>
    </row>
    <row r="665">
      <c r="A665" s="419"/>
      <c r="B665" s="419"/>
      <c r="C665" s="419"/>
      <c r="D665" s="419"/>
      <c r="E665" s="387"/>
      <c r="F665" s="387"/>
      <c r="G665" s="423"/>
      <c r="H665" s="423"/>
      <c r="I665" s="423"/>
      <c r="J665" s="423"/>
      <c r="K665" s="423"/>
      <c r="L665" s="423"/>
      <c r="M665" s="423"/>
      <c r="N665" s="423"/>
      <c r="O665" s="423"/>
      <c r="P665" s="423"/>
      <c r="Q665" s="423"/>
      <c r="R665" s="423"/>
      <c r="S665" s="423"/>
      <c r="T665" s="423"/>
      <c r="U665" s="423"/>
      <c r="V665" s="423"/>
      <c r="W665" s="423"/>
      <c r="X665" s="423"/>
      <c r="Y665" s="423"/>
      <c r="Z665" s="423"/>
      <c r="AA665" s="423"/>
      <c r="AB665" s="423"/>
      <c r="AC665" s="423"/>
      <c r="AD665" s="423"/>
      <c r="AE665" s="423"/>
      <c r="AF665" s="423"/>
      <c r="AG665" s="423"/>
      <c r="AH665" s="423"/>
      <c r="AI665" s="423"/>
    </row>
    <row r="666">
      <c r="A666" s="419"/>
      <c r="B666" s="419"/>
      <c r="C666" s="419"/>
      <c r="D666" s="419"/>
      <c r="E666" s="387"/>
      <c r="F666" s="387"/>
      <c r="G666" s="423"/>
      <c r="H666" s="423"/>
      <c r="I666" s="423"/>
      <c r="J666" s="423"/>
      <c r="K666" s="423"/>
      <c r="L666" s="423"/>
      <c r="M666" s="423"/>
      <c r="N666" s="423"/>
      <c r="O666" s="423"/>
      <c r="P666" s="423"/>
      <c r="Q666" s="423"/>
      <c r="R666" s="423"/>
      <c r="S666" s="423"/>
      <c r="T666" s="423"/>
      <c r="U666" s="423"/>
      <c r="V666" s="423"/>
      <c r="W666" s="423"/>
      <c r="X666" s="423"/>
      <c r="Y666" s="423"/>
      <c r="Z666" s="423"/>
      <c r="AA666" s="423"/>
      <c r="AB666" s="423"/>
      <c r="AC666" s="423"/>
      <c r="AD666" s="423"/>
      <c r="AE666" s="423"/>
      <c r="AF666" s="423"/>
      <c r="AG666" s="423"/>
      <c r="AH666" s="423"/>
      <c r="AI666" s="423"/>
    </row>
    <row r="667">
      <c r="A667" s="419"/>
      <c r="B667" s="419"/>
      <c r="C667" s="419"/>
      <c r="D667" s="419"/>
      <c r="E667" s="387"/>
      <c r="F667" s="387"/>
      <c r="G667" s="423"/>
      <c r="H667" s="423"/>
      <c r="I667" s="423"/>
      <c r="J667" s="423"/>
      <c r="K667" s="423"/>
      <c r="L667" s="423"/>
      <c r="M667" s="423"/>
      <c r="N667" s="423"/>
      <c r="O667" s="423"/>
      <c r="P667" s="423"/>
      <c r="Q667" s="423"/>
      <c r="R667" s="423"/>
      <c r="S667" s="423"/>
      <c r="T667" s="423"/>
      <c r="U667" s="423"/>
      <c r="V667" s="423"/>
      <c r="W667" s="423"/>
      <c r="X667" s="423"/>
      <c r="Y667" s="423"/>
      <c r="Z667" s="423"/>
      <c r="AA667" s="423"/>
      <c r="AB667" s="423"/>
      <c r="AC667" s="423"/>
      <c r="AD667" s="423"/>
      <c r="AE667" s="423"/>
      <c r="AF667" s="423"/>
      <c r="AG667" s="423"/>
      <c r="AH667" s="423"/>
      <c r="AI667" s="423"/>
    </row>
    <row r="668">
      <c r="A668" s="419"/>
      <c r="B668" s="419"/>
      <c r="C668" s="419"/>
      <c r="D668" s="419"/>
      <c r="E668" s="387"/>
      <c r="F668" s="387"/>
      <c r="G668" s="423"/>
      <c r="H668" s="423"/>
      <c r="I668" s="423"/>
      <c r="J668" s="423"/>
      <c r="K668" s="423"/>
      <c r="L668" s="423"/>
      <c r="M668" s="423"/>
      <c r="N668" s="423"/>
      <c r="O668" s="423"/>
      <c r="P668" s="423"/>
      <c r="Q668" s="423"/>
      <c r="R668" s="423"/>
      <c r="S668" s="423"/>
      <c r="T668" s="423"/>
      <c r="U668" s="423"/>
      <c r="V668" s="423"/>
      <c r="W668" s="423"/>
      <c r="X668" s="423"/>
      <c r="Y668" s="423"/>
      <c r="Z668" s="423"/>
      <c r="AA668" s="423"/>
      <c r="AB668" s="423"/>
      <c r="AC668" s="423"/>
      <c r="AD668" s="423"/>
      <c r="AE668" s="423"/>
      <c r="AF668" s="423"/>
      <c r="AG668" s="423"/>
      <c r="AH668" s="423"/>
      <c r="AI668" s="423"/>
    </row>
    <row r="669">
      <c r="A669" s="419"/>
      <c r="B669" s="419"/>
      <c r="C669" s="419"/>
      <c r="D669" s="419"/>
      <c r="E669" s="387"/>
      <c r="F669" s="387"/>
      <c r="G669" s="423"/>
      <c r="H669" s="423"/>
      <c r="I669" s="423"/>
      <c r="J669" s="423"/>
      <c r="K669" s="423"/>
      <c r="L669" s="423"/>
      <c r="M669" s="423"/>
      <c r="N669" s="423"/>
      <c r="O669" s="423"/>
      <c r="P669" s="423"/>
      <c r="Q669" s="423"/>
      <c r="R669" s="423"/>
      <c r="S669" s="423"/>
      <c r="T669" s="423"/>
      <c r="U669" s="423"/>
      <c r="V669" s="423"/>
      <c r="W669" s="423"/>
      <c r="X669" s="423"/>
      <c r="Y669" s="423"/>
      <c r="Z669" s="423"/>
      <c r="AA669" s="423"/>
      <c r="AB669" s="423"/>
      <c r="AC669" s="423"/>
      <c r="AD669" s="423"/>
      <c r="AE669" s="423"/>
      <c r="AF669" s="423"/>
      <c r="AG669" s="423"/>
      <c r="AH669" s="423"/>
      <c r="AI669" s="423"/>
    </row>
    <row r="670">
      <c r="A670" s="419"/>
      <c r="B670" s="419"/>
      <c r="C670" s="419"/>
      <c r="D670" s="419"/>
      <c r="E670" s="387"/>
      <c r="F670" s="387"/>
      <c r="G670" s="423"/>
      <c r="H670" s="423"/>
      <c r="I670" s="423"/>
      <c r="J670" s="423"/>
      <c r="K670" s="423"/>
      <c r="L670" s="423"/>
      <c r="M670" s="423"/>
      <c r="N670" s="423"/>
      <c r="O670" s="423"/>
      <c r="P670" s="423"/>
      <c r="Q670" s="423"/>
      <c r="R670" s="423"/>
      <c r="S670" s="423"/>
      <c r="T670" s="423"/>
      <c r="U670" s="423"/>
      <c r="V670" s="423"/>
      <c r="W670" s="423"/>
      <c r="X670" s="423"/>
      <c r="Y670" s="423"/>
      <c r="Z670" s="423"/>
      <c r="AA670" s="423"/>
      <c r="AB670" s="423"/>
      <c r="AC670" s="423"/>
      <c r="AD670" s="423"/>
      <c r="AE670" s="423"/>
      <c r="AF670" s="423"/>
      <c r="AG670" s="423"/>
      <c r="AH670" s="423"/>
      <c r="AI670" s="423"/>
    </row>
    <row r="671">
      <c r="A671" s="419"/>
      <c r="B671" s="419"/>
      <c r="C671" s="419"/>
      <c r="D671" s="419"/>
      <c r="E671" s="387"/>
      <c r="F671" s="387"/>
      <c r="G671" s="423"/>
      <c r="H671" s="423"/>
      <c r="I671" s="423"/>
      <c r="J671" s="423"/>
      <c r="K671" s="423"/>
      <c r="L671" s="423"/>
      <c r="M671" s="423"/>
      <c r="N671" s="423"/>
      <c r="O671" s="423"/>
      <c r="P671" s="423"/>
      <c r="Q671" s="423"/>
      <c r="R671" s="423"/>
      <c r="S671" s="423"/>
      <c r="T671" s="423"/>
      <c r="U671" s="423"/>
      <c r="V671" s="423"/>
      <c r="W671" s="423"/>
      <c r="X671" s="423"/>
      <c r="Y671" s="423"/>
      <c r="Z671" s="423"/>
      <c r="AA671" s="423"/>
      <c r="AB671" s="423"/>
      <c r="AC671" s="423"/>
      <c r="AD671" s="423"/>
      <c r="AE671" s="423"/>
      <c r="AF671" s="423"/>
      <c r="AG671" s="423"/>
      <c r="AH671" s="423"/>
      <c r="AI671" s="423"/>
    </row>
    <row r="672">
      <c r="A672" s="419"/>
      <c r="B672" s="419"/>
      <c r="C672" s="419"/>
      <c r="D672" s="419"/>
      <c r="E672" s="387"/>
      <c r="F672" s="387"/>
      <c r="G672" s="423"/>
      <c r="H672" s="423"/>
      <c r="I672" s="423"/>
      <c r="J672" s="423"/>
      <c r="K672" s="423"/>
      <c r="L672" s="423"/>
      <c r="M672" s="423"/>
      <c r="N672" s="423"/>
      <c r="O672" s="423"/>
      <c r="P672" s="423"/>
      <c r="Q672" s="423"/>
      <c r="R672" s="423"/>
      <c r="S672" s="423"/>
      <c r="T672" s="423"/>
      <c r="U672" s="423"/>
      <c r="V672" s="423"/>
      <c r="W672" s="423"/>
      <c r="X672" s="423"/>
      <c r="Y672" s="423"/>
      <c r="Z672" s="423"/>
      <c r="AA672" s="423"/>
      <c r="AB672" s="423"/>
      <c r="AC672" s="423"/>
      <c r="AD672" s="423"/>
      <c r="AE672" s="423"/>
      <c r="AF672" s="423"/>
      <c r="AG672" s="423"/>
      <c r="AH672" s="423"/>
      <c r="AI672" s="423"/>
    </row>
    <row r="673">
      <c r="A673" s="419"/>
      <c r="B673" s="419"/>
      <c r="C673" s="419"/>
      <c r="D673" s="419"/>
      <c r="E673" s="387"/>
      <c r="F673" s="387"/>
      <c r="G673" s="423"/>
      <c r="H673" s="423"/>
      <c r="I673" s="423"/>
      <c r="J673" s="423"/>
      <c r="K673" s="423"/>
      <c r="L673" s="423"/>
      <c r="M673" s="423"/>
      <c r="N673" s="423"/>
      <c r="O673" s="423"/>
      <c r="P673" s="423"/>
      <c r="Q673" s="423"/>
      <c r="R673" s="423"/>
      <c r="S673" s="423"/>
      <c r="T673" s="423"/>
      <c r="U673" s="423"/>
      <c r="V673" s="423"/>
      <c r="W673" s="423"/>
      <c r="X673" s="423"/>
      <c r="Y673" s="423"/>
      <c r="Z673" s="423"/>
      <c r="AA673" s="423"/>
      <c r="AB673" s="423"/>
      <c r="AC673" s="423"/>
      <c r="AD673" s="423"/>
      <c r="AE673" s="423"/>
      <c r="AF673" s="423"/>
      <c r="AG673" s="423"/>
      <c r="AH673" s="423"/>
      <c r="AI673" s="423"/>
    </row>
    <row r="674">
      <c r="A674" s="419"/>
      <c r="B674" s="419"/>
      <c r="C674" s="419"/>
      <c r="D674" s="419"/>
      <c r="E674" s="387"/>
      <c r="F674" s="387"/>
      <c r="G674" s="423"/>
      <c r="H674" s="423"/>
      <c r="I674" s="423"/>
      <c r="J674" s="423"/>
      <c r="K674" s="423"/>
      <c r="L674" s="423"/>
      <c r="M674" s="423"/>
      <c r="N674" s="423"/>
      <c r="O674" s="423"/>
      <c r="P674" s="423"/>
      <c r="Q674" s="423"/>
      <c r="R674" s="423"/>
      <c r="S674" s="423"/>
      <c r="T674" s="423"/>
      <c r="U674" s="423"/>
      <c r="V674" s="423"/>
      <c r="W674" s="423"/>
      <c r="X674" s="423"/>
      <c r="Y674" s="423"/>
      <c r="Z674" s="423"/>
      <c r="AA674" s="423"/>
      <c r="AB674" s="423"/>
      <c r="AC674" s="423"/>
      <c r="AD674" s="423"/>
      <c r="AE674" s="423"/>
      <c r="AF674" s="423"/>
      <c r="AG674" s="423"/>
      <c r="AH674" s="423"/>
      <c r="AI674" s="423"/>
    </row>
    <row r="675">
      <c r="A675" s="419"/>
      <c r="B675" s="419"/>
      <c r="C675" s="419"/>
      <c r="D675" s="419"/>
      <c r="E675" s="387"/>
      <c r="F675" s="387"/>
      <c r="G675" s="423"/>
      <c r="H675" s="423"/>
      <c r="I675" s="423"/>
      <c r="J675" s="423"/>
      <c r="K675" s="423"/>
      <c r="L675" s="423"/>
      <c r="M675" s="423"/>
      <c r="N675" s="423"/>
      <c r="O675" s="423"/>
      <c r="P675" s="423"/>
      <c r="Q675" s="423"/>
      <c r="R675" s="423"/>
      <c r="S675" s="423"/>
      <c r="T675" s="423"/>
      <c r="U675" s="423"/>
      <c r="V675" s="423"/>
      <c r="W675" s="423"/>
      <c r="X675" s="423"/>
      <c r="Y675" s="423"/>
      <c r="Z675" s="423"/>
      <c r="AA675" s="423"/>
      <c r="AB675" s="423"/>
      <c r="AC675" s="423"/>
      <c r="AD675" s="423"/>
      <c r="AE675" s="423"/>
      <c r="AF675" s="423"/>
      <c r="AG675" s="423"/>
      <c r="AH675" s="423"/>
      <c r="AI675" s="423"/>
    </row>
    <row r="676">
      <c r="A676" s="419"/>
      <c r="B676" s="419"/>
      <c r="C676" s="419"/>
      <c r="D676" s="419"/>
      <c r="E676" s="387"/>
      <c r="F676" s="387"/>
      <c r="G676" s="423"/>
      <c r="H676" s="423"/>
      <c r="I676" s="423"/>
      <c r="J676" s="423"/>
      <c r="K676" s="423"/>
      <c r="L676" s="423"/>
      <c r="M676" s="423"/>
      <c r="N676" s="423"/>
      <c r="O676" s="423"/>
      <c r="P676" s="423"/>
      <c r="Q676" s="423"/>
      <c r="R676" s="423"/>
      <c r="S676" s="423"/>
      <c r="T676" s="423"/>
      <c r="U676" s="423"/>
      <c r="V676" s="423"/>
      <c r="W676" s="423"/>
      <c r="X676" s="423"/>
      <c r="Y676" s="423"/>
      <c r="Z676" s="423"/>
      <c r="AA676" s="423"/>
      <c r="AB676" s="423"/>
      <c r="AC676" s="423"/>
      <c r="AD676" s="423"/>
      <c r="AE676" s="423"/>
      <c r="AF676" s="423"/>
      <c r="AG676" s="423"/>
      <c r="AH676" s="423"/>
      <c r="AI676" s="423"/>
    </row>
    <row r="677">
      <c r="A677" s="419"/>
      <c r="B677" s="419"/>
      <c r="C677" s="419"/>
      <c r="D677" s="419"/>
      <c r="E677" s="387"/>
      <c r="F677" s="387"/>
      <c r="G677" s="423"/>
      <c r="H677" s="423"/>
      <c r="I677" s="423"/>
      <c r="J677" s="423"/>
      <c r="K677" s="423"/>
      <c r="L677" s="423"/>
      <c r="M677" s="423"/>
      <c r="N677" s="423"/>
      <c r="O677" s="423"/>
      <c r="P677" s="423"/>
      <c r="Q677" s="423"/>
      <c r="R677" s="423"/>
      <c r="S677" s="423"/>
      <c r="T677" s="423"/>
      <c r="U677" s="423"/>
      <c r="V677" s="423"/>
      <c r="W677" s="423"/>
      <c r="X677" s="423"/>
      <c r="Y677" s="423"/>
      <c r="Z677" s="423"/>
      <c r="AA677" s="423"/>
      <c r="AB677" s="423"/>
      <c r="AC677" s="423"/>
      <c r="AD677" s="423"/>
      <c r="AE677" s="423"/>
      <c r="AF677" s="423"/>
      <c r="AG677" s="423"/>
      <c r="AH677" s="423"/>
      <c r="AI677" s="423"/>
    </row>
    <row r="678">
      <c r="A678" s="419"/>
      <c r="B678" s="419"/>
      <c r="C678" s="419"/>
      <c r="D678" s="419"/>
      <c r="E678" s="387"/>
      <c r="F678" s="387"/>
      <c r="G678" s="423"/>
      <c r="H678" s="423"/>
      <c r="I678" s="423"/>
      <c r="J678" s="423"/>
      <c r="K678" s="423"/>
      <c r="L678" s="423"/>
      <c r="M678" s="423"/>
      <c r="N678" s="423"/>
      <c r="O678" s="423"/>
      <c r="P678" s="423"/>
      <c r="Q678" s="423"/>
      <c r="R678" s="423"/>
      <c r="S678" s="423"/>
      <c r="T678" s="423"/>
      <c r="U678" s="423"/>
      <c r="V678" s="423"/>
      <c r="W678" s="423"/>
      <c r="X678" s="423"/>
      <c r="Y678" s="423"/>
      <c r="Z678" s="423"/>
      <c r="AA678" s="423"/>
      <c r="AB678" s="423"/>
      <c r="AC678" s="423"/>
      <c r="AD678" s="423"/>
      <c r="AE678" s="423"/>
      <c r="AF678" s="423"/>
      <c r="AG678" s="423"/>
      <c r="AH678" s="423"/>
      <c r="AI678" s="423"/>
    </row>
    <row r="679">
      <c r="A679" s="419"/>
      <c r="B679" s="419"/>
      <c r="C679" s="419"/>
      <c r="D679" s="419"/>
      <c r="E679" s="387"/>
      <c r="F679" s="387"/>
      <c r="G679" s="423"/>
      <c r="H679" s="423"/>
      <c r="I679" s="423"/>
      <c r="J679" s="423"/>
      <c r="K679" s="423"/>
      <c r="L679" s="423"/>
      <c r="M679" s="423"/>
      <c r="N679" s="423"/>
      <c r="O679" s="423"/>
      <c r="P679" s="423"/>
      <c r="Q679" s="423"/>
      <c r="R679" s="423"/>
      <c r="S679" s="423"/>
      <c r="T679" s="423"/>
      <c r="U679" s="423"/>
      <c r="V679" s="423"/>
      <c r="W679" s="423"/>
      <c r="X679" s="423"/>
      <c r="Y679" s="423"/>
      <c r="Z679" s="423"/>
      <c r="AA679" s="423"/>
      <c r="AB679" s="423"/>
      <c r="AC679" s="423"/>
      <c r="AD679" s="423"/>
      <c r="AE679" s="423"/>
      <c r="AF679" s="423"/>
      <c r="AG679" s="423"/>
      <c r="AH679" s="423"/>
      <c r="AI679" s="423"/>
    </row>
    <row r="680">
      <c r="A680" s="419"/>
      <c r="B680" s="419"/>
      <c r="C680" s="419"/>
      <c r="D680" s="419"/>
      <c r="E680" s="387"/>
      <c r="F680" s="387"/>
      <c r="G680" s="423"/>
      <c r="H680" s="423"/>
      <c r="I680" s="423"/>
      <c r="J680" s="423"/>
      <c r="K680" s="423"/>
      <c r="L680" s="423"/>
      <c r="M680" s="423"/>
      <c r="N680" s="423"/>
      <c r="O680" s="423"/>
      <c r="P680" s="423"/>
      <c r="Q680" s="423"/>
      <c r="R680" s="423"/>
      <c r="S680" s="423"/>
      <c r="T680" s="423"/>
      <c r="U680" s="423"/>
      <c r="V680" s="423"/>
      <c r="W680" s="423"/>
      <c r="X680" s="423"/>
      <c r="Y680" s="423"/>
      <c r="Z680" s="423"/>
      <c r="AA680" s="423"/>
      <c r="AB680" s="423"/>
      <c r="AC680" s="423"/>
      <c r="AD680" s="423"/>
      <c r="AE680" s="423"/>
      <c r="AF680" s="423"/>
      <c r="AG680" s="423"/>
      <c r="AH680" s="423"/>
      <c r="AI680" s="423"/>
    </row>
    <row r="681">
      <c r="A681" s="419"/>
      <c r="B681" s="419"/>
      <c r="C681" s="419"/>
      <c r="D681" s="419"/>
      <c r="E681" s="387"/>
      <c r="F681" s="387"/>
      <c r="G681" s="423"/>
      <c r="H681" s="423"/>
      <c r="I681" s="423"/>
      <c r="J681" s="423"/>
      <c r="K681" s="423"/>
      <c r="L681" s="423"/>
      <c r="M681" s="423"/>
      <c r="N681" s="423"/>
      <c r="O681" s="423"/>
      <c r="P681" s="423"/>
      <c r="Q681" s="423"/>
      <c r="R681" s="423"/>
      <c r="S681" s="423"/>
      <c r="T681" s="423"/>
      <c r="U681" s="423"/>
      <c r="V681" s="423"/>
      <c r="W681" s="423"/>
      <c r="X681" s="423"/>
      <c r="Y681" s="423"/>
      <c r="Z681" s="423"/>
      <c r="AA681" s="423"/>
      <c r="AB681" s="423"/>
      <c r="AC681" s="423"/>
      <c r="AD681" s="423"/>
      <c r="AE681" s="423"/>
      <c r="AF681" s="423"/>
      <c r="AG681" s="423"/>
      <c r="AH681" s="423"/>
      <c r="AI681" s="423"/>
    </row>
    <row r="682">
      <c r="A682" s="419"/>
      <c r="B682" s="419"/>
      <c r="C682" s="419"/>
      <c r="D682" s="419"/>
      <c r="E682" s="387"/>
      <c r="F682" s="387"/>
      <c r="G682" s="423"/>
      <c r="H682" s="423"/>
      <c r="I682" s="423"/>
      <c r="J682" s="423"/>
      <c r="K682" s="423"/>
      <c r="L682" s="423"/>
      <c r="M682" s="423"/>
      <c r="N682" s="423"/>
      <c r="O682" s="423"/>
      <c r="P682" s="423"/>
      <c r="Q682" s="423"/>
      <c r="R682" s="423"/>
      <c r="S682" s="423"/>
      <c r="T682" s="423"/>
      <c r="U682" s="423"/>
      <c r="V682" s="423"/>
      <c r="W682" s="423"/>
      <c r="X682" s="423"/>
      <c r="Y682" s="423"/>
      <c r="Z682" s="423"/>
      <c r="AA682" s="423"/>
      <c r="AB682" s="423"/>
      <c r="AC682" s="423"/>
      <c r="AD682" s="423"/>
      <c r="AE682" s="423"/>
      <c r="AF682" s="423"/>
      <c r="AG682" s="423"/>
      <c r="AH682" s="423"/>
      <c r="AI682" s="423"/>
    </row>
    <row r="683">
      <c r="A683" s="419"/>
      <c r="B683" s="419"/>
      <c r="C683" s="419"/>
      <c r="D683" s="419"/>
      <c r="E683" s="387"/>
      <c r="F683" s="387"/>
      <c r="G683" s="423"/>
      <c r="H683" s="423"/>
      <c r="I683" s="423"/>
      <c r="J683" s="423"/>
      <c r="K683" s="423"/>
      <c r="L683" s="423"/>
      <c r="M683" s="423"/>
      <c r="N683" s="423"/>
      <c r="O683" s="423"/>
      <c r="P683" s="423"/>
      <c r="Q683" s="423"/>
      <c r="R683" s="423"/>
      <c r="S683" s="423"/>
      <c r="T683" s="423"/>
      <c r="U683" s="423"/>
      <c r="V683" s="423"/>
      <c r="W683" s="423"/>
      <c r="X683" s="423"/>
      <c r="Y683" s="423"/>
      <c r="Z683" s="423"/>
      <c r="AA683" s="423"/>
      <c r="AB683" s="423"/>
      <c r="AC683" s="423"/>
      <c r="AD683" s="423"/>
      <c r="AE683" s="423"/>
      <c r="AF683" s="423"/>
      <c r="AG683" s="423"/>
      <c r="AH683" s="423"/>
      <c r="AI683" s="423"/>
    </row>
    <row r="684">
      <c r="A684" s="419"/>
      <c r="B684" s="419"/>
      <c r="C684" s="419"/>
      <c r="D684" s="419"/>
      <c r="E684" s="387"/>
      <c r="F684" s="387"/>
      <c r="G684" s="423"/>
      <c r="H684" s="423"/>
      <c r="I684" s="423"/>
      <c r="J684" s="423"/>
      <c r="K684" s="423"/>
      <c r="L684" s="423"/>
      <c r="M684" s="423"/>
      <c r="N684" s="423"/>
      <c r="O684" s="423"/>
      <c r="P684" s="423"/>
      <c r="Q684" s="423"/>
      <c r="R684" s="423"/>
      <c r="S684" s="423"/>
      <c r="T684" s="423"/>
      <c r="U684" s="423"/>
      <c r="V684" s="423"/>
      <c r="W684" s="423"/>
      <c r="X684" s="423"/>
      <c r="Y684" s="423"/>
      <c r="Z684" s="423"/>
      <c r="AA684" s="423"/>
      <c r="AB684" s="423"/>
      <c r="AC684" s="423"/>
      <c r="AD684" s="423"/>
      <c r="AE684" s="423"/>
      <c r="AF684" s="423"/>
      <c r="AG684" s="423"/>
      <c r="AH684" s="423"/>
      <c r="AI684" s="423"/>
    </row>
    <row r="685">
      <c r="A685" s="419"/>
      <c r="B685" s="419"/>
      <c r="C685" s="419"/>
      <c r="D685" s="419"/>
      <c r="E685" s="387"/>
      <c r="F685" s="387"/>
      <c r="G685" s="423"/>
      <c r="H685" s="423"/>
      <c r="I685" s="423"/>
      <c r="J685" s="423"/>
      <c r="K685" s="423"/>
      <c r="L685" s="423"/>
      <c r="M685" s="423"/>
      <c r="N685" s="423"/>
      <c r="O685" s="423"/>
      <c r="P685" s="423"/>
      <c r="Q685" s="423"/>
      <c r="R685" s="423"/>
      <c r="S685" s="423"/>
      <c r="T685" s="423"/>
      <c r="U685" s="423"/>
      <c r="V685" s="423"/>
      <c r="W685" s="423"/>
      <c r="X685" s="423"/>
      <c r="Y685" s="423"/>
      <c r="Z685" s="423"/>
      <c r="AA685" s="423"/>
      <c r="AB685" s="423"/>
      <c r="AC685" s="423"/>
      <c r="AD685" s="423"/>
      <c r="AE685" s="423"/>
      <c r="AF685" s="423"/>
      <c r="AG685" s="423"/>
      <c r="AH685" s="423"/>
      <c r="AI685" s="423"/>
    </row>
    <row r="686">
      <c r="A686" s="419"/>
      <c r="B686" s="419"/>
      <c r="C686" s="419"/>
      <c r="D686" s="419"/>
      <c r="E686" s="387"/>
      <c r="F686" s="387"/>
      <c r="G686" s="423"/>
      <c r="H686" s="423"/>
      <c r="I686" s="423"/>
      <c r="J686" s="423"/>
      <c r="K686" s="423"/>
      <c r="L686" s="423"/>
      <c r="M686" s="423"/>
      <c r="N686" s="423"/>
      <c r="O686" s="423"/>
      <c r="P686" s="423"/>
      <c r="Q686" s="423"/>
      <c r="R686" s="423"/>
      <c r="S686" s="423"/>
      <c r="T686" s="423"/>
      <c r="U686" s="423"/>
      <c r="V686" s="423"/>
      <c r="W686" s="423"/>
      <c r="X686" s="423"/>
      <c r="Y686" s="423"/>
      <c r="Z686" s="423"/>
      <c r="AA686" s="423"/>
      <c r="AB686" s="423"/>
      <c r="AC686" s="423"/>
      <c r="AD686" s="423"/>
      <c r="AE686" s="423"/>
      <c r="AF686" s="423"/>
      <c r="AG686" s="423"/>
      <c r="AH686" s="423"/>
      <c r="AI686" s="423"/>
    </row>
    <row r="687">
      <c r="A687" s="419"/>
      <c r="B687" s="419"/>
      <c r="C687" s="419"/>
      <c r="D687" s="419"/>
      <c r="E687" s="387"/>
      <c r="F687" s="387"/>
      <c r="G687" s="423"/>
      <c r="H687" s="423"/>
      <c r="I687" s="423"/>
      <c r="J687" s="423"/>
      <c r="K687" s="423"/>
      <c r="L687" s="423"/>
      <c r="M687" s="423"/>
      <c r="N687" s="423"/>
      <c r="O687" s="423"/>
      <c r="P687" s="423"/>
      <c r="Q687" s="423"/>
      <c r="R687" s="423"/>
      <c r="S687" s="423"/>
      <c r="T687" s="423"/>
      <c r="U687" s="423"/>
      <c r="V687" s="423"/>
      <c r="W687" s="423"/>
      <c r="X687" s="423"/>
      <c r="Y687" s="423"/>
      <c r="Z687" s="423"/>
      <c r="AA687" s="423"/>
      <c r="AB687" s="423"/>
      <c r="AC687" s="423"/>
      <c r="AD687" s="423"/>
      <c r="AE687" s="423"/>
      <c r="AF687" s="423"/>
      <c r="AG687" s="423"/>
      <c r="AH687" s="423"/>
      <c r="AI687" s="423"/>
    </row>
    <row r="688">
      <c r="A688" s="419"/>
      <c r="B688" s="419"/>
      <c r="C688" s="419"/>
      <c r="D688" s="419"/>
      <c r="E688" s="387"/>
      <c r="F688" s="387"/>
      <c r="G688" s="423"/>
      <c r="H688" s="423"/>
      <c r="I688" s="423"/>
      <c r="J688" s="423"/>
      <c r="K688" s="423"/>
      <c r="L688" s="423"/>
      <c r="M688" s="423"/>
      <c r="N688" s="423"/>
      <c r="O688" s="423"/>
      <c r="P688" s="423"/>
      <c r="Q688" s="423"/>
      <c r="R688" s="423"/>
      <c r="S688" s="423"/>
      <c r="T688" s="423"/>
      <c r="U688" s="423"/>
      <c r="V688" s="423"/>
      <c r="W688" s="423"/>
      <c r="X688" s="423"/>
      <c r="Y688" s="423"/>
      <c r="Z688" s="423"/>
      <c r="AA688" s="423"/>
      <c r="AB688" s="423"/>
      <c r="AC688" s="423"/>
      <c r="AD688" s="423"/>
      <c r="AE688" s="423"/>
      <c r="AF688" s="423"/>
      <c r="AG688" s="423"/>
      <c r="AH688" s="423"/>
      <c r="AI688" s="423"/>
    </row>
    <row r="689">
      <c r="A689" s="419"/>
      <c r="B689" s="419"/>
      <c r="C689" s="419"/>
      <c r="D689" s="419"/>
      <c r="E689" s="387"/>
      <c r="F689" s="387"/>
      <c r="G689" s="423"/>
      <c r="H689" s="423"/>
      <c r="I689" s="423"/>
      <c r="J689" s="423"/>
      <c r="K689" s="423"/>
      <c r="L689" s="423"/>
      <c r="M689" s="423"/>
      <c r="N689" s="423"/>
      <c r="O689" s="423"/>
      <c r="P689" s="423"/>
      <c r="Q689" s="423"/>
      <c r="R689" s="423"/>
      <c r="S689" s="423"/>
      <c r="T689" s="423"/>
      <c r="U689" s="423"/>
      <c r="V689" s="423"/>
      <c r="W689" s="423"/>
      <c r="X689" s="423"/>
      <c r="Y689" s="423"/>
      <c r="Z689" s="423"/>
      <c r="AA689" s="423"/>
      <c r="AB689" s="423"/>
      <c r="AC689" s="423"/>
      <c r="AD689" s="423"/>
      <c r="AE689" s="423"/>
      <c r="AF689" s="423"/>
      <c r="AG689" s="423"/>
      <c r="AH689" s="423"/>
      <c r="AI689" s="423"/>
    </row>
    <row r="690">
      <c r="A690" s="419"/>
      <c r="B690" s="419"/>
      <c r="C690" s="419"/>
      <c r="D690" s="419"/>
      <c r="E690" s="387"/>
      <c r="F690" s="387"/>
      <c r="G690" s="423"/>
      <c r="H690" s="423"/>
      <c r="I690" s="423"/>
      <c r="J690" s="423"/>
      <c r="K690" s="423"/>
      <c r="L690" s="423"/>
      <c r="M690" s="423"/>
      <c r="N690" s="423"/>
      <c r="O690" s="423"/>
      <c r="P690" s="423"/>
      <c r="Q690" s="423"/>
      <c r="R690" s="423"/>
      <c r="S690" s="423"/>
      <c r="T690" s="423"/>
      <c r="U690" s="423"/>
      <c r="V690" s="423"/>
      <c r="W690" s="423"/>
      <c r="X690" s="423"/>
      <c r="Y690" s="423"/>
      <c r="Z690" s="423"/>
      <c r="AA690" s="423"/>
      <c r="AB690" s="423"/>
      <c r="AC690" s="423"/>
      <c r="AD690" s="423"/>
      <c r="AE690" s="423"/>
      <c r="AF690" s="423"/>
      <c r="AG690" s="423"/>
      <c r="AH690" s="423"/>
      <c r="AI690" s="423"/>
    </row>
    <row r="691">
      <c r="A691" s="419"/>
      <c r="B691" s="419"/>
      <c r="C691" s="419"/>
      <c r="D691" s="419"/>
      <c r="E691" s="387"/>
      <c r="F691" s="387"/>
      <c r="G691" s="423"/>
      <c r="H691" s="423"/>
      <c r="I691" s="423"/>
      <c r="J691" s="423"/>
      <c r="K691" s="423"/>
      <c r="L691" s="423"/>
      <c r="M691" s="423"/>
      <c r="N691" s="423"/>
      <c r="O691" s="423"/>
      <c r="P691" s="423"/>
      <c r="Q691" s="423"/>
      <c r="R691" s="423"/>
      <c r="S691" s="423"/>
      <c r="T691" s="423"/>
      <c r="U691" s="423"/>
      <c r="V691" s="423"/>
      <c r="W691" s="423"/>
      <c r="X691" s="423"/>
      <c r="Y691" s="423"/>
      <c r="Z691" s="423"/>
      <c r="AA691" s="423"/>
      <c r="AB691" s="423"/>
      <c r="AC691" s="423"/>
      <c r="AD691" s="423"/>
      <c r="AE691" s="423"/>
      <c r="AF691" s="423"/>
      <c r="AG691" s="423"/>
      <c r="AH691" s="423"/>
      <c r="AI691" s="423"/>
    </row>
    <row r="692">
      <c r="A692" s="419"/>
      <c r="B692" s="419"/>
      <c r="C692" s="419"/>
      <c r="D692" s="419"/>
      <c r="E692" s="387"/>
      <c r="F692" s="387"/>
      <c r="G692" s="423"/>
      <c r="H692" s="423"/>
      <c r="I692" s="423"/>
      <c r="J692" s="423"/>
      <c r="K692" s="423"/>
      <c r="L692" s="423"/>
      <c r="M692" s="423"/>
      <c r="N692" s="423"/>
      <c r="O692" s="423"/>
      <c r="P692" s="423"/>
      <c r="Q692" s="423"/>
      <c r="R692" s="423"/>
      <c r="S692" s="423"/>
      <c r="T692" s="423"/>
      <c r="U692" s="423"/>
      <c r="V692" s="423"/>
      <c r="W692" s="423"/>
      <c r="X692" s="423"/>
      <c r="Y692" s="423"/>
      <c r="Z692" s="423"/>
      <c r="AA692" s="423"/>
      <c r="AB692" s="423"/>
      <c r="AC692" s="423"/>
      <c r="AD692" s="423"/>
      <c r="AE692" s="423"/>
      <c r="AF692" s="423"/>
      <c r="AG692" s="423"/>
      <c r="AH692" s="423"/>
      <c r="AI692" s="423"/>
    </row>
    <row r="693">
      <c r="A693" s="419"/>
      <c r="B693" s="419"/>
      <c r="C693" s="419"/>
      <c r="D693" s="419"/>
      <c r="E693" s="387"/>
      <c r="F693" s="387"/>
      <c r="G693" s="423"/>
      <c r="H693" s="423"/>
      <c r="I693" s="423"/>
      <c r="J693" s="423"/>
      <c r="K693" s="423"/>
      <c r="L693" s="423"/>
      <c r="M693" s="423"/>
      <c r="N693" s="423"/>
      <c r="O693" s="423"/>
      <c r="P693" s="423"/>
      <c r="Q693" s="423"/>
      <c r="R693" s="423"/>
      <c r="S693" s="423"/>
      <c r="T693" s="423"/>
      <c r="U693" s="423"/>
      <c r="V693" s="423"/>
      <c r="W693" s="423"/>
      <c r="X693" s="423"/>
      <c r="Y693" s="423"/>
      <c r="Z693" s="423"/>
      <c r="AA693" s="423"/>
      <c r="AB693" s="423"/>
      <c r="AC693" s="423"/>
      <c r="AD693" s="423"/>
      <c r="AE693" s="423"/>
      <c r="AF693" s="423"/>
      <c r="AG693" s="423"/>
      <c r="AH693" s="423"/>
      <c r="AI693" s="423"/>
    </row>
    <row r="694">
      <c r="A694" s="419"/>
      <c r="B694" s="419"/>
      <c r="C694" s="419"/>
      <c r="D694" s="419"/>
      <c r="E694" s="387"/>
      <c r="F694" s="387"/>
      <c r="G694" s="423"/>
      <c r="H694" s="423"/>
      <c r="I694" s="423"/>
      <c r="J694" s="423"/>
      <c r="K694" s="423"/>
      <c r="L694" s="423"/>
      <c r="M694" s="423"/>
      <c r="N694" s="423"/>
      <c r="O694" s="423"/>
      <c r="P694" s="423"/>
      <c r="Q694" s="423"/>
      <c r="R694" s="423"/>
      <c r="S694" s="423"/>
      <c r="T694" s="423"/>
      <c r="U694" s="423"/>
      <c r="V694" s="423"/>
      <c r="W694" s="423"/>
      <c r="X694" s="423"/>
      <c r="Y694" s="423"/>
      <c r="Z694" s="423"/>
      <c r="AA694" s="423"/>
      <c r="AB694" s="423"/>
      <c r="AC694" s="423"/>
      <c r="AD694" s="423"/>
      <c r="AE694" s="423"/>
      <c r="AF694" s="423"/>
      <c r="AG694" s="423"/>
      <c r="AH694" s="423"/>
      <c r="AI694" s="423"/>
    </row>
    <row r="695">
      <c r="A695" s="419"/>
      <c r="B695" s="419"/>
      <c r="C695" s="419"/>
      <c r="D695" s="419"/>
      <c r="E695" s="387"/>
      <c r="F695" s="387"/>
      <c r="G695" s="423"/>
      <c r="H695" s="423"/>
      <c r="I695" s="423"/>
      <c r="J695" s="423"/>
      <c r="K695" s="423"/>
      <c r="L695" s="423"/>
      <c r="M695" s="423"/>
      <c r="N695" s="423"/>
      <c r="O695" s="423"/>
      <c r="P695" s="423"/>
      <c r="Q695" s="423"/>
      <c r="R695" s="423"/>
      <c r="S695" s="423"/>
      <c r="T695" s="423"/>
      <c r="U695" s="423"/>
      <c r="V695" s="423"/>
      <c r="W695" s="423"/>
      <c r="X695" s="423"/>
      <c r="Y695" s="423"/>
      <c r="Z695" s="423"/>
      <c r="AA695" s="423"/>
      <c r="AB695" s="423"/>
      <c r="AC695" s="423"/>
      <c r="AD695" s="423"/>
      <c r="AE695" s="423"/>
      <c r="AF695" s="423"/>
      <c r="AG695" s="423"/>
      <c r="AH695" s="423"/>
      <c r="AI695" s="423"/>
    </row>
    <row r="696">
      <c r="A696" s="419"/>
      <c r="B696" s="419"/>
      <c r="C696" s="419"/>
      <c r="D696" s="419"/>
      <c r="E696" s="387"/>
      <c r="F696" s="387"/>
      <c r="G696" s="423"/>
      <c r="H696" s="423"/>
      <c r="I696" s="423"/>
      <c r="J696" s="423"/>
      <c r="K696" s="423"/>
      <c r="L696" s="423"/>
      <c r="M696" s="423"/>
      <c r="N696" s="423"/>
      <c r="O696" s="423"/>
      <c r="P696" s="423"/>
      <c r="Q696" s="423"/>
      <c r="R696" s="423"/>
      <c r="S696" s="423"/>
      <c r="T696" s="423"/>
      <c r="U696" s="423"/>
      <c r="V696" s="423"/>
      <c r="W696" s="423"/>
      <c r="X696" s="423"/>
      <c r="Y696" s="423"/>
      <c r="Z696" s="423"/>
      <c r="AA696" s="423"/>
      <c r="AB696" s="423"/>
      <c r="AC696" s="423"/>
      <c r="AD696" s="423"/>
      <c r="AE696" s="423"/>
      <c r="AF696" s="423"/>
      <c r="AG696" s="423"/>
      <c r="AH696" s="423"/>
      <c r="AI696" s="423"/>
    </row>
    <row r="697">
      <c r="A697" s="419"/>
      <c r="B697" s="419"/>
      <c r="C697" s="419"/>
      <c r="D697" s="419"/>
      <c r="E697" s="387"/>
      <c r="F697" s="387"/>
      <c r="G697" s="423"/>
      <c r="H697" s="423"/>
      <c r="I697" s="423"/>
      <c r="J697" s="423"/>
      <c r="K697" s="423"/>
      <c r="L697" s="423"/>
      <c r="M697" s="423"/>
      <c r="N697" s="423"/>
      <c r="O697" s="423"/>
      <c r="P697" s="423"/>
      <c r="Q697" s="423"/>
      <c r="R697" s="423"/>
      <c r="S697" s="423"/>
      <c r="T697" s="423"/>
      <c r="U697" s="423"/>
      <c r="V697" s="423"/>
      <c r="W697" s="423"/>
      <c r="X697" s="423"/>
      <c r="Y697" s="423"/>
      <c r="Z697" s="423"/>
      <c r="AA697" s="423"/>
      <c r="AB697" s="423"/>
      <c r="AC697" s="423"/>
      <c r="AD697" s="423"/>
      <c r="AE697" s="423"/>
      <c r="AF697" s="423"/>
      <c r="AG697" s="423"/>
      <c r="AH697" s="423"/>
      <c r="AI697" s="423"/>
    </row>
    <row r="698">
      <c r="A698" s="419"/>
      <c r="B698" s="419"/>
      <c r="C698" s="419"/>
      <c r="D698" s="419"/>
      <c r="E698" s="387"/>
      <c r="F698" s="387"/>
      <c r="G698" s="423"/>
      <c r="H698" s="423"/>
      <c r="I698" s="423"/>
      <c r="J698" s="423"/>
      <c r="K698" s="423"/>
      <c r="L698" s="423"/>
      <c r="M698" s="423"/>
      <c r="N698" s="423"/>
      <c r="O698" s="423"/>
      <c r="P698" s="423"/>
      <c r="Q698" s="423"/>
      <c r="R698" s="423"/>
      <c r="S698" s="423"/>
      <c r="T698" s="423"/>
      <c r="U698" s="423"/>
      <c r="V698" s="423"/>
      <c r="W698" s="423"/>
      <c r="X698" s="423"/>
      <c r="Y698" s="423"/>
      <c r="Z698" s="423"/>
      <c r="AA698" s="423"/>
      <c r="AB698" s="423"/>
      <c r="AC698" s="423"/>
      <c r="AD698" s="423"/>
      <c r="AE698" s="423"/>
      <c r="AF698" s="423"/>
      <c r="AG698" s="423"/>
      <c r="AH698" s="423"/>
      <c r="AI698" s="423"/>
    </row>
    <row r="699">
      <c r="A699" s="419"/>
      <c r="B699" s="419"/>
      <c r="C699" s="419"/>
      <c r="D699" s="419"/>
      <c r="E699" s="387"/>
      <c r="F699" s="387"/>
      <c r="G699" s="423"/>
      <c r="H699" s="423"/>
      <c r="I699" s="423"/>
      <c r="J699" s="423"/>
      <c r="K699" s="423"/>
      <c r="L699" s="423"/>
      <c r="M699" s="423"/>
      <c r="N699" s="423"/>
      <c r="O699" s="423"/>
      <c r="P699" s="423"/>
      <c r="Q699" s="423"/>
      <c r="R699" s="423"/>
      <c r="S699" s="423"/>
      <c r="T699" s="423"/>
      <c r="U699" s="423"/>
      <c r="V699" s="423"/>
      <c r="W699" s="423"/>
      <c r="X699" s="423"/>
      <c r="Y699" s="423"/>
      <c r="Z699" s="423"/>
      <c r="AA699" s="423"/>
      <c r="AB699" s="423"/>
      <c r="AC699" s="423"/>
      <c r="AD699" s="423"/>
      <c r="AE699" s="423"/>
      <c r="AF699" s="423"/>
      <c r="AG699" s="423"/>
      <c r="AH699" s="423"/>
      <c r="AI699" s="423"/>
    </row>
    <row r="700">
      <c r="A700" s="419"/>
      <c r="B700" s="419"/>
      <c r="C700" s="419"/>
      <c r="D700" s="419"/>
      <c r="E700" s="387"/>
      <c r="F700" s="387"/>
      <c r="G700" s="423"/>
      <c r="H700" s="423"/>
      <c r="I700" s="423"/>
      <c r="J700" s="423"/>
      <c r="K700" s="423"/>
      <c r="L700" s="423"/>
      <c r="M700" s="423"/>
      <c r="N700" s="423"/>
      <c r="O700" s="423"/>
      <c r="P700" s="423"/>
      <c r="Q700" s="423"/>
      <c r="R700" s="423"/>
      <c r="S700" s="423"/>
      <c r="T700" s="423"/>
      <c r="U700" s="423"/>
      <c r="V700" s="423"/>
      <c r="W700" s="423"/>
      <c r="X700" s="423"/>
      <c r="Y700" s="423"/>
      <c r="Z700" s="423"/>
      <c r="AA700" s="423"/>
      <c r="AB700" s="423"/>
      <c r="AC700" s="423"/>
      <c r="AD700" s="423"/>
      <c r="AE700" s="423"/>
      <c r="AF700" s="423"/>
      <c r="AG700" s="423"/>
      <c r="AH700" s="423"/>
      <c r="AI700" s="423"/>
    </row>
    <row r="701">
      <c r="A701" s="419"/>
      <c r="B701" s="419"/>
      <c r="C701" s="419"/>
      <c r="D701" s="419"/>
      <c r="E701" s="387"/>
      <c r="F701" s="387"/>
      <c r="G701" s="423"/>
      <c r="H701" s="423"/>
      <c r="I701" s="423"/>
      <c r="J701" s="423"/>
      <c r="K701" s="423"/>
      <c r="L701" s="423"/>
      <c r="M701" s="423"/>
      <c r="N701" s="423"/>
      <c r="O701" s="423"/>
      <c r="P701" s="423"/>
      <c r="Q701" s="423"/>
      <c r="R701" s="423"/>
      <c r="S701" s="423"/>
      <c r="T701" s="423"/>
      <c r="U701" s="423"/>
      <c r="V701" s="423"/>
      <c r="W701" s="423"/>
      <c r="X701" s="423"/>
      <c r="Y701" s="423"/>
      <c r="Z701" s="423"/>
      <c r="AA701" s="423"/>
      <c r="AB701" s="423"/>
      <c r="AC701" s="423"/>
      <c r="AD701" s="423"/>
      <c r="AE701" s="423"/>
      <c r="AF701" s="423"/>
      <c r="AG701" s="423"/>
      <c r="AH701" s="423"/>
      <c r="AI701" s="423"/>
    </row>
    <row r="702">
      <c r="A702" s="419"/>
      <c r="B702" s="419"/>
      <c r="C702" s="419"/>
      <c r="D702" s="419"/>
      <c r="E702" s="387"/>
      <c r="F702" s="387"/>
      <c r="G702" s="423"/>
      <c r="H702" s="423"/>
      <c r="I702" s="423"/>
      <c r="J702" s="423"/>
      <c r="K702" s="423"/>
      <c r="L702" s="423"/>
      <c r="M702" s="423"/>
      <c r="N702" s="423"/>
      <c r="O702" s="423"/>
      <c r="P702" s="423"/>
      <c r="Q702" s="423"/>
      <c r="R702" s="423"/>
      <c r="S702" s="423"/>
      <c r="T702" s="423"/>
      <c r="U702" s="423"/>
      <c r="V702" s="423"/>
      <c r="W702" s="423"/>
      <c r="X702" s="423"/>
      <c r="Y702" s="423"/>
      <c r="Z702" s="423"/>
      <c r="AA702" s="423"/>
      <c r="AB702" s="423"/>
      <c r="AC702" s="423"/>
      <c r="AD702" s="423"/>
      <c r="AE702" s="423"/>
      <c r="AF702" s="423"/>
      <c r="AG702" s="423"/>
      <c r="AH702" s="423"/>
      <c r="AI702" s="423"/>
    </row>
    <row r="703">
      <c r="A703" s="419"/>
      <c r="B703" s="419"/>
      <c r="C703" s="419"/>
      <c r="D703" s="419"/>
      <c r="E703" s="387"/>
      <c r="F703" s="387"/>
      <c r="G703" s="423"/>
      <c r="H703" s="423"/>
      <c r="I703" s="423"/>
      <c r="J703" s="423"/>
      <c r="K703" s="423"/>
      <c r="L703" s="423"/>
      <c r="M703" s="423"/>
      <c r="N703" s="423"/>
      <c r="O703" s="423"/>
      <c r="P703" s="423"/>
      <c r="Q703" s="423"/>
      <c r="R703" s="423"/>
      <c r="S703" s="423"/>
      <c r="T703" s="423"/>
      <c r="U703" s="423"/>
      <c r="V703" s="423"/>
      <c r="W703" s="423"/>
      <c r="X703" s="423"/>
      <c r="Y703" s="423"/>
      <c r="Z703" s="423"/>
      <c r="AA703" s="423"/>
      <c r="AB703" s="423"/>
      <c r="AC703" s="423"/>
      <c r="AD703" s="423"/>
      <c r="AE703" s="423"/>
      <c r="AF703" s="423"/>
      <c r="AG703" s="423"/>
      <c r="AH703" s="423"/>
      <c r="AI703" s="423"/>
    </row>
    <row r="704">
      <c r="A704" s="419"/>
      <c r="B704" s="419"/>
      <c r="C704" s="419"/>
      <c r="D704" s="419"/>
      <c r="E704" s="387"/>
      <c r="F704" s="387"/>
      <c r="G704" s="423"/>
      <c r="H704" s="423"/>
      <c r="I704" s="423"/>
      <c r="J704" s="423"/>
      <c r="K704" s="423"/>
      <c r="L704" s="423"/>
      <c r="M704" s="423"/>
      <c r="N704" s="423"/>
      <c r="O704" s="423"/>
      <c r="P704" s="423"/>
      <c r="Q704" s="423"/>
      <c r="R704" s="423"/>
      <c r="S704" s="423"/>
      <c r="T704" s="423"/>
      <c r="U704" s="423"/>
      <c r="V704" s="423"/>
      <c r="W704" s="423"/>
      <c r="X704" s="423"/>
      <c r="Y704" s="423"/>
      <c r="Z704" s="423"/>
      <c r="AA704" s="423"/>
      <c r="AB704" s="423"/>
      <c r="AC704" s="423"/>
      <c r="AD704" s="423"/>
      <c r="AE704" s="423"/>
      <c r="AF704" s="423"/>
      <c r="AG704" s="423"/>
      <c r="AH704" s="423"/>
      <c r="AI704" s="423"/>
    </row>
    <row r="705">
      <c r="A705" s="419"/>
      <c r="B705" s="419"/>
      <c r="C705" s="419"/>
      <c r="D705" s="419"/>
      <c r="E705" s="387"/>
      <c r="F705" s="387"/>
      <c r="G705" s="423"/>
      <c r="H705" s="423"/>
      <c r="I705" s="423"/>
      <c r="J705" s="423"/>
      <c r="K705" s="423"/>
      <c r="L705" s="423"/>
      <c r="M705" s="423"/>
      <c r="N705" s="423"/>
      <c r="O705" s="423"/>
      <c r="P705" s="423"/>
      <c r="Q705" s="423"/>
      <c r="R705" s="423"/>
      <c r="S705" s="423"/>
      <c r="T705" s="423"/>
      <c r="U705" s="423"/>
      <c r="V705" s="423"/>
      <c r="W705" s="423"/>
      <c r="X705" s="423"/>
      <c r="Y705" s="423"/>
      <c r="Z705" s="423"/>
      <c r="AA705" s="423"/>
      <c r="AB705" s="423"/>
      <c r="AC705" s="423"/>
      <c r="AD705" s="423"/>
      <c r="AE705" s="423"/>
      <c r="AF705" s="423"/>
      <c r="AG705" s="423"/>
      <c r="AH705" s="423"/>
      <c r="AI705" s="423"/>
    </row>
    <row r="706">
      <c r="A706" s="419"/>
      <c r="B706" s="419"/>
      <c r="C706" s="419"/>
      <c r="D706" s="419"/>
      <c r="E706" s="387"/>
      <c r="F706" s="387"/>
      <c r="G706" s="423"/>
      <c r="H706" s="423"/>
      <c r="I706" s="423"/>
      <c r="J706" s="423"/>
      <c r="K706" s="423"/>
      <c r="L706" s="423"/>
      <c r="M706" s="423"/>
      <c r="N706" s="423"/>
      <c r="O706" s="423"/>
      <c r="P706" s="423"/>
      <c r="Q706" s="423"/>
      <c r="R706" s="423"/>
      <c r="S706" s="423"/>
      <c r="T706" s="423"/>
      <c r="U706" s="423"/>
      <c r="V706" s="423"/>
      <c r="W706" s="423"/>
      <c r="X706" s="423"/>
      <c r="Y706" s="423"/>
      <c r="Z706" s="423"/>
      <c r="AA706" s="423"/>
      <c r="AB706" s="423"/>
      <c r="AC706" s="423"/>
      <c r="AD706" s="423"/>
      <c r="AE706" s="423"/>
      <c r="AF706" s="423"/>
      <c r="AG706" s="423"/>
      <c r="AH706" s="423"/>
      <c r="AI706" s="423"/>
    </row>
    <row r="707">
      <c r="A707" s="419"/>
      <c r="B707" s="419"/>
      <c r="C707" s="419"/>
      <c r="D707" s="419"/>
      <c r="E707" s="387"/>
      <c r="F707" s="387"/>
      <c r="G707" s="423"/>
      <c r="H707" s="423"/>
      <c r="I707" s="423"/>
      <c r="J707" s="423"/>
      <c r="K707" s="423"/>
      <c r="L707" s="423"/>
      <c r="M707" s="423"/>
      <c r="N707" s="423"/>
      <c r="O707" s="423"/>
      <c r="P707" s="423"/>
      <c r="Q707" s="423"/>
      <c r="R707" s="423"/>
      <c r="S707" s="423"/>
      <c r="T707" s="423"/>
      <c r="U707" s="423"/>
      <c r="V707" s="423"/>
      <c r="W707" s="423"/>
      <c r="X707" s="423"/>
      <c r="Y707" s="423"/>
      <c r="Z707" s="423"/>
      <c r="AA707" s="423"/>
      <c r="AB707" s="423"/>
      <c r="AC707" s="423"/>
      <c r="AD707" s="423"/>
      <c r="AE707" s="423"/>
      <c r="AF707" s="423"/>
      <c r="AG707" s="423"/>
      <c r="AH707" s="423"/>
      <c r="AI707" s="423"/>
    </row>
    <row r="708">
      <c r="A708" s="419"/>
      <c r="B708" s="419"/>
      <c r="C708" s="419"/>
      <c r="D708" s="419"/>
      <c r="E708" s="387"/>
      <c r="F708" s="387"/>
      <c r="G708" s="423"/>
      <c r="H708" s="423"/>
      <c r="I708" s="423"/>
      <c r="J708" s="423"/>
      <c r="K708" s="423"/>
      <c r="L708" s="423"/>
      <c r="M708" s="423"/>
      <c r="N708" s="423"/>
      <c r="O708" s="423"/>
      <c r="P708" s="423"/>
      <c r="Q708" s="423"/>
      <c r="R708" s="423"/>
      <c r="S708" s="423"/>
      <c r="T708" s="423"/>
      <c r="U708" s="423"/>
      <c r="V708" s="423"/>
      <c r="W708" s="423"/>
      <c r="X708" s="423"/>
      <c r="Y708" s="423"/>
      <c r="Z708" s="423"/>
      <c r="AA708" s="423"/>
      <c r="AB708" s="423"/>
      <c r="AC708" s="423"/>
      <c r="AD708" s="423"/>
      <c r="AE708" s="423"/>
      <c r="AF708" s="423"/>
      <c r="AG708" s="423"/>
      <c r="AH708" s="423"/>
      <c r="AI708" s="423"/>
    </row>
    <row r="709">
      <c r="A709" s="419"/>
      <c r="B709" s="419"/>
      <c r="C709" s="419"/>
      <c r="D709" s="419"/>
      <c r="E709" s="387"/>
      <c r="F709" s="387"/>
      <c r="G709" s="423"/>
      <c r="H709" s="423"/>
      <c r="I709" s="423"/>
      <c r="J709" s="423"/>
      <c r="K709" s="423"/>
      <c r="L709" s="423"/>
      <c r="M709" s="423"/>
      <c r="N709" s="423"/>
      <c r="O709" s="423"/>
      <c r="P709" s="423"/>
      <c r="Q709" s="423"/>
      <c r="R709" s="423"/>
      <c r="S709" s="423"/>
      <c r="T709" s="423"/>
      <c r="U709" s="423"/>
      <c r="V709" s="423"/>
      <c r="W709" s="423"/>
      <c r="X709" s="423"/>
      <c r="Y709" s="423"/>
      <c r="Z709" s="423"/>
      <c r="AA709" s="423"/>
      <c r="AB709" s="423"/>
      <c r="AC709" s="423"/>
      <c r="AD709" s="423"/>
      <c r="AE709" s="423"/>
      <c r="AF709" s="423"/>
      <c r="AG709" s="423"/>
      <c r="AH709" s="423"/>
      <c r="AI709" s="423"/>
    </row>
    <row r="710">
      <c r="A710" s="419"/>
      <c r="B710" s="419"/>
      <c r="C710" s="419"/>
      <c r="D710" s="419"/>
      <c r="E710" s="387"/>
      <c r="F710" s="387"/>
      <c r="G710" s="423"/>
      <c r="H710" s="423"/>
      <c r="I710" s="423"/>
      <c r="J710" s="423"/>
      <c r="K710" s="423"/>
      <c r="L710" s="423"/>
      <c r="M710" s="423"/>
      <c r="N710" s="423"/>
      <c r="O710" s="423"/>
      <c r="P710" s="423"/>
      <c r="Q710" s="423"/>
      <c r="R710" s="423"/>
      <c r="S710" s="423"/>
      <c r="T710" s="423"/>
      <c r="U710" s="423"/>
      <c r="V710" s="423"/>
      <c r="W710" s="423"/>
      <c r="X710" s="423"/>
      <c r="Y710" s="423"/>
      <c r="Z710" s="423"/>
      <c r="AA710" s="423"/>
      <c r="AB710" s="423"/>
      <c r="AC710" s="423"/>
      <c r="AD710" s="423"/>
      <c r="AE710" s="423"/>
      <c r="AF710" s="423"/>
      <c r="AG710" s="423"/>
      <c r="AH710" s="423"/>
      <c r="AI710" s="423"/>
    </row>
    <row r="711">
      <c r="A711" s="419"/>
      <c r="B711" s="419"/>
      <c r="C711" s="419"/>
      <c r="D711" s="419"/>
      <c r="E711" s="387"/>
      <c r="F711" s="387"/>
      <c r="G711" s="423"/>
      <c r="H711" s="423"/>
      <c r="I711" s="423"/>
      <c r="J711" s="423"/>
      <c r="K711" s="423"/>
      <c r="L711" s="423"/>
      <c r="M711" s="423"/>
      <c r="N711" s="423"/>
      <c r="O711" s="423"/>
      <c r="P711" s="423"/>
      <c r="Q711" s="423"/>
      <c r="R711" s="423"/>
      <c r="S711" s="423"/>
      <c r="T711" s="423"/>
      <c r="U711" s="423"/>
      <c r="V711" s="423"/>
      <c r="W711" s="423"/>
      <c r="X711" s="423"/>
      <c r="Y711" s="423"/>
      <c r="Z711" s="423"/>
      <c r="AA711" s="423"/>
      <c r="AB711" s="423"/>
      <c r="AC711" s="423"/>
      <c r="AD711" s="423"/>
      <c r="AE711" s="423"/>
      <c r="AF711" s="423"/>
      <c r="AG711" s="423"/>
      <c r="AH711" s="423"/>
      <c r="AI711" s="423"/>
    </row>
    <row r="712">
      <c r="A712" s="419"/>
      <c r="B712" s="419"/>
      <c r="C712" s="419"/>
      <c r="D712" s="419"/>
      <c r="E712" s="387"/>
      <c r="F712" s="387"/>
      <c r="G712" s="423"/>
      <c r="H712" s="423"/>
      <c r="I712" s="423"/>
      <c r="J712" s="423"/>
      <c r="K712" s="423"/>
      <c r="L712" s="423"/>
      <c r="M712" s="423"/>
      <c r="N712" s="423"/>
      <c r="O712" s="423"/>
      <c r="P712" s="423"/>
      <c r="Q712" s="423"/>
      <c r="R712" s="423"/>
      <c r="S712" s="423"/>
      <c r="T712" s="423"/>
      <c r="U712" s="423"/>
      <c r="V712" s="423"/>
      <c r="W712" s="423"/>
      <c r="X712" s="423"/>
      <c r="Y712" s="423"/>
      <c r="Z712" s="423"/>
      <c r="AA712" s="423"/>
      <c r="AB712" s="423"/>
      <c r="AC712" s="423"/>
      <c r="AD712" s="423"/>
      <c r="AE712" s="423"/>
      <c r="AF712" s="423"/>
      <c r="AG712" s="423"/>
      <c r="AH712" s="423"/>
      <c r="AI712" s="423"/>
    </row>
    <row r="713">
      <c r="A713" s="419"/>
      <c r="B713" s="419"/>
      <c r="C713" s="419"/>
      <c r="D713" s="419"/>
      <c r="E713" s="387"/>
      <c r="F713" s="387"/>
      <c r="G713" s="423"/>
      <c r="H713" s="423"/>
      <c r="I713" s="423"/>
      <c r="J713" s="423"/>
      <c r="K713" s="423"/>
      <c r="L713" s="423"/>
      <c r="M713" s="423"/>
      <c r="N713" s="423"/>
      <c r="O713" s="423"/>
      <c r="P713" s="423"/>
      <c r="Q713" s="423"/>
      <c r="R713" s="423"/>
      <c r="S713" s="423"/>
      <c r="T713" s="423"/>
      <c r="U713" s="423"/>
      <c r="V713" s="423"/>
      <c r="W713" s="423"/>
      <c r="X713" s="423"/>
      <c r="Y713" s="423"/>
      <c r="Z713" s="423"/>
      <c r="AA713" s="423"/>
      <c r="AB713" s="423"/>
      <c r="AC713" s="423"/>
      <c r="AD713" s="423"/>
      <c r="AE713" s="423"/>
      <c r="AF713" s="423"/>
      <c r="AG713" s="423"/>
      <c r="AH713" s="423"/>
      <c r="AI713" s="423"/>
    </row>
    <row r="714">
      <c r="A714" s="419"/>
      <c r="B714" s="419"/>
      <c r="C714" s="419"/>
      <c r="D714" s="419"/>
      <c r="E714" s="387"/>
      <c r="F714" s="387"/>
      <c r="G714" s="423"/>
      <c r="H714" s="423"/>
      <c r="I714" s="423"/>
      <c r="J714" s="423"/>
      <c r="K714" s="423"/>
      <c r="L714" s="423"/>
      <c r="M714" s="423"/>
      <c r="N714" s="423"/>
      <c r="O714" s="423"/>
      <c r="P714" s="423"/>
      <c r="Q714" s="423"/>
      <c r="R714" s="423"/>
      <c r="S714" s="423"/>
      <c r="T714" s="423"/>
      <c r="U714" s="423"/>
      <c r="V714" s="423"/>
      <c r="W714" s="423"/>
      <c r="X714" s="423"/>
      <c r="Y714" s="423"/>
      <c r="Z714" s="423"/>
      <c r="AA714" s="423"/>
      <c r="AB714" s="423"/>
      <c r="AC714" s="423"/>
      <c r="AD714" s="423"/>
      <c r="AE714" s="423"/>
      <c r="AF714" s="423"/>
      <c r="AG714" s="423"/>
      <c r="AH714" s="423"/>
      <c r="AI714" s="423"/>
    </row>
    <row r="715">
      <c r="A715" s="419"/>
      <c r="B715" s="419"/>
      <c r="C715" s="419"/>
      <c r="D715" s="419"/>
      <c r="E715" s="387"/>
      <c r="F715" s="387"/>
      <c r="G715" s="423"/>
      <c r="H715" s="423"/>
      <c r="I715" s="423"/>
      <c r="J715" s="423"/>
      <c r="K715" s="423"/>
      <c r="L715" s="423"/>
      <c r="M715" s="423"/>
      <c r="N715" s="423"/>
      <c r="O715" s="423"/>
      <c r="P715" s="423"/>
      <c r="Q715" s="423"/>
      <c r="R715" s="423"/>
      <c r="S715" s="423"/>
      <c r="T715" s="423"/>
      <c r="U715" s="423"/>
      <c r="V715" s="423"/>
      <c r="W715" s="423"/>
      <c r="X715" s="423"/>
      <c r="Y715" s="423"/>
      <c r="Z715" s="423"/>
      <c r="AA715" s="423"/>
      <c r="AB715" s="423"/>
      <c r="AC715" s="423"/>
      <c r="AD715" s="423"/>
      <c r="AE715" s="423"/>
      <c r="AF715" s="423"/>
      <c r="AG715" s="423"/>
      <c r="AH715" s="423"/>
      <c r="AI715" s="423"/>
    </row>
    <row r="716">
      <c r="A716" s="419"/>
      <c r="B716" s="419"/>
      <c r="C716" s="419"/>
      <c r="D716" s="419"/>
      <c r="E716" s="387"/>
      <c r="F716" s="387"/>
      <c r="G716" s="423"/>
      <c r="H716" s="423"/>
      <c r="I716" s="423"/>
      <c r="J716" s="423"/>
      <c r="K716" s="423"/>
      <c r="L716" s="423"/>
      <c r="M716" s="423"/>
      <c r="N716" s="423"/>
      <c r="O716" s="423"/>
      <c r="P716" s="423"/>
      <c r="Q716" s="423"/>
      <c r="R716" s="423"/>
      <c r="S716" s="423"/>
      <c r="T716" s="423"/>
      <c r="U716" s="423"/>
      <c r="V716" s="423"/>
      <c r="W716" s="423"/>
      <c r="X716" s="423"/>
      <c r="Y716" s="423"/>
      <c r="Z716" s="423"/>
      <c r="AA716" s="423"/>
      <c r="AB716" s="423"/>
      <c r="AC716" s="423"/>
      <c r="AD716" s="423"/>
      <c r="AE716" s="423"/>
      <c r="AF716" s="423"/>
      <c r="AG716" s="423"/>
      <c r="AH716" s="423"/>
      <c r="AI716" s="423"/>
    </row>
    <row r="717">
      <c r="A717" s="419"/>
      <c r="B717" s="419"/>
      <c r="C717" s="419"/>
      <c r="D717" s="419"/>
      <c r="E717" s="387"/>
      <c r="F717" s="387"/>
      <c r="G717" s="423"/>
      <c r="H717" s="423"/>
      <c r="I717" s="423"/>
      <c r="J717" s="423"/>
      <c r="K717" s="423"/>
      <c r="L717" s="423"/>
      <c r="M717" s="423"/>
      <c r="N717" s="423"/>
      <c r="O717" s="423"/>
      <c r="P717" s="423"/>
      <c r="Q717" s="423"/>
      <c r="R717" s="423"/>
      <c r="S717" s="423"/>
      <c r="T717" s="423"/>
      <c r="U717" s="423"/>
      <c r="V717" s="423"/>
      <c r="W717" s="423"/>
      <c r="X717" s="423"/>
      <c r="Y717" s="423"/>
      <c r="Z717" s="423"/>
      <c r="AA717" s="423"/>
      <c r="AB717" s="423"/>
      <c r="AC717" s="423"/>
      <c r="AD717" s="423"/>
      <c r="AE717" s="423"/>
      <c r="AF717" s="423"/>
      <c r="AG717" s="423"/>
      <c r="AH717" s="423"/>
      <c r="AI717" s="423"/>
    </row>
    <row r="718">
      <c r="A718" s="419"/>
      <c r="B718" s="419"/>
      <c r="C718" s="419"/>
      <c r="D718" s="419"/>
      <c r="E718" s="387"/>
      <c r="F718" s="387"/>
      <c r="G718" s="423"/>
      <c r="H718" s="423"/>
      <c r="I718" s="423"/>
      <c r="J718" s="423"/>
      <c r="K718" s="423"/>
      <c r="L718" s="423"/>
      <c r="M718" s="423"/>
      <c r="N718" s="423"/>
      <c r="O718" s="423"/>
      <c r="P718" s="423"/>
      <c r="Q718" s="423"/>
      <c r="R718" s="423"/>
      <c r="S718" s="423"/>
      <c r="T718" s="423"/>
      <c r="U718" s="423"/>
      <c r="V718" s="423"/>
      <c r="W718" s="423"/>
      <c r="X718" s="423"/>
      <c r="Y718" s="423"/>
      <c r="Z718" s="423"/>
      <c r="AA718" s="423"/>
      <c r="AB718" s="423"/>
      <c r="AC718" s="423"/>
      <c r="AD718" s="423"/>
      <c r="AE718" s="423"/>
      <c r="AF718" s="423"/>
      <c r="AG718" s="423"/>
      <c r="AH718" s="423"/>
      <c r="AI718" s="423"/>
    </row>
    <row r="719">
      <c r="A719" s="419"/>
      <c r="B719" s="419"/>
      <c r="C719" s="419"/>
      <c r="D719" s="419"/>
      <c r="E719" s="387"/>
      <c r="F719" s="387"/>
      <c r="G719" s="423"/>
      <c r="H719" s="423"/>
      <c r="I719" s="423"/>
      <c r="J719" s="423"/>
      <c r="K719" s="423"/>
      <c r="L719" s="423"/>
      <c r="M719" s="423"/>
      <c r="N719" s="423"/>
      <c r="O719" s="423"/>
      <c r="P719" s="423"/>
      <c r="Q719" s="423"/>
      <c r="R719" s="423"/>
      <c r="S719" s="423"/>
      <c r="T719" s="423"/>
      <c r="U719" s="423"/>
      <c r="V719" s="423"/>
      <c r="W719" s="423"/>
      <c r="X719" s="423"/>
      <c r="Y719" s="423"/>
      <c r="Z719" s="423"/>
      <c r="AA719" s="423"/>
      <c r="AB719" s="423"/>
      <c r="AC719" s="423"/>
      <c r="AD719" s="423"/>
      <c r="AE719" s="423"/>
      <c r="AF719" s="423"/>
      <c r="AG719" s="423"/>
      <c r="AH719" s="423"/>
      <c r="AI719" s="423"/>
    </row>
    <row r="720">
      <c r="A720" s="419"/>
      <c r="B720" s="419"/>
      <c r="C720" s="419"/>
      <c r="D720" s="419"/>
      <c r="E720" s="387"/>
      <c r="F720" s="387"/>
      <c r="G720" s="423"/>
      <c r="H720" s="423"/>
      <c r="I720" s="423"/>
      <c r="J720" s="423"/>
      <c r="K720" s="423"/>
      <c r="L720" s="423"/>
      <c r="M720" s="423"/>
      <c r="N720" s="423"/>
      <c r="O720" s="423"/>
      <c r="P720" s="423"/>
      <c r="Q720" s="423"/>
      <c r="R720" s="423"/>
      <c r="S720" s="423"/>
      <c r="T720" s="423"/>
      <c r="U720" s="423"/>
      <c r="V720" s="423"/>
      <c r="W720" s="423"/>
      <c r="X720" s="423"/>
      <c r="Y720" s="423"/>
      <c r="Z720" s="423"/>
      <c r="AA720" s="423"/>
      <c r="AB720" s="423"/>
      <c r="AC720" s="423"/>
      <c r="AD720" s="423"/>
      <c r="AE720" s="423"/>
      <c r="AF720" s="423"/>
      <c r="AG720" s="423"/>
      <c r="AH720" s="423"/>
      <c r="AI720" s="423"/>
    </row>
    <row r="721">
      <c r="A721" s="419"/>
      <c r="B721" s="419"/>
      <c r="C721" s="419"/>
      <c r="D721" s="419"/>
      <c r="E721" s="387"/>
      <c r="F721" s="387"/>
      <c r="G721" s="423"/>
      <c r="H721" s="423"/>
      <c r="I721" s="423"/>
      <c r="J721" s="423"/>
      <c r="K721" s="423"/>
      <c r="L721" s="423"/>
      <c r="M721" s="423"/>
      <c r="N721" s="423"/>
      <c r="O721" s="423"/>
      <c r="P721" s="423"/>
      <c r="Q721" s="423"/>
      <c r="R721" s="423"/>
      <c r="S721" s="423"/>
      <c r="T721" s="423"/>
      <c r="U721" s="423"/>
      <c r="V721" s="423"/>
      <c r="W721" s="423"/>
      <c r="X721" s="423"/>
      <c r="Y721" s="423"/>
      <c r="Z721" s="423"/>
      <c r="AA721" s="423"/>
      <c r="AB721" s="423"/>
      <c r="AC721" s="423"/>
      <c r="AD721" s="423"/>
      <c r="AE721" s="423"/>
      <c r="AF721" s="423"/>
      <c r="AG721" s="423"/>
      <c r="AH721" s="423"/>
      <c r="AI721" s="423"/>
    </row>
    <row r="722">
      <c r="A722" s="419"/>
      <c r="B722" s="419"/>
      <c r="C722" s="419"/>
      <c r="D722" s="419"/>
      <c r="E722" s="387"/>
      <c r="F722" s="387"/>
      <c r="G722" s="423"/>
      <c r="H722" s="423"/>
      <c r="I722" s="423"/>
      <c r="J722" s="423"/>
      <c r="K722" s="423"/>
      <c r="L722" s="423"/>
      <c r="M722" s="423"/>
      <c r="N722" s="423"/>
      <c r="O722" s="423"/>
      <c r="P722" s="423"/>
      <c r="Q722" s="423"/>
      <c r="R722" s="423"/>
      <c r="S722" s="423"/>
      <c r="T722" s="423"/>
      <c r="U722" s="423"/>
      <c r="V722" s="423"/>
      <c r="W722" s="423"/>
      <c r="X722" s="423"/>
      <c r="Y722" s="423"/>
      <c r="Z722" s="423"/>
      <c r="AA722" s="423"/>
      <c r="AB722" s="423"/>
      <c r="AC722" s="423"/>
      <c r="AD722" s="423"/>
      <c r="AE722" s="423"/>
      <c r="AF722" s="423"/>
      <c r="AG722" s="423"/>
      <c r="AH722" s="423"/>
      <c r="AI722" s="423"/>
    </row>
    <row r="723">
      <c r="A723" s="419"/>
      <c r="B723" s="419"/>
      <c r="C723" s="419"/>
      <c r="D723" s="419"/>
      <c r="E723" s="387"/>
      <c r="F723" s="387"/>
      <c r="G723" s="423"/>
      <c r="H723" s="423"/>
      <c r="I723" s="423"/>
      <c r="J723" s="423"/>
      <c r="K723" s="423"/>
      <c r="L723" s="423"/>
      <c r="M723" s="423"/>
      <c r="N723" s="423"/>
      <c r="O723" s="423"/>
      <c r="P723" s="423"/>
      <c r="Q723" s="423"/>
      <c r="R723" s="423"/>
      <c r="S723" s="423"/>
      <c r="T723" s="423"/>
      <c r="U723" s="423"/>
      <c r="V723" s="423"/>
      <c r="W723" s="423"/>
      <c r="X723" s="423"/>
      <c r="Y723" s="423"/>
      <c r="Z723" s="423"/>
      <c r="AA723" s="423"/>
      <c r="AB723" s="423"/>
      <c r="AC723" s="423"/>
      <c r="AD723" s="423"/>
      <c r="AE723" s="423"/>
      <c r="AF723" s="423"/>
      <c r="AG723" s="423"/>
      <c r="AH723" s="423"/>
      <c r="AI723" s="423"/>
    </row>
    <row r="724">
      <c r="A724" s="419"/>
      <c r="B724" s="419"/>
      <c r="C724" s="419"/>
      <c r="D724" s="419"/>
      <c r="E724" s="387"/>
      <c r="F724" s="387"/>
      <c r="G724" s="423"/>
      <c r="H724" s="423"/>
      <c r="I724" s="423"/>
      <c r="J724" s="423"/>
      <c r="K724" s="423"/>
      <c r="L724" s="423"/>
      <c r="M724" s="423"/>
      <c r="N724" s="423"/>
      <c r="O724" s="423"/>
      <c r="P724" s="423"/>
      <c r="Q724" s="423"/>
      <c r="R724" s="423"/>
      <c r="S724" s="423"/>
      <c r="T724" s="423"/>
      <c r="U724" s="423"/>
      <c r="V724" s="423"/>
      <c r="W724" s="423"/>
      <c r="X724" s="423"/>
      <c r="Y724" s="423"/>
      <c r="Z724" s="423"/>
      <c r="AA724" s="423"/>
      <c r="AB724" s="423"/>
      <c r="AC724" s="423"/>
      <c r="AD724" s="423"/>
      <c r="AE724" s="423"/>
      <c r="AF724" s="423"/>
      <c r="AG724" s="423"/>
      <c r="AH724" s="423"/>
      <c r="AI724" s="423"/>
    </row>
    <row r="725">
      <c r="A725" s="419"/>
      <c r="B725" s="419"/>
      <c r="C725" s="419"/>
      <c r="D725" s="419"/>
      <c r="E725" s="387"/>
      <c r="F725" s="387"/>
      <c r="G725" s="423"/>
      <c r="H725" s="423"/>
      <c r="I725" s="423"/>
      <c r="J725" s="423"/>
      <c r="K725" s="423"/>
      <c r="L725" s="423"/>
      <c r="M725" s="423"/>
      <c r="N725" s="423"/>
      <c r="O725" s="423"/>
      <c r="P725" s="423"/>
      <c r="Q725" s="423"/>
      <c r="R725" s="423"/>
      <c r="S725" s="423"/>
      <c r="T725" s="423"/>
      <c r="U725" s="423"/>
      <c r="V725" s="423"/>
      <c r="W725" s="423"/>
      <c r="X725" s="423"/>
      <c r="Y725" s="423"/>
      <c r="Z725" s="423"/>
      <c r="AA725" s="423"/>
      <c r="AB725" s="423"/>
      <c r="AC725" s="423"/>
      <c r="AD725" s="423"/>
      <c r="AE725" s="423"/>
      <c r="AF725" s="423"/>
      <c r="AG725" s="423"/>
      <c r="AH725" s="423"/>
      <c r="AI725" s="423"/>
    </row>
    <row r="726">
      <c r="A726" s="419"/>
      <c r="B726" s="419"/>
      <c r="C726" s="419"/>
      <c r="D726" s="419"/>
      <c r="E726" s="387"/>
      <c r="F726" s="387"/>
      <c r="G726" s="423"/>
      <c r="H726" s="423"/>
      <c r="I726" s="423"/>
      <c r="J726" s="423"/>
      <c r="K726" s="423"/>
      <c r="L726" s="423"/>
      <c r="M726" s="423"/>
      <c r="N726" s="423"/>
      <c r="O726" s="423"/>
      <c r="P726" s="423"/>
      <c r="Q726" s="423"/>
      <c r="R726" s="423"/>
      <c r="S726" s="423"/>
      <c r="T726" s="423"/>
      <c r="U726" s="423"/>
      <c r="V726" s="423"/>
      <c r="W726" s="423"/>
      <c r="X726" s="423"/>
      <c r="Y726" s="423"/>
      <c r="Z726" s="423"/>
      <c r="AA726" s="423"/>
      <c r="AB726" s="423"/>
      <c r="AC726" s="423"/>
      <c r="AD726" s="423"/>
      <c r="AE726" s="423"/>
      <c r="AF726" s="423"/>
      <c r="AG726" s="423"/>
      <c r="AH726" s="423"/>
      <c r="AI726" s="423"/>
    </row>
    <row r="727">
      <c r="A727" s="419"/>
      <c r="B727" s="419"/>
      <c r="C727" s="419"/>
      <c r="D727" s="419"/>
      <c r="E727" s="387"/>
      <c r="F727" s="387"/>
      <c r="G727" s="423"/>
      <c r="H727" s="423"/>
      <c r="I727" s="423"/>
      <c r="J727" s="423"/>
      <c r="K727" s="423"/>
      <c r="L727" s="423"/>
      <c r="M727" s="423"/>
      <c r="N727" s="423"/>
      <c r="O727" s="423"/>
      <c r="P727" s="423"/>
      <c r="Q727" s="423"/>
      <c r="R727" s="423"/>
      <c r="S727" s="423"/>
      <c r="T727" s="423"/>
      <c r="U727" s="423"/>
      <c r="V727" s="423"/>
      <c r="W727" s="423"/>
      <c r="X727" s="423"/>
      <c r="Y727" s="423"/>
      <c r="Z727" s="423"/>
      <c r="AA727" s="423"/>
      <c r="AB727" s="423"/>
      <c r="AC727" s="423"/>
      <c r="AD727" s="423"/>
      <c r="AE727" s="423"/>
      <c r="AF727" s="423"/>
      <c r="AG727" s="423"/>
      <c r="AH727" s="423"/>
      <c r="AI727" s="423"/>
    </row>
    <row r="728">
      <c r="A728" s="419"/>
      <c r="B728" s="419"/>
      <c r="C728" s="419"/>
      <c r="D728" s="419"/>
      <c r="E728" s="387"/>
      <c r="F728" s="387"/>
      <c r="G728" s="423"/>
      <c r="H728" s="423"/>
      <c r="I728" s="423"/>
      <c r="J728" s="423"/>
      <c r="K728" s="423"/>
      <c r="L728" s="423"/>
      <c r="M728" s="423"/>
      <c r="N728" s="423"/>
      <c r="O728" s="423"/>
      <c r="P728" s="423"/>
      <c r="Q728" s="423"/>
      <c r="R728" s="423"/>
      <c r="S728" s="423"/>
      <c r="T728" s="423"/>
      <c r="U728" s="423"/>
      <c r="V728" s="423"/>
      <c r="W728" s="423"/>
      <c r="X728" s="423"/>
      <c r="Y728" s="423"/>
      <c r="Z728" s="423"/>
      <c r="AA728" s="423"/>
      <c r="AB728" s="423"/>
      <c r="AC728" s="423"/>
      <c r="AD728" s="423"/>
      <c r="AE728" s="423"/>
      <c r="AF728" s="423"/>
      <c r="AG728" s="423"/>
      <c r="AH728" s="423"/>
      <c r="AI728" s="423"/>
    </row>
    <row r="729">
      <c r="A729" s="419"/>
      <c r="B729" s="419"/>
      <c r="C729" s="419"/>
      <c r="D729" s="419"/>
      <c r="E729" s="387"/>
      <c r="F729" s="387"/>
      <c r="G729" s="423"/>
      <c r="H729" s="423"/>
      <c r="I729" s="423"/>
      <c r="J729" s="423"/>
      <c r="K729" s="423"/>
      <c r="L729" s="423"/>
      <c r="M729" s="423"/>
      <c r="N729" s="423"/>
      <c r="O729" s="423"/>
      <c r="P729" s="423"/>
      <c r="Q729" s="423"/>
      <c r="R729" s="423"/>
      <c r="S729" s="423"/>
      <c r="T729" s="423"/>
      <c r="U729" s="423"/>
      <c r="V729" s="423"/>
      <c r="W729" s="423"/>
      <c r="X729" s="423"/>
      <c r="Y729" s="423"/>
      <c r="Z729" s="423"/>
      <c r="AA729" s="423"/>
      <c r="AB729" s="423"/>
      <c r="AC729" s="423"/>
      <c r="AD729" s="423"/>
      <c r="AE729" s="423"/>
      <c r="AF729" s="423"/>
      <c r="AG729" s="423"/>
      <c r="AH729" s="423"/>
      <c r="AI729" s="423"/>
    </row>
    <row r="730">
      <c r="A730" s="419"/>
      <c r="B730" s="419"/>
      <c r="C730" s="419"/>
      <c r="D730" s="419"/>
      <c r="E730" s="387"/>
      <c r="F730" s="387"/>
      <c r="G730" s="423"/>
      <c r="H730" s="423"/>
      <c r="I730" s="423"/>
      <c r="J730" s="423"/>
      <c r="K730" s="423"/>
      <c r="L730" s="423"/>
      <c r="M730" s="423"/>
      <c r="N730" s="423"/>
      <c r="O730" s="423"/>
      <c r="P730" s="423"/>
      <c r="Q730" s="423"/>
      <c r="R730" s="423"/>
      <c r="S730" s="423"/>
      <c r="T730" s="423"/>
      <c r="U730" s="423"/>
      <c r="V730" s="423"/>
      <c r="W730" s="423"/>
      <c r="X730" s="423"/>
      <c r="Y730" s="423"/>
      <c r="Z730" s="423"/>
      <c r="AA730" s="423"/>
      <c r="AB730" s="423"/>
      <c r="AC730" s="423"/>
      <c r="AD730" s="423"/>
      <c r="AE730" s="423"/>
      <c r="AF730" s="423"/>
      <c r="AG730" s="423"/>
      <c r="AH730" s="423"/>
      <c r="AI730" s="423"/>
    </row>
    <row r="731">
      <c r="A731" s="419"/>
      <c r="B731" s="419"/>
      <c r="C731" s="419"/>
      <c r="D731" s="419"/>
      <c r="E731" s="387"/>
      <c r="F731" s="387"/>
      <c r="G731" s="423"/>
      <c r="H731" s="423"/>
      <c r="I731" s="423"/>
      <c r="J731" s="423"/>
      <c r="K731" s="423"/>
      <c r="L731" s="423"/>
      <c r="M731" s="423"/>
      <c r="N731" s="423"/>
      <c r="O731" s="423"/>
      <c r="P731" s="423"/>
      <c r="Q731" s="423"/>
      <c r="R731" s="423"/>
      <c r="S731" s="423"/>
      <c r="T731" s="423"/>
      <c r="U731" s="423"/>
      <c r="V731" s="423"/>
      <c r="W731" s="423"/>
      <c r="X731" s="423"/>
      <c r="Y731" s="423"/>
      <c r="Z731" s="423"/>
      <c r="AA731" s="423"/>
      <c r="AB731" s="423"/>
      <c r="AC731" s="423"/>
      <c r="AD731" s="423"/>
      <c r="AE731" s="423"/>
      <c r="AF731" s="423"/>
      <c r="AG731" s="423"/>
      <c r="AH731" s="423"/>
      <c r="AI731" s="423"/>
    </row>
    <row r="732">
      <c r="A732" s="419"/>
      <c r="B732" s="419"/>
      <c r="C732" s="419"/>
      <c r="D732" s="419"/>
      <c r="E732" s="387"/>
      <c r="F732" s="387"/>
      <c r="G732" s="423"/>
      <c r="H732" s="423"/>
      <c r="I732" s="423"/>
      <c r="J732" s="423"/>
      <c r="K732" s="423"/>
      <c r="L732" s="423"/>
      <c r="M732" s="423"/>
      <c r="N732" s="423"/>
      <c r="O732" s="423"/>
      <c r="P732" s="423"/>
      <c r="Q732" s="423"/>
      <c r="R732" s="423"/>
      <c r="S732" s="423"/>
      <c r="T732" s="423"/>
      <c r="U732" s="423"/>
      <c r="V732" s="423"/>
      <c r="W732" s="423"/>
      <c r="X732" s="423"/>
      <c r="Y732" s="423"/>
      <c r="Z732" s="423"/>
      <c r="AA732" s="423"/>
      <c r="AB732" s="423"/>
      <c r="AC732" s="423"/>
      <c r="AD732" s="423"/>
      <c r="AE732" s="423"/>
      <c r="AF732" s="423"/>
      <c r="AG732" s="423"/>
      <c r="AH732" s="423"/>
      <c r="AI732" s="423"/>
    </row>
    <row r="733">
      <c r="A733" s="419"/>
      <c r="B733" s="419"/>
      <c r="C733" s="419"/>
      <c r="D733" s="419"/>
      <c r="E733" s="387"/>
      <c r="F733" s="387"/>
      <c r="G733" s="423"/>
      <c r="H733" s="423"/>
      <c r="I733" s="423"/>
      <c r="J733" s="423"/>
      <c r="K733" s="423"/>
      <c r="L733" s="423"/>
      <c r="M733" s="423"/>
      <c r="N733" s="423"/>
      <c r="O733" s="423"/>
      <c r="P733" s="423"/>
      <c r="Q733" s="423"/>
      <c r="R733" s="423"/>
      <c r="S733" s="423"/>
      <c r="T733" s="423"/>
      <c r="U733" s="423"/>
      <c r="V733" s="423"/>
      <c r="W733" s="423"/>
      <c r="X733" s="423"/>
      <c r="Y733" s="423"/>
      <c r="Z733" s="423"/>
      <c r="AA733" s="423"/>
      <c r="AB733" s="423"/>
      <c r="AC733" s="423"/>
      <c r="AD733" s="423"/>
      <c r="AE733" s="423"/>
      <c r="AF733" s="423"/>
      <c r="AG733" s="423"/>
      <c r="AH733" s="423"/>
      <c r="AI733" s="423"/>
    </row>
    <row r="734">
      <c r="A734" s="419"/>
      <c r="B734" s="419"/>
      <c r="C734" s="419"/>
      <c r="D734" s="419"/>
      <c r="E734" s="387"/>
      <c r="F734" s="387"/>
      <c r="G734" s="423"/>
      <c r="H734" s="423"/>
      <c r="I734" s="423"/>
      <c r="J734" s="423"/>
      <c r="K734" s="423"/>
      <c r="L734" s="423"/>
      <c r="M734" s="423"/>
      <c r="N734" s="423"/>
      <c r="O734" s="423"/>
      <c r="P734" s="423"/>
      <c r="Q734" s="423"/>
      <c r="R734" s="423"/>
      <c r="S734" s="423"/>
      <c r="T734" s="423"/>
      <c r="U734" s="423"/>
      <c r="V734" s="423"/>
      <c r="W734" s="423"/>
      <c r="X734" s="423"/>
      <c r="Y734" s="423"/>
      <c r="Z734" s="423"/>
      <c r="AA734" s="423"/>
      <c r="AB734" s="423"/>
      <c r="AC734" s="423"/>
      <c r="AD734" s="423"/>
      <c r="AE734" s="423"/>
      <c r="AF734" s="423"/>
      <c r="AG734" s="423"/>
      <c r="AH734" s="423"/>
      <c r="AI734" s="423"/>
    </row>
    <row r="735">
      <c r="A735" s="419"/>
      <c r="B735" s="419"/>
      <c r="C735" s="419"/>
      <c r="D735" s="419"/>
      <c r="E735" s="387"/>
      <c r="F735" s="387"/>
      <c r="G735" s="423"/>
      <c r="H735" s="423"/>
      <c r="I735" s="423"/>
      <c r="J735" s="423"/>
      <c r="K735" s="423"/>
      <c r="L735" s="423"/>
      <c r="M735" s="423"/>
      <c r="N735" s="423"/>
      <c r="O735" s="423"/>
      <c r="P735" s="423"/>
      <c r="Q735" s="423"/>
      <c r="R735" s="423"/>
      <c r="S735" s="423"/>
      <c r="T735" s="423"/>
      <c r="U735" s="423"/>
      <c r="V735" s="423"/>
      <c r="W735" s="423"/>
      <c r="X735" s="423"/>
      <c r="Y735" s="423"/>
      <c r="Z735" s="423"/>
      <c r="AA735" s="423"/>
      <c r="AB735" s="423"/>
      <c r="AC735" s="423"/>
      <c r="AD735" s="423"/>
      <c r="AE735" s="423"/>
      <c r="AF735" s="423"/>
      <c r="AG735" s="423"/>
      <c r="AH735" s="423"/>
      <c r="AI735" s="423"/>
    </row>
    <row r="736">
      <c r="A736" s="419"/>
      <c r="B736" s="419"/>
      <c r="C736" s="419"/>
      <c r="D736" s="419"/>
      <c r="E736" s="387"/>
      <c r="F736" s="387"/>
      <c r="G736" s="423"/>
      <c r="H736" s="423"/>
      <c r="I736" s="423"/>
      <c r="J736" s="423"/>
      <c r="K736" s="423"/>
      <c r="L736" s="423"/>
      <c r="M736" s="423"/>
      <c r="N736" s="423"/>
      <c r="O736" s="423"/>
      <c r="P736" s="423"/>
      <c r="Q736" s="423"/>
      <c r="R736" s="423"/>
      <c r="S736" s="423"/>
      <c r="T736" s="423"/>
      <c r="U736" s="423"/>
      <c r="V736" s="423"/>
      <c r="W736" s="423"/>
      <c r="X736" s="423"/>
      <c r="Y736" s="423"/>
      <c r="Z736" s="423"/>
      <c r="AA736" s="423"/>
      <c r="AB736" s="423"/>
      <c r="AC736" s="423"/>
      <c r="AD736" s="423"/>
      <c r="AE736" s="423"/>
      <c r="AF736" s="423"/>
      <c r="AG736" s="423"/>
      <c r="AH736" s="423"/>
      <c r="AI736" s="423"/>
    </row>
    <row r="737">
      <c r="A737" s="419"/>
      <c r="B737" s="419"/>
      <c r="C737" s="419"/>
      <c r="D737" s="419"/>
      <c r="E737" s="387"/>
      <c r="F737" s="387"/>
      <c r="G737" s="423"/>
      <c r="H737" s="423"/>
      <c r="I737" s="423"/>
      <c r="J737" s="423"/>
      <c r="K737" s="423"/>
      <c r="L737" s="423"/>
      <c r="M737" s="423"/>
      <c r="N737" s="423"/>
      <c r="O737" s="423"/>
      <c r="P737" s="423"/>
      <c r="Q737" s="423"/>
      <c r="R737" s="423"/>
      <c r="S737" s="423"/>
      <c r="T737" s="423"/>
      <c r="U737" s="423"/>
      <c r="V737" s="423"/>
      <c r="W737" s="423"/>
      <c r="X737" s="423"/>
      <c r="Y737" s="423"/>
      <c r="Z737" s="423"/>
      <c r="AA737" s="423"/>
      <c r="AB737" s="423"/>
      <c r="AC737" s="423"/>
      <c r="AD737" s="423"/>
      <c r="AE737" s="423"/>
      <c r="AF737" s="423"/>
      <c r="AG737" s="423"/>
      <c r="AH737" s="423"/>
      <c r="AI737" s="423"/>
    </row>
    <row r="738">
      <c r="A738" s="419"/>
      <c r="B738" s="419"/>
      <c r="C738" s="419"/>
      <c r="D738" s="419"/>
      <c r="E738" s="387"/>
      <c r="F738" s="387"/>
      <c r="G738" s="423"/>
      <c r="H738" s="423"/>
      <c r="I738" s="423"/>
      <c r="J738" s="423"/>
      <c r="K738" s="423"/>
      <c r="L738" s="423"/>
      <c r="M738" s="423"/>
      <c r="N738" s="423"/>
      <c r="O738" s="423"/>
      <c r="P738" s="423"/>
      <c r="Q738" s="423"/>
      <c r="R738" s="423"/>
      <c r="S738" s="423"/>
      <c r="T738" s="423"/>
      <c r="U738" s="423"/>
      <c r="V738" s="423"/>
      <c r="W738" s="423"/>
      <c r="X738" s="423"/>
      <c r="Y738" s="423"/>
      <c r="Z738" s="423"/>
      <c r="AA738" s="423"/>
      <c r="AB738" s="423"/>
      <c r="AC738" s="423"/>
      <c r="AD738" s="423"/>
      <c r="AE738" s="423"/>
      <c r="AF738" s="423"/>
      <c r="AG738" s="423"/>
      <c r="AH738" s="423"/>
      <c r="AI738" s="423"/>
    </row>
    <row r="739">
      <c r="A739" s="419"/>
      <c r="B739" s="419"/>
      <c r="C739" s="419"/>
      <c r="D739" s="419"/>
      <c r="E739" s="387"/>
      <c r="F739" s="387"/>
      <c r="G739" s="423"/>
      <c r="H739" s="423"/>
      <c r="I739" s="423"/>
      <c r="J739" s="423"/>
      <c r="K739" s="423"/>
      <c r="L739" s="423"/>
      <c r="M739" s="423"/>
      <c r="N739" s="423"/>
      <c r="O739" s="423"/>
      <c r="P739" s="423"/>
      <c r="Q739" s="423"/>
      <c r="R739" s="423"/>
      <c r="S739" s="423"/>
      <c r="T739" s="423"/>
      <c r="U739" s="423"/>
      <c r="V739" s="423"/>
      <c r="W739" s="423"/>
      <c r="X739" s="423"/>
      <c r="Y739" s="423"/>
      <c r="Z739" s="423"/>
      <c r="AA739" s="423"/>
      <c r="AB739" s="423"/>
      <c r="AC739" s="423"/>
      <c r="AD739" s="423"/>
      <c r="AE739" s="423"/>
      <c r="AF739" s="423"/>
      <c r="AG739" s="423"/>
      <c r="AH739" s="423"/>
      <c r="AI739" s="423"/>
    </row>
    <row r="740">
      <c r="A740" s="419"/>
      <c r="B740" s="419"/>
      <c r="C740" s="419"/>
      <c r="D740" s="419"/>
      <c r="E740" s="387"/>
      <c r="F740" s="387"/>
      <c r="G740" s="423"/>
      <c r="H740" s="423"/>
      <c r="I740" s="423"/>
      <c r="J740" s="423"/>
      <c r="K740" s="423"/>
      <c r="L740" s="423"/>
      <c r="M740" s="423"/>
      <c r="N740" s="423"/>
      <c r="O740" s="423"/>
      <c r="P740" s="423"/>
      <c r="Q740" s="423"/>
      <c r="R740" s="423"/>
      <c r="S740" s="423"/>
      <c r="T740" s="423"/>
      <c r="U740" s="423"/>
      <c r="V740" s="423"/>
      <c r="W740" s="423"/>
      <c r="X740" s="423"/>
      <c r="Y740" s="423"/>
      <c r="Z740" s="423"/>
      <c r="AA740" s="423"/>
      <c r="AB740" s="423"/>
      <c r="AC740" s="423"/>
      <c r="AD740" s="423"/>
      <c r="AE740" s="423"/>
      <c r="AF740" s="423"/>
      <c r="AG740" s="423"/>
      <c r="AH740" s="423"/>
      <c r="AI740" s="423"/>
    </row>
    <row r="741">
      <c r="A741" s="419"/>
      <c r="B741" s="419"/>
      <c r="C741" s="419"/>
      <c r="D741" s="419"/>
      <c r="E741" s="387"/>
      <c r="F741" s="387"/>
      <c r="G741" s="423"/>
      <c r="H741" s="423"/>
      <c r="I741" s="423"/>
      <c r="J741" s="423"/>
      <c r="K741" s="423"/>
      <c r="L741" s="423"/>
      <c r="M741" s="423"/>
      <c r="N741" s="423"/>
      <c r="O741" s="423"/>
      <c r="P741" s="423"/>
      <c r="Q741" s="423"/>
      <c r="R741" s="423"/>
      <c r="S741" s="423"/>
      <c r="T741" s="423"/>
      <c r="U741" s="423"/>
      <c r="V741" s="423"/>
      <c r="W741" s="423"/>
      <c r="X741" s="423"/>
      <c r="Y741" s="423"/>
      <c r="Z741" s="423"/>
      <c r="AA741" s="423"/>
      <c r="AB741" s="423"/>
      <c r="AC741" s="423"/>
      <c r="AD741" s="423"/>
      <c r="AE741" s="423"/>
      <c r="AF741" s="423"/>
      <c r="AG741" s="423"/>
      <c r="AH741" s="423"/>
      <c r="AI741" s="423"/>
    </row>
    <row r="742">
      <c r="A742" s="419"/>
      <c r="B742" s="419"/>
      <c r="C742" s="419"/>
      <c r="D742" s="419"/>
      <c r="E742" s="387"/>
      <c r="F742" s="387"/>
      <c r="G742" s="423"/>
      <c r="H742" s="423"/>
      <c r="I742" s="423"/>
      <c r="J742" s="423"/>
      <c r="K742" s="423"/>
      <c r="L742" s="423"/>
      <c r="M742" s="423"/>
      <c r="N742" s="423"/>
      <c r="O742" s="423"/>
      <c r="P742" s="423"/>
      <c r="Q742" s="423"/>
      <c r="R742" s="423"/>
      <c r="S742" s="423"/>
      <c r="T742" s="423"/>
      <c r="U742" s="423"/>
      <c r="V742" s="423"/>
      <c r="W742" s="423"/>
      <c r="X742" s="423"/>
      <c r="Y742" s="423"/>
      <c r="Z742" s="423"/>
      <c r="AA742" s="423"/>
      <c r="AB742" s="423"/>
      <c r="AC742" s="423"/>
      <c r="AD742" s="423"/>
      <c r="AE742" s="423"/>
      <c r="AF742" s="423"/>
      <c r="AG742" s="423"/>
      <c r="AH742" s="423"/>
      <c r="AI742" s="423"/>
    </row>
    <row r="743">
      <c r="A743" s="419"/>
      <c r="B743" s="419"/>
      <c r="C743" s="419"/>
      <c r="D743" s="419"/>
      <c r="E743" s="387"/>
      <c r="F743" s="387"/>
      <c r="G743" s="423"/>
      <c r="H743" s="423"/>
      <c r="I743" s="423"/>
      <c r="J743" s="423"/>
      <c r="K743" s="423"/>
      <c r="L743" s="423"/>
      <c r="M743" s="423"/>
      <c r="N743" s="423"/>
      <c r="O743" s="423"/>
      <c r="P743" s="423"/>
      <c r="Q743" s="423"/>
      <c r="R743" s="423"/>
      <c r="S743" s="423"/>
      <c r="T743" s="423"/>
      <c r="U743" s="423"/>
      <c r="V743" s="423"/>
      <c r="W743" s="423"/>
      <c r="X743" s="423"/>
      <c r="Y743" s="423"/>
      <c r="Z743" s="423"/>
      <c r="AA743" s="423"/>
      <c r="AB743" s="423"/>
      <c r="AC743" s="423"/>
      <c r="AD743" s="423"/>
      <c r="AE743" s="423"/>
      <c r="AF743" s="423"/>
      <c r="AG743" s="423"/>
      <c r="AH743" s="423"/>
      <c r="AI743" s="423"/>
    </row>
    <row r="744">
      <c r="A744" s="419"/>
      <c r="B744" s="419"/>
      <c r="C744" s="419"/>
      <c r="D744" s="419"/>
      <c r="E744" s="387"/>
      <c r="F744" s="387"/>
      <c r="G744" s="423"/>
      <c r="H744" s="423"/>
      <c r="I744" s="423"/>
      <c r="J744" s="423"/>
      <c r="K744" s="423"/>
      <c r="L744" s="423"/>
      <c r="M744" s="423"/>
      <c r="N744" s="423"/>
      <c r="O744" s="423"/>
      <c r="P744" s="423"/>
      <c r="Q744" s="423"/>
      <c r="R744" s="423"/>
      <c r="S744" s="423"/>
      <c r="T744" s="423"/>
      <c r="U744" s="423"/>
      <c r="V744" s="423"/>
      <c r="W744" s="423"/>
      <c r="X744" s="423"/>
      <c r="Y744" s="423"/>
      <c r="Z744" s="423"/>
      <c r="AA744" s="423"/>
      <c r="AB744" s="423"/>
      <c r="AC744" s="423"/>
      <c r="AD744" s="423"/>
      <c r="AE744" s="423"/>
      <c r="AF744" s="423"/>
      <c r="AG744" s="423"/>
      <c r="AH744" s="423"/>
      <c r="AI744" s="423"/>
    </row>
    <row r="745">
      <c r="A745" s="419"/>
      <c r="B745" s="419"/>
      <c r="C745" s="419"/>
      <c r="D745" s="419"/>
      <c r="E745" s="387"/>
      <c r="F745" s="387"/>
      <c r="G745" s="423"/>
      <c r="H745" s="423"/>
      <c r="I745" s="423"/>
      <c r="J745" s="423"/>
      <c r="K745" s="423"/>
      <c r="L745" s="423"/>
      <c r="M745" s="423"/>
      <c r="N745" s="423"/>
      <c r="O745" s="423"/>
      <c r="P745" s="423"/>
      <c r="Q745" s="423"/>
      <c r="R745" s="423"/>
      <c r="S745" s="423"/>
      <c r="T745" s="423"/>
      <c r="U745" s="423"/>
      <c r="V745" s="423"/>
      <c r="W745" s="423"/>
      <c r="X745" s="423"/>
      <c r="Y745" s="423"/>
      <c r="Z745" s="423"/>
      <c r="AA745" s="423"/>
      <c r="AB745" s="423"/>
      <c r="AC745" s="423"/>
      <c r="AD745" s="423"/>
      <c r="AE745" s="423"/>
      <c r="AF745" s="423"/>
      <c r="AG745" s="423"/>
      <c r="AH745" s="423"/>
      <c r="AI745" s="423"/>
    </row>
    <row r="746">
      <c r="A746" s="419"/>
      <c r="B746" s="419"/>
      <c r="C746" s="419"/>
      <c r="D746" s="419"/>
      <c r="E746" s="387"/>
      <c r="F746" s="387"/>
      <c r="G746" s="423"/>
      <c r="H746" s="423"/>
      <c r="I746" s="423"/>
      <c r="J746" s="423"/>
      <c r="K746" s="423"/>
      <c r="L746" s="423"/>
      <c r="M746" s="423"/>
      <c r="N746" s="423"/>
      <c r="O746" s="423"/>
      <c r="P746" s="423"/>
      <c r="Q746" s="423"/>
      <c r="R746" s="423"/>
      <c r="S746" s="423"/>
      <c r="T746" s="423"/>
      <c r="U746" s="423"/>
      <c r="V746" s="423"/>
      <c r="W746" s="423"/>
      <c r="X746" s="423"/>
      <c r="Y746" s="423"/>
      <c r="Z746" s="423"/>
      <c r="AA746" s="423"/>
      <c r="AB746" s="423"/>
      <c r="AC746" s="423"/>
      <c r="AD746" s="423"/>
      <c r="AE746" s="423"/>
      <c r="AF746" s="423"/>
      <c r="AG746" s="423"/>
      <c r="AH746" s="423"/>
      <c r="AI746" s="423"/>
    </row>
    <row r="747">
      <c r="A747" s="419"/>
      <c r="B747" s="419"/>
      <c r="C747" s="419"/>
      <c r="D747" s="419"/>
      <c r="E747" s="387"/>
      <c r="F747" s="387"/>
      <c r="G747" s="423"/>
      <c r="H747" s="423"/>
      <c r="I747" s="423"/>
      <c r="J747" s="423"/>
      <c r="K747" s="423"/>
      <c r="L747" s="423"/>
      <c r="M747" s="423"/>
      <c r="N747" s="423"/>
      <c r="O747" s="423"/>
      <c r="P747" s="423"/>
      <c r="Q747" s="423"/>
      <c r="R747" s="423"/>
      <c r="S747" s="423"/>
      <c r="T747" s="423"/>
      <c r="U747" s="423"/>
      <c r="V747" s="423"/>
      <c r="W747" s="423"/>
      <c r="X747" s="423"/>
      <c r="Y747" s="423"/>
      <c r="Z747" s="423"/>
      <c r="AA747" s="423"/>
      <c r="AB747" s="423"/>
      <c r="AC747" s="423"/>
      <c r="AD747" s="423"/>
      <c r="AE747" s="423"/>
      <c r="AF747" s="423"/>
      <c r="AG747" s="423"/>
      <c r="AH747" s="423"/>
      <c r="AI747" s="423"/>
    </row>
    <row r="748">
      <c r="A748" s="419"/>
      <c r="B748" s="419"/>
      <c r="C748" s="419"/>
      <c r="D748" s="419"/>
      <c r="E748" s="387"/>
      <c r="F748" s="387"/>
      <c r="G748" s="423"/>
      <c r="H748" s="423"/>
      <c r="I748" s="423"/>
      <c r="J748" s="423"/>
      <c r="K748" s="423"/>
      <c r="L748" s="423"/>
      <c r="M748" s="423"/>
      <c r="N748" s="423"/>
      <c r="O748" s="423"/>
      <c r="P748" s="423"/>
      <c r="Q748" s="423"/>
      <c r="R748" s="423"/>
      <c r="S748" s="423"/>
      <c r="T748" s="423"/>
      <c r="U748" s="423"/>
      <c r="V748" s="423"/>
      <c r="W748" s="423"/>
      <c r="X748" s="423"/>
      <c r="Y748" s="423"/>
      <c r="Z748" s="423"/>
      <c r="AA748" s="423"/>
      <c r="AB748" s="423"/>
      <c r="AC748" s="423"/>
      <c r="AD748" s="423"/>
      <c r="AE748" s="423"/>
      <c r="AF748" s="423"/>
      <c r="AG748" s="423"/>
      <c r="AH748" s="423"/>
      <c r="AI748" s="423"/>
    </row>
    <row r="749">
      <c r="A749" s="419"/>
      <c r="B749" s="419"/>
      <c r="C749" s="419"/>
      <c r="D749" s="419"/>
      <c r="E749" s="387"/>
      <c r="F749" s="387"/>
      <c r="G749" s="423"/>
      <c r="H749" s="423"/>
      <c r="I749" s="423"/>
      <c r="J749" s="423"/>
      <c r="K749" s="423"/>
      <c r="L749" s="423"/>
      <c r="M749" s="423"/>
      <c r="N749" s="423"/>
      <c r="O749" s="423"/>
      <c r="P749" s="423"/>
      <c r="Q749" s="423"/>
      <c r="R749" s="423"/>
      <c r="S749" s="423"/>
      <c r="T749" s="423"/>
      <c r="U749" s="423"/>
      <c r="V749" s="423"/>
      <c r="W749" s="423"/>
      <c r="X749" s="423"/>
      <c r="Y749" s="423"/>
      <c r="Z749" s="423"/>
      <c r="AA749" s="423"/>
      <c r="AB749" s="423"/>
      <c r="AC749" s="423"/>
      <c r="AD749" s="423"/>
      <c r="AE749" s="423"/>
      <c r="AF749" s="423"/>
      <c r="AG749" s="423"/>
      <c r="AH749" s="423"/>
      <c r="AI749" s="423"/>
    </row>
    <row r="750">
      <c r="A750" s="419"/>
      <c r="B750" s="419"/>
      <c r="C750" s="419"/>
      <c r="D750" s="419"/>
      <c r="E750" s="387"/>
      <c r="F750" s="387"/>
      <c r="G750" s="423"/>
      <c r="H750" s="423"/>
      <c r="I750" s="423"/>
      <c r="J750" s="423"/>
      <c r="K750" s="423"/>
      <c r="L750" s="423"/>
      <c r="M750" s="423"/>
      <c r="N750" s="423"/>
      <c r="O750" s="423"/>
      <c r="P750" s="423"/>
      <c r="Q750" s="423"/>
      <c r="R750" s="423"/>
      <c r="S750" s="423"/>
      <c r="T750" s="423"/>
      <c r="U750" s="423"/>
      <c r="V750" s="423"/>
      <c r="W750" s="423"/>
      <c r="X750" s="423"/>
      <c r="Y750" s="423"/>
      <c r="Z750" s="423"/>
      <c r="AA750" s="423"/>
      <c r="AB750" s="423"/>
      <c r="AC750" s="423"/>
      <c r="AD750" s="423"/>
      <c r="AE750" s="423"/>
      <c r="AF750" s="423"/>
      <c r="AG750" s="423"/>
      <c r="AH750" s="423"/>
      <c r="AI750" s="423"/>
    </row>
    <row r="751">
      <c r="A751" s="419"/>
      <c r="B751" s="419"/>
      <c r="C751" s="419"/>
      <c r="D751" s="419"/>
      <c r="E751" s="387"/>
      <c r="F751" s="387"/>
      <c r="G751" s="423"/>
      <c r="H751" s="423"/>
      <c r="I751" s="423"/>
      <c r="J751" s="423"/>
      <c r="K751" s="423"/>
      <c r="L751" s="423"/>
      <c r="M751" s="423"/>
      <c r="N751" s="423"/>
      <c r="O751" s="423"/>
      <c r="P751" s="423"/>
      <c r="Q751" s="423"/>
      <c r="R751" s="423"/>
      <c r="S751" s="423"/>
      <c r="T751" s="423"/>
      <c r="U751" s="423"/>
      <c r="V751" s="423"/>
      <c r="W751" s="423"/>
      <c r="X751" s="423"/>
      <c r="Y751" s="423"/>
      <c r="Z751" s="423"/>
      <c r="AA751" s="423"/>
      <c r="AB751" s="423"/>
      <c r="AC751" s="423"/>
      <c r="AD751" s="423"/>
      <c r="AE751" s="423"/>
      <c r="AF751" s="423"/>
      <c r="AG751" s="423"/>
      <c r="AH751" s="423"/>
      <c r="AI751" s="423"/>
    </row>
    <row r="752">
      <c r="A752" s="419"/>
      <c r="B752" s="419"/>
      <c r="C752" s="419"/>
      <c r="D752" s="419"/>
      <c r="E752" s="387"/>
      <c r="F752" s="387"/>
      <c r="G752" s="423"/>
      <c r="H752" s="423"/>
      <c r="I752" s="423"/>
      <c r="J752" s="423"/>
      <c r="K752" s="423"/>
      <c r="L752" s="423"/>
      <c r="M752" s="423"/>
      <c r="N752" s="423"/>
      <c r="O752" s="423"/>
      <c r="P752" s="423"/>
      <c r="Q752" s="423"/>
      <c r="R752" s="423"/>
      <c r="S752" s="423"/>
      <c r="T752" s="423"/>
      <c r="U752" s="423"/>
      <c r="V752" s="423"/>
      <c r="W752" s="423"/>
      <c r="X752" s="423"/>
      <c r="Y752" s="423"/>
      <c r="Z752" s="423"/>
      <c r="AA752" s="423"/>
      <c r="AB752" s="423"/>
      <c r="AC752" s="423"/>
      <c r="AD752" s="423"/>
      <c r="AE752" s="423"/>
      <c r="AF752" s="423"/>
      <c r="AG752" s="423"/>
      <c r="AH752" s="423"/>
      <c r="AI752" s="423"/>
    </row>
    <row r="753">
      <c r="A753" s="419"/>
      <c r="B753" s="419"/>
      <c r="C753" s="419"/>
      <c r="D753" s="419"/>
      <c r="E753" s="387"/>
      <c r="F753" s="387"/>
      <c r="G753" s="423"/>
      <c r="H753" s="423"/>
      <c r="I753" s="423"/>
      <c r="J753" s="423"/>
      <c r="K753" s="423"/>
      <c r="L753" s="423"/>
      <c r="M753" s="423"/>
      <c r="N753" s="423"/>
      <c r="O753" s="423"/>
      <c r="P753" s="423"/>
      <c r="Q753" s="423"/>
      <c r="R753" s="423"/>
      <c r="S753" s="423"/>
      <c r="T753" s="423"/>
      <c r="U753" s="423"/>
      <c r="V753" s="423"/>
      <c r="W753" s="423"/>
      <c r="X753" s="423"/>
      <c r="Y753" s="423"/>
      <c r="Z753" s="423"/>
      <c r="AA753" s="423"/>
      <c r="AB753" s="423"/>
      <c r="AC753" s="423"/>
      <c r="AD753" s="423"/>
      <c r="AE753" s="423"/>
      <c r="AF753" s="423"/>
      <c r="AG753" s="423"/>
      <c r="AH753" s="423"/>
      <c r="AI753" s="423"/>
    </row>
    <row r="754">
      <c r="A754" s="419"/>
      <c r="B754" s="419"/>
      <c r="C754" s="419"/>
      <c r="D754" s="419"/>
      <c r="E754" s="387"/>
      <c r="F754" s="387"/>
      <c r="G754" s="423"/>
      <c r="H754" s="423"/>
      <c r="I754" s="423"/>
      <c r="J754" s="423"/>
      <c r="K754" s="423"/>
      <c r="L754" s="423"/>
      <c r="M754" s="423"/>
      <c r="N754" s="423"/>
      <c r="O754" s="423"/>
      <c r="P754" s="423"/>
      <c r="Q754" s="423"/>
      <c r="R754" s="423"/>
      <c r="S754" s="423"/>
      <c r="T754" s="423"/>
      <c r="U754" s="423"/>
      <c r="V754" s="423"/>
      <c r="W754" s="423"/>
      <c r="X754" s="423"/>
      <c r="Y754" s="423"/>
      <c r="Z754" s="423"/>
      <c r="AA754" s="423"/>
      <c r="AB754" s="423"/>
      <c r="AC754" s="423"/>
      <c r="AD754" s="423"/>
      <c r="AE754" s="423"/>
      <c r="AF754" s="423"/>
      <c r="AG754" s="423"/>
      <c r="AH754" s="423"/>
      <c r="AI754" s="423"/>
    </row>
    <row r="755">
      <c r="A755" s="419"/>
      <c r="B755" s="419"/>
      <c r="C755" s="419"/>
      <c r="D755" s="419"/>
      <c r="E755" s="387"/>
      <c r="F755" s="387"/>
      <c r="G755" s="423"/>
      <c r="H755" s="423"/>
      <c r="I755" s="423"/>
      <c r="J755" s="423"/>
      <c r="K755" s="423"/>
      <c r="L755" s="423"/>
      <c r="M755" s="423"/>
      <c r="N755" s="423"/>
      <c r="O755" s="423"/>
      <c r="P755" s="423"/>
      <c r="Q755" s="423"/>
      <c r="R755" s="423"/>
      <c r="S755" s="423"/>
      <c r="T755" s="423"/>
      <c r="U755" s="423"/>
      <c r="V755" s="423"/>
      <c r="W755" s="423"/>
      <c r="X755" s="423"/>
      <c r="Y755" s="423"/>
      <c r="Z755" s="423"/>
      <c r="AA755" s="423"/>
      <c r="AB755" s="423"/>
      <c r="AC755" s="423"/>
      <c r="AD755" s="423"/>
      <c r="AE755" s="423"/>
      <c r="AF755" s="423"/>
      <c r="AG755" s="423"/>
      <c r="AH755" s="423"/>
      <c r="AI755" s="423"/>
    </row>
    <row r="756">
      <c r="A756" s="419"/>
      <c r="B756" s="419"/>
      <c r="C756" s="419"/>
      <c r="D756" s="419"/>
      <c r="E756" s="387"/>
      <c r="F756" s="387"/>
      <c r="G756" s="423"/>
      <c r="H756" s="423"/>
      <c r="I756" s="423"/>
      <c r="J756" s="423"/>
      <c r="K756" s="423"/>
      <c r="L756" s="423"/>
      <c r="M756" s="423"/>
      <c r="N756" s="423"/>
      <c r="O756" s="423"/>
      <c r="P756" s="423"/>
      <c r="Q756" s="423"/>
      <c r="R756" s="423"/>
      <c r="S756" s="423"/>
      <c r="T756" s="423"/>
      <c r="U756" s="423"/>
      <c r="V756" s="423"/>
      <c r="W756" s="423"/>
      <c r="X756" s="423"/>
      <c r="Y756" s="423"/>
      <c r="Z756" s="423"/>
      <c r="AA756" s="423"/>
      <c r="AB756" s="423"/>
      <c r="AC756" s="423"/>
      <c r="AD756" s="423"/>
      <c r="AE756" s="423"/>
      <c r="AF756" s="423"/>
      <c r="AG756" s="423"/>
      <c r="AH756" s="423"/>
      <c r="AI756" s="423"/>
    </row>
    <row r="757">
      <c r="A757" s="419"/>
      <c r="B757" s="419"/>
      <c r="C757" s="419"/>
      <c r="D757" s="419"/>
      <c r="E757" s="387"/>
      <c r="F757" s="387"/>
      <c r="G757" s="423"/>
      <c r="H757" s="423"/>
      <c r="I757" s="423"/>
      <c r="J757" s="423"/>
      <c r="K757" s="423"/>
      <c r="L757" s="423"/>
      <c r="M757" s="423"/>
      <c r="N757" s="423"/>
      <c r="O757" s="423"/>
      <c r="P757" s="423"/>
      <c r="Q757" s="423"/>
      <c r="R757" s="423"/>
      <c r="S757" s="423"/>
      <c r="T757" s="423"/>
      <c r="U757" s="423"/>
      <c r="V757" s="423"/>
      <c r="W757" s="423"/>
      <c r="X757" s="423"/>
      <c r="Y757" s="423"/>
      <c r="Z757" s="423"/>
      <c r="AA757" s="423"/>
      <c r="AB757" s="423"/>
      <c r="AC757" s="423"/>
      <c r="AD757" s="423"/>
      <c r="AE757" s="423"/>
      <c r="AF757" s="423"/>
      <c r="AG757" s="423"/>
      <c r="AH757" s="423"/>
      <c r="AI757" s="423"/>
    </row>
    <row r="758">
      <c r="A758" s="419"/>
      <c r="B758" s="419"/>
      <c r="C758" s="419"/>
      <c r="D758" s="419"/>
      <c r="E758" s="387"/>
      <c r="F758" s="387"/>
      <c r="G758" s="423"/>
      <c r="H758" s="423"/>
      <c r="I758" s="423"/>
      <c r="J758" s="423"/>
      <c r="K758" s="423"/>
      <c r="L758" s="423"/>
      <c r="M758" s="423"/>
      <c r="N758" s="423"/>
      <c r="O758" s="423"/>
      <c r="P758" s="423"/>
      <c r="Q758" s="423"/>
      <c r="R758" s="423"/>
      <c r="S758" s="423"/>
      <c r="T758" s="423"/>
      <c r="U758" s="423"/>
      <c r="V758" s="423"/>
      <c r="W758" s="423"/>
      <c r="X758" s="423"/>
      <c r="Y758" s="423"/>
      <c r="Z758" s="423"/>
      <c r="AA758" s="423"/>
      <c r="AB758" s="423"/>
      <c r="AC758" s="423"/>
      <c r="AD758" s="423"/>
      <c r="AE758" s="423"/>
      <c r="AF758" s="423"/>
      <c r="AG758" s="423"/>
      <c r="AH758" s="423"/>
      <c r="AI758" s="423"/>
    </row>
    <row r="759">
      <c r="A759" s="419"/>
      <c r="B759" s="419"/>
      <c r="C759" s="419"/>
      <c r="D759" s="419"/>
      <c r="E759" s="387"/>
      <c r="F759" s="387"/>
      <c r="G759" s="423"/>
      <c r="H759" s="423"/>
      <c r="I759" s="423"/>
      <c r="J759" s="423"/>
      <c r="K759" s="423"/>
      <c r="L759" s="423"/>
      <c r="M759" s="423"/>
      <c r="N759" s="423"/>
      <c r="O759" s="423"/>
      <c r="P759" s="423"/>
      <c r="Q759" s="423"/>
      <c r="R759" s="423"/>
      <c r="S759" s="423"/>
      <c r="T759" s="423"/>
      <c r="U759" s="423"/>
      <c r="V759" s="423"/>
      <c r="W759" s="423"/>
      <c r="X759" s="423"/>
      <c r="Y759" s="423"/>
      <c r="Z759" s="423"/>
      <c r="AA759" s="423"/>
      <c r="AB759" s="423"/>
      <c r="AC759" s="423"/>
      <c r="AD759" s="423"/>
      <c r="AE759" s="423"/>
      <c r="AF759" s="423"/>
      <c r="AG759" s="423"/>
      <c r="AH759" s="423"/>
      <c r="AI759" s="423"/>
    </row>
    <row r="760">
      <c r="A760" s="419"/>
      <c r="B760" s="419"/>
      <c r="C760" s="419"/>
      <c r="D760" s="419"/>
      <c r="E760" s="387"/>
      <c r="F760" s="387"/>
      <c r="G760" s="423"/>
      <c r="H760" s="423"/>
      <c r="I760" s="423"/>
      <c r="J760" s="423"/>
      <c r="K760" s="423"/>
      <c r="L760" s="423"/>
      <c r="M760" s="423"/>
      <c r="N760" s="423"/>
      <c r="O760" s="423"/>
      <c r="P760" s="423"/>
      <c r="Q760" s="423"/>
      <c r="R760" s="423"/>
      <c r="S760" s="423"/>
      <c r="T760" s="423"/>
      <c r="U760" s="423"/>
      <c r="V760" s="423"/>
      <c r="W760" s="423"/>
      <c r="X760" s="423"/>
      <c r="Y760" s="423"/>
      <c r="Z760" s="423"/>
      <c r="AA760" s="423"/>
      <c r="AB760" s="423"/>
      <c r="AC760" s="423"/>
      <c r="AD760" s="423"/>
      <c r="AE760" s="423"/>
      <c r="AF760" s="423"/>
      <c r="AG760" s="423"/>
      <c r="AH760" s="423"/>
      <c r="AI760" s="423"/>
    </row>
    <row r="761">
      <c r="A761" s="419"/>
      <c r="B761" s="419"/>
      <c r="C761" s="419"/>
      <c r="D761" s="419"/>
      <c r="E761" s="387"/>
      <c r="F761" s="387"/>
      <c r="G761" s="423"/>
      <c r="H761" s="423"/>
      <c r="I761" s="423"/>
      <c r="J761" s="423"/>
      <c r="K761" s="423"/>
      <c r="L761" s="423"/>
      <c r="M761" s="423"/>
      <c r="N761" s="423"/>
      <c r="O761" s="423"/>
      <c r="P761" s="423"/>
      <c r="Q761" s="423"/>
      <c r="R761" s="423"/>
      <c r="S761" s="423"/>
      <c r="T761" s="423"/>
      <c r="U761" s="423"/>
      <c r="V761" s="423"/>
      <c r="W761" s="423"/>
      <c r="X761" s="423"/>
      <c r="Y761" s="423"/>
      <c r="Z761" s="423"/>
      <c r="AA761" s="423"/>
      <c r="AB761" s="423"/>
      <c r="AC761" s="423"/>
      <c r="AD761" s="423"/>
      <c r="AE761" s="423"/>
      <c r="AF761" s="423"/>
      <c r="AG761" s="423"/>
      <c r="AH761" s="423"/>
      <c r="AI761" s="423"/>
    </row>
    <row r="762">
      <c r="A762" s="419"/>
      <c r="B762" s="419"/>
      <c r="C762" s="419"/>
      <c r="D762" s="419"/>
      <c r="E762" s="387"/>
      <c r="F762" s="387"/>
      <c r="G762" s="423"/>
      <c r="H762" s="423"/>
      <c r="I762" s="423"/>
      <c r="J762" s="423"/>
      <c r="K762" s="423"/>
      <c r="L762" s="423"/>
      <c r="M762" s="423"/>
      <c r="N762" s="423"/>
      <c r="O762" s="423"/>
      <c r="P762" s="423"/>
      <c r="Q762" s="423"/>
      <c r="R762" s="423"/>
      <c r="S762" s="423"/>
      <c r="T762" s="423"/>
      <c r="U762" s="423"/>
      <c r="V762" s="423"/>
      <c r="W762" s="423"/>
      <c r="X762" s="423"/>
      <c r="Y762" s="423"/>
      <c r="Z762" s="423"/>
      <c r="AA762" s="423"/>
      <c r="AB762" s="423"/>
      <c r="AC762" s="423"/>
      <c r="AD762" s="423"/>
      <c r="AE762" s="423"/>
      <c r="AF762" s="423"/>
      <c r="AG762" s="423"/>
      <c r="AH762" s="423"/>
      <c r="AI762" s="423"/>
    </row>
    <row r="763">
      <c r="A763" s="419"/>
      <c r="B763" s="419"/>
      <c r="C763" s="419"/>
      <c r="D763" s="419"/>
      <c r="E763" s="387"/>
      <c r="F763" s="387"/>
      <c r="G763" s="423"/>
      <c r="H763" s="423"/>
      <c r="I763" s="423"/>
      <c r="J763" s="423"/>
      <c r="K763" s="423"/>
      <c r="L763" s="423"/>
      <c r="M763" s="423"/>
      <c r="N763" s="423"/>
      <c r="O763" s="423"/>
      <c r="P763" s="423"/>
      <c r="Q763" s="423"/>
      <c r="R763" s="423"/>
      <c r="S763" s="423"/>
      <c r="T763" s="423"/>
      <c r="U763" s="423"/>
      <c r="V763" s="423"/>
      <c r="W763" s="423"/>
      <c r="X763" s="423"/>
      <c r="Y763" s="423"/>
      <c r="Z763" s="423"/>
      <c r="AA763" s="423"/>
      <c r="AB763" s="423"/>
      <c r="AC763" s="423"/>
      <c r="AD763" s="423"/>
      <c r="AE763" s="423"/>
      <c r="AF763" s="423"/>
      <c r="AG763" s="423"/>
      <c r="AH763" s="423"/>
      <c r="AI763" s="423"/>
    </row>
    <row r="764">
      <c r="A764" s="419"/>
      <c r="B764" s="419"/>
      <c r="C764" s="419"/>
      <c r="D764" s="419"/>
      <c r="E764" s="387"/>
      <c r="F764" s="387"/>
      <c r="G764" s="423"/>
      <c r="H764" s="423"/>
      <c r="I764" s="423"/>
      <c r="J764" s="423"/>
      <c r="K764" s="423"/>
      <c r="L764" s="423"/>
      <c r="M764" s="423"/>
      <c r="N764" s="423"/>
      <c r="O764" s="423"/>
      <c r="P764" s="423"/>
      <c r="Q764" s="423"/>
      <c r="R764" s="423"/>
      <c r="S764" s="423"/>
      <c r="T764" s="423"/>
      <c r="U764" s="423"/>
      <c r="V764" s="423"/>
      <c r="W764" s="423"/>
      <c r="X764" s="423"/>
      <c r="Y764" s="423"/>
      <c r="Z764" s="423"/>
      <c r="AA764" s="423"/>
      <c r="AB764" s="423"/>
      <c r="AC764" s="423"/>
      <c r="AD764" s="423"/>
      <c r="AE764" s="423"/>
      <c r="AF764" s="423"/>
      <c r="AG764" s="423"/>
      <c r="AH764" s="423"/>
      <c r="AI764" s="423"/>
    </row>
    <row r="765">
      <c r="A765" s="419"/>
      <c r="B765" s="419"/>
      <c r="C765" s="419"/>
      <c r="D765" s="419"/>
      <c r="E765" s="387"/>
      <c r="F765" s="387"/>
      <c r="G765" s="423"/>
      <c r="H765" s="423"/>
      <c r="I765" s="423"/>
      <c r="J765" s="423"/>
      <c r="K765" s="423"/>
      <c r="L765" s="423"/>
      <c r="M765" s="423"/>
      <c r="N765" s="423"/>
      <c r="O765" s="423"/>
      <c r="P765" s="423"/>
      <c r="Q765" s="423"/>
      <c r="R765" s="423"/>
      <c r="S765" s="423"/>
      <c r="T765" s="423"/>
      <c r="U765" s="423"/>
      <c r="V765" s="423"/>
      <c r="W765" s="423"/>
      <c r="X765" s="423"/>
      <c r="Y765" s="423"/>
      <c r="Z765" s="423"/>
      <c r="AA765" s="423"/>
      <c r="AB765" s="423"/>
      <c r="AC765" s="423"/>
      <c r="AD765" s="423"/>
      <c r="AE765" s="423"/>
      <c r="AF765" s="423"/>
      <c r="AG765" s="423"/>
      <c r="AH765" s="423"/>
      <c r="AI765" s="423"/>
    </row>
    <row r="766">
      <c r="A766" s="419"/>
      <c r="B766" s="419"/>
      <c r="C766" s="419"/>
      <c r="D766" s="419"/>
      <c r="E766" s="387"/>
      <c r="F766" s="387"/>
      <c r="G766" s="423"/>
      <c r="H766" s="423"/>
      <c r="I766" s="423"/>
      <c r="J766" s="423"/>
      <c r="K766" s="423"/>
      <c r="L766" s="423"/>
      <c r="M766" s="423"/>
      <c r="N766" s="423"/>
      <c r="O766" s="423"/>
      <c r="P766" s="423"/>
      <c r="Q766" s="423"/>
      <c r="R766" s="423"/>
      <c r="S766" s="423"/>
      <c r="T766" s="423"/>
      <c r="U766" s="423"/>
      <c r="V766" s="423"/>
      <c r="W766" s="423"/>
      <c r="X766" s="423"/>
      <c r="Y766" s="423"/>
      <c r="Z766" s="423"/>
      <c r="AA766" s="423"/>
      <c r="AB766" s="423"/>
      <c r="AC766" s="423"/>
      <c r="AD766" s="423"/>
      <c r="AE766" s="423"/>
      <c r="AF766" s="423"/>
      <c r="AG766" s="423"/>
      <c r="AH766" s="423"/>
      <c r="AI766" s="423"/>
    </row>
    <row r="767">
      <c r="A767" s="419"/>
      <c r="B767" s="419"/>
      <c r="C767" s="419"/>
      <c r="D767" s="419"/>
      <c r="E767" s="387"/>
      <c r="F767" s="387"/>
      <c r="G767" s="423"/>
      <c r="H767" s="423"/>
      <c r="I767" s="423"/>
      <c r="J767" s="423"/>
      <c r="K767" s="423"/>
      <c r="L767" s="423"/>
      <c r="M767" s="423"/>
      <c r="N767" s="423"/>
      <c r="O767" s="423"/>
      <c r="P767" s="423"/>
      <c r="Q767" s="423"/>
      <c r="R767" s="423"/>
      <c r="S767" s="423"/>
      <c r="T767" s="423"/>
      <c r="U767" s="423"/>
      <c r="V767" s="423"/>
      <c r="W767" s="423"/>
      <c r="X767" s="423"/>
      <c r="Y767" s="423"/>
      <c r="Z767" s="423"/>
      <c r="AA767" s="423"/>
      <c r="AB767" s="423"/>
      <c r="AC767" s="423"/>
      <c r="AD767" s="423"/>
      <c r="AE767" s="423"/>
      <c r="AF767" s="423"/>
      <c r="AG767" s="423"/>
      <c r="AH767" s="423"/>
      <c r="AI767" s="423"/>
    </row>
    <row r="768">
      <c r="A768" s="419"/>
      <c r="B768" s="419"/>
      <c r="C768" s="419"/>
      <c r="D768" s="419"/>
      <c r="E768" s="387"/>
      <c r="F768" s="387"/>
      <c r="G768" s="423"/>
      <c r="H768" s="423"/>
      <c r="I768" s="423"/>
      <c r="J768" s="423"/>
      <c r="K768" s="423"/>
      <c r="L768" s="423"/>
      <c r="M768" s="423"/>
      <c r="N768" s="423"/>
      <c r="O768" s="423"/>
      <c r="P768" s="423"/>
      <c r="Q768" s="423"/>
      <c r="R768" s="423"/>
      <c r="S768" s="423"/>
      <c r="T768" s="423"/>
      <c r="U768" s="423"/>
      <c r="V768" s="423"/>
      <c r="W768" s="423"/>
      <c r="X768" s="423"/>
      <c r="Y768" s="423"/>
      <c r="Z768" s="423"/>
      <c r="AA768" s="423"/>
      <c r="AB768" s="423"/>
      <c r="AC768" s="423"/>
      <c r="AD768" s="423"/>
      <c r="AE768" s="423"/>
      <c r="AF768" s="423"/>
      <c r="AG768" s="423"/>
      <c r="AH768" s="423"/>
      <c r="AI768" s="423"/>
    </row>
    <row r="769">
      <c r="A769" s="419"/>
      <c r="B769" s="419"/>
      <c r="C769" s="419"/>
      <c r="D769" s="419"/>
      <c r="E769" s="387"/>
      <c r="F769" s="387"/>
      <c r="G769" s="423"/>
      <c r="H769" s="423"/>
      <c r="I769" s="423"/>
      <c r="J769" s="423"/>
      <c r="K769" s="423"/>
      <c r="L769" s="423"/>
      <c r="M769" s="423"/>
      <c r="N769" s="423"/>
      <c r="O769" s="423"/>
      <c r="P769" s="423"/>
      <c r="Q769" s="423"/>
      <c r="R769" s="423"/>
      <c r="S769" s="423"/>
      <c r="T769" s="423"/>
      <c r="U769" s="423"/>
      <c r="V769" s="423"/>
      <c r="W769" s="423"/>
      <c r="X769" s="423"/>
      <c r="Y769" s="423"/>
      <c r="Z769" s="423"/>
      <c r="AA769" s="423"/>
      <c r="AB769" s="423"/>
      <c r="AC769" s="423"/>
      <c r="AD769" s="423"/>
      <c r="AE769" s="423"/>
      <c r="AF769" s="423"/>
      <c r="AG769" s="423"/>
      <c r="AH769" s="423"/>
      <c r="AI769" s="423"/>
    </row>
    <row r="770">
      <c r="A770" s="419"/>
      <c r="B770" s="419"/>
      <c r="C770" s="419"/>
      <c r="D770" s="419"/>
      <c r="E770" s="387"/>
      <c r="F770" s="387"/>
      <c r="G770" s="423"/>
      <c r="H770" s="423"/>
      <c r="I770" s="423"/>
      <c r="J770" s="423"/>
      <c r="K770" s="423"/>
      <c r="L770" s="423"/>
      <c r="M770" s="423"/>
      <c r="N770" s="423"/>
      <c r="O770" s="423"/>
      <c r="P770" s="423"/>
      <c r="Q770" s="423"/>
      <c r="R770" s="423"/>
      <c r="S770" s="423"/>
      <c r="T770" s="423"/>
      <c r="U770" s="423"/>
      <c r="V770" s="423"/>
      <c r="W770" s="423"/>
      <c r="X770" s="423"/>
      <c r="Y770" s="423"/>
      <c r="Z770" s="423"/>
      <c r="AA770" s="423"/>
      <c r="AB770" s="423"/>
      <c r="AC770" s="423"/>
      <c r="AD770" s="423"/>
      <c r="AE770" s="423"/>
      <c r="AF770" s="423"/>
      <c r="AG770" s="423"/>
      <c r="AH770" s="423"/>
      <c r="AI770" s="423"/>
    </row>
    <row r="771">
      <c r="A771" s="419"/>
      <c r="B771" s="419"/>
      <c r="C771" s="419"/>
      <c r="D771" s="419"/>
      <c r="E771" s="387"/>
      <c r="F771" s="387"/>
      <c r="G771" s="423"/>
      <c r="H771" s="423"/>
      <c r="I771" s="423"/>
      <c r="J771" s="423"/>
      <c r="K771" s="423"/>
      <c r="L771" s="423"/>
      <c r="M771" s="423"/>
      <c r="N771" s="423"/>
      <c r="O771" s="423"/>
      <c r="P771" s="423"/>
      <c r="Q771" s="423"/>
      <c r="R771" s="423"/>
      <c r="S771" s="423"/>
      <c r="T771" s="423"/>
      <c r="U771" s="423"/>
      <c r="V771" s="423"/>
      <c r="W771" s="423"/>
      <c r="X771" s="423"/>
      <c r="Y771" s="423"/>
      <c r="Z771" s="423"/>
      <c r="AA771" s="423"/>
      <c r="AB771" s="423"/>
      <c r="AC771" s="423"/>
      <c r="AD771" s="423"/>
      <c r="AE771" s="423"/>
      <c r="AF771" s="423"/>
      <c r="AG771" s="423"/>
      <c r="AH771" s="423"/>
      <c r="AI771" s="423"/>
    </row>
    <row r="772">
      <c r="A772" s="419"/>
      <c r="B772" s="419"/>
      <c r="C772" s="419"/>
      <c r="D772" s="419"/>
      <c r="E772" s="387"/>
      <c r="F772" s="387"/>
      <c r="G772" s="423"/>
      <c r="H772" s="423"/>
      <c r="I772" s="423"/>
      <c r="J772" s="423"/>
      <c r="K772" s="423"/>
      <c r="L772" s="423"/>
      <c r="M772" s="423"/>
      <c r="N772" s="423"/>
      <c r="O772" s="423"/>
      <c r="P772" s="423"/>
      <c r="Q772" s="423"/>
      <c r="R772" s="423"/>
      <c r="S772" s="423"/>
      <c r="T772" s="423"/>
      <c r="U772" s="423"/>
      <c r="V772" s="423"/>
      <c r="W772" s="423"/>
      <c r="X772" s="423"/>
      <c r="Y772" s="423"/>
      <c r="Z772" s="423"/>
      <c r="AA772" s="423"/>
      <c r="AB772" s="423"/>
      <c r="AC772" s="423"/>
      <c r="AD772" s="423"/>
      <c r="AE772" s="423"/>
      <c r="AF772" s="423"/>
      <c r="AG772" s="423"/>
      <c r="AH772" s="423"/>
      <c r="AI772" s="423"/>
    </row>
    <row r="773">
      <c r="A773" s="419"/>
      <c r="B773" s="419"/>
      <c r="C773" s="419"/>
      <c r="D773" s="419"/>
      <c r="E773" s="387"/>
      <c r="F773" s="387"/>
      <c r="G773" s="423"/>
      <c r="H773" s="423"/>
      <c r="I773" s="423"/>
      <c r="J773" s="423"/>
      <c r="K773" s="423"/>
      <c r="L773" s="423"/>
      <c r="M773" s="423"/>
      <c r="N773" s="423"/>
      <c r="O773" s="423"/>
      <c r="P773" s="423"/>
      <c r="Q773" s="423"/>
      <c r="R773" s="423"/>
      <c r="S773" s="423"/>
      <c r="T773" s="423"/>
      <c r="U773" s="423"/>
      <c r="V773" s="423"/>
      <c r="W773" s="423"/>
      <c r="X773" s="423"/>
      <c r="Y773" s="423"/>
      <c r="Z773" s="423"/>
      <c r="AA773" s="423"/>
      <c r="AB773" s="423"/>
      <c r="AC773" s="423"/>
      <c r="AD773" s="423"/>
      <c r="AE773" s="423"/>
      <c r="AF773" s="423"/>
      <c r="AG773" s="423"/>
      <c r="AH773" s="423"/>
      <c r="AI773" s="423"/>
    </row>
    <row r="774">
      <c r="A774" s="419"/>
      <c r="B774" s="419"/>
      <c r="C774" s="419"/>
      <c r="D774" s="419"/>
      <c r="E774" s="387"/>
      <c r="F774" s="387"/>
      <c r="G774" s="423"/>
      <c r="H774" s="423"/>
      <c r="I774" s="423"/>
      <c r="J774" s="423"/>
      <c r="K774" s="423"/>
      <c r="L774" s="423"/>
      <c r="M774" s="423"/>
      <c r="N774" s="423"/>
      <c r="O774" s="423"/>
      <c r="P774" s="423"/>
      <c r="Q774" s="423"/>
      <c r="R774" s="423"/>
      <c r="S774" s="423"/>
      <c r="T774" s="423"/>
      <c r="U774" s="423"/>
      <c r="V774" s="423"/>
      <c r="W774" s="423"/>
      <c r="X774" s="423"/>
      <c r="Y774" s="423"/>
      <c r="Z774" s="423"/>
      <c r="AA774" s="423"/>
      <c r="AB774" s="423"/>
      <c r="AC774" s="423"/>
      <c r="AD774" s="423"/>
      <c r="AE774" s="423"/>
      <c r="AF774" s="423"/>
      <c r="AG774" s="423"/>
      <c r="AH774" s="423"/>
      <c r="AI774" s="423"/>
    </row>
    <row r="775">
      <c r="A775" s="419"/>
      <c r="B775" s="419"/>
      <c r="C775" s="419"/>
      <c r="D775" s="419"/>
      <c r="E775" s="387"/>
      <c r="F775" s="387"/>
      <c r="G775" s="423"/>
      <c r="H775" s="423"/>
      <c r="I775" s="423"/>
      <c r="J775" s="423"/>
      <c r="K775" s="423"/>
      <c r="L775" s="423"/>
      <c r="M775" s="423"/>
      <c r="N775" s="423"/>
      <c r="O775" s="423"/>
      <c r="P775" s="423"/>
      <c r="Q775" s="423"/>
      <c r="R775" s="423"/>
      <c r="S775" s="423"/>
      <c r="T775" s="423"/>
      <c r="U775" s="423"/>
      <c r="V775" s="423"/>
      <c r="W775" s="423"/>
      <c r="X775" s="423"/>
      <c r="Y775" s="423"/>
      <c r="Z775" s="423"/>
      <c r="AA775" s="423"/>
      <c r="AB775" s="423"/>
      <c r="AC775" s="423"/>
      <c r="AD775" s="423"/>
      <c r="AE775" s="423"/>
      <c r="AF775" s="423"/>
      <c r="AG775" s="423"/>
      <c r="AH775" s="423"/>
      <c r="AI775" s="423"/>
    </row>
    <row r="776">
      <c r="A776" s="419"/>
      <c r="B776" s="419"/>
      <c r="C776" s="419"/>
      <c r="D776" s="419"/>
      <c r="E776" s="387"/>
      <c r="F776" s="387"/>
      <c r="G776" s="423"/>
      <c r="H776" s="423"/>
      <c r="I776" s="423"/>
      <c r="J776" s="423"/>
      <c r="K776" s="423"/>
      <c r="L776" s="423"/>
      <c r="M776" s="423"/>
      <c r="N776" s="423"/>
      <c r="O776" s="423"/>
      <c r="P776" s="423"/>
      <c r="Q776" s="423"/>
      <c r="R776" s="423"/>
      <c r="S776" s="423"/>
      <c r="T776" s="423"/>
      <c r="U776" s="423"/>
      <c r="V776" s="423"/>
      <c r="W776" s="423"/>
      <c r="X776" s="423"/>
      <c r="Y776" s="423"/>
      <c r="Z776" s="423"/>
      <c r="AA776" s="423"/>
      <c r="AB776" s="423"/>
      <c r="AC776" s="423"/>
      <c r="AD776" s="423"/>
      <c r="AE776" s="423"/>
      <c r="AF776" s="423"/>
      <c r="AG776" s="423"/>
      <c r="AH776" s="423"/>
      <c r="AI776" s="423"/>
    </row>
    <row r="777">
      <c r="A777" s="419"/>
      <c r="B777" s="419"/>
      <c r="C777" s="419"/>
      <c r="D777" s="419"/>
      <c r="E777" s="387"/>
      <c r="F777" s="387"/>
      <c r="G777" s="423"/>
      <c r="H777" s="423"/>
      <c r="I777" s="423"/>
      <c r="J777" s="423"/>
      <c r="K777" s="423"/>
      <c r="L777" s="423"/>
      <c r="M777" s="423"/>
      <c r="N777" s="423"/>
      <c r="O777" s="423"/>
      <c r="P777" s="423"/>
      <c r="Q777" s="423"/>
      <c r="R777" s="423"/>
      <c r="S777" s="423"/>
      <c r="T777" s="423"/>
      <c r="U777" s="423"/>
      <c r="V777" s="423"/>
      <c r="W777" s="423"/>
      <c r="X777" s="423"/>
      <c r="Y777" s="423"/>
      <c r="Z777" s="423"/>
      <c r="AA777" s="423"/>
      <c r="AB777" s="423"/>
      <c r="AC777" s="423"/>
      <c r="AD777" s="423"/>
      <c r="AE777" s="423"/>
      <c r="AF777" s="423"/>
      <c r="AG777" s="423"/>
      <c r="AH777" s="423"/>
      <c r="AI777" s="423"/>
    </row>
    <row r="778">
      <c r="A778" s="419"/>
      <c r="B778" s="419"/>
      <c r="C778" s="419"/>
      <c r="D778" s="419"/>
      <c r="E778" s="387"/>
      <c r="F778" s="387"/>
      <c r="G778" s="423"/>
      <c r="H778" s="423"/>
      <c r="I778" s="423"/>
      <c r="J778" s="423"/>
      <c r="K778" s="423"/>
      <c r="L778" s="423"/>
      <c r="M778" s="423"/>
      <c r="N778" s="423"/>
      <c r="O778" s="423"/>
      <c r="P778" s="423"/>
      <c r="Q778" s="423"/>
      <c r="R778" s="423"/>
      <c r="S778" s="423"/>
      <c r="T778" s="423"/>
      <c r="U778" s="423"/>
      <c r="V778" s="423"/>
      <c r="W778" s="423"/>
      <c r="X778" s="423"/>
      <c r="Y778" s="423"/>
      <c r="Z778" s="423"/>
      <c r="AA778" s="423"/>
      <c r="AB778" s="423"/>
      <c r="AC778" s="423"/>
      <c r="AD778" s="423"/>
      <c r="AE778" s="423"/>
      <c r="AF778" s="423"/>
      <c r="AG778" s="423"/>
      <c r="AH778" s="423"/>
      <c r="AI778" s="423"/>
    </row>
    <row r="779">
      <c r="A779" s="419"/>
      <c r="B779" s="419"/>
      <c r="C779" s="419"/>
      <c r="D779" s="419"/>
      <c r="E779" s="387"/>
      <c r="F779" s="387"/>
      <c r="G779" s="423"/>
      <c r="H779" s="423"/>
      <c r="I779" s="423"/>
      <c r="J779" s="423"/>
      <c r="K779" s="423"/>
      <c r="L779" s="423"/>
      <c r="M779" s="423"/>
      <c r="N779" s="423"/>
      <c r="O779" s="423"/>
      <c r="P779" s="423"/>
      <c r="Q779" s="423"/>
      <c r="R779" s="423"/>
      <c r="S779" s="423"/>
      <c r="T779" s="423"/>
      <c r="U779" s="423"/>
      <c r="V779" s="423"/>
      <c r="W779" s="423"/>
      <c r="X779" s="423"/>
      <c r="Y779" s="423"/>
      <c r="Z779" s="423"/>
      <c r="AA779" s="423"/>
      <c r="AB779" s="423"/>
      <c r="AC779" s="423"/>
      <c r="AD779" s="423"/>
      <c r="AE779" s="423"/>
      <c r="AF779" s="423"/>
      <c r="AG779" s="423"/>
      <c r="AH779" s="423"/>
      <c r="AI779" s="423"/>
    </row>
    <row r="780">
      <c r="A780" s="419"/>
      <c r="B780" s="419"/>
      <c r="C780" s="419"/>
      <c r="D780" s="419"/>
      <c r="E780" s="387"/>
      <c r="F780" s="387"/>
      <c r="G780" s="423"/>
      <c r="H780" s="423"/>
      <c r="I780" s="423"/>
      <c r="J780" s="423"/>
      <c r="K780" s="423"/>
      <c r="L780" s="423"/>
      <c r="M780" s="423"/>
      <c r="N780" s="423"/>
      <c r="O780" s="423"/>
      <c r="P780" s="423"/>
      <c r="Q780" s="423"/>
      <c r="R780" s="423"/>
      <c r="S780" s="423"/>
      <c r="T780" s="423"/>
      <c r="U780" s="423"/>
      <c r="V780" s="423"/>
      <c r="W780" s="423"/>
      <c r="X780" s="423"/>
      <c r="Y780" s="423"/>
      <c r="Z780" s="423"/>
      <c r="AA780" s="423"/>
      <c r="AB780" s="423"/>
      <c r="AC780" s="423"/>
      <c r="AD780" s="423"/>
      <c r="AE780" s="423"/>
      <c r="AF780" s="423"/>
      <c r="AG780" s="423"/>
      <c r="AH780" s="423"/>
      <c r="AI780" s="423"/>
    </row>
    <row r="781">
      <c r="A781" s="419"/>
      <c r="B781" s="419"/>
      <c r="C781" s="419"/>
      <c r="D781" s="419"/>
      <c r="E781" s="387"/>
      <c r="F781" s="387"/>
      <c r="G781" s="423"/>
      <c r="H781" s="423"/>
      <c r="I781" s="423"/>
      <c r="J781" s="423"/>
      <c r="K781" s="423"/>
      <c r="L781" s="423"/>
      <c r="M781" s="423"/>
      <c r="N781" s="423"/>
      <c r="O781" s="423"/>
      <c r="P781" s="423"/>
      <c r="Q781" s="423"/>
      <c r="R781" s="423"/>
      <c r="S781" s="423"/>
      <c r="T781" s="423"/>
      <c r="U781" s="423"/>
      <c r="V781" s="423"/>
      <c r="W781" s="423"/>
      <c r="X781" s="423"/>
      <c r="Y781" s="423"/>
      <c r="Z781" s="423"/>
      <c r="AA781" s="423"/>
      <c r="AB781" s="423"/>
      <c r="AC781" s="423"/>
      <c r="AD781" s="423"/>
      <c r="AE781" s="423"/>
      <c r="AF781" s="423"/>
      <c r="AG781" s="423"/>
      <c r="AH781" s="423"/>
      <c r="AI781" s="423"/>
    </row>
    <row r="782">
      <c r="A782" s="419"/>
      <c r="B782" s="419"/>
      <c r="C782" s="419"/>
      <c r="D782" s="419"/>
      <c r="E782" s="387"/>
      <c r="F782" s="387"/>
      <c r="G782" s="423"/>
      <c r="H782" s="423"/>
      <c r="I782" s="423"/>
      <c r="J782" s="423"/>
      <c r="K782" s="423"/>
      <c r="L782" s="423"/>
      <c r="M782" s="423"/>
      <c r="N782" s="423"/>
      <c r="O782" s="423"/>
      <c r="P782" s="423"/>
      <c r="Q782" s="423"/>
      <c r="R782" s="423"/>
      <c r="S782" s="423"/>
      <c r="T782" s="423"/>
      <c r="U782" s="423"/>
      <c r="V782" s="423"/>
      <c r="W782" s="423"/>
      <c r="X782" s="423"/>
      <c r="Y782" s="423"/>
      <c r="Z782" s="423"/>
      <c r="AA782" s="423"/>
      <c r="AB782" s="423"/>
      <c r="AC782" s="423"/>
      <c r="AD782" s="423"/>
      <c r="AE782" s="423"/>
      <c r="AF782" s="423"/>
      <c r="AG782" s="423"/>
      <c r="AH782" s="423"/>
      <c r="AI782" s="423"/>
    </row>
    <row r="783">
      <c r="A783" s="419"/>
      <c r="B783" s="419"/>
      <c r="C783" s="419"/>
      <c r="D783" s="419"/>
      <c r="E783" s="387"/>
      <c r="F783" s="387"/>
      <c r="G783" s="423"/>
      <c r="H783" s="423"/>
      <c r="I783" s="423"/>
      <c r="J783" s="423"/>
      <c r="K783" s="423"/>
      <c r="L783" s="423"/>
      <c r="M783" s="423"/>
      <c r="N783" s="423"/>
      <c r="O783" s="423"/>
      <c r="P783" s="423"/>
      <c r="Q783" s="423"/>
      <c r="R783" s="423"/>
      <c r="S783" s="423"/>
      <c r="T783" s="423"/>
      <c r="U783" s="423"/>
      <c r="V783" s="423"/>
      <c r="W783" s="423"/>
      <c r="X783" s="423"/>
      <c r="Y783" s="423"/>
      <c r="Z783" s="423"/>
      <c r="AA783" s="423"/>
      <c r="AB783" s="423"/>
      <c r="AC783" s="423"/>
      <c r="AD783" s="423"/>
      <c r="AE783" s="423"/>
      <c r="AF783" s="423"/>
      <c r="AG783" s="423"/>
      <c r="AH783" s="423"/>
      <c r="AI783" s="423"/>
    </row>
    <row r="784">
      <c r="A784" s="419"/>
      <c r="B784" s="419"/>
      <c r="C784" s="419"/>
      <c r="D784" s="419"/>
      <c r="E784" s="387"/>
      <c r="F784" s="387"/>
      <c r="G784" s="423"/>
      <c r="H784" s="423"/>
      <c r="I784" s="423"/>
      <c r="J784" s="423"/>
      <c r="K784" s="423"/>
      <c r="L784" s="423"/>
      <c r="M784" s="423"/>
      <c r="N784" s="423"/>
      <c r="O784" s="423"/>
      <c r="P784" s="423"/>
      <c r="Q784" s="423"/>
      <c r="R784" s="423"/>
      <c r="S784" s="423"/>
      <c r="T784" s="423"/>
      <c r="U784" s="423"/>
      <c r="V784" s="423"/>
      <c r="W784" s="423"/>
      <c r="X784" s="423"/>
      <c r="Y784" s="423"/>
      <c r="Z784" s="423"/>
      <c r="AA784" s="423"/>
      <c r="AB784" s="423"/>
      <c r="AC784" s="423"/>
      <c r="AD784" s="423"/>
      <c r="AE784" s="423"/>
      <c r="AF784" s="423"/>
      <c r="AG784" s="423"/>
      <c r="AH784" s="423"/>
      <c r="AI784" s="423"/>
    </row>
    <row r="785">
      <c r="A785" s="419"/>
      <c r="B785" s="419"/>
      <c r="C785" s="419"/>
      <c r="D785" s="419"/>
      <c r="E785" s="387"/>
      <c r="F785" s="387"/>
      <c r="G785" s="423"/>
      <c r="H785" s="423"/>
      <c r="I785" s="423"/>
      <c r="J785" s="423"/>
      <c r="K785" s="423"/>
      <c r="L785" s="423"/>
      <c r="M785" s="423"/>
      <c r="N785" s="423"/>
      <c r="O785" s="423"/>
      <c r="P785" s="423"/>
      <c r="Q785" s="423"/>
      <c r="R785" s="423"/>
      <c r="S785" s="423"/>
      <c r="T785" s="423"/>
      <c r="U785" s="423"/>
      <c r="V785" s="423"/>
      <c r="W785" s="423"/>
      <c r="X785" s="423"/>
      <c r="Y785" s="423"/>
      <c r="Z785" s="423"/>
      <c r="AA785" s="423"/>
      <c r="AB785" s="423"/>
      <c r="AC785" s="423"/>
      <c r="AD785" s="423"/>
      <c r="AE785" s="423"/>
      <c r="AF785" s="423"/>
      <c r="AG785" s="423"/>
      <c r="AH785" s="423"/>
      <c r="AI785" s="423"/>
    </row>
    <row r="786">
      <c r="A786" s="419"/>
      <c r="B786" s="419"/>
      <c r="C786" s="419"/>
      <c r="D786" s="419"/>
      <c r="E786" s="387"/>
      <c r="F786" s="387"/>
      <c r="G786" s="423"/>
      <c r="H786" s="423"/>
      <c r="I786" s="423"/>
      <c r="J786" s="423"/>
      <c r="K786" s="423"/>
      <c r="L786" s="423"/>
      <c r="M786" s="423"/>
      <c r="N786" s="423"/>
      <c r="O786" s="423"/>
      <c r="P786" s="423"/>
      <c r="Q786" s="423"/>
      <c r="R786" s="423"/>
      <c r="S786" s="423"/>
      <c r="T786" s="423"/>
      <c r="U786" s="423"/>
      <c r="V786" s="423"/>
      <c r="W786" s="423"/>
      <c r="X786" s="423"/>
      <c r="Y786" s="423"/>
      <c r="Z786" s="423"/>
      <c r="AA786" s="423"/>
      <c r="AB786" s="423"/>
      <c r="AC786" s="423"/>
      <c r="AD786" s="423"/>
      <c r="AE786" s="423"/>
      <c r="AF786" s="423"/>
      <c r="AG786" s="423"/>
      <c r="AH786" s="423"/>
      <c r="AI786" s="423"/>
    </row>
    <row r="787">
      <c r="A787" s="419"/>
      <c r="B787" s="419"/>
      <c r="C787" s="419"/>
      <c r="D787" s="419"/>
      <c r="E787" s="387"/>
      <c r="F787" s="387"/>
      <c r="G787" s="423"/>
      <c r="H787" s="423"/>
      <c r="I787" s="423"/>
      <c r="J787" s="423"/>
      <c r="K787" s="423"/>
      <c r="L787" s="423"/>
      <c r="M787" s="423"/>
      <c r="N787" s="423"/>
      <c r="O787" s="423"/>
      <c r="P787" s="423"/>
      <c r="Q787" s="423"/>
      <c r="R787" s="423"/>
      <c r="S787" s="423"/>
      <c r="T787" s="423"/>
      <c r="U787" s="423"/>
      <c r="V787" s="423"/>
      <c r="W787" s="423"/>
      <c r="X787" s="423"/>
      <c r="Y787" s="423"/>
      <c r="Z787" s="423"/>
      <c r="AA787" s="423"/>
      <c r="AB787" s="423"/>
      <c r="AC787" s="423"/>
      <c r="AD787" s="423"/>
      <c r="AE787" s="423"/>
      <c r="AF787" s="423"/>
      <c r="AG787" s="423"/>
      <c r="AH787" s="423"/>
      <c r="AI787" s="423"/>
    </row>
    <row r="788">
      <c r="A788" s="419"/>
      <c r="B788" s="419"/>
      <c r="C788" s="419"/>
      <c r="D788" s="419"/>
      <c r="E788" s="387"/>
      <c r="F788" s="387"/>
      <c r="G788" s="423"/>
      <c r="H788" s="423"/>
      <c r="I788" s="423"/>
      <c r="J788" s="423"/>
      <c r="K788" s="423"/>
      <c r="L788" s="423"/>
      <c r="M788" s="423"/>
      <c r="N788" s="423"/>
      <c r="O788" s="423"/>
      <c r="P788" s="423"/>
      <c r="Q788" s="423"/>
      <c r="R788" s="423"/>
      <c r="S788" s="423"/>
      <c r="T788" s="423"/>
      <c r="U788" s="423"/>
      <c r="V788" s="423"/>
      <c r="W788" s="423"/>
      <c r="X788" s="423"/>
      <c r="Y788" s="423"/>
      <c r="Z788" s="423"/>
      <c r="AA788" s="423"/>
      <c r="AB788" s="423"/>
      <c r="AC788" s="423"/>
      <c r="AD788" s="423"/>
      <c r="AE788" s="423"/>
      <c r="AF788" s="423"/>
      <c r="AG788" s="423"/>
      <c r="AH788" s="423"/>
      <c r="AI788" s="423"/>
    </row>
    <row r="789">
      <c r="A789" s="419"/>
      <c r="B789" s="419"/>
      <c r="C789" s="419"/>
      <c r="D789" s="419"/>
      <c r="E789" s="387"/>
      <c r="F789" s="387"/>
      <c r="G789" s="423"/>
      <c r="H789" s="423"/>
      <c r="I789" s="423"/>
      <c r="J789" s="423"/>
      <c r="K789" s="423"/>
      <c r="L789" s="423"/>
      <c r="M789" s="423"/>
      <c r="N789" s="423"/>
      <c r="O789" s="423"/>
      <c r="P789" s="423"/>
      <c r="Q789" s="423"/>
      <c r="R789" s="423"/>
      <c r="S789" s="423"/>
      <c r="T789" s="423"/>
      <c r="U789" s="423"/>
      <c r="V789" s="423"/>
      <c r="W789" s="423"/>
      <c r="X789" s="423"/>
      <c r="Y789" s="423"/>
      <c r="Z789" s="423"/>
      <c r="AA789" s="423"/>
      <c r="AB789" s="423"/>
      <c r="AC789" s="423"/>
      <c r="AD789" s="423"/>
      <c r="AE789" s="423"/>
      <c r="AF789" s="423"/>
      <c r="AG789" s="423"/>
      <c r="AH789" s="423"/>
      <c r="AI789" s="423"/>
    </row>
    <row r="790">
      <c r="A790" s="419"/>
      <c r="B790" s="419"/>
      <c r="C790" s="419"/>
      <c r="D790" s="419"/>
      <c r="E790" s="387"/>
      <c r="F790" s="387"/>
      <c r="G790" s="423"/>
      <c r="H790" s="423"/>
      <c r="I790" s="423"/>
      <c r="J790" s="423"/>
      <c r="K790" s="423"/>
      <c r="L790" s="423"/>
      <c r="M790" s="423"/>
      <c r="N790" s="423"/>
      <c r="O790" s="423"/>
      <c r="P790" s="423"/>
      <c r="Q790" s="423"/>
      <c r="R790" s="423"/>
      <c r="S790" s="423"/>
      <c r="T790" s="423"/>
      <c r="U790" s="423"/>
      <c r="V790" s="423"/>
      <c r="W790" s="423"/>
      <c r="X790" s="423"/>
      <c r="Y790" s="423"/>
      <c r="Z790" s="423"/>
      <c r="AA790" s="423"/>
      <c r="AB790" s="423"/>
      <c r="AC790" s="423"/>
      <c r="AD790" s="423"/>
      <c r="AE790" s="423"/>
      <c r="AF790" s="423"/>
      <c r="AG790" s="423"/>
      <c r="AH790" s="423"/>
      <c r="AI790" s="423"/>
    </row>
    <row r="791">
      <c r="A791" s="419"/>
      <c r="B791" s="419"/>
      <c r="C791" s="419"/>
      <c r="D791" s="419"/>
      <c r="E791" s="387"/>
      <c r="F791" s="387"/>
      <c r="G791" s="423"/>
      <c r="H791" s="423"/>
      <c r="I791" s="423"/>
      <c r="J791" s="423"/>
      <c r="K791" s="423"/>
      <c r="L791" s="423"/>
      <c r="M791" s="423"/>
      <c r="N791" s="423"/>
      <c r="O791" s="423"/>
      <c r="P791" s="423"/>
      <c r="Q791" s="423"/>
      <c r="R791" s="423"/>
      <c r="S791" s="423"/>
      <c r="T791" s="423"/>
      <c r="U791" s="423"/>
      <c r="V791" s="423"/>
      <c r="W791" s="423"/>
      <c r="X791" s="423"/>
      <c r="Y791" s="423"/>
      <c r="Z791" s="423"/>
      <c r="AA791" s="423"/>
      <c r="AB791" s="423"/>
      <c r="AC791" s="423"/>
      <c r="AD791" s="423"/>
      <c r="AE791" s="423"/>
      <c r="AF791" s="423"/>
      <c r="AG791" s="423"/>
      <c r="AH791" s="423"/>
      <c r="AI791" s="423"/>
    </row>
    <row r="792">
      <c r="A792" s="419"/>
      <c r="B792" s="419"/>
      <c r="C792" s="419"/>
      <c r="D792" s="419"/>
      <c r="E792" s="387"/>
      <c r="F792" s="387"/>
      <c r="G792" s="423"/>
      <c r="H792" s="423"/>
      <c r="I792" s="423"/>
      <c r="J792" s="423"/>
      <c r="K792" s="423"/>
      <c r="L792" s="423"/>
      <c r="M792" s="423"/>
      <c r="N792" s="423"/>
      <c r="O792" s="423"/>
      <c r="P792" s="423"/>
      <c r="Q792" s="423"/>
      <c r="R792" s="423"/>
      <c r="S792" s="423"/>
      <c r="T792" s="423"/>
      <c r="U792" s="423"/>
      <c r="V792" s="423"/>
      <c r="W792" s="423"/>
      <c r="X792" s="423"/>
      <c r="Y792" s="423"/>
      <c r="Z792" s="423"/>
      <c r="AA792" s="423"/>
      <c r="AB792" s="423"/>
      <c r="AC792" s="423"/>
      <c r="AD792" s="423"/>
      <c r="AE792" s="423"/>
      <c r="AF792" s="423"/>
      <c r="AG792" s="423"/>
      <c r="AH792" s="423"/>
      <c r="AI792" s="423"/>
    </row>
    <row r="793">
      <c r="A793" s="419"/>
      <c r="B793" s="419"/>
      <c r="C793" s="419"/>
      <c r="D793" s="419"/>
      <c r="E793" s="387"/>
      <c r="F793" s="387"/>
      <c r="G793" s="423"/>
      <c r="H793" s="423"/>
      <c r="I793" s="423"/>
      <c r="J793" s="423"/>
      <c r="K793" s="423"/>
      <c r="L793" s="423"/>
      <c r="M793" s="423"/>
      <c r="N793" s="423"/>
      <c r="O793" s="423"/>
      <c r="P793" s="423"/>
      <c r="Q793" s="423"/>
      <c r="R793" s="423"/>
      <c r="S793" s="423"/>
      <c r="T793" s="423"/>
      <c r="U793" s="423"/>
      <c r="V793" s="423"/>
      <c r="W793" s="423"/>
      <c r="X793" s="423"/>
      <c r="Y793" s="423"/>
      <c r="Z793" s="423"/>
      <c r="AA793" s="423"/>
      <c r="AB793" s="423"/>
      <c r="AC793" s="423"/>
      <c r="AD793" s="423"/>
      <c r="AE793" s="423"/>
      <c r="AF793" s="423"/>
      <c r="AG793" s="423"/>
      <c r="AH793" s="423"/>
      <c r="AI793" s="423"/>
    </row>
    <row r="794">
      <c r="A794" s="419"/>
      <c r="B794" s="419"/>
      <c r="C794" s="419"/>
      <c r="D794" s="419"/>
      <c r="E794" s="387"/>
      <c r="F794" s="387"/>
      <c r="G794" s="423"/>
      <c r="H794" s="423"/>
      <c r="I794" s="423"/>
      <c r="J794" s="423"/>
      <c r="K794" s="423"/>
      <c r="L794" s="423"/>
      <c r="M794" s="423"/>
      <c r="N794" s="423"/>
      <c r="O794" s="423"/>
      <c r="P794" s="423"/>
      <c r="Q794" s="423"/>
      <c r="R794" s="423"/>
      <c r="S794" s="423"/>
      <c r="T794" s="423"/>
      <c r="U794" s="423"/>
      <c r="V794" s="423"/>
      <c r="W794" s="423"/>
      <c r="X794" s="423"/>
      <c r="Y794" s="423"/>
      <c r="Z794" s="423"/>
      <c r="AA794" s="423"/>
      <c r="AB794" s="423"/>
      <c r="AC794" s="423"/>
      <c r="AD794" s="423"/>
      <c r="AE794" s="423"/>
      <c r="AF794" s="423"/>
      <c r="AG794" s="423"/>
      <c r="AH794" s="423"/>
      <c r="AI794" s="423"/>
    </row>
    <row r="795">
      <c r="A795" s="419"/>
      <c r="B795" s="419"/>
      <c r="C795" s="419"/>
      <c r="D795" s="419"/>
      <c r="E795" s="387"/>
      <c r="F795" s="387"/>
      <c r="G795" s="423"/>
      <c r="H795" s="423"/>
      <c r="I795" s="423"/>
      <c r="J795" s="423"/>
      <c r="K795" s="423"/>
      <c r="L795" s="423"/>
      <c r="M795" s="423"/>
      <c r="N795" s="423"/>
      <c r="O795" s="423"/>
      <c r="P795" s="423"/>
      <c r="Q795" s="423"/>
      <c r="R795" s="423"/>
      <c r="S795" s="423"/>
      <c r="T795" s="423"/>
      <c r="U795" s="423"/>
      <c r="V795" s="423"/>
      <c r="W795" s="423"/>
      <c r="X795" s="423"/>
      <c r="Y795" s="423"/>
      <c r="Z795" s="423"/>
      <c r="AA795" s="423"/>
      <c r="AB795" s="423"/>
      <c r="AC795" s="423"/>
      <c r="AD795" s="423"/>
      <c r="AE795" s="423"/>
      <c r="AF795" s="423"/>
      <c r="AG795" s="423"/>
      <c r="AH795" s="423"/>
      <c r="AI795" s="423"/>
    </row>
    <row r="796">
      <c r="A796" s="419"/>
      <c r="B796" s="419"/>
      <c r="C796" s="419"/>
      <c r="D796" s="419"/>
      <c r="E796" s="387"/>
      <c r="F796" s="387"/>
      <c r="G796" s="423"/>
      <c r="H796" s="423"/>
      <c r="I796" s="423"/>
      <c r="J796" s="423"/>
      <c r="K796" s="423"/>
      <c r="L796" s="423"/>
      <c r="M796" s="423"/>
      <c r="N796" s="423"/>
      <c r="O796" s="423"/>
      <c r="P796" s="423"/>
      <c r="Q796" s="423"/>
      <c r="R796" s="423"/>
      <c r="S796" s="423"/>
      <c r="T796" s="423"/>
      <c r="U796" s="423"/>
      <c r="V796" s="423"/>
      <c r="W796" s="423"/>
      <c r="X796" s="423"/>
      <c r="Y796" s="423"/>
      <c r="Z796" s="423"/>
      <c r="AA796" s="423"/>
      <c r="AB796" s="423"/>
      <c r="AC796" s="423"/>
      <c r="AD796" s="423"/>
      <c r="AE796" s="423"/>
      <c r="AF796" s="423"/>
      <c r="AG796" s="423"/>
      <c r="AH796" s="423"/>
      <c r="AI796" s="423"/>
    </row>
    <row r="797">
      <c r="A797" s="419"/>
      <c r="B797" s="419"/>
      <c r="C797" s="419"/>
      <c r="D797" s="419"/>
      <c r="E797" s="387"/>
      <c r="F797" s="387"/>
      <c r="G797" s="423"/>
      <c r="H797" s="423"/>
      <c r="I797" s="423"/>
      <c r="J797" s="423"/>
      <c r="K797" s="423"/>
      <c r="L797" s="423"/>
      <c r="M797" s="423"/>
      <c r="N797" s="423"/>
      <c r="O797" s="423"/>
      <c r="P797" s="423"/>
      <c r="Q797" s="423"/>
      <c r="R797" s="423"/>
      <c r="S797" s="423"/>
      <c r="T797" s="423"/>
      <c r="U797" s="423"/>
      <c r="V797" s="423"/>
      <c r="W797" s="423"/>
      <c r="X797" s="423"/>
      <c r="Y797" s="423"/>
      <c r="Z797" s="423"/>
      <c r="AA797" s="423"/>
      <c r="AB797" s="423"/>
      <c r="AC797" s="423"/>
      <c r="AD797" s="423"/>
      <c r="AE797" s="423"/>
      <c r="AF797" s="423"/>
      <c r="AG797" s="423"/>
      <c r="AH797" s="423"/>
      <c r="AI797" s="423"/>
    </row>
    <row r="798">
      <c r="A798" s="419"/>
      <c r="B798" s="419"/>
      <c r="C798" s="419"/>
      <c r="D798" s="419"/>
      <c r="E798" s="387"/>
      <c r="F798" s="387"/>
      <c r="G798" s="423"/>
      <c r="H798" s="423"/>
      <c r="I798" s="423"/>
      <c r="J798" s="423"/>
      <c r="K798" s="423"/>
      <c r="L798" s="423"/>
      <c r="M798" s="423"/>
      <c r="N798" s="423"/>
      <c r="O798" s="423"/>
      <c r="P798" s="423"/>
      <c r="Q798" s="423"/>
      <c r="R798" s="423"/>
      <c r="S798" s="423"/>
      <c r="T798" s="423"/>
      <c r="U798" s="423"/>
      <c r="V798" s="423"/>
      <c r="W798" s="423"/>
      <c r="X798" s="423"/>
      <c r="Y798" s="423"/>
      <c r="Z798" s="423"/>
      <c r="AA798" s="423"/>
      <c r="AB798" s="423"/>
      <c r="AC798" s="423"/>
      <c r="AD798" s="423"/>
      <c r="AE798" s="423"/>
      <c r="AF798" s="423"/>
      <c r="AG798" s="423"/>
      <c r="AH798" s="423"/>
      <c r="AI798" s="423"/>
    </row>
    <row r="799">
      <c r="A799" s="419"/>
      <c r="B799" s="419"/>
      <c r="C799" s="419"/>
      <c r="D799" s="419"/>
      <c r="E799" s="387"/>
      <c r="F799" s="387"/>
      <c r="G799" s="423"/>
      <c r="H799" s="423"/>
      <c r="I799" s="423"/>
      <c r="J799" s="423"/>
      <c r="K799" s="423"/>
      <c r="L799" s="423"/>
      <c r="M799" s="423"/>
      <c r="N799" s="423"/>
      <c r="O799" s="423"/>
      <c r="P799" s="423"/>
      <c r="Q799" s="423"/>
      <c r="R799" s="423"/>
      <c r="S799" s="423"/>
      <c r="T799" s="423"/>
      <c r="U799" s="423"/>
      <c r="V799" s="423"/>
      <c r="W799" s="423"/>
      <c r="X799" s="423"/>
      <c r="Y799" s="423"/>
      <c r="Z799" s="423"/>
      <c r="AA799" s="423"/>
      <c r="AB799" s="423"/>
      <c r="AC799" s="423"/>
      <c r="AD799" s="423"/>
      <c r="AE799" s="423"/>
      <c r="AF799" s="423"/>
      <c r="AG799" s="423"/>
      <c r="AH799" s="423"/>
      <c r="AI799" s="423"/>
    </row>
    <row r="800">
      <c r="A800" s="419"/>
      <c r="B800" s="419"/>
      <c r="C800" s="419"/>
      <c r="D800" s="419"/>
      <c r="E800" s="387"/>
      <c r="F800" s="387"/>
      <c r="G800" s="423"/>
      <c r="H800" s="423"/>
      <c r="I800" s="423"/>
      <c r="J800" s="423"/>
      <c r="K800" s="423"/>
      <c r="L800" s="423"/>
      <c r="M800" s="423"/>
      <c r="N800" s="423"/>
      <c r="O800" s="423"/>
      <c r="P800" s="423"/>
      <c r="Q800" s="423"/>
      <c r="R800" s="423"/>
      <c r="S800" s="423"/>
      <c r="T800" s="423"/>
      <c r="U800" s="423"/>
      <c r="V800" s="423"/>
      <c r="W800" s="423"/>
      <c r="X800" s="423"/>
      <c r="Y800" s="423"/>
      <c r="Z800" s="423"/>
      <c r="AA800" s="423"/>
      <c r="AB800" s="423"/>
      <c r="AC800" s="423"/>
      <c r="AD800" s="423"/>
      <c r="AE800" s="423"/>
      <c r="AF800" s="423"/>
      <c r="AG800" s="423"/>
      <c r="AH800" s="423"/>
      <c r="AI800" s="423"/>
    </row>
    <row r="801">
      <c r="A801" s="419"/>
      <c r="B801" s="419"/>
      <c r="C801" s="419"/>
      <c r="D801" s="419"/>
      <c r="E801" s="387"/>
      <c r="F801" s="387"/>
      <c r="G801" s="423"/>
      <c r="H801" s="423"/>
      <c r="I801" s="423"/>
      <c r="J801" s="423"/>
      <c r="K801" s="423"/>
      <c r="L801" s="423"/>
      <c r="M801" s="423"/>
      <c r="N801" s="423"/>
      <c r="O801" s="423"/>
      <c r="P801" s="423"/>
      <c r="Q801" s="423"/>
      <c r="R801" s="423"/>
      <c r="S801" s="423"/>
      <c r="T801" s="423"/>
      <c r="U801" s="423"/>
      <c r="V801" s="423"/>
      <c r="W801" s="423"/>
      <c r="X801" s="423"/>
      <c r="Y801" s="423"/>
      <c r="Z801" s="423"/>
      <c r="AA801" s="423"/>
      <c r="AB801" s="423"/>
      <c r="AC801" s="423"/>
      <c r="AD801" s="423"/>
      <c r="AE801" s="423"/>
      <c r="AF801" s="423"/>
      <c r="AG801" s="423"/>
      <c r="AH801" s="423"/>
      <c r="AI801" s="423"/>
    </row>
    <row r="802">
      <c r="A802" s="419"/>
      <c r="B802" s="419"/>
      <c r="C802" s="419"/>
      <c r="D802" s="419"/>
      <c r="E802" s="387"/>
      <c r="F802" s="387"/>
      <c r="G802" s="423"/>
      <c r="H802" s="423"/>
      <c r="I802" s="423"/>
      <c r="J802" s="423"/>
      <c r="K802" s="423"/>
      <c r="L802" s="423"/>
      <c r="M802" s="423"/>
      <c r="N802" s="423"/>
      <c r="O802" s="423"/>
      <c r="P802" s="423"/>
      <c r="Q802" s="423"/>
      <c r="R802" s="423"/>
      <c r="S802" s="423"/>
      <c r="T802" s="423"/>
      <c r="U802" s="423"/>
      <c r="V802" s="423"/>
      <c r="W802" s="423"/>
      <c r="X802" s="423"/>
      <c r="Y802" s="423"/>
      <c r="Z802" s="423"/>
      <c r="AA802" s="423"/>
      <c r="AB802" s="423"/>
      <c r="AC802" s="423"/>
      <c r="AD802" s="423"/>
      <c r="AE802" s="423"/>
      <c r="AF802" s="423"/>
      <c r="AG802" s="423"/>
      <c r="AH802" s="423"/>
      <c r="AI802" s="423"/>
    </row>
    <row r="803">
      <c r="A803" s="419"/>
      <c r="B803" s="419"/>
      <c r="C803" s="419"/>
      <c r="D803" s="419"/>
      <c r="E803" s="387"/>
      <c r="F803" s="387"/>
      <c r="G803" s="423"/>
      <c r="H803" s="423"/>
      <c r="I803" s="423"/>
      <c r="J803" s="423"/>
      <c r="K803" s="423"/>
      <c r="L803" s="423"/>
      <c r="M803" s="423"/>
      <c r="N803" s="423"/>
      <c r="O803" s="423"/>
      <c r="P803" s="423"/>
      <c r="Q803" s="423"/>
      <c r="R803" s="423"/>
      <c r="S803" s="423"/>
      <c r="T803" s="423"/>
      <c r="U803" s="423"/>
      <c r="V803" s="423"/>
      <c r="W803" s="423"/>
      <c r="X803" s="423"/>
      <c r="Y803" s="423"/>
      <c r="Z803" s="423"/>
      <c r="AA803" s="423"/>
      <c r="AB803" s="423"/>
      <c r="AC803" s="423"/>
      <c r="AD803" s="423"/>
      <c r="AE803" s="423"/>
      <c r="AF803" s="423"/>
      <c r="AG803" s="423"/>
      <c r="AH803" s="423"/>
      <c r="AI803" s="423"/>
    </row>
    <row r="804">
      <c r="A804" s="419"/>
      <c r="B804" s="419"/>
      <c r="C804" s="419"/>
      <c r="D804" s="419"/>
      <c r="E804" s="387"/>
      <c r="F804" s="387"/>
      <c r="G804" s="423"/>
      <c r="H804" s="423"/>
      <c r="I804" s="423"/>
      <c r="J804" s="423"/>
      <c r="K804" s="423"/>
      <c r="L804" s="423"/>
      <c r="M804" s="423"/>
      <c r="N804" s="423"/>
      <c r="O804" s="423"/>
      <c r="P804" s="423"/>
      <c r="Q804" s="423"/>
      <c r="R804" s="423"/>
      <c r="S804" s="423"/>
      <c r="T804" s="423"/>
      <c r="U804" s="423"/>
      <c r="V804" s="423"/>
      <c r="W804" s="423"/>
      <c r="X804" s="423"/>
      <c r="Y804" s="423"/>
      <c r="Z804" s="423"/>
      <c r="AA804" s="423"/>
      <c r="AB804" s="423"/>
      <c r="AC804" s="423"/>
      <c r="AD804" s="423"/>
      <c r="AE804" s="423"/>
      <c r="AF804" s="423"/>
      <c r="AG804" s="423"/>
      <c r="AH804" s="423"/>
      <c r="AI804" s="423"/>
    </row>
    <row r="805">
      <c r="A805" s="419"/>
      <c r="B805" s="419"/>
      <c r="C805" s="419"/>
      <c r="D805" s="419"/>
      <c r="E805" s="387"/>
      <c r="F805" s="387"/>
      <c r="G805" s="423"/>
      <c r="H805" s="423"/>
      <c r="I805" s="423"/>
      <c r="J805" s="423"/>
      <c r="K805" s="423"/>
      <c r="L805" s="423"/>
      <c r="M805" s="423"/>
      <c r="N805" s="423"/>
      <c r="O805" s="423"/>
      <c r="P805" s="423"/>
      <c r="Q805" s="423"/>
      <c r="R805" s="423"/>
      <c r="S805" s="423"/>
      <c r="T805" s="423"/>
      <c r="U805" s="423"/>
      <c r="V805" s="423"/>
      <c r="W805" s="423"/>
      <c r="X805" s="423"/>
      <c r="Y805" s="423"/>
      <c r="Z805" s="423"/>
      <c r="AA805" s="423"/>
      <c r="AB805" s="423"/>
      <c r="AC805" s="423"/>
      <c r="AD805" s="423"/>
      <c r="AE805" s="423"/>
      <c r="AF805" s="423"/>
      <c r="AG805" s="423"/>
      <c r="AH805" s="423"/>
      <c r="AI805" s="423"/>
    </row>
    <row r="806">
      <c r="A806" s="419"/>
      <c r="B806" s="419"/>
      <c r="C806" s="419"/>
      <c r="D806" s="419"/>
      <c r="E806" s="387"/>
      <c r="F806" s="387"/>
      <c r="G806" s="423"/>
      <c r="H806" s="423"/>
      <c r="I806" s="423"/>
      <c r="J806" s="423"/>
      <c r="K806" s="423"/>
      <c r="L806" s="423"/>
      <c r="M806" s="423"/>
      <c r="N806" s="423"/>
      <c r="O806" s="423"/>
      <c r="P806" s="423"/>
      <c r="Q806" s="423"/>
      <c r="R806" s="423"/>
      <c r="S806" s="423"/>
      <c r="T806" s="423"/>
      <c r="U806" s="423"/>
      <c r="V806" s="423"/>
      <c r="W806" s="423"/>
      <c r="X806" s="423"/>
      <c r="Y806" s="423"/>
      <c r="Z806" s="423"/>
      <c r="AA806" s="423"/>
      <c r="AB806" s="423"/>
      <c r="AC806" s="423"/>
      <c r="AD806" s="423"/>
      <c r="AE806" s="423"/>
      <c r="AF806" s="423"/>
      <c r="AG806" s="423"/>
      <c r="AH806" s="423"/>
      <c r="AI806" s="423"/>
    </row>
    <row r="807">
      <c r="A807" s="419"/>
      <c r="B807" s="419"/>
      <c r="C807" s="419"/>
      <c r="D807" s="419"/>
      <c r="E807" s="387"/>
      <c r="F807" s="387"/>
      <c r="G807" s="423"/>
      <c r="H807" s="423"/>
      <c r="I807" s="423"/>
      <c r="J807" s="423"/>
      <c r="K807" s="423"/>
      <c r="L807" s="423"/>
      <c r="M807" s="423"/>
      <c r="N807" s="423"/>
      <c r="O807" s="423"/>
      <c r="P807" s="423"/>
      <c r="Q807" s="423"/>
      <c r="R807" s="423"/>
      <c r="S807" s="423"/>
      <c r="T807" s="423"/>
      <c r="U807" s="423"/>
      <c r="V807" s="423"/>
      <c r="W807" s="423"/>
      <c r="X807" s="423"/>
      <c r="Y807" s="423"/>
      <c r="Z807" s="423"/>
      <c r="AA807" s="423"/>
      <c r="AB807" s="423"/>
      <c r="AC807" s="423"/>
      <c r="AD807" s="423"/>
      <c r="AE807" s="423"/>
      <c r="AF807" s="423"/>
      <c r="AG807" s="423"/>
      <c r="AH807" s="423"/>
      <c r="AI807" s="423"/>
    </row>
    <row r="808">
      <c r="A808" s="419"/>
      <c r="B808" s="419"/>
      <c r="C808" s="419"/>
      <c r="D808" s="419"/>
      <c r="E808" s="387"/>
      <c r="F808" s="387"/>
      <c r="G808" s="423"/>
      <c r="H808" s="423"/>
      <c r="I808" s="423"/>
      <c r="J808" s="423"/>
      <c r="K808" s="423"/>
      <c r="L808" s="423"/>
      <c r="M808" s="423"/>
      <c r="N808" s="423"/>
      <c r="O808" s="423"/>
      <c r="P808" s="423"/>
      <c r="Q808" s="423"/>
      <c r="R808" s="423"/>
      <c r="S808" s="423"/>
      <c r="T808" s="423"/>
      <c r="U808" s="423"/>
      <c r="V808" s="423"/>
      <c r="W808" s="423"/>
      <c r="X808" s="423"/>
      <c r="Y808" s="423"/>
      <c r="Z808" s="423"/>
      <c r="AA808" s="423"/>
      <c r="AB808" s="423"/>
      <c r="AC808" s="423"/>
      <c r="AD808" s="423"/>
      <c r="AE808" s="423"/>
      <c r="AF808" s="423"/>
      <c r="AG808" s="423"/>
      <c r="AH808" s="423"/>
      <c r="AI808" s="423"/>
    </row>
    <row r="809">
      <c r="A809" s="419"/>
      <c r="B809" s="419"/>
      <c r="C809" s="419"/>
      <c r="D809" s="419"/>
      <c r="E809" s="387"/>
      <c r="F809" s="387"/>
      <c r="G809" s="423"/>
      <c r="H809" s="423"/>
      <c r="I809" s="423"/>
      <c r="J809" s="423"/>
      <c r="K809" s="423"/>
      <c r="L809" s="423"/>
      <c r="M809" s="423"/>
      <c r="N809" s="423"/>
      <c r="O809" s="423"/>
      <c r="P809" s="423"/>
      <c r="Q809" s="423"/>
      <c r="R809" s="423"/>
      <c r="S809" s="423"/>
      <c r="T809" s="423"/>
      <c r="U809" s="423"/>
      <c r="V809" s="423"/>
      <c r="W809" s="423"/>
      <c r="X809" s="423"/>
      <c r="Y809" s="423"/>
      <c r="Z809" s="423"/>
      <c r="AA809" s="423"/>
      <c r="AB809" s="423"/>
      <c r="AC809" s="423"/>
      <c r="AD809" s="423"/>
      <c r="AE809" s="423"/>
      <c r="AF809" s="423"/>
      <c r="AG809" s="423"/>
      <c r="AH809" s="423"/>
      <c r="AI809" s="423"/>
    </row>
    <row r="810">
      <c r="A810" s="419"/>
      <c r="B810" s="419"/>
      <c r="C810" s="419"/>
      <c r="D810" s="419"/>
      <c r="E810" s="387"/>
      <c r="F810" s="387"/>
      <c r="G810" s="423"/>
      <c r="H810" s="423"/>
      <c r="I810" s="423"/>
      <c r="J810" s="423"/>
      <c r="K810" s="423"/>
      <c r="L810" s="423"/>
      <c r="M810" s="423"/>
      <c r="N810" s="423"/>
      <c r="O810" s="423"/>
      <c r="P810" s="423"/>
      <c r="Q810" s="423"/>
      <c r="R810" s="423"/>
      <c r="S810" s="423"/>
      <c r="T810" s="423"/>
      <c r="U810" s="423"/>
      <c r="V810" s="423"/>
      <c r="W810" s="423"/>
      <c r="X810" s="423"/>
      <c r="Y810" s="423"/>
      <c r="Z810" s="423"/>
      <c r="AA810" s="423"/>
      <c r="AB810" s="423"/>
      <c r="AC810" s="423"/>
      <c r="AD810" s="423"/>
      <c r="AE810" s="423"/>
      <c r="AF810" s="423"/>
      <c r="AG810" s="423"/>
      <c r="AH810" s="423"/>
      <c r="AI810" s="423"/>
    </row>
    <row r="811">
      <c r="A811" s="419"/>
      <c r="B811" s="419"/>
      <c r="C811" s="419"/>
      <c r="D811" s="419"/>
      <c r="E811" s="387"/>
      <c r="F811" s="387"/>
      <c r="G811" s="423"/>
      <c r="H811" s="423"/>
      <c r="I811" s="423"/>
      <c r="J811" s="423"/>
      <c r="K811" s="423"/>
      <c r="L811" s="423"/>
      <c r="M811" s="423"/>
      <c r="N811" s="423"/>
      <c r="O811" s="423"/>
      <c r="P811" s="423"/>
      <c r="Q811" s="423"/>
      <c r="R811" s="423"/>
      <c r="S811" s="423"/>
      <c r="T811" s="423"/>
      <c r="U811" s="423"/>
      <c r="V811" s="423"/>
      <c r="W811" s="423"/>
      <c r="X811" s="423"/>
      <c r="Y811" s="423"/>
      <c r="Z811" s="423"/>
      <c r="AA811" s="423"/>
      <c r="AB811" s="423"/>
      <c r="AC811" s="423"/>
      <c r="AD811" s="423"/>
      <c r="AE811" s="423"/>
      <c r="AF811" s="423"/>
      <c r="AG811" s="423"/>
      <c r="AH811" s="423"/>
      <c r="AI811" s="423"/>
    </row>
    <row r="812">
      <c r="A812" s="419"/>
      <c r="B812" s="419"/>
      <c r="C812" s="419"/>
      <c r="D812" s="419"/>
      <c r="E812" s="387"/>
      <c r="F812" s="387"/>
      <c r="G812" s="423"/>
      <c r="H812" s="423"/>
      <c r="I812" s="423"/>
      <c r="J812" s="423"/>
      <c r="K812" s="423"/>
      <c r="L812" s="423"/>
      <c r="M812" s="423"/>
      <c r="N812" s="423"/>
      <c r="O812" s="423"/>
      <c r="P812" s="423"/>
      <c r="Q812" s="423"/>
      <c r="R812" s="423"/>
      <c r="S812" s="423"/>
      <c r="T812" s="423"/>
      <c r="U812" s="423"/>
      <c r="V812" s="423"/>
      <c r="W812" s="423"/>
      <c r="X812" s="423"/>
      <c r="Y812" s="423"/>
      <c r="Z812" s="423"/>
      <c r="AA812" s="423"/>
      <c r="AB812" s="423"/>
      <c r="AC812" s="423"/>
      <c r="AD812" s="423"/>
      <c r="AE812" s="423"/>
      <c r="AF812" s="423"/>
      <c r="AG812" s="423"/>
      <c r="AH812" s="423"/>
      <c r="AI812" s="423"/>
    </row>
    <row r="813">
      <c r="A813" s="419"/>
      <c r="B813" s="419"/>
      <c r="C813" s="419"/>
      <c r="D813" s="419"/>
      <c r="E813" s="387"/>
      <c r="F813" s="387"/>
      <c r="G813" s="423"/>
      <c r="H813" s="423"/>
      <c r="I813" s="423"/>
      <c r="J813" s="423"/>
      <c r="K813" s="423"/>
      <c r="L813" s="423"/>
      <c r="M813" s="423"/>
      <c r="N813" s="423"/>
      <c r="O813" s="423"/>
      <c r="P813" s="423"/>
      <c r="Q813" s="423"/>
      <c r="R813" s="423"/>
      <c r="S813" s="423"/>
      <c r="T813" s="423"/>
      <c r="U813" s="423"/>
      <c r="V813" s="423"/>
      <c r="W813" s="423"/>
      <c r="X813" s="423"/>
      <c r="Y813" s="423"/>
      <c r="Z813" s="423"/>
      <c r="AA813" s="423"/>
      <c r="AB813" s="423"/>
      <c r="AC813" s="423"/>
      <c r="AD813" s="423"/>
      <c r="AE813" s="423"/>
      <c r="AF813" s="423"/>
      <c r="AG813" s="423"/>
      <c r="AH813" s="423"/>
      <c r="AI813" s="423"/>
    </row>
    <row r="814">
      <c r="A814" s="419"/>
      <c r="B814" s="419"/>
      <c r="C814" s="419"/>
      <c r="D814" s="419"/>
      <c r="E814" s="387"/>
      <c r="F814" s="387"/>
      <c r="G814" s="423"/>
      <c r="H814" s="423"/>
      <c r="I814" s="423"/>
      <c r="J814" s="423"/>
      <c r="K814" s="423"/>
      <c r="L814" s="423"/>
      <c r="M814" s="423"/>
      <c r="N814" s="423"/>
      <c r="O814" s="423"/>
      <c r="P814" s="423"/>
      <c r="Q814" s="423"/>
      <c r="R814" s="423"/>
      <c r="S814" s="423"/>
      <c r="T814" s="423"/>
      <c r="U814" s="423"/>
      <c r="V814" s="423"/>
      <c r="W814" s="423"/>
      <c r="X814" s="423"/>
      <c r="Y814" s="423"/>
      <c r="Z814" s="423"/>
      <c r="AA814" s="423"/>
      <c r="AB814" s="423"/>
      <c r="AC814" s="423"/>
      <c r="AD814" s="423"/>
      <c r="AE814" s="423"/>
      <c r="AF814" s="423"/>
      <c r="AG814" s="423"/>
      <c r="AH814" s="423"/>
      <c r="AI814" s="423"/>
    </row>
    <row r="815">
      <c r="A815" s="419"/>
      <c r="B815" s="419"/>
      <c r="C815" s="419"/>
      <c r="D815" s="419"/>
      <c r="E815" s="387"/>
      <c r="F815" s="387"/>
      <c r="G815" s="423"/>
      <c r="H815" s="423"/>
      <c r="I815" s="423"/>
      <c r="J815" s="423"/>
      <c r="K815" s="423"/>
      <c r="L815" s="423"/>
      <c r="M815" s="423"/>
      <c r="N815" s="423"/>
      <c r="O815" s="423"/>
      <c r="P815" s="423"/>
      <c r="Q815" s="423"/>
      <c r="R815" s="423"/>
      <c r="S815" s="423"/>
      <c r="T815" s="423"/>
      <c r="U815" s="423"/>
      <c r="V815" s="423"/>
      <c r="W815" s="423"/>
      <c r="X815" s="423"/>
      <c r="Y815" s="423"/>
      <c r="Z815" s="423"/>
      <c r="AA815" s="423"/>
      <c r="AB815" s="423"/>
      <c r="AC815" s="423"/>
      <c r="AD815" s="423"/>
      <c r="AE815" s="423"/>
      <c r="AF815" s="423"/>
      <c r="AG815" s="423"/>
      <c r="AH815" s="423"/>
      <c r="AI815" s="423"/>
    </row>
    <row r="816">
      <c r="A816" s="419"/>
      <c r="B816" s="419"/>
      <c r="C816" s="419"/>
      <c r="D816" s="419"/>
      <c r="E816" s="387"/>
      <c r="F816" s="387"/>
      <c r="G816" s="423"/>
      <c r="H816" s="423"/>
      <c r="I816" s="423"/>
      <c r="J816" s="423"/>
      <c r="K816" s="423"/>
      <c r="L816" s="423"/>
      <c r="M816" s="423"/>
      <c r="N816" s="423"/>
      <c r="O816" s="423"/>
      <c r="P816" s="423"/>
      <c r="Q816" s="423"/>
      <c r="R816" s="423"/>
      <c r="S816" s="423"/>
      <c r="T816" s="423"/>
      <c r="U816" s="423"/>
      <c r="V816" s="423"/>
      <c r="W816" s="423"/>
      <c r="X816" s="423"/>
      <c r="Y816" s="423"/>
      <c r="Z816" s="423"/>
      <c r="AA816" s="423"/>
      <c r="AB816" s="423"/>
      <c r="AC816" s="423"/>
      <c r="AD816" s="423"/>
      <c r="AE816" s="423"/>
      <c r="AF816" s="423"/>
      <c r="AG816" s="423"/>
      <c r="AH816" s="423"/>
      <c r="AI816" s="423"/>
    </row>
    <row r="817">
      <c r="A817" s="419"/>
      <c r="B817" s="419"/>
      <c r="C817" s="419"/>
      <c r="D817" s="419"/>
      <c r="E817" s="387"/>
      <c r="F817" s="387"/>
      <c r="G817" s="423"/>
      <c r="H817" s="423"/>
      <c r="I817" s="423"/>
      <c r="J817" s="423"/>
      <c r="K817" s="423"/>
      <c r="L817" s="423"/>
      <c r="M817" s="423"/>
      <c r="N817" s="423"/>
      <c r="O817" s="423"/>
      <c r="P817" s="423"/>
      <c r="Q817" s="423"/>
      <c r="R817" s="423"/>
      <c r="S817" s="423"/>
      <c r="T817" s="423"/>
      <c r="U817" s="423"/>
      <c r="V817" s="423"/>
      <c r="W817" s="423"/>
      <c r="X817" s="423"/>
      <c r="Y817" s="423"/>
      <c r="Z817" s="423"/>
      <c r="AA817" s="423"/>
      <c r="AB817" s="423"/>
      <c r="AC817" s="423"/>
      <c r="AD817" s="423"/>
      <c r="AE817" s="423"/>
      <c r="AF817" s="423"/>
      <c r="AG817" s="423"/>
      <c r="AH817" s="423"/>
      <c r="AI817" s="423"/>
    </row>
    <row r="818">
      <c r="A818" s="419"/>
      <c r="B818" s="419"/>
      <c r="C818" s="419"/>
      <c r="D818" s="419"/>
      <c r="E818" s="387"/>
      <c r="F818" s="387"/>
      <c r="G818" s="423"/>
      <c r="H818" s="423"/>
      <c r="I818" s="423"/>
      <c r="J818" s="423"/>
      <c r="K818" s="423"/>
      <c r="L818" s="423"/>
      <c r="M818" s="423"/>
      <c r="N818" s="423"/>
      <c r="O818" s="423"/>
      <c r="P818" s="423"/>
      <c r="Q818" s="423"/>
      <c r="R818" s="423"/>
      <c r="S818" s="423"/>
      <c r="T818" s="423"/>
      <c r="U818" s="423"/>
      <c r="V818" s="423"/>
      <c r="W818" s="423"/>
      <c r="X818" s="423"/>
      <c r="Y818" s="423"/>
      <c r="Z818" s="423"/>
      <c r="AA818" s="423"/>
      <c r="AB818" s="423"/>
      <c r="AC818" s="423"/>
      <c r="AD818" s="423"/>
      <c r="AE818" s="423"/>
      <c r="AF818" s="423"/>
      <c r="AG818" s="423"/>
      <c r="AH818" s="423"/>
      <c r="AI818" s="423"/>
    </row>
    <row r="819">
      <c r="A819" s="419"/>
      <c r="B819" s="419"/>
      <c r="C819" s="419"/>
      <c r="D819" s="419"/>
      <c r="E819" s="387"/>
      <c r="F819" s="387"/>
      <c r="G819" s="423"/>
      <c r="H819" s="423"/>
      <c r="I819" s="423"/>
      <c r="J819" s="423"/>
      <c r="K819" s="423"/>
      <c r="L819" s="423"/>
      <c r="M819" s="423"/>
      <c r="N819" s="423"/>
      <c r="O819" s="423"/>
      <c r="P819" s="423"/>
      <c r="Q819" s="423"/>
      <c r="R819" s="423"/>
      <c r="S819" s="423"/>
      <c r="T819" s="423"/>
      <c r="U819" s="423"/>
      <c r="V819" s="423"/>
      <c r="W819" s="423"/>
      <c r="X819" s="423"/>
      <c r="Y819" s="423"/>
      <c r="Z819" s="423"/>
      <c r="AA819" s="423"/>
      <c r="AB819" s="423"/>
      <c r="AC819" s="423"/>
      <c r="AD819" s="423"/>
      <c r="AE819" s="423"/>
      <c r="AF819" s="423"/>
      <c r="AG819" s="423"/>
      <c r="AH819" s="423"/>
      <c r="AI819" s="423"/>
    </row>
    <row r="820">
      <c r="A820" s="419"/>
      <c r="B820" s="419"/>
      <c r="C820" s="419"/>
      <c r="D820" s="419"/>
      <c r="E820" s="387"/>
      <c r="F820" s="387"/>
      <c r="G820" s="423"/>
      <c r="H820" s="423"/>
      <c r="I820" s="423"/>
      <c r="J820" s="423"/>
      <c r="K820" s="423"/>
      <c r="L820" s="423"/>
      <c r="M820" s="423"/>
      <c r="N820" s="423"/>
      <c r="O820" s="423"/>
      <c r="P820" s="423"/>
      <c r="Q820" s="423"/>
      <c r="R820" s="423"/>
      <c r="S820" s="423"/>
      <c r="T820" s="423"/>
      <c r="U820" s="423"/>
      <c r="V820" s="423"/>
      <c r="W820" s="423"/>
      <c r="X820" s="423"/>
      <c r="Y820" s="423"/>
      <c r="Z820" s="423"/>
      <c r="AA820" s="423"/>
      <c r="AB820" s="423"/>
      <c r="AC820" s="423"/>
      <c r="AD820" s="423"/>
      <c r="AE820" s="423"/>
      <c r="AF820" s="423"/>
      <c r="AG820" s="423"/>
      <c r="AH820" s="423"/>
      <c r="AI820" s="423"/>
    </row>
    <row r="821">
      <c r="A821" s="419"/>
      <c r="B821" s="419"/>
      <c r="C821" s="419"/>
      <c r="D821" s="419"/>
      <c r="E821" s="387"/>
      <c r="F821" s="387"/>
      <c r="G821" s="423"/>
      <c r="H821" s="423"/>
      <c r="I821" s="423"/>
      <c r="J821" s="423"/>
      <c r="K821" s="423"/>
      <c r="L821" s="423"/>
      <c r="M821" s="423"/>
      <c r="N821" s="423"/>
      <c r="O821" s="423"/>
      <c r="P821" s="423"/>
      <c r="Q821" s="423"/>
      <c r="R821" s="423"/>
      <c r="S821" s="423"/>
      <c r="T821" s="423"/>
      <c r="U821" s="423"/>
      <c r="V821" s="423"/>
      <c r="W821" s="423"/>
      <c r="X821" s="423"/>
      <c r="Y821" s="423"/>
      <c r="Z821" s="423"/>
      <c r="AA821" s="423"/>
      <c r="AB821" s="423"/>
      <c r="AC821" s="423"/>
      <c r="AD821" s="423"/>
      <c r="AE821" s="423"/>
      <c r="AF821" s="423"/>
      <c r="AG821" s="423"/>
      <c r="AH821" s="423"/>
      <c r="AI821" s="423"/>
    </row>
    <row r="822">
      <c r="A822" s="419"/>
      <c r="B822" s="419"/>
      <c r="C822" s="419"/>
      <c r="D822" s="419"/>
      <c r="E822" s="387"/>
      <c r="F822" s="387"/>
      <c r="G822" s="423"/>
      <c r="H822" s="423"/>
      <c r="I822" s="423"/>
      <c r="J822" s="423"/>
      <c r="K822" s="423"/>
      <c r="L822" s="423"/>
      <c r="M822" s="423"/>
      <c r="N822" s="423"/>
      <c r="O822" s="423"/>
      <c r="P822" s="423"/>
      <c r="Q822" s="423"/>
      <c r="R822" s="423"/>
      <c r="S822" s="423"/>
      <c r="T822" s="423"/>
      <c r="U822" s="423"/>
      <c r="V822" s="423"/>
      <c r="W822" s="423"/>
      <c r="X822" s="423"/>
      <c r="Y822" s="423"/>
      <c r="Z822" s="423"/>
      <c r="AA822" s="423"/>
      <c r="AB822" s="423"/>
      <c r="AC822" s="423"/>
      <c r="AD822" s="423"/>
      <c r="AE822" s="423"/>
      <c r="AF822" s="423"/>
      <c r="AG822" s="423"/>
      <c r="AH822" s="423"/>
      <c r="AI822" s="423"/>
    </row>
    <row r="823">
      <c r="A823" s="419"/>
      <c r="B823" s="419"/>
      <c r="C823" s="419"/>
      <c r="D823" s="419"/>
      <c r="E823" s="387"/>
      <c r="F823" s="387"/>
      <c r="G823" s="423"/>
      <c r="H823" s="423"/>
      <c r="I823" s="423"/>
      <c r="J823" s="423"/>
      <c r="K823" s="423"/>
      <c r="L823" s="423"/>
      <c r="M823" s="423"/>
      <c r="N823" s="423"/>
      <c r="O823" s="423"/>
      <c r="P823" s="423"/>
      <c r="Q823" s="423"/>
      <c r="R823" s="423"/>
      <c r="S823" s="423"/>
      <c r="T823" s="423"/>
      <c r="U823" s="423"/>
      <c r="V823" s="423"/>
      <c r="W823" s="423"/>
      <c r="X823" s="423"/>
      <c r="Y823" s="423"/>
      <c r="Z823" s="423"/>
      <c r="AA823" s="423"/>
      <c r="AB823" s="423"/>
      <c r="AC823" s="423"/>
      <c r="AD823" s="423"/>
      <c r="AE823" s="423"/>
      <c r="AF823" s="423"/>
      <c r="AG823" s="423"/>
      <c r="AH823" s="423"/>
      <c r="AI823" s="423"/>
    </row>
    <row r="824">
      <c r="A824" s="419"/>
      <c r="B824" s="419"/>
      <c r="C824" s="419"/>
      <c r="D824" s="419"/>
      <c r="E824" s="387"/>
      <c r="F824" s="387"/>
      <c r="G824" s="423"/>
      <c r="H824" s="423"/>
      <c r="I824" s="423"/>
      <c r="J824" s="423"/>
      <c r="K824" s="423"/>
      <c r="L824" s="423"/>
      <c r="M824" s="423"/>
      <c r="N824" s="423"/>
      <c r="O824" s="423"/>
      <c r="P824" s="423"/>
      <c r="Q824" s="423"/>
      <c r="R824" s="423"/>
      <c r="S824" s="423"/>
      <c r="T824" s="423"/>
      <c r="U824" s="423"/>
      <c r="V824" s="423"/>
      <c r="W824" s="423"/>
      <c r="X824" s="423"/>
      <c r="Y824" s="423"/>
      <c r="Z824" s="423"/>
      <c r="AA824" s="423"/>
      <c r="AB824" s="423"/>
      <c r="AC824" s="423"/>
      <c r="AD824" s="423"/>
      <c r="AE824" s="423"/>
      <c r="AF824" s="423"/>
      <c r="AG824" s="423"/>
      <c r="AH824" s="423"/>
      <c r="AI824" s="423"/>
    </row>
    <row r="825">
      <c r="A825" s="419"/>
      <c r="B825" s="419"/>
      <c r="C825" s="419"/>
      <c r="D825" s="419"/>
      <c r="E825" s="387"/>
      <c r="F825" s="387"/>
      <c r="G825" s="423"/>
      <c r="H825" s="423"/>
      <c r="I825" s="423"/>
      <c r="J825" s="423"/>
      <c r="K825" s="423"/>
      <c r="L825" s="423"/>
      <c r="M825" s="423"/>
      <c r="N825" s="423"/>
      <c r="O825" s="423"/>
      <c r="P825" s="423"/>
      <c r="Q825" s="423"/>
      <c r="R825" s="423"/>
      <c r="S825" s="423"/>
      <c r="T825" s="423"/>
      <c r="U825" s="423"/>
      <c r="V825" s="423"/>
      <c r="W825" s="423"/>
      <c r="X825" s="423"/>
      <c r="Y825" s="423"/>
      <c r="Z825" s="423"/>
      <c r="AA825" s="423"/>
      <c r="AB825" s="423"/>
      <c r="AC825" s="423"/>
      <c r="AD825" s="423"/>
      <c r="AE825" s="423"/>
      <c r="AF825" s="423"/>
      <c r="AG825" s="423"/>
      <c r="AH825" s="423"/>
      <c r="AI825" s="423"/>
    </row>
    <row r="826">
      <c r="A826" s="419"/>
      <c r="B826" s="419"/>
      <c r="C826" s="419"/>
      <c r="D826" s="419"/>
      <c r="E826" s="387"/>
      <c r="F826" s="387"/>
      <c r="G826" s="423"/>
      <c r="H826" s="423"/>
      <c r="I826" s="423"/>
      <c r="J826" s="423"/>
      <c r="K826" s="423"/>
      <c r="L826" s="423"/>
      <c r="M826" s="423"/>
      <c r="N826" s="423"/>
      <c r="O826" s="423"/>
      <c r="P826" s="423"/>
      <c r="Q826" s="423"/>
      <c r="R826" s="423"/>
      <c r="S826" s="423"/>
      <c r="T826" s="423"/>
      <c r="U826" s="423"/>
      <c r="V826" s="423"/>
      <c r="W826" s="423"/>
      <c r="X826" s="423"/>
      <c r="Y826" s="423"/>
      <c r="Z826" s="423"/>
      <c r="AA826" s="423"/>
      <c r="AB826" s="423"/>
      <c r="AC826" s="423"/>
      <c r="AD826" s="423"/>
      <c r="AE826" s="423"/>
      <c r="AF826" s="423"/>
      <c r="AG826" s="423"/>
      <c r="AH826" s="423"/>
      <c r="AI826" s="423"/>
    </row>
    <row r="827">
      <c r="A827" s="419"/>
      <c r="B827" s="419"/>
      <c r="C827" s="419"/>
      <c r="D827" s="419"/>
      <c r="E827" s="387"/>
      <c r="F827" s="387"/>
      <c r="G827" s="423"/>
      <c r="H827" s="423"/>
      <c r="I827" s="423"/>
      <c r="J827" s="423"/>
      <c r="K827" s="423"/>
      <c r="L827" s="423"/>
      <c r="M827" s="423"/>
      <c r="N827" s="423"/>
      <c r="O827" s="423"/>
      <c r="P827" s="423"/>
      <c r="Q827" s="423"/>
      <c r="R827" s="423"/>
      <c r="S827" s="423"/>
      <c r="T827" s="423"/>
      <c r="U827" s="423"/>
      <c r="V827" s="423"/>
      <c r="W827" s="423"/>
      <c r="X827" s="423"/>
      <c r="Y827" s="423"/>
      <c r="Z827" s="423"/>
      <c r="AA827" s="423"/>
      <c r="AB827" s="423"/>
      <c r="AC827" s="423"/>
      <c r="AD827" s="423"/>
      <c r="AE827" s="423"/>
      <c r="AF827" s="423"/>
      <c r="AG827" s="423"/>
      <c r="AH827" s="423"/>
      <c r="AI827" s="423"/>
    </row>
    <row r="828">
      <c r="A828" s="419"/>
      <c r="B828" s="419"/>
      <c r="C828" s="419"/>
      <c r="D828" s="419"/>
      <c r="E828" s="387"/>
      <c r="F828" s="387"/>
      <c r="G828" s="423"/>
      <c r="H828" s="423"/>
      <c r="I828" s="423"/>
      <c r="J828" s="423"/>
      <c r="K828" s="423"/>
      <c r="L828" s="423"/>
      <c r="M828" s="423"/>
      <c r="N828" s="423"/>
      <c r="O828" s="423"/>
      <c r="P828" s="423"/>
      <c r="Q828" s="423"/>
      <c r="R828" s="423"/>
      <c r="S828" s="423"/>
      <c r="T828" s="423"/>
      <c r="U828" s="423"/>
      <c r="V828" s="423"/>
      <c r="W828" s="423"/>
      <c r="X828" s="423"/>
      <c r="Y828" s="423"/>
      <c r="Z828" s="423"/>
      <c r="AA828" s="423"/>
      <c r="AB828" s="423"/>
      <c r="AC828" s="423"/>
      <c r="AD828" s="423"/>
      <c r="AE828" s="423"/>
      <c r="AF828" s="423"/>
      <c r="AG828" s="423"/>
      <c r="AH828" s="423"/>
      <c r="AI828" s="423"/>
    </row>
    <row r="829">
      <c r="A829" s="419"/>
      <c r="B829" s="419"/>
      <c r="C829" s="419"/>
      <c r="D829" s="419"/>
      <c r="E829" s="387"/>
      <c r="F829" s="387"/>
      <c r="G829" s="423"/>
      <c r="H829" s="423"/>
      <c r="I829" s="423"/>
      <c r="J829" s="423"/>
      <c r="K829" s="423"/>
      <c r="L829" s="423"/>
      <c r="M829" s="423"/>
      <c r="N829" s="423"/>
      <c r="O829" s="423"/>
      <c r="P829" s="423"/>
      <c r="Q829" s="423"/>
      <c r="R829" s="423"/>
      <c r="S829" s="423"/>
      <c r="T829" s="423"/>
      <c r="U829" s="423"/>
      <c r="V829" s="423"/>
      <c r="W829" s="423"/>
      <c r="X829" s="423"/>
      <c r="Y829" s="423"/>
      <c r="Z829" s="423"/>
      <c r="AA829" s="423"/>
      <c r="AB829" s="423"/>
      <c r="AC829" s="423"/>
      <c r="AD829" s="423"/>
      <c r="AE829" s="423"/>
      <c r="AF829" s="423"/>
      <c r="AG829" s="423"/>
      <c r="AH829" s="423"/>
      <c r="AI829" s="423"/>
    </row>
    <row r="830">
      <c r="A830" s="419"/>
      <c r="B830" s="419"/>
      <c r="C830" s="419"/>
      <c r="D830" s="419"/>
      <c r="E830" s="387"/>
      <c r="F830" s="387"/>
      <c r="G830" s="423"/>
      <c r="H830" s="423"/>
      <c r="I830" s="423"/>
      <c r="J830" s="423"/>
      <c r="K830" s="423"/>
      <c r="L830" s="423"/>
      <c r="M830" s="423"/>
      <c r="N830" s="423"/>
      <c r="O830" s="423"/>
      <c r="P830" s="423"/>
      <c r="Q830" s="423"/>
      <c r="R830" s="423"/>
      <c r="S830" s="423"/>
      <c r="T830" s="423"/>
      <c r="U830" s="423"/>
      <c r="V830" s="423"/>
      <c r="W830" s="423"/>
      <c r="X830" s="423"/>
      <c r="Y830" s="423"/>
      <c r="Z830" s="423"/>
      <c r="AA830" s="423"/>
      <c r="AB830" s="423"/>
      <c r="AC830" s="423"/>
      <c r="AD830" s="423"/>
      <c r="AE830" s="423"/>
      <c r="AF830" s="423"/>
      <c r="AG830" s="423"/>
      <c r="AH830" s="423"/>
      <c r="AI830" s="423"/>
    </row>
    <row r="831">
      <c r="A831" s="419"/>
      <c r="B831" s="419"/>
      <c r="C831" s="419"/>
      <c r="D831" s="419"/>
      <c r="E831" s="387"/>
      <c r="F831" s="387"/>
      <c r="G831" s="423"/>
      <c r="H831" s="423"/>
      <c r="I831" s="423"/>
      <c r="J831" s="423"/>
      <c r="K831" s="423"/>
      <c r="L831" s="423"/>
      <c r="M831" s="423"/>
      <c r="N831" s="423"/>
      <c r="O831" s="423"/>
      <c r="P831" s="423"/>
      <c r="Q831" s="423"/>
      <c r="R831" s="423"/>
      <c r="S831" s="423"/>
      <c r="T831" s="423"/>
      <c r="U831" s="423"/>
      <c r="V831" s="423"/>
      <c r="W831" s="423"/>
      <c r="X831" s="423"/>
      <c r="Y831" s="423"/>
      <c r="Z831" s="423"/>
      <c r="AA831" s="423"/>
      <c r="AB831" s="423"/>
      <c r="AC831" s="423"/>
      <c r="AD831" s="423"/>
      <c r="AE831" s="423"/>
      <c r="AF831" s="423"/>
      <c r="AG831" s="423"/>
      <c r="AH831" s="423"/>
      <c r="AI831" s="423"/>
    </row>
    <row r="832">
      <c r="A832" s="419"/>
      <c r="B832" s="419"/>
      <c r="C832" s="419"/>
      <c r="D832" s="419"/>
      <c r="E832" s="387"/>
      <c r="F832" s="387"/>
      <c r="G832" s="423"/>
      <c r="H832" s="423"/>
      <c r="I832" s="423"/>
      <c r="J832" s="423"/>
      <c r="K832" s="423"/>
      <c r="L832" s="423"/>
      <c r="M832" s="423"/>
      <c r="N832" s="423"/>
      <c r="O832" s="423"/>
      <c r="P832" s="423"/>
      <c r="Q832" s="423"/>
      <c r="R832" s="423"/>
      <c r="S832" s="423"/>
      <c r="T832" s="423"/>
      <c r="U832" s="423"/>
      <c r="V832" s="423"/>
      <c r="W832" s="423"/>
      <c r="X832" s="423"/>
      <c r="Y832" s="423"/>
      <c r="Z832" s="423"/>
      <c r="AA832" s="423"/>
      <c r="AB832" s="423"/>
      <c r="AC832" s="423"/>
      <c r="AD832" s="423"/>
      <c r="AE832" s="423"/>
      <c r="AF832" s="423"/>
      <c r="AG832" s="423"/>
      <c r="AH832" s="423"/>
      <c r="AI832" s="423"/>
    </row>
    <row r="833">
      <c r="A833" s="419"/>
      <c r="B833" s="419"/>
      <c r="C833" s="419"/>
      <c r="D833" s="419"/>
      <c r="E833" s="387"/>
      <c r="F833" s="387"/>
      <c r="G833" s="423"/>
      <c r="H833" s="423"/>
      <c r="I833" s="423"/>
      <c r="J833" s="423"/>
      <c r="K833" s="423"/>
      <c r="L833" s="423"/>
      <c r="M833" s="423"/>
      <c r="N833" s="423"/>
      <c r="O833" s="423"/>
      <c r="P833" s="423"/>
      <c r="Q833" s="423"/>
      <c r="R833" s="423"/>
      <c r="S833" s="423"/>
      <c r="T833" s="423"/>
      <c r="U833" s="423"/>
      <c r="V833" s="423"/>
      <c r="W833" s="423"/>
      <c r="X833" s="423"/>
      <c r="Y833" s="423"/>
      <c r="Z833" s="423"/>
      <c r="AA833" s="423"/>
      <c r="AB833" s="423"/>
      <c r="AC833" s="423"/>
      <c r="AD833" s="423"/>
      <c r="AE833" s="423"/>
      <c r="AF833" s="423"/>
      <c r="AG833" s="423"/>
      <c r="AH833" s="423"/>
      <c r="AI833" s="423"/>
    </row>
    <row r="834">
      <c r="A834" s="419"/>
      <c r="B834" s="419"/>
      <c r="C834" s="419"/>
      <c r="D834" s="419"/>
      <c r="E834" s="387"/>
      <c r="F834" s="387"/>
      <c r="G834" s="423"/>
      <c r="H834" s="423"/>
      <c r="I834" s="423"/>
      <c r="J834" s="423"/>
      <c r="K834" s="423"/>
      <c r="L834" s="423"/>
      <c r="M834" s="423"/>
      <c r="N834" s="423"/>
      <c r="O834" s="423"/>
      <c r="P834" s="423"/>
      <c r="Q834" s="423"/>
      <c r="R834" s="423"/>
      <c r="S834" s="423"/>
      <c r="T834" s="423"/>
      <c r="U834" s="423"/>
      <c r="V834" s="423"/>
      <c r="W834" s="423"/>
      <c r="X834" s="423"/>
      <c r="Y834" s="423"/>
      <c r="Z834" s="423"/>
      <c r="AA834" s="423"/>
      <c r="AB834" s="423"/>
      <c r="AC834" s="423"/>
      <c r="AD834" s="423"/>
      <c r="AE834" s="423"/>
      <c r="AF834" s="423"/>
      <c r="AG834" s="423"/>
      <c r="AH834" s="423"/>
      <c r="AI834" s="423"/>
    </row>
    <row r="835">
      <c r="A835" s="419"/>
      <c r="B835" s="419"/>
      <c r="C835" s="419"/>
      <c r="D835" s="419"/>
      <c r="E835" s="387"/>
      <c r="F835" s="387"/>
      <c r="G835" s="423"/>
      <c r="H835" s="423"/>
      <c r="I835" s="423"/>
      <c r="J835" s="423"/>
      <c r="K835" s="423"/>
      <c r="L835" s="423"/>
      <c r="M835" s="423"/>
      <c r="N835" s="423"/>
      <c r="O835" s="423"/>
      <c r="P835" s="423"/>
      <c r="Q835" s="423"/>
      <c r="R835" s="423"/>
      <c r="S835" s="423"/>
      <c r="T835" s="423"/>
      <c r="U835" s="423"/>
      <c r="V835" s="423"/>
      <c r="W835" s="423"/>
      <c r="X835" s="423"/>
      <c r="Y835" s="423"/>
      <c r="Z835" s="423"/>
      <c r="AA835" s="423"/>
      <c r="AB835" s="423"/>
      <c r="AC835" s="423"/>
      <c r="AD835" s="423"/>
      <c r="AE835" s="423"/>
      <c r="AF835" s="423"/>
      <c r="AG835" s="423"/>
      <c r="AH835" s="423"/>
      <c r="AI835" s="423"/>
    </row>
    <row r="836">
      <c r="A836" s="419"/>
      <c r="B836" s="419"/>
      <c r="C836" s="419"/>
      <c r="D836" s="419"/>
      <c r="E836" s="387"/>
      <c r="F836" s="387"/>
      <c r="G836" s="423"/>
      <c r="H836" s="423"/>
      <c r="I836" s="423"/>
      <c r="J836" s="423"/>
      <c r="K836" s="423"/>
      <c r="L836" s="423"/>
      <c r="M836" s="423"/>
      <c r="N836" s="423"/>
      <c r="O836" s="423"/>
      <c r="P836" s="423"/>
      <c r="Q836" s="423"/>
      <c r="R836" s="423"/>
      <c r="S836" s="423"/>
      <c r="T836" s="423"/>
      <c r="U836" s="423"/>
      <c r="V836" s="423"/>
      <c r="W836" s="423"/>
      <c r="X836" s="423"/>
      <c r="Y836" s="423"/>
      <c r="Z836" s="423"/>
      <c r="AA836" s="423"/>
      <c r="AB836" s="423"/>
      <c r="AC836" s="423"/>
      <c r="AD836" s="423"/>
      <c r="AE836" s="423"/>
      <c r="AF836" s="423"/>
      <c r="AG836" s="423"/>
      <c r="AH836" s="423"/>
      <c r="AI836" s="423"/>
    </row>
    <row r="837">
      <c r="A837" s="419"/>
      <c r="B837" s="419"/>
      <c r="C837" s="419"/>
      <c r="D837" s="419"/>
      <c r="E837" s="387"/>
      <c r="F837" s="387"/>
      <c r="G837" s="423"/>
      <c r="H837" s="423"/>
      <c r="I837" s="423"/>
      <c r="J837" s="423"/>
      <c r="K837" s="423"/>
      <c r="L837" s="423"/>
      <c r="M837" s="423"/>
      <c r="N837" s="423"/>
      <c r="O837" s="423"/>
      <c r="P837" s="423"/>
      <c r="Q837" s="423"/>
      <c r="R837" s="423"/>
      <c r="S837" s="423"/>
      <c r="T837" s="423"/>
      <c r="U837" s="423"/>
      <c r="V837" s="423"/>
      <c r="W837" s="423"/>
      <c r="X837" s="423"/>
      <c r="Y837" s="423"/>
      <c r="Z837" s="423"/>
      <c r="AA837" s="423"/>
      <c r="AB837" s="423"/>
      <c r="AC837" s="423"/>
      <c r="AD837" s="423"/>
      <c r="AE837" s="423"/>
      <c r="AF837" s="423"/>
      <c r="AG837" s="423"/>
      <c r="AH837" s="423"/>
      <c r="AI837" s="423"/>
    </row>
    <row r="838">
      <c r="A838" s="419"/>
      <c r="B838" s="419"/>
      <c r="C838" s="419"/>
      <c r="D838" s="419"/>
      <c r="E838" s="387"/>
      <c r="F838" s="387"/>
      <c r="G838" s="423"/>
      <c r="H838" s="423"/>
      <c r="I838" s="423"/>
      <c r="J838" s="423"/>
      <c r="K838" s="423"/>
      <c r="L838" s="423"/>
      <c r="M838" s="423"/>
      <c r="N838" s="423"/>
      <c r="O838" s="423"/>
      <c r="P838" s="423"/>
      <c r="Q838" s="423"/>
      <c r="R838" s="423"/>
      <c r="S838" s="423"/>
      <c r="T838" s="423"/>
      <c r="U838" s="423"/>
      <c r="V838" s="423"/>
      <c r="W838" s="423"/>
      <c r="X838" s="423"/>
      <c r="Y838" s="423"/>
      <c r="Z838" s="423"/>
      <c r="AA838" s="423"/>
      <c r="AB838" s="423"/>
      <c r="AC838" s="423"/>
      <c r="AD838" s="423"/>
      <c r="AE838" s="423"/>
      <c r="AF838" s="423"/>
      <c r="AG838" s="423"/>
      <c r="AH838" s="423"/>
      <c r="AI838" s="423"/>
    </row>
    <row r="839">
      <c r="A839" s="419"/>
      <c r="B839" s="419"/>
      <c r="C839" s="419"/>
      <c r="D839" s="419"/>
      <c r="E839" s="387"/>
      <c r="F839" s="387"/>
      <c r="G839" s="423"/>
      <c r="H839" s="423"/>
      <c r="I839" s="423"/>
      <c r="J839" s="423"/>
      <c r="K839" s="423"/>
      <c r="L839" s="423"/>
      <c r="M839" s="423"/>
      <c r="N839" s="423"/>
      <c r="O839" s="423"/>
      <c r="P839" s="423"/>
      <c r="Q839" s="423"/>
      <c r="R839" s="423"/>
      <c r="S839" s="423"/>
      <c r="T839" s="423"/>
      <c r="U839" s="423"/>
      <c r="V839" s="423"/>
      <c r="W839" s="423"/>
      <c r="X839" s="423"/>
      <c r="Y839" s="423"/>
      <c r="Z839" s="423"/>
      <c r="AA839" s="423"/>
      <c r="AB839" s="423"/>
      <c r="AC839" s="423"/>
      <c r="AD839" s="423"/>
      <c r="AE839" s="423"/>
      <c r="AF839" s="423"/>
      <c r="AG839" s="423"/>
      <c r="AH839" s="423"/>
      <c r="AI839" s="423"/>
    </row>
    <row r="840">
      <c r="A840" s="419"/>
      <c r="B840" s="419"/>
      <c r="C840" s="419"/>
      <c r="D840" s="419"/>
      <c r="E840" s="387"/>
      <c r="F840" s="387"/>
      <c r="G840" s="423"/>
      <c r="H840" s="423"/>
      <c r="I840" s="423"/>
      <c r="J840" s="423"/>
      <c r="K840" s="423"/>
      <c r="L840" s="423"/>
      <c r="M840" s="423"/>
      <c r="N840" s="423"/>
      <c r="O840" s="423"/>
      <c r="P840" s="423"/>
      <c r="Q840" s="423"/>
      <c r="R840" s="423"/>
      <c r="S840" s="423"/>
      <c r="T840" s="423"/>
      <c r="U840" s="423"/>
      <c r="V840" s="423"/>
      <c r="W840" s="423"/>
      <c r="X840" s="423"/>
      <c r="Y840" s="423"/>
      <c r="Z840" s="423"/>
      <c r="AA840" s="423"/>
      <c r="AB840" s="423"/>
      <c r="AC840" s="423"/>
      <c r="AD840" s="423"/>
      <c r="AE840" s="423"/>
      <c r="AF840" s="423"/>
      <c r="AG840" s="423"/>
      <c r="AH840" s="423"/>
      <c r="AI840" s="423"/>
    </row>
    <row r="841">
      <c r="A841" s="419"/>
      <c r="B841" s="419"/>
      <c r="C841" s="419"/>
      <c r="D841" s="419"/>
      <c r="E841" s="387"/>
      <c r="F841" s="387"/>
      <c r="G841" s="423"/>
      <c r="H841" s="423"/>
      <c r="I841" s="423"/>
      <c r="J841" s="423"/>
      <c r="K841" s="423"/>
      <c r="L841" s="423"/>
      <c r="M841" s="423"/>
      <c r="N841" s="423"/>
      <c r="O841" s="423"/>
      <c r="P841" s="423"/>
      <c r="Q841" s="423"/>
      <c r="R841" s="423"/>
      <c r="S841" s="423"/>
      <c r="T841" s="423"/>
      <c r="U841" s="423"/>
      <c r="V841" s="423"/>
      <c r="W841" s="423"/>
      <c r="X841" s="423"/>
      <c r="Y841" s="423"/>
      <c r="Z841" s="423"/>
      <c r="AA841" s="423"/>
      <c r="AB841" s="423"/>
      <c r="AC841" s="423"/>
      <c r="AD841" s="423"/>
      <c r="AE841" s="423"/>
      <c r="AF841" s="423"/>
      <c r="AG841" s="423"/>
      <c r="AH841" s="423"/>
      <c r="AI841" s="423"/>
    </row>
    <row r="842">
      <c r="A842" s="419"/>
      <c r="B842" s="419"/>
      <c r="C842" s="419"/>
      <c r="D842" s="419"/>
      <c r="E842" s="387"/>
      <c r="F842" s="387"/>
      <c r="G842" s="423"/>
      <c r="H842" s="423"/>
      <c r="I842" s="423"/>
      <c r="J842" s="423"/>
      <c r="K842" s="423"/>
      <c r="L842" s="423"/>
      <c r="M842" s="423"/>
      <c r="N842" s="423"/>
      <c r="O842" s="423"/>
      <c r="P842" s="423"/>
      <c r="Q842" s="423"/>
      <c r="R842" s="423"/>
      <c r="S842" s="423"/>
      <c r="T842" s="423"/>
      <c r="U842" s="423"/>
      <c r="V842" s="423"/>
      <c r="W842" s="423"/>
      <c r="X842" s="423"/>
      <c r="Y842" s="423"/>
      <c r="Z842" s="423"/>
      <c r="AA842" s="423"/>
      <c r="AB842" s="423"/>
      <c r="AC842" s="423"/>
      <c r="AD842" s="423"/>
      <c r="AE842" s="423"/>
      <c r="AF842" s="423"/>
      <c r="AG842" s="423"/>
      <c r="AH842" s="423"/>
      <c r="AI842" s="423"/>
    </row>
    <row r="843">
      <c r="A843" s="419"/>
      <c r="B843" s="419"/>
      <c r="C843" s="419"/>
      <c r="D843" s="419"/>
      <c r="E843" s="387"/>
      <c r="F843" s="387"/>
      <c r="G843" s="423"/>
      <c r="H843" s="423"/>
      <c r="I843" s="423"/>
      <c r="J843" s="423"/>
      <c r="K843" s="423"/>
      <c r="L843" s="423"/>
      <c r="M843" s="423"/>
      <c r="N843" s="423"/>
      <c r="O843" s="423"/>
      <c r="P843" s="423"/>
      <c r="Q843" s="423"/>
      <c r="R843" s="423"/>
      <c r="S843" s="423"/>
      <c r="T843" s="423"/>
      <c r="U843" s="423"/>
      <c r="V843" s="423"/>
      <c r="W843" s="423"/>
      <c r="X843" s="423"/>
      <c r="Y843" s="423"/>
      <c r="Z843" s="423"/>
      <c r="AA843" s="423"/>
      <c r="AB843" s="423"/>
      <c r="AC843" s="423"/>
      <c r="AD843" s="423"/>
      <c r="AE843" s="423"/>
      <c r="AF843" s="423"/>
      <c r="AG843" s="423"/>
      <c r="AH843" s="423"/>
      <c r="AI843" s="423"/>
    </row>
    <row r="844">
      <c r="A844" s="419"/>
      <c r="B844" s="419"/>
      <c r="C844" s="419"/>
      <c r="D844" s="419"/>
      <c r="E844" s="387"/>
      <c r="F844" s="387"/>
      <c r="G844" s="423"/>
      <c r="H844" s="423"/>
      <c r="I844" s="423"/>
      <c r="J844" s="423"/>
      <c r="K844" s="423"/>
      <c r="L844" s="423"/>
      <c r="M844" s="423"/>
      <c r="N844" s="423"/>
      <c r="O844" s="423"/>
      <c r="P844" s="423"/>
      <c r="Q844" s="423"/>
      <c r="R844" s="423"/>
      <c r="S844" s="423"/>
      <c r="T844" s="423"/>
      <c r="U844" s="423"/>
      <c r="V844" s="423"/>
      <c r="W844" s="423"/>
      <c r="X844" s="423"/>
      <c r="Y844" s="423"/>
      <c r="Z844" s="423"/>
      <c r="AA844" s="423"/>
      <c r="AB844" s="423"/>
      <c r="AC844" s="423"/>
      <c r="AD844" s="423"/>
      <c r="AE844" s="423"/>
      <c r="AF844" s="423"/>
      <c r="AG844" s="423"/>
      <c r="AH844" s="423"/>
      <c r="AI844" s="423"/>
    </row>
    <row r="845">
      <c r="A845" s="419"/>
      <c r="B845" s="419"/>
      <c r="C845" s="419"/>
      <c r="D845" s="419"/>
      <c r="E845" s="387"/>
      <c r="F845" s="387"/>
      <c r="G845" s="423"/>
      <c r="H845" s="423"/>
      <c r="I845" s="423"/>
      <c r="J845" s="423"/>
      <c r="K845" s="423"/>
      <c r="L845" s="423"/>
      <c r="M845" s="423"/>
      <c r="N845" s="423"/>
      <c r="O845" s="423"/>
      <c r="P845" s="423"/>
      <c r="Q845" s="423"/>
      <c r="R845" s="423"/>
      <c r="S845" s="423"/>
      <c r="T845" s="423"/>
      <c r="U845" s="423"/>
      <c r="V845" s="423"/>
      <c r="W845" s="423"/>
      <c r="X845" s="423"/>
      <c r="Y845" s="423"/>
      <c r="Z845" s="423"/>
      <c r="AA845" s="423"/>
      <c r="AB845" s="423"/>
      <c r="AC845" s="423"/>
      <c r="AD845" s="423"/>
      <c r="AE845" s="423"/>
      <c r="AF845" s="423"/>
      <c r="AG845" s="423"/>
      <c r="AH845" s="423"/>
      <c r="AI845" s="423"/>
    </row>
    <row r="846">
      <c r="A846" s="419"/>
      <c r="B846" s="419"/>
      <c r="C846" s="419"/>
      <c r="D846" s="419"/>
      <c r="E846" s="387"/>
      <c r="F846" s="387"/>
      <c r="G846" s="423"/>
      <c r="H846" s="423"/>
      <c r="I846" s="423"/>
      <c r="J846" s="423"/>
      <c r="K846" s="423"/>
      <c r="L846" s="423"/>
      <c r="M846" s="423"/>
      <c r="N846" s="423"/>
      <c r="O846" s="423"/>
      <c r="P846" s="423"/>
      <c r="Q846" s="423"/>
      <c r="R846" s="423"/>
      <c r="S846" s="423"/>
      <c r="T846" s="423"/>
      <c r="U846" s="423"/>
      <c r="V846" s="423"/>
      <c r="W846" s="423"/>
      <c r="X846" s="423"/>
      <c r="Y846" s="423"/>
      <c r="Z846" s="423"/>
      <c r="AA846" s="423"/>
      <c r="AB846" s="423"/>
      <c r="AC846" s="423"/>
      <c r="AD846" s="423"/>
      <c r="AE846" s="423"/>
      <c r="AF846" s="423"/>
      <c r="AG846" s="423"/>
      <c r="AH846" s="423"/>
      <c r="AI846" s="423"/>
    </row>
    <row r="847">
      <c r="A847" s="419"/>
      <c r="B847" s="419"/>
      <c r="C847" s="419"/>
      <c r="D847" s="419"/>
      <c r="E847" s="387"/>
      <c r="F847" s="387"/>
      <c r="G847" s="423"/>
      <c r="H847" s="423"/>
      <c r="I847" s="423"/>
      <c r="J847" s="423"/>
      <c r="K847" s="423"/>
      <c r="L847" s="423"/>
      <c r="M847" s="423"/>
      <c r="N847" s="423"/>
      <c r="O847" s="423"/>
      <c r="P847" s="423"/>
      <c r="Q847" s="423"/>
      <c r="R847" s="423"/>
      <c r="S847" s="423"/>
      <c r="T847" s="423"/>
      <c r="U847" s="423"/>
      <c r="V847" s="423"/>
      <c r="W847" s="423"/>
      <c r="X847" s="423"/>
      <c r="Y847" s="423"/>
      <c r="Z847" s="423"/>
      <c r="AA847" s="423"/>
      <c r="AB847" s="423"/>
      <c r="AC847" s="423"/>
      <c r="AD847" s="423"/>
      <c r="AE847" s="423"/>
      <c r="AF847" s="423"/>
      <c r="AG847" s="423"/>
      <c r="AH847" s="423"/>
      <c r="AI847" s="423"/>
    </row>
    <row r="848">
      <c r="A848" s="419"/>
      <c r="B848" s="419"/>
      <c r="C848" s="419"/>
      <c r="D848" s="419"/>
      <c r="E848" s="387"/>
      <c r="F848" s="387"/>
      <c r="G848" s="423"/>
      <c r="H848" s="423"/>
      <c r="I848" s="423"/>
      <c r="J848" s="423"/>
      <c r="K848" s="423"/>
      <c r="L848" s="423"/>
      <c r="M848" s="423"/>
      <c r="N848" s="423"/>
      <c r="O848" s="423"/>
      <c r="P848" s="423"/>
      <c r="Q848" s="423"/>
      <c r="R848" s="423"/>
      <c r="S848" s="423"/>
      <c r="T848" s="423"/>
      <c r="U848" s="423"/>
      <c r="V848" s="423"/>
      <c r="W848" s="423"/>
      <c r="X848" s="423"/>
      <c r="Y848" s="423"/>
      <c r="Z848" s="423"/>
      <c r="AA848" s="423"/>
      <c r="AB848" s="423"/>
      <c r="AC848" s="423"/>
      <c r="AD848" s="423"/>
      <c r="AE848" s="423"/>
      <c r="AF848" s="423"/>
      <c r="AG848" s="423"/>
      <c r="AH848" s="423"/>
      <c r="AI848" s="423"/>
    </row>
    <row r="849">
      <c r="A849" s="419"/>
      <c r="B849" s="419"/>
      <c r="C849" s="419"/>
      <c r="D849" s="419"/>
      <c r="E849" s="387"/>
      <c r="F849" s="387"/>
      <c r="G849" s="423"/>
      <c r="H849" s="423"/>
      <c r="I849" s="423"/>
      <c r="J849" s="423"/>
      <c r="K849" s="423"/>
      <c r="L849" s="423"/>
      <c r="M849" s="423"/>
      <c r="N849" s="423"/>
      <c r="O849" s="423"/>
      <c r="P849" s="423"/>
      <c r="Q849" s="423"/>
      <c r="R849" s="423"/>
      <c r="S849" s="423"/>
      <c r="T849" s="423"/>
      <c r="U849" s="423"/>
      <c r="V849" s="423"/>
      <c r="W849" s="423"/>
      <c r="X849" s="423"/>
      <c r="Y849" s="423"/>
      <c r="Z849" s="423"/>
      <c r="AA849" s="423"/>
      <c r="AB849" s="423"/>
      <c r="AC849" s="423"/>
      <c r="AD849" s="423"/>
      <c r="AE849" s="423"/>
      <c r="AF849" s="423"/>
      <c r="AG849" s="423"/>
      <c r="AH849" s="423"/>
      <c r="AI849" s="423"/>
    </row>
    <row r="850">
      <c r="A850" s="419"/>
      <c r="B850" s="419"/>
      <c r="C850" s="419"/>
      <c r="D850" s="419"/>
      <c r="E850" s="387"/>
      <c r="F850" s="387"/>
      <c r="G850" s="423"/>
      <c r="H850" s="423"/>
      <c r="I850" s="423"/>
      <c r="J850" s="423"/>
      <c r="K850" s="423"/>
      <c r="L850" s="423"/>
      <c r="M850" s="423"/>
      <c r="N850" s="423"/>
      <c r="O850" s="423"/>
      <c r="P850" s="423"/>
      <c r="Q850" s="423"/>
      <c r="R850" s="423"/>
      <c r="S850" s="423"/>
      <c r="T850" s="423"/>
      <c r="U850" s="423"/>
      <c r="V850" s="423"/>
      <c r="W850" s="423"/>
      <c r="X850" s="423"/>
      <c r="Y850" s="423"/>
      <c r="Z850" s="423"/>
      <c r="AA850" s="423"/>
      <c r="AB850" s="423"/>
      <c r="AC850" s="423"/>
      <c r="AD850" s="423"/>
      <c r="AE850" s="423"/>
      <c r="AF850" s="423"/>
      <c r="AG850" s="423"/>
      <c r="AH850" s="423"/>
      <c r="AI850" s="423"/>
    </row>
    <row r="851">
      <c r="A851" s="419"/>
      <c r="B851" s="419"/>
      <c r="C851" s="419"/>
      <c r="D851" s="419"/>
      <c r="E851" s="387"/>
      <c r="F851" s="387"/>
      <c r="G851" s="423"/>
      <c r="H851" s="423"/>
      <c r="I851" s="423"/>
      <c r="J851" s="423"/>
      <c r="K851" s="423"/>
      <c r="L851" s="423"/>
      <c r="M851" s="423"/>
      <c r="N851" s="423"/>
      <c r="O851" s="423"/>
      <c r="P851" s="423"/>
      <c r="Q851" s="423"/>
      <c r="R851" s="423"/>
      <c r="S851" s="423"/>
      <c r="T851" s="423"/>
      <c r="U851" s="423"/>
      <c r="V851" s="423"/>
      <c r="W851" s="423"/>
      <c r="X851" s="423"/>
      <c r="Y851" s="423"/>
      <c r="Z851" s="423"/>
      <c r="AA851" s="423"/>
      <c r="AB851" s="423"/>
      <c r="AC851" s="423"/>
      <c r="AD851" s="423"/>
      <c r="AE851" s="423"/>
      <c r="AF851" s="423"/>
      <c r="AG851" s="423"/>
      <c r="AH851" s="423"/>
      <c r="AI851" s="423"/>
    </row>
    <row r="852">
      <c r="A852" s="419"/>
      <c r="B852" s="419"/>
      <c r="C852" s="419"/>
      <c r="D852" s="419"/>
      <c r="E852" s="387"/>
      <c r="F852" s="387"/>
      <c r="G852" s="423"/>
      <c r="H852" s="423"/>
      <c r="I852" s="423"/>
      <c r="J852" s="423"/>
      <c r="K852" s="423"/>
      <c r="L852" s="423"/>
      <c r="M852" s="423"/>
      <c r="N852" s="423"/>
      <c r="O852" s="423"/>
      <c r="P852" s="423"/>
      <c r="Q852" s="423"/>
      <c r="R852" s="423"/>
      <c r="S852" s="423"/>
      <c r="T852" s="423"/>
      <c r="U852" s="423"/>
      <c r="V852" s="423"/>
      <c r="W852" s="423"/>
      <c r="X852" s="423"/>
      <c r="Y852" s="423"/>
      <c r="Z852" s="423"/>
      <c r="AA852" s="423"/>
      <c r="AB852" s="423"/>
      <c r="AC852" s="423"/>
      <c r="AD852" s="423"/>
      <c r="AE852" s="423"/>
      <c r="AF852" s="423"/>
      <c r="AG852" s="423"/>
      <c r="AH852" s="423"/>
      <c r="AI852" s="423"/>
    </row>
    <row r="853">
      <c r="A853" s="419"/>
      <c r="B853" s="419"/>
      <c r="C853" s="419"/>
      <c r="D853" s="419"/>
      <c r="E853" s="387"/>
      <c r="F853" s="387"/>
      <c r="G853" s="423"/>
      <c r="H853" s="423"/>
      <c r="I853" s="423"/>
      <c r="J853" s="423"/>
      <c r="K853" s="423"/>
      <c r="L853" s="423"/>
      <c r="M853" s="423"/>
      <c r="N853" s="423"/>
      <c r="O853" s="423"/>
      <c r="P853" s="423"/>
      <c r="Q853" s="423"/>
      <c r="R853" s="423"/>
      <c r="S853" s="423"/>
      <c r="T853" s="423"/>
      <c r="U853" s="423"/>
      <c r="V853" s="423"/>
      <c r="W853" s="423"/>
      <c r="X853" s="423"/>
      <c r="Y853" s="423"/>
      <c r="Z853" s="423"/>
      <c r="AA853" s="423"/>
      <c r="AB853" s="423"/>
      <c r="AC853" s="423"/>
      <c r="AD853" s="423"/>
      <c r="AE853" s="423"/>
      <c r="AF853" s="423"/>
      <c r="AG853" s="423"/>
      <c r="AH853" s="423"/>
      <c r="AI853" s="423"/>
    </row>
    <row r="854">
      <c r="A854" s="419"/>
      <c r="B854" s="419"/>
      <c r="C854" s="419"/>
      <c r="D854" s="419"/>
      <c r="E854" s="387"/>
      <c r="F854" s="387"/>
      <c r="G854" s="423"/>
      <c r="H854" s="423"/>
      <c r="I854" s="423"/>
      <c r="J854" s="423"/>
      <c r="K854" s="423"/>
      <c r="L854" s="423"/>
      <c r="M854" s="423"/>
      <c r="N854" s="423"/>
      <c r="O854" s="423"/>
      <c r="P854" s="423"/>
      <c r="Q854" s="423"/>
      <c r="R854" s="423"/>
      <c r="S854" s="423"/>
      <c r="T854" s="423"/>
      <c r="U854" s="423"/>
      <c r="V854" s="423"/>
      <c r="W854" s="423"/>
      <c r="X854" s="423"/>
      <c r="Y854" s="423"/>
      <c r="Z854" s="423"/>
      <c r="AA854" s="423"/>
      <c r="AB854" s="423"/>
      <c r="AC854" s="423"/>
      <c r="AD854" s="423"/>
      <c r="AE854" s="423"/>
      <c r="AF854" s="423"/>
      <c r="AG854" s="423"/>
      <c r="AH854" s="423"/>
      <c r="AI854" s="423"/>
    </row>
    <row r="855">
      <c r="A855" s="419"/>
      <c r="B855" s="419"/>
      <c r="C855" s="419"/>
      <c r="D855" s="419"/>
      <c r="E855" s="387"/>
      <c r="F855" s="387"/>
      <c r="G855" s="423"/>
      <c r="H855" s="423"/>
      <c r="I855" s="423"/>
      <c r="J855" s="423"/>
      <c r="K855" s="423"/>
      <c r="L855" s="423"/>
      <c r="M855" s="423"/>
      <c r="N855" s="423"/>
      <c r="O855" s="423"/>
      <c r="P855" s="423"/>
      <c r="Q855" s="423"/>
      <c r="R855" s="423"/>
      <c r="S855" s="423"/>
      <c r="T855" s="423"/>
      <c r="U855" s="423"/>
      <c r="V855" s="423"/>
      <c r="W855" s="423"/>
      <c r="X855" s="423"/>
      <c r="Y855" s="423"/>
      <c r="Z855" s="423"/>
      <c r="AA855" s="423"/>
      <c r="AB855" s="423"/>
      <c r="AC855" s="423"/>
      <c r="AD855" s="423"/>
      <c r="AE855" s="423"/>
      <c r="AF855" s="423"/>
      <c r="AG855" s="423"/>
      <c r="AH855" s="423"/>
      <c r="AI855" s="423"/>
    </row>
    <row r="856">
      <c r="A856" s="419"/>
      <c r="B856" s="419"/>
      <c r="C856" s="419"/>
      <c r="D856" s="419"/>
      <c r="E856" s="387"/>
      <c r="F856" s="387"/>
      <c r="G856" s="423"/>
      <c r="H856" s="423"/>
      <c r="I856" s="423"/>
      <c r="J856" s="423"/>
      <c r="K856" s="423"/>
      <c r="L856" s="423"/>
      <c r="M856" s="423"/>
      <c r="N856" s="423"/>
      <c r="O856" s="423"/>
      <c r="P856" s="423"/>
      <c r="Q856" s="423"/>
      <c r="R856" s="423"/>
      <c r="S856" s="423"/>
      <c r="T856" s="423"/>
      <c r="U856" s="423"/>
      <c r="V856" s="423"/>
      <c r="W856" s="423"/>
      <c r="X856" s="423"/>
      <c r="Y856" s="423"/>
      <c r="Z856" s="423"/>
      <c r="AA856" s="423"/>
      <c r="AB856" s="423"/>
      <c r="AC856" s="423"/>
      <c r="AD856" s="423"/>
      <c r="AE856" s="423"/>
      <c r="AF856" s="423"/>
      <c r="AG856" s="423"/>
      <c r="AH856" s="423"/>
      <c r="AI856" s="423"/>
    </row>
    <row r="857">
      <c r="A857" s="419"/>
      <c r="B857" s="419"/>
      <c r="C857" s="419"/>
      <c r="D857" s="419"/>
      <c r="E857" s="387"/>
      <c r="F857" s="387"/>
      <c r="G857" s="423"/>
      <c r="H857" s="423"/>
      <c r="I857" s="423"/>
      <c r="J857" s="423"/>
      <c r="K857" s="423"/>
      <c r="L857" s="423"/>
      <c r="M857" s="423"/>
      <c r="N857" s="423"/>
      <c r="O857" s="423"/>
      <c r="P857" s="423"/>
      <c r="Q857" s="423"/>
      <c r="R857" s="423"/>
      <c r="S857" s="423"/>
      <c r="T857" s="423"/>
      <c r="U857" s="423"/>
      <c r="V857" s="423"/>
      <c r="W857" s="423"/>
      <c r="X857" s="423"/>
      <c r="Y857" s="423"/>
      <c r="Z857" s="423"/>
      <c r="AA857" s="423"/>
      <c r="AB857" s="423"/>
      <c r="AC857" s="423"/>
      <c r="AD857" s="423"/>
      <c r="AE857" s="423"/>
      <c r="AF857" s="423"/>
      <c r="AG857" s="423"/>
      <c r="AH857" s="423"/>
      <c r="AI857" s="423"/>
    </row>
    <row r="858">
      <c r="A858" s="419"/>
      <c r="B858" s="419"/>
      <c r="C858" s="419"/>
      <c r="D858" s="419"/>
      <c r="E858" s="387"/>
      <c r="F858" s="387"/>
      <c r="G858" s="423"/>
      <c r="H858" s="423"/>
      <c r="I858" s="423"/>
      <c r="J858" s="423"/>
      <c r="K858" s="423"/>
      <c r="L858" s="423"/>
      <c r="M858" s="423"/>
      <c r="N858" s="423"/>
      <c r="O858" s="423"/>
      <c r="P858" s="423"/>
      <c r="Q858" s="423"/>
      <c r="R858" s="423"/>
      <c r="S858" s="423"/>
      <c r="T858" s="423"/>
      <c r="U858" s="423"/>
      <c r="V858" s="423"/>
      <c r="W858" s="423"/>
      <c r="X858" s="423"/>
      <c r="Y858" s="423"/>
      <c r="Z858" s="423"/>
      <c r="AA858" s="423"/>
      <c r="AB858" s="423"/>
      <c r="AC858" s="423"/>
      <c r="AD858" s="423"/>
      <c r="AE858" s="423"/>
      <c r="AF858" s="423"/>
      <c r="AG858" s="423"/>
      <c r="AH858" s="423"/>
      <c r="AI858" s="423"/>
    </row>
    <row r="859">
      <c r="A859" s="419"/>
      <c r="B859" s="419"/>
      <c r="C859" s="419"/>
      <c r="D859" s="419"/>
      <c r="E859" s="387"/>
      <c r="F859" s="387"/>
      <c r="G859" s="423"/>
      <c r="H859" s="423"/>
      <c r="I859" s="423"/>
      <c r="J859" s="423"/>
      <c r="K859" s="423"/>
      <c r="L859" s="423"/>
      <c r="M859" s="423"/>
      <c r="N859" s="423"/>
      <c r="O859" s="423"/>
      <c r="P859" s="423"/>
      <c r="Q859" s="423"/>
      <c r="R859" s="423"/>
      <c r="S859" s="423"/>
      <c r="T859" s="423"/>
      <c r="U859" s="423"/>
      <c r="V859" s="423"/>
      <c r="W859" s="423"/>
      <c r="X859" s="423"/>
      <c r="Y859" s="423"/>
      <c r="Z859" s="423"/>
      <c r="AA859" s="423"/>
      <c r="AB859" s="423"/>
      <c r="AC859" s="423"/>
      <c r="AD859" s="423"/>
      <c r="AE859" s="423"/>
      <c r="AF859" s="423"/>
      <c r="AG859" s="423"/>
      <c r="AH859" s="423"/>
      <c r="AI859" s="423"/>
    </row>
    <row r="860">
      <c r="A860" s="419"/>
      <c r="B860" s="419"/>
      <c r="C860" s="419"/>
      <c r="D860" s="419"/>
      <c r="E860" s="387"/>
      <c r="F860" s="387"/>
      <c r="G860" s="423"/>
      <c r="H860" s="423"/>
      <c r="I860" s="423"/>
      <c r="J860" s="423"/>
      <c r="K860" s="423"/>
      <c r="L860" s="423"/>
      <c r="M860" s="423"/>
      <c r="N860" s="423"/>
      <c r="O860" s="423"/>
      <c r="P860" s="423"/>
      <c r="Q860" s="423"/>
      <c r="R860" s="423"/>
      <c r="S860" s="423"/>
      <c r="T860" s="423"/>
      <c r="U860" s="423"/>
      <c r="V860" s="423"/>
      <c r="W860" s="423"/>
      <c r="X860" s="423"/>
      <c r="Y860" s="423"/>
      <c r="Z860" s="423"/>
      <c r="AA860" s="423"/>
      <c r="AB860" s="423"/>
      <c r="AC860" s="423"/>
      <c r="AD860" s="423"/>
      <c r="AE860" s="423"/>
      <c r="AF860" s="423"/>
      <c r="AG860" s="423"/>
      <c r="AH860" s="423"/>
      <c r="AI860" s="423"/>
    </row>
    <row r="861">
      <c r="A861" s="419"/>
      <c r="B861" s="419"/>
      <c r="C861" s="419"/>
      <c r="D861" s="419"/>
      <c r="E861" s="387"/>
      <c r="F861" s="387"/>
      <c r="G861" s="423"/>
      <c r="H861" s="423"/>
      <c r="I861" s="423"/>
      <c r="J861" s="423"/>
      <c r="K861" s="423"/>
      <c r="L861" s="423"/>
      <c r="M861" s="423"/>
      <c r="N861" s="423"/>
      <c r="O861" s="423"/>
      <c r="P861" s="423"/>
      <c r="Q861" s="423"/>
      <c r="R861" s="423"/>
      <c r="S861" s="423"/>
      <c r="T861" s="423"/>
      <c r="U861" s="423"/>
      <c r="V861" s="423"/>
      <c r="W861" s="423"/>
      <c r="X861" s="423"/>
      <c r="Y861" s="423"/>
      <c r="Z861" s="423"/>
      <c r="AA861" s="423"/>
      <c r="AB861" s="423"/>
      <c r="AC861" s="423"/>
      <c r="AD861" s="423"/>
      <c r="AE861" s="423"/>
      <c r="AF861" s="423"/>
      <c r="AG861" s="423"/>
      <c r="AH861" s="423"/>
      <c r="AI861" s="423"/>
    </row>
    <row r="862">
      <c r="A862" s="419"/>
      <c r="B862" s="419"/>
      <c r="C862" s="419"/>
      <c r="D862" s="419"/>
      <c r="E862" s="387"/>
      <c r="F862" s="387"/>
      <c r="G862" s="423"/>
      <c r="H862" s="423"/>
      <c r="I862" s="423"/>
      <c r="J862" s="423"/>
      <c r="K862" s="423"/>
      <c r="L862" s="423"/>
      <c r="M862" s="423"/>
      <c r="N862" s="423"/>
      <c r="O862" s="423"/>
      <c r="P862" s="423"/>
      <c r="Q862" s="423"/>
      <c r="R862" s="423"/>
      <c r="S862" s="423"/>
      <c r="T862" s="423"/>
      <c r="U862" s="423"/>
      <c r="V862" s="423"/>
      <c r="W862" s="423"/>
      <c r="X862" s="423"/>
      <c r="Y862" s="423"/>
      <c r="Z862" s="423"/>
      <c r="AA862" s="423"/>
      <c r="AB862" s="423"/>
      <c r="AC862" s="423"/>
      <c r="AD862" s="423"/>
      <c r="AE862" s="423"/>
      <c r="AF862" s="423"/>
      <c r="AG862" s="423"/>
      <c r="AH862" s="423"/>
      <c r="AI862" s="423"/>
    </row>
    <row r="863">
      <c r="A863" s="419"/>
      <c r="B863" s="419"/>
      <c r="C863" s="419"/>
      <c r="D863" s="419"/>
      <c r="E863" s="387"/>
      <c r="F863" s="387"/>
      <c r="G863" s="423"/>
      <c r="H863" s="423"/>
      <c r="I863" s="423"/>
      <c r="J863" s="423"/>
      <c r="K863" s="423"/>
      <c r="L863" s="423"/>
      <c r="M863" s="423"/>
      <c r="N863" s="423"/>
      <c r="O863" s="423"/>
      <c r="P863" s="423"/>
      <c r="Q863" s="423"/>
      <c r="R863" s="423"/>
      <c r="S863" s="423"/>
      <c r="T863" s="423"/>
      <c r="U863" s="423"/>
      <c r="V863" s="423"/>
      <c r="W863" s="423"/>
      <c r="X863" s="423"/>
      <c r="Y863" s="423"/>
      <c r="Z863" s="423"/>
      <c r="AA863" s="423"/>
      <c r="AB863" s="423"/>
      <c r="AC863" s="423"/>
      <c r="AD863" s="423"/>
      <c r="AE863" s="423"/>
      <c r="AF863" s="423"/>
      <c r="AG863" s="423"/>
      <c r="AH863" s="423"/>
      <c r="AI863" s="423"/>
    </row>
    <row r="864">
      <c r="A864" s="419"/>
      <c r="B864" s="419"/>
      <c r="C864" s="419"/>
      <c r="D864" s="419"/>
      <c r="E864" s="387"/>
      <c r="F864" s="387"/>
      <c r="G864" s="423"/>
      <c r="H864" s="423"/>
      <c r="I864" s="423"/>
      <c r="J864" s="423"/>
      <c r="K864" s="423"/>
      <c r="L864" s="423"/>
      <c r="M864" s="423"/>
      <c r="N864" s="423"/>
      <c r="O864" s="423"/>
      <c r="P864" s="423"/>
      <c r="Q864" s="423"/>
      <c r="R864" s="423"/>
      <c r="S864" s="423"/>
      <c r="T864" s="423"/>
      <c r="U864" s="423"/>
      <c r="V864" s="423"/>
      <c r="W864" s="423"/>
      <c r="X864" s="423"/>
      <c r="Y864" s="423"/>
      <c r="Z864" s="423"/>
      <c r="AA864" s="423"/>
      <c r="AB864" s="423"/>
      <c r="AC864" s="423"/>
      <c r="AD864" s="423"/>
      <c r="AE864" s="423"/>
      <c r="AF864" s="423"/>
      <c r="AG864" s="423"/>
      <c r="AH864" s="423"/>
      <c r="AI864" s="423"/>
    </row>
    <row r="865">
      <c r="A865" s="419"/>
      <c r="B865" s="419"/>
      <c r="C865" s="419"/>
      <c r="D865" s="419"/>
      <c r="E865" s="387"/>
      <c r="F865" s="387"/>
      <c r="G865" s="423"/>
      <c r="H865" s="423"/>
      <c r="I865" s="423"/>
      <c r="J865" s="423"/>
      <c r="K865" s="423"/>
      <c r="L865" s="423"/>
      <c r="M865" s="423"/>
      <c r="N865" s="423"/>
      <c r="O865" s="423"/>
      <c r="P865" s="423"/>
      <c r="Q865" s="423"/>
      <c r="R865" s="423"/>
      <c r="S865" s="423"/>
      <c r="T865" s="423"/>
      <c r="U865" s="423"/>
      <c r="V865" s="423"/>
      <c r="W865" s="423"/>
      <c r="X865" s="423"/>
      <c r="Y865" s="423"/>
      <c r="Z865" s="423"/>
      <c r="AA865" s="423"/>
      <c r="AB865" s="423"/>
      <c r="AC865" s="423"/>
      <c r="AD865" s="423"/>
      <c r="AE865" s="423"/>
      <c r="AF865" s="423"/>
      <c r="AG865" s="423"/>
      <c r="AH865" s="423"/>
      <c r="AI865" s="423"/>
    </row>
    <row r="866">
      <c r="A866" s="419"/>
      <c r="B866" s="419"/>
      <c r="C866" s="419"/>
      <c r="D866" s="419"/>
      <c r="E866" s="387"/>
      <c r="F866" s="387"/>
      <c r="G866" s="423"/>
      <c r="H866" s="423"/>
      <c r="I866" s="423"/>
      <c r="J866" s="423"/>
      <c r="K866" s="423"/>
      <c r="L866" s="423"/>
      <c r="M866" s="423"/>
      <c r="N866" s="423"/>
      <c r="O866" s="423"/>
      <c r="P866" s="423"/>
      <c r="Q866" s="423"/>
      <c r="R866" s="423"/>
      <c r="S866" s="423"/>
      <c r="T866" s="423"/>
      <c r="U866" s="423"/>
      <c r="V866" s="423"/>
      <c r="W866" s="423"/>
      <c r="X866" s="423"/>
      <c r="Y866" s="423"/>
      <c r="Z866" s="423"/>
      <c r="AA866" s="423"/>
      <c r="AB866" s="423"/>
      <c r="AC866" s="423"/>
      <c r="AD866" s="423"/>
      <c r="AE866" s="423"/>
      <c r="AF866" s="423"/>
      <c r="AG866" s="423"/>
      <c r="AH866" s="423"/>
      <c r="AI866" s="423"/>
    </row>
    <row r="867">
      <c r="A867" s="419"/>
      <c r="B867" s="419"/>
      <c r="C867" s="419"/>
      <c r="D867" s="419"/>
      <c r="E867" s="387"/>
      <c r="F867" s="387"/>
      <c r="G867" s="423"/>
      <c r="H867" s="423"/>
      <c r="I867" s="423"/>
      <c r="J867" s="423"/>
      <c r="K867" s="423"/>
      <c r="L867" s="423"/>
      <c r="M867" s="423"/>
      <c r="N867" s="423"/>
      <c r="O867" s="423"/>
      <c r="P867" s="423"/>
      <c r="Q867" s="423"/>
      <c r="R867" s="423"/>
      <c r="S867" s="423"/>
      <c r="T867" s="423"/>
      <c r="U867" s="423"/>
      <c r="V867" s="423"/>
      <c r="W867" s="423"/>
      <c r="X867" s="423"/>
      <c r="Y867" s="423"/>
      <c r="Z867" s="423"/>
      <c r="AA867" s="423"/>
      <c r="AB867" s="423"/>
      <c r="AC867" s="423"/>
      <c r="AD867" s="423"/>
      <c r="AE867" s="423"/>
      <c r="AF867" s="423"/>
      <c r="AG867" s="423"/>
      <c r="AH867" s="423"/>
      <c r="AI867" s="423"/>
    </row>
    <row r="868">
      <c r="A868" s="419"/>
      <c r="B868" s="419"/>
      <c r="C868" s="419"/>
      <c r="D868" s="419"/>
      <c r="E868" s="387"/>
      <c r="F868" s="387"/>
      <c r="G868" s="423"/>
      <c r="H868" s="423"/>
      <c r="I868" s="423"/>
      <c r="J868" s="423"/>
      <c r="K868" s="423"/>
      <c r="L868" s="423"/>
      <c r="M868" s="423"/>
      <c r="N868" s="423"/>
      <c r="O868" s="423"/>
      <c r="P868" s="423"/>
      <c r="Q868" s="423"/>
      <c r="R868" s="423"/>
      <c r="S868" s="423"/>
      <c r="T868" s="423"/>
      <c r="U868" s="423"/>
      <c r="V868" s="423"/>
      <c r="W868" s="423"/>
      <c r="X868" s="423"/>
      <c r="Y868" s="423"/>
      <c r="Z868" s="423"/>
      <c r="AA868" s="423"/>
      <c r="AB868" s="423"/>
      <c r="AC868" s="423"/>
      <c r="AD868" s="423"/>
      <c r="AE868" s="423"/>
      <c r="AF868" s="423"/>
      <c r="AG868" s="423"/>
      <c r="AH868" s="423"/>
      <c r="AI868" s="423"/>
    </row>
    <row r="869">
      <c r="A869" s="419"/>
      <c r="B869" s="419"/>
      <c r="C869" s="419"/>
      <c r="D869" s="419"/>
      <c r="E869" s="387"/>
      <c r="F869" s="387"/>
      <c r="G869" s="423"/>
      <c r="H869" s="423"/>
      <c r="I869" s="423"/>
      <c r="J869" s="423"/>
      <c r="K869" s="423"/>
      <c r="L869" s="423"/>
      <c r="M869" s="423"/>
      <c r="N869" s="423"/>
      <c r="O869" s="423"/>
      <c r="P869" s="423"/>
      <c r="Q869" s="423"/>
      <c r="R869" s="423"/>
      <c r="S869" s="423"/>
      <c r="T869" s="423"/>
      <c r="U869" s="423"/>
      <c r="V869" s="423"/>
      <c r="W869" s="423"/>
      <c r="X869" s="423"/>
      <c r="Y869" s="423"/>
      <c r="Z869" s="423"/>
      <c r="AA869" s="423"/>
      <c r="AB869" s="423"/>
      <c r="AC869" s="423"/>
      <c r="AD869" s="423"/>
      <c r="AE869" s="423"/>
      <c r="AF869" s="423"/>
      <c r="AG869" s="423"/>
      <c r="AH869" s="423"/>
      <c r="AI869" s="423"/>
    </row>
    <row r="870">
      <c r="A870" s="419"/>
      <c r="B870" s="419"/>
      <c r="C870" s="419"/>
      <c r="D870" s="419"/>
      <c r="E870" s="387"/>
      <c r="F870" s="387"/>
      <c r="G870" s="423"/>
      <c r="H870" s="423"/>
      <c r="I870" s="423"/>
      <c r="J870" s="423"/>
      <c r="K870" s="423"/>
      <c r="L870" s="423"/>
      <c r="M870" s="423"/>
      <c r="N870" s="423"/>
      <c r="O870" s="423"/>
      <c r="P870" s="423"/>
      <c r="Q870" s="423"/>
      <c r="R870" s="423"/>
      <c r="S870" s="423"/>
      <c r="T870" s="423"/>
      <c r="U870" s="423"/>
      <c r="V870" s="423"/>
      <c r="W870" s="423"/>
      <c r="X870" s="423"/>
      <c r="Y870" s="423"/>
      <c r="Z870" s="423"/>
      <c r="AA870" s="423"/>
      <c r="AB870" s="423"/>
      <c r="AC870" s="423"/>
      <c r="AD870" s="423"/>
      <c r="AE870" s="423"/>
      <c r="AF870" s="423"/>
      <c r="AG870" s="423"/>
      <c r="AH870" s="423"/>
      <c r="AI870" s="423"/>
    </row>
    <row r="871">
      <c r="A871" s="419"/>
      <c r="B871" s="419"/>
      <c r="C871" s="419"/>
      <c r="D871" s="419"/>
      <c r="E871" s="387"/>
      <c r="F871" s="387"/>
      <c r="G871" s="423"/>
      <c r="H871" s="423"/>
      <c r="I871" s="423"/>
      <c r="J871" s="423"/>
      <c r="K871" s="423"/>
      <c r="L871" s="423"/>
      <c r="M871" s="423"/>
      <c r="N871" s="423"/>
      <c r="O871" s="423"/>
      <c r="P871" s="423"/>
      <c r="Q871" s="423"/>
      <c r="R871" s="423"/>
      <c r="S871" s="423"/>
      <c r="T871" s="423"/>
      <c r="U871" s="423"/>
      <c r="V871" s="423"/>
      <c r="W871" s="423"/>
      <c r="X871" s="423"/>
      <c r="Y871" s="423"/>
      <c r="Z871" s="423"/>
      <c r="AA871" s="423"/>
      <c r="AB871" s="423"/>
      <c r="AC871" s="423"/>
      <c r="AD871" s="423"/>
      <c r="AE871" s="423"/>
      <c r="AF871" s="423"/>
      <c r="AG871" s="423"/>
      <c r="AH871" s="423"/>
      <c r="AI871" s="423"/>
    </row>
    <row r="872">
      <c r="A872" s="419"/>
      <c r="B872" s="419"/>
      <c r="C872" s="419"/>
      <c r="D872" s="419"/>
      <c r="E872" s="387"/>
      <c r="F872" s="387"/>
      <c r="G872" s="423"/>
      <c r="H872" s="423"/>
      <c r="I872" s="423"/>
      <c r="J872" s="423"/>
      <c r="K872" s="423"/>
      <c r="L872" s="423"/>
      <c r="M872" s="423"/>
      <c r="N872" s="423"/>
      <c r="O872" s="423"/>
      <c r="P872" s="423"/>
      <c r="Q872" s="423"/>
      <c r="R872" s="423"/>
      <c r="S872" s="423"/>
      <c r="T872" s="423"/>
      <c r="U872" s="423"/>
      <c r="V872" s="423"/>
      <c r="W872" s="423"/>
      <c r="X872" s="423"/>
      <c r="Y872" s="423"/>
      <c r="Z872" s="423"/>
      <c r="AA872" s="423"/>
      <c r="AB872" s="423"/>
      <c r="AC872" s="423"/>
      <c r="AD872" s="423"/>
      <c r="AE872" s="423"/>
      <c r="AF872" s="423"/>
      <c r="AG872" s="423"/>
      <c r="AH872" s="423"/>
      <c r="AI872" s="423"/>
    </row>
    <row r="873">
      <c r="A873" s="419"/>
      <c r="B873" s="419"/>
      <c r="C873" s="419"/>
      <c r="D873" s="419"/>
      <c r="E873" s="387"/>
      <c r="F873" s="387"/>
      <c r="G873" s="423"/>
      <c r="H873" s="423"/>
      <c r="I873" s="423"/>
      <c r="J873" s="423"/>
      <c r="K873" s="423"/>
      <c r="L873" s="423"/>
      <c r="M873" s="423"/>
      <c r="N873" s="423"/>
      <c r="O873" s="423"/>
      <c r="P873" s="423"/>
      <c r="Q873" s="423"/>
      <c r="R873" s="423"/>
      <c r="S873" s="423"/>
      <c r="T873" s="423"/>
      <c r="U873" s="423"/>
      <c r="V873" s="423"/>
      <c r="W873" s="423"/>
      <c r="X873" s="423"/>
      <c r="Y873" s="423"/>
      <c r="Z873" s="423"/>
      <c r="AA873" s="423"/>
      <c r="AB873" s="423"/>
      <c r="AC873" s="423"/>
      <c r="AD873" s="423"/>
      <c r="AE873" s="423"/>
      <c r="AF873" s="423"/>
      <c r="AG873" s="423"/>
      <c r="AH873" s="423"/>
      <c r="AI873" s="423"/>
    </row>
    <row r="874">
      <c r="A874" s="419"/>
      <c r="B874" s="419"/>
      <c r="C874" s="419"/>
      <c r="D874" s="419"/>
      <c r="E874" s="387"/>
      <c r="F874" s="387"/>
      <c r="G874" s="423"/>
      <c r="H874" s="423"/>
      <c r="I874" s="423"/>
      <c r="J874" s="423"/>
      <c r="K874" s="423"/>
      <c r="L874" s="423"/>
      <c r="M874" s="423"/>
      <c r="N874" s="423"/>
      <c r="O874" s="423"/>
      <c r="P874" s="423"/>
      <c r="Q874" s="423"/>
      <c r="R874" s="423"/>
      <c r="S874" s="423"/>
      <c r="T874" s="423"/>
      <c r="U874" s="423"/>
      <c r="V874" s="423"/>
      <c r="W874" s="423"/>
      <c r="X874" s="423"/>
      <c r="Y874" s="423"/>
      <c r="Z874" s="423"/>
      <c r="AA874" s="423"/>
      <c r="AB874" s="423"/>
      <c r="AC874" s="423"/>
      <c r="AD874" s="423"/>
      <c r="AE874" s="423"/>
      <c r="AF874" s="423"/>
      <c r="AG874" s="423"/>
      <c r="AH874" s="423"/>
      <c r="AI874" s="423"/>
    </row>
    <row r="875">
      <c r="A875" s="419"/>
      <c r="B875" s="419"/>
      <c r="C875" s="419"/>
      <c r="D875" s="419"/>
      <c r="E875" s="387"/>
      <c r="F875" s="387"/>
      <c r="G875" s="423"/>
      <c r="H875" s="423"/>
      <c r="I875" s="423"/>
      <c r="J875" s="423"/>
      <c r="K875" s="423"/>
      <c r="L875" s="423"/>
      <c r="M875" s="423"/>
      <c r="N875" s="423"/>
      <c r="O875" s="423"/>
      <c r="P875" s="423"/>
      <c r="Q875" s="423"/>
      <c r="R875" s="423"/>
      <c r="S875" s="423"/>
      <c r="T875" s="423"/>
      <c r="U875" s="423"/>
      <c r="V875" s="423"/>
      <c r="W875" s="423"/>
      <c r="X875" s="423"/>
      <c r="Y875" s="423"/>
      <c r="Z875" s="423"/>
      <c r="AA875" s="423"/>
      <c r="AB875" s="423"/>
      <c r="AC875" s="423"/>
      <c r="AD875" s="423"/>
      <c r="AE875" s="423"/>
      <c r="AF875" s="423"/>
      <c r="AG875" s="423"/>
      <c r="AH875" s="423"/>
      <c r="AI875" s="423"/>
    </row>
    <row r="876">
      <c r="A876" s="419"/>
      <c r="B876" s="419"/>
      <c r="C876" s="419"/>
      <c r="D876" s="419"/>
      <c r="E876" s="387"/>
      <c r="F876" s="387"/>
      <c r="G876" s="423"/>
      <c r="H876" s="423"/>
      <c r="I876" s="423"/>
      <c r="J876" s="423"/>
      <c r="K876" s="423"/>
      <c r="L876" s="423"/>
      <c r="M876" s="423"/>
      <c r="N876" s="423"/>
      <c r="O876" s="423"/>
      <c r="P876" s="423"/>
      <c r="Q876" s="423"/>
      <c r="R876" s="423"/>
      <c r="S876" s="423"/>
      <c r="T876" s="423"/>
      <c r="U876" s="423"/>
      <c r="V876" s="423"/>
      <c r="W876" s="423"/>
      <c r="X876" s="423"/>
      <c r="Y876" s="423"/>
      <c r="Z876" s="423"/>
      <c r="AA876" s="423"/>
      <c r="AB876" s="423"/>
      <c r="AC876" s="423"/>
      <c r="AD876" s="423"/>
      <c r="AE876" s="423"/>
      <c r="AF876" s="423"/>
      <c r="AG876" s="423"/>
      <c r="AH876" s="423"/>
      <c r="AI876" s="423"/>
    </row>
    <row r="877">
      <c r="A877" s="419"/>
      <c r="B877" s="419"/>
      <c r="C877" s="419"/>
      <c r="D877" s="419"/>
      <c r="E877" s="387"/>
      <c r="F877" s="387"/>
      <c r="G877" s="423"/>
      <c r="H877" s="423"/>
      <c r="I877" s="423"/>
      <c r="J877" s="423"/>
      <c r="K877" s="423"/>
      <c r="L877" s="423"/>
      <c r="M877" s="423"/>
      <c r="N877" s="423"/>
      <c r="O877" s="423"/>
      <c r="P877" s="423"/>
      <c r="Q877" s="423"/>
      <c r="R877" s="423"/>
      <c r="S877" s="423"/>
      <c r="T877" s="423"/>
      <c r="U877" s="423"/>
      <c r="V877" s="423"/>
      <c r="W877" s="423"/>
      <c r="X877" s="423"/>
      <c r="Y877" s="423"/>
      <c r="Z877" s="423"/>
      <c r="AA877" s="423"/>
      <c r="AB877" s="423"/>
      <c r="AC877" s="423"/>
      <c r="AD877" s="423"/>
      <c r="AE877" s="423"/>
      <c r="AF877" s="423"/>
      <c r="AG877" s="423"/>
      <c r="AH877" s="423"/>
      <c r="AI877" s="423"/>
    </row>
    <row r="878">
      <c r="A878" s="419"/>
      <c r="B878" s="419"/>
      <c r="C878" s="419"/>
      <c r="D878" s="419"/>
      <c r="E878" s="387"/>
      <c r="F878" s="387"/>
      <c r="G878" s="423"/>
      <c r="H878" s="423"/>
      <c r="I878" s="423"/>
      <c r="J878" s="423"/>
      <c r="K878" s="423"/>
      <c r="L878" s="423"/>
      <c r="M878" s="423"/>
      <c r="N878" s="423"/>
      <c r="O878" s="423"/>
      <c r="P878" s="423"/>
      <c r="Q878" s="423"/>
      <c r="R878" s="423"/>
      <c r="S878" s="423"/>
      <c r="T878" s="423"/>
      <c r="U878" s="423"/>
      <c r="V878" s="423"/>
      <c r="W878" s="423"/>
      <c r="X878" s="423"/>
      <c r="Y878" s="423"/>
      <c r="Z878" s="423"/>
      <c r="AA878" s="423"/>
      <c r="AB878" s="423"/>
      <c r="AC878" s="423"/>
      <c r="AD878" s="423"/>
      <c r="AE878" s="423"/>
      <c r="AF878" s="423"/>
      <c r="AG878" s="423"/>
      <c r="AH878" s="423"/>
      <c r="AI878" s="423"/>
    </row>
    <row r="879">
      <c r="A879" s="419"/>
      <c r="B879" s="419"/>
      <c r="C879" s="419"/>
      <c r="D879" s="419"/>
      <c r="E879" s="387"/>
      <c r="F879" s="387"/>
      <c r="G879" s="423"/>
      <c r="H879" s="423"/>
      <c r="I879" s="423"/>
      <c r="J879" s="423"/>
      <c r="K879" s="423"/>
      <c r="L879" s="423"/>
      <c r="M879" s="423"/>
      <c r="N879" s="423"/>
      <c r="O879" s="423"/>
      <c r="P879" s="423"/>
      <c r="Q879" s="423"/>
      <c r="R879" s="423"/>
      <c r="S879" s="423"/>
      <c r="T879" s="423"/>
      <c r="U879" s="423"/>
      <c r="V879" s="423"/>
      <c r="W879" s="423"/>
      <c r="X879" s="423"/>
      <c r="Y879" s="423"/>
      <c r="Z879" s="423"/>
      <c r="AA879" s="423"/>
      <c r="AB879" s="423"/>
      <c r="AC879" s="423"/>
      <c r="AD879" s="423"/>
      <c r="AE879" s="423"/>
      <c r="AF879" s="423"/>
      <c r="AG879" s="423"/>
      <c r="AH879" s="423"/>
      <c r="AI879" s="423"/>
    </row>
    <row r="880">
      <c r="A880" s="419"/>
      <c r="B880" s="419"/>
      <c r="C880" s="419"/>
      <c r="D880" s="419"/>
      <c r="E880" s="387"/>
      <c r="F880" s="387"/>
      <c r="G880" s="423"/>
      <c r="H880" s="423"/>
      <c r="I880" s="423"/>
      <c r="J880" s="423"/>
      <c r="K880" s="423"/>
      <c r="L880" s="423"/>
      <c r="M880" s="423"/>
      <c r="N880" s="423"/>
      <c r="O880" s="423"/>
      <c r="P880" s="423"/>
      <c r="Q880" s="423"/>
      <c r="R880" s="423"/>
      <c r="S880" s="423"/>
      <c r="T880" s="423"/>
      <c r="U880" s="423"/>
      <c r="V880" s="423"/>
      <c r="W880" s="423"/>
      <c r="X880" s="423"/>
      <c r="Y880" s="423"/>
      <c r="Z880" s="423"/>
      <c r="AA880" s="423"/>
      <c r="AB880" s="423"/>
      <c r="AC880" s="423"/>
      <c r="AD880" s="423"/>
      <c r="AE880" s="423"/>
      <c r="AF880" s="423"/>
      <c r="AG880" s="423"/>
      <c r="AH880" s="423"/>
      <c r="AI880" s="423"/>
    </row>
    <row r="881">
      <c r="A881" s="419"/>
      <c r="B881" s="419"/>
      <c r="C881" s="419"/>
      <c r="D881" s="419"/>
      <c r="E881" s="387"/>
      <c r="F881" s="387"/>
      <c r="G881" s="423"/>
      <c r="H881" s="423"/>
      <c r="I881" s="423"/>
      <c r="J881" s="423"/>
      <c r="K881" s="423"/>
      <c r="L881" s="423"/>
      <c r="M881" s="423"/>
      <c r="N881" s="423"/>
      <c r="O881" s="423"/>
      <c r="P881" s="423"/>
      <c r="Q881" s="423"/>
      <c r="R881" s="423"/>
      <c r="S881" s="423"/>
      <c r="T881" s="423"/>
      <c r="U881" s="423"/>
      <c r="V881" s="423"/>
      <c r="W881" s="423"/>
      <c r="X881" s="423"/>
      <c r="Y881" s="423"/>
      <c r="Z881" s="423"/>
      <c r="AA881" s="423"/>
      <c r="AB881" s="423"/>
      <c r="AC881" s="423"/>
      <c r="AD881" s="423"/>
      <c r="AE881" s="423"/>
      <c r="AF881" s="423"/>
      <c r="AG881" s="423"/>
      <c r="AH881" s="423"/>
      <c r="AI881" s="423"/>
    </row>
    <row r="882">
      <c r="A882" s="419"/>
      <c r="B882" s="419"/>
      <c r="C882" s="419"/>
      <c r="D882" s="419"/>
      <c r="E882" s="387"/>
      <c r="F882" s="387"/>
      <c r="G882" s="423"/>
      <c r="H882" s="423"/>
      <c r="I882" s="423"/>
      <c r="J882" s="423"/>
      <c r="K882" s="423"/>
      <c r="L882" s="423"/>
      <c r="M882" s="423"/>
      <c r="N882" s="423"/>
      <c r="O882" s="423"/>
      <c r="P882" s="423"/>
      <c r="Q882" s="423"/>
      <c r="R882" s="423"/>
      <c r="S882" s="423"/>
      <c r="T882" s="423"/>
      <c r="U882" s="423"/>
      <c r="V882" s="423"/>
      <c r="W882" s="423"/>
      <c r="X882" s="423"/>
      <c r="Y882" s="423"/>
      <c r="Z882" s="423"/>
      <c r="AA882" s="423"/>
      <c r="AB882" s="423"/>
      <c r="AC882" s="423"/>
      <c r="AD882" s="423"/>
      <c r="AE882" s="423"/>
      <c r="AF882" s="423"/>
      <c r="AG882" s="423"/>
      <c r="AH882" s="423"/>
      <c r="AI882" s="423"/>
    </row>
    <row r="883">
      <c r="A883" s="419"/>
      <c r="B883" s="419"/>
      <c r="C883" s="419"/>
      <c r="D883" s="419"/>
      <c r="E883" s="387"/>
      <c r="F883" s="387"/>
      <c r="G883" s="423"/>
      <c r="H883" s="423"/>
      <c r="I883" s="423"/>
      <c r="J883" s="423"/>
      <c r="K883" s="423"/>
      <c r="L883" s="423"/>
      <c r="M883" s="423"/>
      <c r="N883" s="423"/>
      <c r="O883" s="423"/>
      <c r="P883" s="423"/>
      <c r="Q883" s="423"/>
      <c r="R883" s="423"/>
      <c r="S883" s="423"/>
      <c r="T883" s="423"/>
      <c r="U883" s="423"/>
      <c r="V883" s="423"/>
      <c r="W883" s="423"/>
      <c r="X883" s="423"/>
      <c r="Y883" s="423"/>
      <c r="Z883" s="423"/>
      <c r="AA883" s="423"/>
      <c r="AB883" s="423"/>
      <c r="AC883" s="423"/>
      <c r="AD883" s="423"/>
      <c r="AE883" s="423"/>
      <c r="AF883" s="423"/>
      <c r="AG883" s="423"/>
      <c r="AH883" s="423"/>
      <c r="AI883" s="423"/>
    </row>
    <row r="884">
      <c r="A884" s="419"/>
      <c r="B884" s="419"/>
      <c r="C884" s="419"/>
      <c r="D884" s="419"/>
      <c r="E884" s="387"/>
      <c r="F884" s="387"/>
      <c r="G884" s="423"/>
      <c r="H884" s="423"/>
      <c r="I884" s="423"/>
      <c r="J884" s="423"/>
      <c r="K884" s="423"/>
      <c r="L884" s="423"/>
      <c r="M884" s="423"/>
      <c r="N884" s="423"/>
      <c r="O884" s="423"/>
      <c r="P884" s="423"/>
      <c r="Q884" s="423"/>
      <c r="R884" s="423"/>
      <c r="S884" s="423"/>
      <c r="T884" s="423"/>
      <c r="U884" s="423"/>
      <c r="V884" s="423"/>
      <c r="W884" s="423"/>
      <c r="X884" s="423"/>
      <c r="Y884" s="423"/>
      <c r="Z884" s="423"/>
      <c r="AA884" s="423"/>
      <c r="AB884" s="423"/>
      <c r="AC884" s="423"/>
      <c r="AD884" s="423"/>
      <c r="AE884" s="423"/>
      <c r="AF884" s="423"/>
      <c r="AG884" s="423"/>
      <c r="AH884" s="423"/>
      <c r="AI884" s="423"/>
    </row>
    <row r="885">
      <c r="A885" s="419"/>
      <c r="B885" s="419"/>
      <c r="C885" s="419"/>
      <c r="D885" s="419"/>
      <c r="E885" s="387"/>
      <c r="F885" s="387"/>
      <c r="G885" s="423"/>
      <c r="H885" s="423"/>
      <c r="I885" s="423"/>
      <c r="J885" s="423"/>
      <c r="K885" s="423"/>
      <c r="L885" s="423"/>
      <c r="M885" s="423"/>
      <c r="N885" s="423"/>
      <c r="O885" s="423"/>
      <c r="P885" s="423"/>
      <c r="Q885" s="423"/>
      <c r="R885" s="423"/>
      <c r="S885" s="423"/>
      <c r="T885" s="423"/>
      <c r="U885" s="423"/>
      <c r="V885" s="423"/>
      <c r="W885" s="423"/>
      <c r="X885" s="423"/>
      <c r="Y885" s="423"/>
      <c r="Z885" s="423"/>
      <c r="AA885" s="423"/>
      <c r="AB885" s="423"/>
      <c r="AC885" s="423"/>
      <c r="AD885" s="423"/>
      <c r="AE885" s="423"/>
      <c r="AF885" s="423"/>
      <c r="AG885" s="423"/>
      <c r="AH885" s="423"/>
      <c r="AI885" s="423"/>
    </row>
    <row r="886">
      <c r="A886" s="419"/>
      <c r="B886" s="419"/>
      <c r="C886" s="419"/>
      <c r="D886" s="419"/>
      <c r="E886" s="387"/>
      <c r="F886" s="387"/>
      <c r="G886" s="423"/>
      <c r="H886" s="423"/>
      <c r="I886" s="423"/>
      <c r="J886" s="423"/>
      <c r="K886" s="423"/>
      <c r="L886" s="423"/>
      <c r="M886" s="423"/>
      <c r="N886" s="423"/>
      <c r="O886" s="423"/>
      <c r="P886" s="423"/>
      <c r="Q886" s="423"/>
      <c r="R886" s="423"/>
      <c r="S886" s="423"/>
      <c r="T886" s="423"/>
      <c r="U886" s="423"/>
      <c r="V886" s="423"/>
      <c r="W886" s="423"/>
      <c r="X886" s="423"/>
      <c r="Y886" s="423"/>
      <c r="Z886" s="423"/>
      <c r="AA886" s="423"/>
      <c r="AB886" s="423"/>
      <c r="AC886" s="423"/>
      <c r="AD886" s="423"/>
      <c r="AE886" s="423"/>
      <c r="AF886" s="423"/>
      <c r="AG886" s="423"/>
      <c r="AH886" s="423"/>
      <c r="AI886" s="423"/>
    </row>
    <row r="887">
      <c r="A887" s="419"/>
      <c r="B887" s="419"/>
      <c r="C887" s="419"/>
      <c r="D887" s="419"/>
      <c r="E887" s="387"/>
      <c r="F887" s="387"/>
      <c r="G887" s="423"/>
      <c r="H887" s="423"/>
      <c r="I887" s="423"/>
      <c r="J887" s="423"/>
      <c r="K887" s="423"/>
      <c r="L887" s="423"/>
      <c r="M887" s="423"/>
      <c r="N887" s="423"/>
      <c r="O887" s="423"/>
      <c r="P887" s="423"/>
      <c r="Q887" s="423"/>
      <c r="R887" s="423"/>
      <c r="S887" s="423"/>
      <c r="T887" s="423"/>
      <c r="U887" s="423"/>
      <c r="V887" s="423"/>
      <c r="W887" s="423"/>
      <c r="X887" s="423"/>
      <c r="Y887" s="423"/>
      <c r="Z887" s="423"/>
      <c r="AA887" s="423"/>
      <c r="AB887" s="423"/>
      <c r="AC887" s="423"/>
      <c r="AD887" s="423"/>
      <c r="AE887" s="423"/>
      <c r="AF887" s="423"/>
      <c r="AG887" s="423"/>
      <c r="AH887" s="423"/>
      <c r="AI887" s="423"/>
    </row>
    <row r="888">
      <c r="A888" s="419"/>
      <c r="B888" s="419"/>
      <c r="C888" s="419"/>
      <c r="D888" s="419"/>
      <c r="E888" s="387"/>
      <c r="F888" s="387"/>
      <c r="G888" s="423"/>
      <c r="H888" s="423"/>
      <c r="I888" s="423"/>
      <c r="J888" s="423"/>
      <c r="K888" s="423"/>
      <c r="L888" s="423"/>
      <c r="M888" s="423"/>
      <c r="N888" s="423"/>
      <c r="O888" s="423"/>
      <c r="P888" s="423"/>
      <c r="Q888" s="423"/>
      <c r="R888" s="423"/>
      <c r="S888" s="423"/>
      <c r="T888" s="423"/>
      <c r="U888" s="423"/>
      <c r="V888" s="423"/>
      <c r="W888" s="423"/>
      <c r="X888" s="423"/>
      <c r="Y888" s="423"/>
      <c r="Z888" s="423"/>
      <c r="AA888" s="423"/>
      <c r="AB888" s="423"/>
      <c r="AC888" s="423"/>
      <c r="AD888" s="423"/>
      <c r="AE888" s="423"/>
      <c r="AF888" s="423"/>
      <c r="AG888" s="423"/>
      <c r="AH888" s="423"/>
      <c r="AI888" s="423"/>
    </row>
    <row r="889">
      <c r="A889" s="419"/>
      <c r="B889" s="419"/>
      <c r="C889" s="419"/>
      <c r="D889" s="419"/>
      <c r="E889" s="387"/>
      <c r="F889" s="387"/>
      <c r="G889" s="423"/>
      <c r="H889" s="423"/>
      <c r="I889" s="423"/>
      <c r="J889" s="423"/>
      <c r="K889" s="423"/>
      <c r="L889" s="423"/>
      <c r="M889" s="423"/>
      <c r="N889" s="423"/>
      <c r="O889" s="423"/>
      <c r="P889" s="423"/>
      <c r="Q889" s="423"/>
      <c r="R889" s="423"/>
      <c r="S889" s="423"/>
      <c r="T889" s="423"/>
      <c r="U889" s="423"/>
      <c r="V889" s="423"/>
      <c r="W889" s="423"/>
      <c r="X889" s="423"/>
      <c r="Y889" s="423"/>
      <c r="Z889" s="423"/>
      <c r="AA889" s="423"/>
      <c r="AB889" s="423"/>
      <c r="AC889" s="423"/>
      <c r="AD889" s="423"/>
      <c r="AE889" s="423"/>
      <c r="AF889" s="423"/>
      <c r="AG889" s="423"/>
      <c r="AH889" s="423"/>
      <c r="AI889" s="423"/>
    </row>
    <row r="890">
      <c r="A890" s="419"/>
      <c r="B890" s="419"/>
      <c r="C890" s="419"/>
      <c r="D890" s="419"/>
      <c r="E890" s="387"/>
      <c r="F890" s="387"/>
      <c r="G890" s="423"/>
      <c r="H890" s="423"/>
      <c r="I890" s="423"/>
      <c r="J890" s="423"/>
      <c r="K890" s="423"/>
      <c r="L890" s="423"/>
      <c r="M890" s="423"/>
      <c r="N890" s="423"/>
      <c r="O890" s="423"/>
      <c r="P890" s="423"/>
      <c r="Q890" s="423"/>
      <c r="R890" s="423"/>
      <c r="S890" s="423"/>
      <c r="T890" s="423"/>
      <c r="U890" s="423"/>
      <c r="V890" s="423"/>
      <c r="W890" s="423"/>
      <c r="X890" s="423"/>
      <c r="Y890" s="423"/>
      <c r="Z890" s="423"/>
      <c r="AA890" s="423"/>
      <c r="AB890" s="423"/>
      <c r="AC890" s="423"/>
      <c r="AD890" s="423"/>
      <c r="AE890" s="423"/>
      <c r="AF890" s="423"/>
      <c r="AG890" s="423"/>
      <c r="AH890" s="423"/>
      <c r="AI890" s="423"/>
    </row>
    <row r="891">
      <c r="A891" s="419"/>
      <c r="B891" s="419"/>
      <c r="C891" s="419"/>
      <c r="D891" s="419"/>
      <c r="E891" s="387"/>
      <c r="F891" s="387"/>
      <c r="G891" s="423"/>
      <c r="H891" s="423"/>
      <c r="I891" s="423"/>
      <c r="J891" s="423"/>
      <c r="K891" s="423"/>
      <c r="L891" s="423"/>
      <c r="M891" s="423"/>
      <c r="N891" s="423"/>
      <c r="O891" s="423"/>
      <c r="P891" s="423"/>
      <c r="Q891" s="423"/>
      <c r="R891" s="423"/>
      <c r="S891" s="423"/>
      <c r="T891" s="423"/>
      <c r="U891" s="423"/>
      <c r="V891" s="423"/>
      <c r="W891" s="423"/>
      <c r="X891" s="423"/>
      <c r="Y891" s="423"/>
      <c r="Z891" s="423"/>
      <c r="AA891" s="423"/>
      <c r="AB891" s="423"/>
      <c r="AC891" s="423"/>
      <c r="AD891" s="423"/>
      <c r="AE891" s="423"/>
      <c r="AF891" s="423"/>
      <c r="AG891" s="423"/>
      <c r="AH891" s="423"/>
      <c r="AI891" s="423"/>
    </row>
    <row r="892">
      <c r="A892" s="419"/>
      <c r="B892" s="419"/>
      <c r="C892" s="419"/>
      <c r="D892" s="419"/>
      <c r="E892" s="387"/>
      <c r="F892" s="387"/>
      <c r="G892" s="423"/>
      <c r="H892" s="423"/>
      <c r="I892" s="423"/>
      <c r="J892" s="423"/>
      <c r="K892" s="423"/>
      <c r="L892" s="423"/>
      <c r="M892" s="423"/>
      <c r="N892" s="423"/>
      <c r="O892" s="423"/>
      <c r="P892" s="423"/>
      <c r="Q892" s="423"/>
      <c r="R892" s="423"/>
      <c r="S892" s="423"/>
      <c r="T892" s="423"/>
      <c r="U892" s="423"/>
      <c r="V892" s="423"/>
      <c r="W892" s="423"/>
      <c r="X892" s="423"/>
      <c r="Y892" s="423"/>
      <c r="Z892" s="423"/>
      <c r="AA892" s="423"/>
      <c r="AB892" s="423"/>
      <c r="AC892" s="423"/>
      <c r="AD892" s="423"/>
      <c r="AE892" s="423"/>
      <c r="AF892" s="423"/>
      <c r="AG892" s="423"/>
      <c r="AH892" s="423"/>
      <c r="AI892" s="423"/>
    </row>
    <row r="893">
      <c r="A893" s="419"/>
      <c r="B893" s="419"/>
      <c r="C893" s="419"/>
      <c r="D893" s="419"/>
      <c r="E893" s="387"/>
      <c r="F893" s="387"/>
      <c r="G893" s="423"/>
      <c r="H893" s="423"/>
      <c r="I893" s="423"/>
      <c r="J893" s="423"/>
      <c r="K893" s="423"/>
      <c r="L893" s="423"/>
      <c r="M893" s="423"/>
      <c r="N893" s="423"/>
      <c r="O893" s="423"/>
      <c r="P893" s="423"/>
      <c r="Q893" s="423"/>
      <c r="R893" s="423"/>
      <c r="S893" s="423"/>
      <c r="T893" s="423"/>
      <c r="U893" s="423"/>
      <c r="V893" s="423"/>
      <c r="W893" s="423"/>
      <c r="X893" s="423"/>
      <c r="Y893" s="423"/>
      <c r="Z893" s="423"/>
      <c r="AA893" s="423"/>
      <c r="AB893" s="423"/>
      <c r="AC893" s="423"/>
      <c r="AD893" s="423"/>
      <c r="AE893" s="423"/>
      <c r="AF893" s="423"/>
      <c r="AG893" s="423"/>
      <c r="AH893" s="423"/>
      <c r="AI893" s="423"/>
    </row>
    <row r="894">
      <c r="A894" s="419"/>
      <c r="B894" s="419"/>
      <c r="C894" s="419"/>
      <c r="D894" s="419"/>
      <c r="E894" s="387"/>
      <c r="F894" s="387"/>
      <c r="G894" s="423"/>
      <c r="H894" s="423"/>
      <c r="I894" s="423"/>
      <c r="J894" s="423"/>
      <c r="K894" s="423"/>
      <c r="L894" s="423"/>
      <c r="M894" s="423"/>
      <c r="N894" s="423"/>
      <c r="O894" s="423"/>
      <c r="P894" s="423"/>
      <c r="Q894" s="423"/>
      <c r="R894" s="423"/>
      <c r="S894" s="423"/>
      <c r="T894" s="423"/>
      <c r="U894" s="423"/>
      <c r="V894" s="423"/>
      <c r="W894" s="423"/>
      <c r="X894" s="423"/>
      <c r="Y894" s="423"/>
      <c r="Z894" s="423"/>
      <c r="AA894" s="423"/>
      <c r="AB894" s="423"/>
      <c r="AC894" s="423"/>
      <c r="AD894" s="423"/>
      <c r="AE894" s="423"/>
      <c r="AF894" s="423"/>
      <c r="AG894" s="423"/>
      <c r="AH894" s="423"/>
      <c r="AI894" s="423"/>
    </row>
    <row r="895">
      <c r="A895" s="419"/>
      <c r="B895" s="419"/>
      <c r="C895" s="419"/>
      <c r="D895" s="419"/>
      <c r="E895" s="387"/>
      <c r="F895" s="387"/>
      <c r="G895" s="423"/>
      <c r="H895" s="423"/>
      <c r="I895" s="423"/>
      <c r="J895" s="423"/>
      <c r="K895" s="423"/>
      <c r="L895" s="423"/>
      <c r="M895" s="423"/>
      <c r="N895" s="423"/>
      <c r="O895" s="423"/>
      <c r="P895" s="423"/>
      <c r="Q895" s="423"/>
      <c r="R895" s="423"/>
      <c r="S895" s="423"/>
      <c r="T895" s="423"/>
      <c r="U895" s="423"/>
      <c r="V895" s="423"/>
      <c r="W895" s="423"/>
      <c r="X895" s="423"/>
      <c r="Y895" s="423"/>
      <c r="Z895" s="423"/>
      <c r="AA895" s="423"/>
      <c r="AB895" s="423"/>
      <c r="AC895" s="423"/>
      <c r="AD895" s="423"/>
      <c r="AE895" s="423"/>
      <c r="AF895" s="423"/>
      <c r="AG895" s="423"/>
      <c r="AH895" s="423"/>
      <c r="AI895" s="423"/>
    </row>
    <row r="896">
      <c r="A896" s="419"/>
      <c r="B896" s="419"/>
      <c r="C896" s="419"/>
      <c r="D896" s="419"/>
      <c r="E896" s="387"/>
      <c r="F896" s="387"/>
      <c r="G896" s="423"/>
      <c r="H896" s="423"/>
      <c r="I896" s="423"/>
      <c r="J896" s="423"/>
      <c r="K896" s="423"/>
      <c r="L896" s="423"/>
      <c r="M896" s="423"/>
      <c r="N896" s="423"/>
      <c r="O896" s="423"/>
      <c r="P896" s="423"/>
      <c r="Q896" s="423"/>
      <c r="R896" s="423"/>
      <c r="S896" s="423"/>
      <c r="T896" s="423"/>
      <c r="U896" s="423"/>
      <c r="V896" s="423"/>
      <c r="W896" s="423"/>
      <c r="X896" s="423"/>
      <c r="Y896" s="423"/>
      <c r="Z896" s="423"/>
      <c r="AA896" s="423"/>
      <c r="AB896" s="423"/>
      <c r="AC896" s="423"/>
      <c r="AD896" s="423"/>
      <c r="AE896" s="423"/>
      <c r="AF896" s="423"/>
      <c r="AG896" s="423"/>
      <c r="AH896" s="423"/>
      <c r="AI896" s="423"/>
    </row>
    <row r="897">
      <c r="A897" s="419"/>
      <c r="B897" s="419"/>
      <c r="C897" s="419"/>
      <c r="D897" s="419"/>
      <c r="E897" s="387"/>
      <c r="F897" s="387"/>
      <c r="G897" s="423"/>
      <c r="H897" s="423"/>
      <c r="I897" s="423"/>
      <c r="J897" s="423"/>
      <c r="K897" s="423"/>
      <c r="L897" s="423"/>
      <c r="M897" s="423"/>
      <c r="N897" s="423"/>
      <c r="O897" s="423"/>
      <c r="P897" s="423"/>
      <c r="Q897" s="423"/>
      <c r="R897" s="423"/>
      <c r="S897" s="423"/>
      <c r="T897" s="423"/>
      <c r="U897" s="423"/>
      <c r="V897" s="423"/>
      <c r="W897" s="423"/>
      <c r="X897" s="423"/>
      <c r="Y897" s="423"/>
      <c r="Z897" s="423"/>
      <c r="AA897" s="423"/>
      <c r="AB897" s="423"/>
      <c r="AC897" s="423"/>
      <c r="AD897" s="423"/>
      <c r="AE897" s="423"/>
      <c r="AF897" s="423"/>
      <c r="AG897" s="423"/>
      <c r="AH897" s="423"/>
      <c r="AI897" s="423"/>
    </row>
    <row r="898">
      <c r="A898" s="419"/>
      <c r="B898" s="419"/>
      <c r="C898" s="419"/>
      <c r="D898" s="419"/>
      <c r="E898" s="387"/>
      <c r="F898" s="387"/>
      <c r="G898" s="423"/>
      <c r="H898" s="423"/>
      <c r="I898" s="423"/>
      <c r="J898" s="423"/>
      <c r="K898" s="423"/>
      <c r="L898" s="423"/>
      <c r="M898" s="423"/>
      <c r="N898" s="423"/>
      <c r="O898" s="423"/>
      <c r="P898" s="423"/>
      <c r="Q898" s="423"/>
      <c r="R898" s="423"/>
      <c r="S898" s="423"/>
      <c r="T898" s="423"/>
      <c r="U898" s="423"/>
      <c r="V898" s="423"/>
      <c r="W898" s="423"/>
      <c r="X898" s="423"/>
      <c r="Y898" s="423"/>
      <c r="Z898" s="423"/>
      <c r="AA898" s="423"/>
      <c r="AB898" s="423"/>
      <c r="AC898" s="423"/>
      <c r="AD898" s="423"/>
      <c r="AE898" s="423"/>
      <c r="AF898" s="423"/>
      <c r="AG898" s="423"/>
      <c r="AH898" s="423"/>
      <c r="AI898" s="423"/>
    </row>
    <row r="899">
      <c r="A899" s="419"/>
      <c r="B899" s="419"/>
      <c r="C899" s="419"/>
      <c r="D899" s="419"/>
      <c r="E899" s="387"/>
      <c r="F899" s="387"/>
      <c r="G899" s="423"/>
      <c r="H899" s="423"/>
      <c r="I899" s="423"/>
      <c r="J899" s="423"/>
      <c r="K899" s="423"/>
      <c r="L899" s="423"/>
      <c r="M899" s="423"/>
      <c r="N899" s="423"/>
      <c r="O899" s="423"/>
      <c r="P899" s="423"/>
      <c r="Q899" s="423"/>
      <c r="R899" s="423"/>
      <c r="S899" s="423"/>
      <c r="T899" s="423"/>
      <c r="U899" s="423"/>
      <c r="V899" s="423"/>
      <c r="W899" s="423"/>
      <c r="X899" s="423"/>
      <c r="Y899" s="423"/>
      <c r="Z899" s="423"/>
      <c r="AA899" s="423"/>
      <c r="AB899" s="423"/>
      <c r="AC899" s="423"/>
      <c r="AD899" s="423"/>
      <c r="AE899" s="423"/>
      <c r="AF899" s="423"/>
      <c r="AG899" s="423"/>
      <c r="AH899" s="423"/>
      <c r="AI899" s="423"/>
    </row>
    <row r="900">
      <c r="A900" s="419"/>
      <c r="B900" s="419"/>
      <c r="C900" s="419"/>
      <c r="D900" s="419"/>
      <c r="E900" s="387"/>
      <c r="F900" s="387"/>
      <c r="G900" s="423"/>
      <c r="H900" s="423"/>
      <c r="I900" s="423"/>
      <c r="J900" s="423"/>
      <c r="K900" s="423"/>
      <c r="L900" s="423"/>
      <c r="M900" s="423"/>
      <c r="N900" s="423"/>
      <c r="O900" s="423"/>
      <c r="P900" s="423"/>
      <c r="Q900" s="423"/>
      <c r="R900" s="423"/>
      <c r="S900" s="423"/>
      <c r="T900" s="423"/>
      <c r="U900" s="423"/>
      <c r="V900" s="423"/>
      <c r="W900" s="423"/>
      <c r="X900" s="423"/>
      <c r="Y900" s="423"/>
      <c r="Z900" s="423"/>
      <c r="AA900" s="423"/>
      <c r="AB900" s="423"/>
      <c r="AC900" s="423"/>
      <c r="AD900" s="423"/>
      <c r="AE900" s="423"/>
      <c r="AF900" s="423"/>
      <c r="AG900" s="423"/>
      <c r="AH900" s="423"/>
      <c r="AI900" s="423"/>
    </row>
    <row r="901">
      <c r="A901" s="419"/>
      <c r="B901" s="419"/>
      <c r="C901" s="419"/>
      <c r="D901" s="419"/>
      <c r="E901" s="387"/>
      <c r="F901" s="387"/>
      <c r="G901" s="423"/>
      <c r="H901" s="423"/>
      <c r="I901" s="423"/>
      <c r="J901" s="423"/>
      <c r="K901" s="423"/>
      <c r="L901" s="423"/>
      <c r="M901" s="423"/>
      <c r="N901" s="423"/>
      <c r="O901" s="423"/>
      <c r="P901" s="423"/>
      <c r="Q901" s="423"/>
      <c r="R901" s="423"/>
      <c r="S901" s="423"/>
      <c r="T901" s="423"/>
      <c r="U901" s="423"/>
      <c r="V901" s="423"/>
      <c r="W901" s="423"/>
      <c r="X901" s="423"/>
      <c r="Y901" s="423"/>
      <c r="Z901" s="423"/>
      <c r="AA901" s="423"/>
      <c r="AB901" s="423"/>
      <c r="AC901" s="423"/>
      <c r="AD901" s="423"/>
      <c r="AE901" s="423"/>
      <c r="AF901" s="423"/>
      <c r="AG901" s="423"/>
      <c r="AH901" s="423"/>
      <c r="AI901" s="423"/>
    </row>
    <row r="902">
      <c r="A902" s="419"/>
      <c r="B902" s="419"/>
      <c r="C902" s="419"/>
      <c r="D902" s="419"/>
      <c r="E902" s="387"/>
      <c r="F902" s="387"/>
      <c r="G902" s="423"/>
      <c r="H902" s="423"/>
      <c r="I902" s="423"/>
      <c r="J902" s="423"/>
      <c r="K902" s="423"/>
      <c r="L902" s="423"/>
      <c r="M902" s="423"/>
      <c r="N902" s="423"/>
      <c r="O902" s="423"/>
      <c r="P902" s="423"/>
      <c r="Q902" s="423"/>
      <c r="R902" s="423"/>
      <c r="S902" s="423"/>
      <c r="T902" s="423"/>
      <c r="U902" s="423"/>
      <c r="V902" s="423"/>
      <c r="W902" s="423"/>
      <c r="X902" s="423"/>
      <c r="Y902" s="423"/>
      <c r="Z902" s="423"/>
      <c r="AA902" s="423"/>
      <c r="AB902" s="423"/>
      <c r="AC902" s="423"/>
      <c r="AD902" s="423"/>
      <c r="AE902" s="423"/>
      <c r="AF902" s="423"/>
      <c r="AG902" s="423"/>
      <c r="AH902" s="423"/>
      <c r="AI902" s="423"/>
    </row>
    <row r="903">
      <c r="A903" s="419"/>
      <c r="B903" s="419"/>
      <c r="C903" s="419"/>
      <c r="D903" s="419"/>
      <c r="E903" s="387"/>
      <c r="F903" s="387"/>
      <c r="G903" s="423"/>
      <c r="H903" s="423"/>
      <c r="I903" s="423"/>
      <c r="J903" s="423"/>
      <c r="K903" s="423"/>
      <c r="L903" s="423"/>
      <c r="M903" s="423"/>
      <c r="N903" s="423"/>
      <c r="O903" s="423"/>
      <c r="P903" s="423"/>
      <c r="Q903" s="423"/>
      <c r="R903" s="423"/>
      <c r="S903" s="423"/>
      <c r="T903" s="423"/>
      <c r="U903" s="423"/>
      <c r="V903" s="423"/>
      <c r="W903" s="423"/>
      <c r="X903" s="423"/>
      <c r="Y903" s="423"/>
      <c r="Z903" s="423"/>
      <c r="AA903" s="423"/>
      <c r="AB903" s="423"/>
      <c r="AC903" s="423"/>
      <c r="AD903" s="423"/>
      <c r="AE903" s="423"/>
      <c r="AF903" s="423"/>
      <c r="AG903" s="423"/>
      <c r="AH903" s="423"/>
      <c r="AI903" s="423"/>
    </row>
    <row r="904">
      <c r="A904" s="419"/>
      <c r="B904" s="419"/>
      <c r="C904" s="419"/>
      <c r="D904" s="419"/>
      <c r="E904" s="387"/>
      <c r="F904" s="387"/>
      <c r="G904" s="423"/>
      <c r="H904" s="423"/>
      <c r="I904" s="423"/>
      <c r="J904" s="423"/>
      <c r="K904" s="423"/>
      <c r="L904" s="423"/>
      <c r="M904" s="423"/>
      <c r="N904" s="423"/>
      <c r="O904" s="423"/>
      <c r="P904" s="423"/>
      <c r="Q904" s="423"/>
      <c r="R904" s="423"/>
      <c r="S904" s="423"/>
      <c r="T904" s="423"/>
      <c r="U904" s="423"/>
      <c r="V904" s="423"/>
      <c r="W904" s="423"/>
      <c r="X904" s="423"/>
      <c r="Y904" s="423"/>
      <c r="Z904" s="423"/>
      <c r="AA904" s="423"/>
      <c r="AB904" s="423"/>
      <c r="AC904" s="423"/>
      <c r="AD904" s="423"/>
      <c r="AE904" s="423"/>
      <c r="AF904" s="423"/>
      <c r="AG904" s="423"/>
      <c r="AH904" s="423"/>
      <c r="AI904" s="423"/>
    </row>
    <row r="905">
      <c r="A905" s="419"/>
      <c r="B905" s="419"/>
      <c r="C905" s="419"/>
      <c r="D905" s="419"/>
      <c r="E905" s="387"/>
      <c r="F905" s="387"/>
      <c r="G905" s="423"/>
      <c r="H905" s="423"/>
      <c r="I905" s="423"/>
      <c r="J905" s="423"/>
      <c r="K905" s="423"/>
      <c r="L905" s="423"/>
      <c r="M905" s="423"/>
      <c r="N905" s="423"/>
      <c r="O905" s="423"/>
      <c r="P905" s="423"/>
      <c r="Q905" s="423"/>
      <c r="R905" s="423"/>
      <c r="S905" s="423"/>
      <c r="T905" s="423"/>
      <c r="U905" s="423"/>
      <c r="V905" s="423"/>
      <c r="W905" s="423"/>
      <c r="X905" s="423"/>
      <c r="Y905" s="423"/>
      <c r="Z905" s="423"/>
      <c r="AA905" s="423"/>
      <c r="AB905" s="423"/>
      <c r="AC905" s="423"/>
      <c r="AD905" s="423"/>
      <c r="AE905" s="423"/>
      <c r="AF905" s="423"/>
      <c r="AG905" s="423"/>
      <c r="AH905" s="423"/>
      <c r="AI905" s="423"/>
    </row>
    <row r="906">
      <c r="A906" s="419"/>
      <c r="B906" s="419"/>
      <c r="C906" s="419"/>
      <c r="D906" s="419"/>
      <c r="E906" s="387"/>
      <c r="F906" s="387"/>
      <c r="G906" s="423"/>
      <c r="H906" s="423"/>
      <c r="I906" s="423"/>
      <c r="J906" s="423"/>
      <c r="K906" s="423"/>
      <c r="L906" s="423"/>
      <c r="M906" s="423"/>
      <c r="N906" s="423"/>
      <c r="O906" s="423"/>
      <c r="P906" s="423"/>
      <c r="Q906" s="423"/>
      <c r="R906" s="423"/>
      <c r="S906" s="423"/>
      <c r="T906" s="423"/>
      <c r="U906" s="423"/>
      <c r="V906" s="423"/>
      <c r="W906" s="423"/>
      <c r="X906" s="423"/>
      <c r="Y906" s="423"/>
      <c r="Z906" s="423"/>
      <c r="AA906" s="423"/>
      <c r="AB906" s="423"/>
      <c r="AC906" s="423"/>
      <c r="AD906" s="423"/>
      <c r="AE906" s="423"/>
      <c r="AF906" s="423"/>
      <c r="AG906" s="423"/>
      <c r="AH906" s="423"/>
      <c r="AI906" s="423"/>
    </row>
    <row r="907">
      <c r="A907" s="419"/>
      <c r="B907" s="419"/>
      <c r="C907" s="419"/>
      <c r="D907" s="419"/>
      <c r="E907" s="387"/>
      <c r="F907" s="387"/>
      <c r="G907" s="423"/>
      <c r="H907" s="423"/>
      <c r="I907" s="423"/>
      <c r="J907" s="423"/>
      <c r="K907" s="423"/>
      <c r="L907" s="423"/>
      <c r="M907" s="423"/>
      <c r="N907" s="423"/>
      <c r="O907" s="423"/>
      <c r="P907" s="423"/>
      <c r="Q907" s="423"/>
      <c r="R907" s="423"/>
      <c r="S907" s="423"/>
      <c r="T907" s="423"/>
      <c r="U907" s="423"/>
      <c r="V907" s="423"/>
      <c r="W907" s="423"/>
      <c r="X907" s="423"/>
      <c r="Y907" s="423"/>
      <c r="Z907" s="423"/>
      <c r="AA907" s="423"/>
      <c r="AB907" s="423"/>
      <c r="AC907" s="423"/>
      <c r="AD907" s="423"/>
      <c r="AE907" s="423"/>
      <c r="AF907" s="423"/>
      <c r="AG907" s="423"/>
      <c r="AH907" s="423"/>
      <c r="AI907" s="423"/>
    </row>
    <row r="908">
      <c r="A908" s="419"/>
      <c r="B908" s="419"/>
      <c r="C908" s="419"/>
      <c r="D908" s="419"/>
      <c r="E908" s="387"/>
      <c r="F908" s="387"/>
      <c r="G908" s="423"/>
      <c r="H908" s="423"/>
      <c r="I908" s="423"/>
      <c r="J908" s="423"/>
      <c r="K908" s="423"/>
      <c r="L908" s="423"/>
      <c r="M908" s="423"/>
      <c r="N908" s="423"/>
      <c r="O908" s="423"/>
      <c r="P908" s="423"/>
      <c r="Q908" s="423"/>
      <c r="R908" s="423"/>
      <c r="S908" s="423"/>
      <c r="T908" s="423"/>
      <c r="U908" s="423"/>
      <c r="V908" s="423"/>
      <c r="W908" s="423"/>
      <c r="X908" s="423"/>
      <c r="Y908" s="423"/>
      <c r="Z908" s="423"/>
      <c r="AA908" s="423"/>
      <c r="AB908" s="423"/>
      <c r="AC908" s="423"/>
      <c r="AD908" s="423"/>
      <c r="AE908" s="423"/>
      <c r="AF908" s="423"/>
      <c r="AG908" s="423"/>
      <c r="AH908" s="423"/>
      <c r="AI908" s="423"/>
    </row>
    <row r="909">
      <c r="A909" s="419"/>
      <c r="B909" s="419"/>
      <c r="C909" s="419"/>
      <c r="D909" s="419"/>
      <c r="E909" s="387"/>
      <c r="F909" s="387"/>
      <c r="G909" s="423"/>
      <c r="H909" s="423"/>
      <c r="I909" s="423"/>
      <c r="J909" s="423"/>
      <c r="K909" s="423"/>
      <c r="L909" s="423"/>
      <c r="M909" s="423"/>
      <c r="N909" s="423"/>
      <c r="O909" s="423"/>
      <c r="P909" s="423"/>
      <c r="Q909" s="423"/>
      <c r="R909" s="423"/>
      <c r="S909" s="423"/>
      <c r="T909" s="423"/>
      <c r="U909" s="423"/>
      <c r="V909" s="423"/>
      <c r="W909" s="423"/>
      <c r="X909" s="423"/>
      <c r="Y909" s="423"/>
      <c r="Z909" s="423"/>
      <c r="AA909" s="423"/>
      <c r="AB909" s="423"/>
      <c r="AC909" s="423"/>
      <c r="AD909" s="423"/>
      <c r="AE909" s="423"/>
      <c r="AF909" s="423"/>
      <c r="AG909" s="423"/>
      <c r="AH909" s="423"/>
      <c r="AI909" s="423"/>
    </row>
    <row r="910">
      <c r="A910" s="419"/>
      <c r="B910" s="419"/>
      <c r="C910" s="419"/>
      <c r="D910" s="419"/>
      <c r="E910" s="387"/>
      <c r="F910" s="387"/>
      <c r="G910" s="423"/>
      <c r="H910" s="423"/>
      <c r="I910" s="423"/>
      <c r="J910" s="423"/>
      <c r="K910" s="423"/>
      <c r="L910" s="423"/>
      <c r="M910" s="423"/>
      <c r="N910" s="423"/>
      <c r="O910" s="423"/>
      <c r="P910" s="423"/>
      <c r="Q910" s="423"/>
      <c r="R910" s="423"/>
      <c r="S910" s="423"/>
      <c r="T910" s="423"/>
      <c r="U910" s="423"/>
      <c r="V910" s="423"/>
      <c r="W910" s="423"/>
      <c r="X910" s="423"/>
      <c r="Y910" s="423"/>
      <c r="Z910" s="423"/>
      <c r="AA910" s="423"/>
      <c r="AB910" s="423"/>
      <c r="AC910" s="423"/>
      <c r="AD910" s="423"/>
      <c r="AE910" s="423"/>
      <c r="AF910" s="423"/>
      <c r="AG910" s="423"/>
      <c r="AH910" s="423"/>
      <c r="AI910" s="423"/>
    </row>
    <row r="911">
      <c r="A911" s="419"/>
      <c r="B911" s="419"/>
      <c r="C911" s="419"/>
      <c r="D911" s="419"/>
      <c r="E911" s="387"/>
      <c r="F911" s="387"/>
      <c r="G911" s="423"/>
      <c r="H911" s="423"/>
      <c r="I911" s="423"/>
      <c r="J911" s="423"/>
      <c r="K911" s="423"/>
      <c r="L911" s="423"/>
      <c r="M911" s="423"/>
      <c r="N911" s="423"/>
      <c r="O911" s="423"/>
      <c r="P911" s="423"/>
      <c r="Q911" s="423"/>
      <c r="R911" s="423"/>
      <c r="S911" s="423"/>
      <c r="T911" s="423"/>
      <c r="U911" s="423"/>
      <c r="V911" s="423"/>
      <c r="W911" s="423"/>
      <c r="X911" s="423"/>
      <c r="Y911" s="423"/>
      <c r="Z911" s="423"/>
      <c r="AA911" s="423"/>
      <c r="AB911" s="423"/>
      <c r="AC911" s="423"/>
      <c r="AD911" s="423"/>
      <c r="AE911" s="423"/>
      <c r="AF911" s="423"/>
      <c r="AG911" s="423"/>
      <c r="AH911" s="423"/>
      <c r="AI911" s="423"/>
    </row>
    <row r="912">
      <c r="A912" s="419"/>
      <c r="B912" s="419"/>
      <c r="C912" s="419"/>
      <c r="D912" s="419"/>
      <c r="E912" s="387"/>
      <c r="F912" s="387"/>
      <c r="G912" s="423"/>
      <c r="H912" s="423"/>
      <c r="I912" s="423"/>
      <c r="J912" s="423"/>
      <c r="K912" s="423"/>
      <c r="L912" s="423"/>
      <c r="M912" s="423"/>
      <c r="N912" s="423"/>
      <c r="O912" s="423"/>
      <c r="P912" s="423"/>
      <c r="Q912" s="423"/>
      <c r="R912" s="423"/>
      <c r="S912" s="423"/>
      <c r="T912" s="423"/>
      <c r="U912" s="423"/>
      <c r="V912" s="423"/>
      <c r="W912" s="423"/>
      <c r="X912" s="423"/>
      <c r="Y912" s="423"/>
      <c r="Z912" s="423"/>
      <c r="AA912" s="423"/>
      <c r="AB912" s="423"/>
      <c r="AC912" s="423"/>
      <c r="AD912" s="423"/>
      <c r="AE912" s="423"/>
      <c r="AF912" s="423"/>
      <c r="AG912" s="423"/>
      <c r="AH912" s="423"/>
      <c r="AI912" s="423"/>
    </row>
    <row r="913">
      <c r="A913" s="419"/>
      <c r="B913" s="419"/>
      <c r="C913" s="419"/>
      <c r="D913" s="419"/>
      <c r="E913" s="387"/>
      <c r="F913" s="387"/>
      <c r="G913" s="423"/>
      <c r="H913" s="423"/>
      <c r="I913" s="423"/>
      <c r="J913" s="423"/>
      <c r="K913" s="423"/>
      <c r="L913" s="423"/>
      <c r="M913" s="423"/>
      <c r="N913" s="423"/>
      <c r="O913" s="423"/>
      <c r="P913" s="423"/>
      <c r="Q913" s="423"/>
      <c r="R913" s="423"/>
      <c r="S913" s="423"/>
      <c r="T913" s="423"/>
      <c r="U913" s="423"/>
      <c r="V913" s="423"/>
      <c r="W913" s="423"/>
      <c r="X913" s="423"/>
      <c r="Y913" s="423"/>
      <c r="Z913" s="423"/>
      <c r="AA913" s="423"/>
      <c r="AB913" s="423"/>
      <c r="AC913" s="423"/>
      <c r="AD913" s="423"/>
      <c r="AE913" s="423"/>
      <c r="AF913" s="423"/>
      <c r="AG913" s="423"/>
      <c r="AH913" s="423"/>
      <c r="AI913" s="423"/>
    </row>
    <row r="914">
      <c r="A914" s="419"/>
      <c r="B914" s="419"/>
      <c r="C914" s="419"/>
      <c r="D914" s="419"/>
      <c r="E914" s="387"/>
      <c r="F914" s="387"/>
      <c r="G914" s="423"/>
      <c r="H914" s="423"/>
      <c r="I914" s="423"/>
      <c r="J914" s="423"/>
      <c r="K914" s="423"/>
      <c r="L914" s="423"/>
      <c r="M914" s="423"/>
      <c r="N914" s="423"/>
      <c r="O914" s="423"/>
      <c r="P914" s="423"/>
      <c r="Q914" s="423"/>
      <c r="R914" s="423"/>
      <c r="S914" s="423"/>
      <c r="T914" s="423"/>
      <c r="U914" s="423"/>
      <c r="V914" s="423"/>
      <c r="W914" s="423"/>
      <c r="X914" s="423"/>
      <c r="Y914" s="423"/>
      <c r="Z914" s="423"/>
      <c r="AA914" s="423"/>
      <c r="AB914" s="423"/>
      <c r="AC914" s="423"/>
      <c r="AD914" s="423"/>
      <c r="AE914" s="423"/>
      <c r="AF914" s="423"/>
      <c r="AG914" s="423"/>
      <c r="AH914" s="423"/>
      <c r="AI914" s="423"/>
    </row>
    <row r="915">
      <c r="A915" s="419"/>
      <c r="B915" s="419"/>
      <c r="C915" s="419"/>
      <c r="D915" s="419"/>
      <c r="E915" s="387"/>
      <c r="F915" s="387"/>
      <c r="G915" s="423"/>
      <c r="H915" s="423"/>
      <c r="I915" s="423"/>
      <c r="J915" s="423"/>
      <c r="K915" s="423"/>
      <c r="L915" s="423"/>
      <c r="M915" s="423"/>
      <c r="N915" s="423"/>
      <c r="O915" s="423"/>
      <c r="P915" s="423"/>
      <c r="Q915" s="423"/>
      <c r="R915" s="423"/>
      <c r="S915" s="423"/>
      <c r="T915" s="423"/>
      <c r="U915" s="423"/>
      <c r="V915" s="423"/>
      <c r="W915" s="423"/>
      <c r="X915" s="423"/>
      <c r="Y915" s="423"/>
      <c r="Z915" s="423"/>
      <c r="AA915" s="423"/>
      <c r="AB915" s="423"/>
      <c r="AC915" s="423"/>
      <c r="AD915" s="423"/>
      <c r="AE915" s="423"/>
      <c r="AF915" s="423"/>
      <c r="AG915" s="423"/>
      <c r="AH915" s="423"/>
      <c r="AI915" s="423"/>
    </row>
    <row r="916">
      <c r="A916" s="419"/>
      <c r="B916" s="419"/>
      <c r="C916" s="419"/>
      <c r="D916" s="419"/>
      <c r="E916" s="387"/>
      <c r="F916" s="387"/>
      <c r="G916" s="423"/>
      <c r="H916" s="423"/>
      <c r="I916" s="423"/>
      <c r="J916" s="423"/>
      <c r="K916" s="423"/>
      <c r="L916" s="423"/>
      <c r="M916" s="423"/>
      <c r="N916" s="423"/>
      <c r="O916" s="423"/>
      <c r="P916" s="423"/>
      <c r="Q916" s="423"/>
      <c r="R916" s="423"/>
      <c r="S916" s="423"/>
      <c r="T916" s="423"/>
      <c r="U916" s="423"/>
      <c r="V916" s="423"/>
      <c r="W916" s="423"/>
      <c r="X916" s="423"/>
      <c r="Y916" s="423"/>
      <c r="Z916" s="423"/>
      <c r="AA916" s="423"/>
      <c r="AB916" s="423"/>
      <c r="AC916" s="423"/>
      <c r="AD916" s="423"/>
      <c r="AE916" s="423"/>
      <c r="AF916" s="423"/>
      <c r="AG916" s="423"/>
      <c r="AH916" s="423"/>
      <c r="AI916" s="423"/>
    </row>
    <row r="917">
      <c r="A917" s="419"/>
      <c r="B917" s="419"/>
      <c r="C917" s="419"/>
      <c r="D917" s="419"/>
      <c r="E917" s="387"/>
      <c r="F917" s="387"/>
      <c r="G917" s="423"/>
      <c r="H917" s="423"/>
      <c r="I917" s="423"/>
      <c r="J917" s="423"/>
      <c r="K917" s="423"/>
      <c r="L917" s="423"/>
      <c r="M917" s="423"/>
      <c r="N917" s="423"/>
      <c r="O917" s="423"/>
      <c r="P917" s="423"/>
      <c r="Q917" s="423"/>
      <c r="R917" s="423"/>
      <c r="S917" s="423"/>
      <c r="T917" s="423"/>
      <c r="U917" s="423"/>
      <c r="V917" s="423"/>
      <c r="W917" s="423"/>
      <c r="X917" s="423"/>
      <c r="Y917" s="423"/>
      <c r="Z917" s="423"/>
      <c r="AA917" s="423"/>
      <c r="AB917" s="423"/>
      <c r="AC917" s="423"/>
      <c r="AD917" s="423"/>
      <c r="AE917" s="423"/>
      <c r="AF917" s="423"/>
      <c r="AG917" s="423"/>
      <c r="AH917" s="423"/>
      <c r="AI917" s="423"/>
    </row>
    <row r="918">
      <c r="A918" s="419"/>
      <c r="B918" s="419"/>
      <c r="C918" s="419"/>
      <c r="D918" s="419"/>
      <c r="E918" s="387"/>
      <c r="F918" s="387"/>
      <c r="G918" s="423"/>
      <c r="H918" s="423"/>
      <c r="I918" s="423"/>
      <c r="J918" s="423"/>
      <c r="K918" s="423"/>
      <c r="L918" s="423"/>
      <c r="M918" s="423"/>
      <c r="N918" s="423"/>
      <c r="O918" s="423"/>
      <c r="P918" s="423"/>
      <c r="Q918" s="423"/>
      <c r="R918" s="423"/>
      <c r="S918" s="423"/>
      <c r="T918" s="423"/>
      <c r="U918" s="423"/>
      <c r="V918" s="423"/>
      <c r="W918" s="423"/>
      <c r="X918" s="423"/>
      <c r="Y918" s="423"/>
      <c r="Z918" s="423"/>
      <c r="AA918" s="423"/>
      <c r="AB918" s="423"/>
      <c r="AC918" s="423"/>
      <c r="AD918" s="423"/>
      <c r="AE918" s="423"/>
      <c r="AF918" s="423"/>
      <c r="AG918" s="423"/>
      <c r="AH918" s="423"/>
      <c r="AI918" s="423"/>
    </row>
    <row r="919">
      <c r="A919" s="419"/>
      <c r="B919" s="419"/>
      <c r="C919" s="419"/>
      <c r="D919" s="419"/>
      <c r="E919" s="387"/>
      <c r="F919" s="387"/>
      <c r="G919" s="423"/>
      <c r="H919" s="423"/>
      <c r="I919" s="423"/>
      <c r="J919" s="423"/>
      <c r="K919" s="423"/>
      <c r="L919" s="423"/>
      <c r="M919" s="423"/>
      <c r="N919" s="423"/>
      <c r="O919" s="423"/>
      <c r="P919" s="423"/>
      <c r="Q919" s="423"/>
      <c r="R919" s="423"/>
      <c r="S919" s="423"/>
      <c r="T919" s="423"/>
      <c r="U919" s="423"/>
      <c r="V919" s="423"/>
      <c r="W919" s="423"/>
      <c r="X919" s="423"/>
      <c r="Y919" s="423"/>
      <c r="Z919" s="423"/>
      <c r="AA919" s="423"/>
      <c r="AB919" s="423"/>
      <c r="AC919" s="423"/>
      <c r="AD919" s="423"/>
      <c r="AE919" s="423"/>
      <c r="AF919" s="423"/>
      <c r="AG919" s="423"/>
      <c r="AH919" s="423"/>
      <c r="AI919" s="423"/>
    </row>
    <row r="920">
      <c r="A920" s="419"/>
      <c r="B920" s="419"/>
      <c r="C920" s="419"/>
      <c r="D920" s="419"/>
      <c r="E920" s="387"/>
      <c r="F920" s="387"/>
      <c r="G920" s="423"/>
      <c r="H920" s="423"/>
      <c r="I920" s="423"/>
      <c r="J920" s="423"/>
      <c r="K920" s="423"/>
      <c r="L920" s="423"/>
      <c r="M920" s="423"/>
      <c r="N920" s="423"/>
      <c r="O920" s="423"/>
      <c r="P920" s="423"/>
      <c r="Q920" s="423"/>
      <c r="R920" s="423"/>
      <c r="S920" s="423"/>
      <c r="T920" s="423"/>
      <c r="U920" s="423"/>
      <c r="V920" s="423"/>
      <c r="W920" s="423"/>
      <c r="X920" s="423"/>
      <c r="Y920" s="423"/>
      <c r="Z920" s="423"/>
      <c r="AA920" s="423"/>
      <c r="AB920" s="423"/>
      <c r="AC920" s="423"/>
      <c r="AD920" s="423"/>
      <c r="AE920" s="423"/>
      <c r="AF920" s="423"/>
      <c r="AG920" s="423"/>
      <c r="AH920" s="423"/>
      <c r="AI920" s="423"/>
    </row>
    <row r="921">
      <c r="A921" s="419"/>
      <c r="B921" s="419"/>
      <c r="C921" s="419"/>
      <c r="D921" s="419"/>
      <c r="E921" s="387"/>
      <c r="F921" s="387"/>
      <c r="G921" s="423"/>
      <c r="H921" s="423"/>
      <c r="I921" s="423"/>
      <c r="J921" s="423"/>
      <c r="K921" s="423"/>
      <c r="L921" s="423"/>
      <c r="M921" s="423"/>
      <c r="N921" s="423"/>
      <c r="O921" s="423"/>
      <c r="P921" s="423"/>
      <c r="Q921" s="423"/>
      <c r="R921" s="423"/>
      <c r="S921" s="423"/>
      <c r="T921" s="423"/>
      <c r="U921" s="423"/>
      <c r="V921" s="423"/>
      <c r="W921" s="423"/>
      <c r="X921" s="423"/>
      <c r="Y921" s="423"/>
      <c r="Z921" s="423"/>
      <c r="AA921" s="423"/>
      <c r="AB921" s="423"/>
      <c r="AC921" s="423"/>
      <c r="AD921" s="423"/>
      <c r="AE921" s="423"/>
      <c r="AF921" s="423"/>
      <c r="AG921" s="423"/>
      <c r="AH921" s="423"/>
      <c r="AI921" s="423"/>
    </row>
    <row r="922">
      <c r="A922" s="419"/>
      <c r="B922" s="419"/>
      <c r="C922" s="419"/>
      <c r="D922" s="419"/>
      <c r="E922" s="387"/>
      <c r="F922" s="387"/>
      <c r="G922" s="423"/>
      <c r="H922" s="423"/>
      <c r="I922" s="423"/>
      <c r="J922" s="423"/>
      <c r="K922" s="423"/>
      <c r="L922" s="423"/>
      <c r="M922" s="423"/>
      <c r="N922" s="423"/>
      <c r="O922" s="423"/>
      <c r="P922" s="423"/>
      <c r="Q922" s="423"/>
      <c r="R922" s="423"/>
      <c r="S922" s="423"/>
      <c r="T922" s="423"/>
      <c r="U922" s="423"/>
      <c r="V922" s="423"/>
      <c r="W922" s="423"/>
      <c r="X922" s="423"/>
      <c r="Y922" s="423"/>
      <c r="Z922" s="423"/>
      <c r="AA922" s="423"/>
      <c r="AB922" s="423"/>
      <c r="AC922" s="423"/>
      <c r="AD922" s="423"/>
      <c r="AE922" s="423"/>
      <c r="AF922" s="423"/>
      <c r="AG922" s="423"/>
      <c r="AH922" s="423"/>
      <c r="AI922" s="423"/>
    </row>
    <row r="923">
      <c r="A923" s="419"/>
      <c r="B923" s="419"/>
      <c r="C923" s="419"/>
      <c r="D923" s="419"/>
      <c r="E923" s="387"/>
      <c r="F923" s="387"/>
      <c r="G923" s="423"/>
      <c r="H923" s="423"/>
      <c r="I923" s="423"/>
      <c r="J923" s="423"/>
      <c r="K923" s="423"/>
      <c r="L923" s="423"/>
      <c r="M923" s="423"/>
      <c r="N923" s="423"/>
      <c r="O923" s="423"/>
      <c r="P923" s="423"/>
      <c r="Q923" s="423"/>
      <c r="R923" s="423"/>
      <c r="S923" s="423"/>
      <c r="T923" s="423"/>
      <c r="U923" s="423"/>
      <c r="V923" s="423"/>
      <c r="W923" s="423"/>
      <c r="X923" s="423"/>
      <c r="Y923" s="423"/>
      <c r="Z923" s="423"/>
      <c r="AA923" s="423"/>
      <c r="AB923" s="423"/>
      <c r="AC923" s="423"/>
      <c r="AD923" s="423"/>
      <c r="AE923" s="423"/>
      <c r="AF923" s="423"/>
      <c r="AG923" s="423"/>
      <c r="AH923" s="423"/>
      <c r="AI923" s="423"/>
    </row>
    <row r="924">
      <c r="A924" s="419"/>
      <c r="B924" s="419"/>
      <c r="C924" s="419"/>
      <c r="D924" s="419"/>
      <c r="E924" s="387"/>
      <c r="F924" s="387"/>
      <c r="G924" s="423"/>
      <c r="H924" s="423"/>
      <c r="I924" s="423"/>
      <c r="J924" s="423"/>
      <c r="K924" s="423"/>
      <c r="L924" s="423"/>
      <c r="M924" s="423"/>
      <c r="N924" s="423"/>
      <c r="O924" s="423"/>
      <c r="P924" s="423"/>
      <c r="Q924" s="423"/>
      <c r="R924" s="423"/>
      <c r="S924" s="423"/>
      <c r="T924" s="423"/>
      <c r="U924" s="423"/>
      <c r="V924" s="423"/>
      <c r="W924" s="423"/>
      <c r="X924" s="423"/>
      <c r="Y924" s="423"/>
      <c r="Z924" s="423"/>
      <c r="AA924" s="423"/>
      <c r="AB924" s="423"/>
      <c r="AC924" s="423"/>
      <c r="AD924" s="423"/>
      <c r="AE924" s="423"/>
      <c r="AF924" s="423"/>
      <c r="AG924" s="423"/>
      <c r="AH924" s="423"/>
      <c r="AI924" s="423"/>
    </row>
    <row r="925">
      <c r="A925" s="419"/>
      <c r="B925" s="419"/>
      <c r="C925" s="419"/>
      <c r="D925" s="419"/>
      <c r="E925" s="387"/>
      <c r="F925" s="387"/>
      <c r="G925" s="423"/>
      <c r="H925" s="423"/>
      <c r="I925" s="423"/>
      <c r="J925" s="423"/>
      <c r="K925" s="423"/>
      <c r="L925" s="423"/>
      <c r="M925" s="423"/>
      <c r="N925" s="423"/>
      <c r="O925" s="423"/>
      <c r="P925" s="423"/>
      <c r="Q925" s="423"/>
      <c r="R925" s="423"/>
      <c r="S925" s="423"/>
      <c r="T925" s="423"/>
      <c r="U925" s="423"/>
      <c r="V925" s="423"/>
      <c r="W925" s="423"/>
      <c r="X925" s="423"/>
      <c r="Y925" s="423"/>
      <c r="Z925" s="423"/>
      <c r="AA925" s="423"/>
      <c r="AB925" s="423"/>
      <c r="AC925" s="423"/>
      <c r="AD925" s="423"/>
      <c r="AE925" s="423"/>
      <c r="AF925" s="423"/>
      <c r="AG925" s="423"/>
      <c r="AH925" s="423"/>
      <c r="AI925" s="423"/>
    </row>
    <row r="926">
      <c r="A926" s="419"/>
      <c r="B926" s="419"/>
      <c r="C926" s="419"/>
      <c r="D926" s="419"/>
      <c r="E926" s="387"/>
      <c r="F926" s="387"/>
      <c r="G926" s="423"/>
      <c r="H926" s="423"/>
      <c r="I926" s="423"/>
      <c r="J926" s="423"/>
      <c r="K926" s="423"/>
      <c r="L926" s="423"/>
      <c r="M926" s="423"/>
      <c r="N926" s="423"/>
      <c r="O926" s="423"/>
      <c r="P926" s="423"/>
      <c r="Q926" s="423"/>
      <c r="R926" s="423"/>
      <c r="S926" s="423"/>
      <c r="T926" s="423"/>
      <c r="U926" s="423"/>
      <c r="V926" s="423"/>
      <c r="W926" s="423"/>
      <c r="X926" s="423"/>
      <c r="Y926" s="423"/>
      <c r="Z926" s="423"/>
      <c r="AA926" s="423"/>
      <c r="AB926" s="423"/>
      <c r="AC926" s="423"/>
      <c r="AD926" s="423"/>
      <c r="AE926" s="423"/>
      <c r="AF926" s="423"/>
      <c r="AG926" s="423"/>
      <c r="AH926" s="423"/>
      <c r="AI926" s="423"/>
    </row>
    <row r="927">
      <c r="A927" s="419"/>
      <c r="B927" s="419"/>
      <c r="C927" s="419"/>
      <c r="D927" s="419"/>
      <c r="E927" s="387"/>
      <c r="F927" s="387"/>
      <c r="G927" s="423"/>
      <c r="H927" s="423"/>
      <c r="I927" s="423"/>
      <c r="J927" s="423"/>
      <c r="K927" s="423"/>
      <c r="L927" s="423"/>
      <c r="M927" s="423"/>
      <c r="N927" s="423"/>
      <c r="O927" s="423"/>
      <c r="P927" s="423"/>
      <c r="Q927" s="423"/>
      <c r="R927" s="423"/>
      <c r="S927" s="423"/>
      <c r="T927" s="423"/>
      <c r="U927" s="423"/>
      <c r="V927" s="423"/>
      <c r="W927" s="423"/>
      <c r="X927" s="423"/>
      <c r="Y927" s="423"/>
      <c r="Z927" s="423"/>
      <c r="AA927" s="423"/>
      <c r="AB927" s="423"/>
      <c r="AC927" s="423"/>
      <c r="AD927" s="423"/>
      <c r="AE927" s="423"/>
      <c r="AF927" s="423"/>
      <c r="AG927" s="423"/>
      <c r="AH927" s="423"/>
      <c r="AI927" s="423"/>
    </row>
    <row r="928">
      <c r="A928" s="419"/>
      <c r="B928" s="419"/>
      <c r="C928" s="419"/>
      <c r="D928" s="419"/>
      <c r="E928" s="387"/>
      <c r="F928" s="387"/>
      <c r="G928" s="423"/>
      <c r="H928" s="423"/>
      <c r="I928" s="423"/>
      <c r="J928" s="423"/>
      <c r="K928" s="423"/>
      <c r="L928" s="423"/>
      <c r="M928" s="423"/>
      <c r="N928" s="423"/>
      <c r="O928" s="423"/>
      <c r="P928" s="423"/>
      <c r="Q928" s="423"/>
      <c r="R928" s="423"/>
      <c r="S928" s="423"/>
      <c r="T928" s="423"/>
      <c r="U928" s="423"/>
      <c r="V928" s="423"/>
      <c r="W928" s="423"/>
      <c r="X928" s="423"/>
      <c r="Y928" s="423"/>
      <c r="Z928" s="423"/>
      <c r="AA928" s="423"/>
      <c r="AB928" s="423"/>
      <c r="AC928" s="423"/>
      <c r="AD928" s="423"/>
      <c r="AE928" s="423"/>
      <c r="AF928" s="423"/>
      <c r="AG928" s="423"/>
      <c r="AH928" s="423"/>
      <c r="AI928" s="423"/>
    </row>
    <row r="929">
      <c r="A929" s="419"/>
      <c r="B929" s="419"/>
      <c r="C929" s="419"/>
      <c r="D929" s="419"/>
      <c r="E929" s="387"/>
      <c r="F929" s="387"/>
      <c r="G929" s="423"/>
      <c r="H929" s="423"/>
      <c r="I929" s="423"/>
      <c r="J929" s="423"/>
      <c r="K929" s="423"/>
      <c r="L929" s="423"/>
      <c r="M929" s="423"/>
      <c r="N929" s="423"/>
      <c r="O929" s="423"/>
      <c r="P929" s="423"/>
      <c r="Q929" s="423"/>
      <c r="R929" s="423"/>
      <c r="S929" s="423"/>
      <c r="T929" s="423"/>
      <c r="U929" s="423"/>
      <c r="V929" s="423"/>
      <c r="W929" s="423"/>
      <c r="X929" s="423"/>
      <c r="Y929" s="423"/>
      <c r="Z929" s="423"/>
      <c r="AA929" s="423"/>
      <c r="AB929" s="423"/>
      <c r="AC929" s="423"/>
      <c r="AD929" s="423"/>
      <c r="AE929" s="423"/>
      <c r="AF929" s="423"/>
      <c r="AG929" s="423"/>
      <c r="AH929" s="423"/>
      <c r="AI929" s="423"/>
    </row>
    <row r="930">
      <c r="A930" s="419"/>
      <c r="B930" s="419"/>
      <c r="C930" s="419"/>
      <c r="D930" s="419"/>
      <c r="E930" s="387"/>
      <c r="F930" s="387"/>
      <c r="G930" s="423"/>
      <c r="H930" s="423"/>
      <c r="I930" s="423"/>
      <c r="J930" s="423"/>
      <c r="K930" s="423"/>
      <c r="L930" s="423"/>
      <c r="M930" s="423"/>
      <c r="N930" s="423"/>
      <c r="O930" s="423"/>
      <c r="P930" s="423"/>
      <c r="Q930" s="423"/>
      <c r="R930" s="423"/>
      <c r="S930" s="423"/>
      <c r="T930" s="423"/>
      <c r="U930" s="423"/>
      <c r="V930" s="423"/>
      <c r="W930" s="423"/>
      <c r="X930" s="423"/>
      <c r="Y930" s="423"/>
      <c r="Z930" s="423"/>
      <c r="AA930" s="423"/>
      <c r="AB930" s="423"/>
      <c r="AC930" s="423"/>
      <c r="AD930" s="423"/>
      <c r="AE930" s="423"/>
      <c r="AF930" s="423"/>
      <c r="AG930" s="423"/>
      <c r="AH930" s="423"/>
      <c r="AI930" s="423"/>
    </row>
    <row r="931">
      <c r="A931" s="419"/>
      <c r="B931" s="419"/>
      <c r="C931" s="419"/>
      <c r="D931" s="419"/>
      <c r="E931" s="387"/>
      <c r="F931" s="387"/>
      <c r="G931" s="423"/>
      <c r="H931" s="423"/>
      <c r="I931" s="423"/>
      <c r="J931" s="423"/>
      <c r="K931" s="423"/>
      <c r="L931" s="423"/>
      <c r="M931" s="423"/>
      <c r="N931" s="423"/>
      <c r="O931" s="423"/>
      <c r="P931" s="423"/>
      <c r="Q931" s="423"/>
      <c r="R931" s="423"/>
      <c r="S931" s="423"/>
      <c r="T931" s="423"/>
      <c r="U931" s="423"/>
      <c r="V931" s="423"/>
      <c r="W931" s="423"/>
      <c r="X931" s="423"/>
      <c r="Y931" s="423"/>
      <c r="Z931" s="423"/>
      <c r="AA931" s="423"/>
      <c r="AB931" s="423"/>
      <c r="AC931" s="423"/>
      <c r="AD931" s="423"/>
      <c r="AE931" s="423"/>
      <c r="AF931" s="423"/>
      <c r="AG931" s="423"/>
      <c r="AH931" s="423"/>
      <c r="AI931" s="423"/>
    </row>
    <row r="932">
      <c r="A932" s="419"/>
      <c r="B932" s="419"/>
      <c r="C932" s="419"/>
      <c r="D932" s="419"/>
      <c r="E932" s="387"/>
      <c r="F932" s="387"/>
      <c r="G932" s="423"/>
      <c r="H932" s="423"/>
      <c r="I932" s="423"/>
      <c r="J932" s="423"/>
      <c r="K932" s="423"/>
      <c r="L932" s="423"/>
      <c r="M932" s="423"/>
      <c r="N932" s="423"/>
      <c r="O932" s="423"/>
      <c r="P932" s="423"/>
      <c r="Q932" s="423"/>
      <c r="R932" s="423"/>
      <c r="S932" s="423"/>
      <c r="T932" s="423"/>
      <c r="U932" s="423"/>
      <c r="V932" s="423"/>
      <c r="W932" s="423"/>
      <c r="X932" s="423"/>
      <c r="Y932" s="423"/>
      <c r="Z932" s="423"/>
      <c r="AA932" s="423"/>
      <c r="AB932" s="423"/>
      <c r="AC932" s="423"/>
      <c r="AD932" s="423"/>
      <c r="AE932" s="423"/>
      <c r="AF932" s="423"/>
      <c r="AG932" s="423"/>
      <c r="AH932" s="423"/>
      <c r="AI932" s="423"/>
    </row>
    <row r="933">
      <c r="A933" s="419"/>
      <c r="B933" s="419"/>
      <c r="C933" s="419"/>
      <c r="D933" s="419"/>
      <c r="E933" s="387"/>
      <c r="F933" s="387"/>
      <c r="G933" s="423"/>
      <c r="H933" s="423"/>
      <c r="I933" s="423"/>
      <c r="J933" s="423"/>
      <c r="K933" s="423"/>
      <c r="L933" s="423"/>
      <c r="M933" s="423"/>
      <c r="N933" s="423"/>
      <c r="O933" s="423"/>
      <c r="P933" s="423"/>
      <c r="Q933" s="423"/>
      <c r="R933" s="423"/>
      <c r="S933" s="423"/>
      <c r="T933" s="423"/>
      <c r="U933" s="423"/>
      <c r="V933" s="423"/>
      <c r="W933" s="423"/>
      <c r="X933" s="423"/>
      <c r="Y933" s="423"/>
      <c r="Z933" s="423"/>
      <c r="AA933" s="423"/>
      <c r="AB933" s="423"/>
      <c r="AC933" s="423"/>
      <c r="AD933" s="423"/>
      <c r="AE933" s="423"/>
      <c r="AF933" s="423"/>
      <c r="AG933" s="423"/>
      <c r="AH933" s="423"/>
      <c r="AI933" s="423"/>
    </row>
    <row r="934">
      <c r="A934" s="419"/>
      <c r="B934" s="419"/>
      <c r="C934" s="419"/>
      <c r="D934" s="419"/>
      <c r="E934" s="387"/>
      <c r="F934" s="387"/>
      <c r="G934" s="423"/>
      <c r="H934" s="423"/>
      <c r="I934" s="423"/>
      <c r="J934" s="423"/>
      <c r="K934" s="423"/>
      <c r="L934" s="423"/>
      <c r="M934" s="423"/>
      <c r="N934" s="423"/>
      <c r="O934" s="423"/>
      <c r="P934" s="423"/>
      <c r="Q934" s="423"/>
      <c r="R934" s="423"/>
      <c r="S934" s="423"/>
      <c r="T934" s="423"/>
      <c r="U934" s="423"/>
      <c r="V934" s="423"/>
      <c r="W934" s="423"/>
      <c r="X934" s="423"/>
      <c r="Y934" s="423"/>
      <c r="Z934" s="423"/>
      <c r="AA934" s="423"/>
      <c r="AB934" s="423"/>
      <c r="AC934" s="423"/>
      <c r="AD934" s="423"/>
      <c r="AE934" s="423"/>
      <c r="AF934" s="423"/>
      <c r="AG934" s="423"/>
      <c r="AH934" s="423"/>
      <c r="AI934" s="423"/>
    </row>
    <row r="935">
      <c r="A935" s="419"/>
      <c r="B935" s="419"/>
      <c r="C935" s="419"/>
      <c r="D935" s="419"/>
      <c r="E935" s="387"/>
      <c r="F935" s="387"/>
      <c r="G935" s="423"/>
      <c r="H935" s="423"/>
      <c r="I935" s="423"/>
      <c r="J935" s="423"/>
      <c r="K935" s="423"/>
      <c r="L935" s="423"/>
      <c r="M935" s="423"/>
      <c r="N935" s="423"/>
      <c r="O935" s="423"/>
      <c r="P935" s="423"/>
      <c r="Q935" s="423"/>
      <c r="R935" s="423"/>
      <c r="S935" s="423"/>
      <c r="T935" s="423"/>
      <c r="U935" s="423"/>
      <c r="V935" s="423"/>
      <c r="W935" s="423"/>
      <c r="X935" s="423"/>
      <c r="Y935" s="423"/>
      <c r="Z935" s="423"/>
      <c r="AA935" s="423"/>
      <c r="AB935" s="423"/>
      <c r="AC935" s="423"/>
      <c r="AD935" s="423"/>
      <c r="AE935" s="423"/>
      <c r="AF935" s="423"/>
      <c r="AG935" s="423"/>
      <c r="AH935" s="423"/>
      <c r="AI935" s="423"/>
    </row>
    <row r="936">
      <c r="A936" s="419"/>
      <c r="B936" s="419"/>
      <c r="C936" s="419"/>
      <c r="D936" s="419"/>
      <c r="E936" s="387"/>
      <c r="F936" s="387"/>
      <c r="G936" s="423"/>
      <c r="H936" s="423"/>
      <c r="I936" s="423"/>
      <c r="J936" s="423"/>
      <c r="K936" s="423"/>
      <c r="L936" s="423"/>
      <c r="M936" s="423"/>
      <c r="N936" s="423"/>
      <c r="O936" s="423"/>
      <c r="P936" s="423"/>
      <c r="Q936" s="423"/>
      <c r="R936" s="423"/>
      <c r="S936" s="423"/>
      <c r="T936" s="423"/>
      <c r="U936" s="423"/>
      <c r="V936" s="423"/>
      <c r="W936" s="423"/>
      <c r="X936" s="423"/>
      <c r="Y936" s="423"/>
      <c r="Z936" s="423"/>
      <c r="AA936" s="423"/>
      <c r="AB936" s="423"/>
      <c r="AC936" s="423"/>
      <c r="AD936" s="423"/>
      <c r="AE936" s="423"/>
      <c r="AF936" s="423"/>
      <c r="AG936" s="423"/>
      <c r="AH936" s="423"/>
      <c r="AI936" s="423"/>
    </row>
    <row r="937">
      <c r="A937" s="419"/>
      <c r="B937" s="419"/>
      <c r="C937" s="419"/>
      <c r="D937" s="419"/>
      <c r="E937" s="387"/>
      <c r="F937" s="387"/>
      <c r="G937" s="423"/>
      <c r="H937" s="423"/>
      <c r="I937" s="423"/>
      <c r="J937" s="423"/>
      <c r="K937" s="423"/>
      <c r="L937" s="423"/>
      <c r="M937" s="423"/>
      <c r="N937" s="423"/>
      <c r="O937" s="423"/>
      <c r="P937" s="423"/>
      <c r="Q937" s="423"/>
      <c r="R937" s="423"/>
      <c r="S937" s="423"/>
      <c r="T937" s="423"/>
      <c r="U937" s="423"/>
      <c r="V937" s="423"/>
      <c r="W937" s="423"/>
      <c r="X937" s="423"/>
      <c r="Y937" s="423"/>
      <c r="Z937" s="423"/>
      <c r="AA937" s="423"/>
      <c r="AB937" s="423"/>
      <c r="AC937" s="423"/>
      <c r="AD937" s="423"/>
      <c r="AE937" s="423"/>
      <c r="AF937" s="423"/>
      <c r="AG937" s="423"/>
      <c r="AH937" s="423"/>
      <c r="AI937" s="423"/>
    </row>
    <row r="938">
      <c r="A938" s="419"/>
      <c r="B938" s="419"/>
      <c r="C938" s="419"/>
      <c r="D938" s="419"/>
      <c r="E938" s="387"/>
      <c r="F938" s="387"/>
      <c r="G938" s="423"/>
      <c r="H938" s="423"/>
      <c r="I938" s="423"/>
      <c r="J938" s="423"/>
      <c r="K938" s="423"/>
      <c r="L938" s="423"/>
      <c r="M938" s="423"/>
      <c r="N938" s="423"/>
      <c r="O938" s="423"/>
      <c r="P938" s="423"/>
      <c r="Q938" s="423"/>
      <c r="R938" s="423"/>
      <c r="S938" s="423"/>
      <c r="T938" s="423"/>
      <c r="U938" s="423"/>
      <c r="V938" s="423"/>
      <c r="W938" s="423"/>
      <c r="X938" s="423"/>
      <c r="Y938" s="423"/>
      <c r="Z938" s="423"/>
      <c r="AA938" s="423"/>
      <c r="AB938" s="423"/>
      <c r="AC938" s="423"/>
      <c r="AD938" s="423"/>
      <c r="AE938" s="423"/>
      <c r="AF938" s="423"/>
      <c r="AG938" s="423"/>
      <c r="AH938" s="423"/>
      <c r="AI938" s="423"/>
    </row>
    <row r="939">
      <c r="A939" s="419"/>
      <c r="B939" s="419"/>
      <c r="C939" s="419"/>
      <c r="D939" s="419"/>
      <c r="E939" s="387"/>
      <c r="F939" s="387"/>
      <c r="G939" s="423"/>
      <c r="H939" s="423"/>
      <c r="I939" s="423"/>
      <c r="J939" s="423"/>
      <c r="K939" s="423"/>
      <c r="L939" s="423"/>
      <c r="M939" s="423"/>
      <c r="N939" s="423"/>
      <c r="O939" s="423"/>
      <c r="P939" s="423"/>
      <c r="Q939" s="423"/>
      <c r="R939" s="423"/>
      <c r="S939" s="423"/>
      <c r="T939" s="423"/>
      <c r="U939" s="423"/>
      <c r="V939" s="423"/>
      <c r="W939" s="423"/>
      <c r="X939" s="423"/>
      <c r="Y939" s="423"/>
      <c r="Z939" s="423"/>
      <c r="AA939" s="423"/>
      <c r="AB939" s="423"/>
      <c r="AC939" s="423"/>
      <c r="AD939" s="423"/>
      <c r="AE939" s="423"/>
      <c r="AF939" s="423"/>
      <c r="AG939" s="423"/>
      <c r="AH939" s="423"/>
      <c r="AI939" s="423"/>
    </row>
    <row r="940">
      <c r="A940" s="419"/>
      <c r="B940" s="419"/>
      <c r="C940" s="419"/>
      <c r="D940" s="419"/>
      <c r="E940" s="387"/>
      <c r="F940" s="387"/>
      <c r="G940" s="423"/>
      <c r="H940" s="423"/>
      <c r="I940" s="423"/>
      <c r="J940" s="423"/>
      <c r="K940" s="423"/>
      <c r="L940" s="423"/>
      <c r="M940" s="423"/>
      <c r="N940" s="423"/>
      <c r="O940" s="423"/>
      <c r="P940" s="423"/>
      <c r="Q940" s="423"/>
      <c r="R940" s="423"/>
      <c r="S940" s="423"/>
      <c r="T940" s="423"/>
      <c r="U940" s="423"/>
      <c r="V940" s="423"/>
      <c r="W940" s="423"/>
      <c r="X940" s="423"/>
      <c r="Y940" s="423"/>
      <c r="Z940" s="423"/>
      <c r="AA940" s="423"/>
      <c r="AB940" s="423"/>
      <c r="AC940" s="423"/>
      <c r="AD940" s="423"/>
      <c r="AE940" s="423"/>
      <c r="AF940" s="423"/>
      <c r="AG940" s="423"/>
      <c r="AH940" s="423"/>
      <c r="AI940" s="423"/>
    </row>
    <row r="941">
      <c r="A941" s="419"/>
      <c r="B941" s="419"/>
      <c r="C941" s="419"/>
      <c r="D941" s="419"/>
      <c r="E941" s="387"/>
      <c r="F941" s="387"/>
      <c r="G941" s="423"/>
      <c r="H941" s="423"/>
      <c r="I941" s="423"/>
      <c r="J941" s="423"/>
      <c r="K941" s="423"/>
      <c r="L941" s="423"/>
      <c r="M941" s="423"/>
      <c r="N941" s="423"/>
      <c r="O941" s="423"/>
      <c r="P941" s="423"/>
      <c r="Q941" s="423"/>
      <c r="R941" s="423"/>
      <c r="S941" s="423"/>
      <c r="T941" s="423"/>
      <c r="U941" s="423"/>
      <c r="V941" s="423"/>
      <c r="W941" s="423"/>
      <c r="X941" s="423"/>
      <c r="Y941" s="423"/>
      <c r="Z941" s="423"/>
      <c r="AA941" s="423"/>
      <c r="AB941" s="423"/>
      <c r="AC941" s="423"/>
      <c r="AD941" s="423"/>
      <c r="AE941" s="423"/>
      <c r="AF941" s="423"/>
      <c r="AG941" s="423"/>
      <c r="AH941" s="423"/>
      <c r="AI941" s="423"/>
    </row>
    <row r="942">
      <c r="A942" s="419"/>
      <c r="B942" s="419"/>
      <c r="C942" s="419"/>
      <c r="D942" s="419"/>
      <c r="E942" s="387"/>
      <c r="F942" s="387"/>
      <c r="G942" s="423"/>
      <c r="H942" s="423"/>
      <c r="I942" s="423"/>
      <c r="J942" s="423"/>
      <c r="K942" s="423"/>
      <c r="L942" s="423"/>
      <c r="M942" s="423"/>
      <c r="N942" s="423"/>
      <c r="O942" s="423"/>
      <c r="P942" s="423"/>
      <c r="Q942" s="423"/>
      <c r="R942" s="423"/>
      <c r="S942" s="423"/>
      <c r="T942" s="423"/>
      <c r="U942" s="423"/>
      <c r="V942" s="423"/>
      <c r="W942" s="423"/>
      <c r="X942" s="423"/>
      <c r="Y942" s="423"/>
      <c r="Z942" s="423"/>
      <c r="AA942" s="423"/>
      <c r="AB942" s="423"/>
      <c r="AC942" s="423"/>
      <c r="AD942" s="423"/>
      <c r="AE942" s="423"/>
      <c r="AF942" s="423"/>
      <c r="AG942" s="423"/>
      <c r="AH942" s="423"/>
      <c r="AI942" s="423"/>
    </row>
    <row r="943">
      <c r="A943" s="419"/>
      <c r="B943" s="419"/>
      <c r="C943" s="419"/>
      <c r="D943" s="419"/>
      <c r="E943" s="387"/>
      <c r="F943" s="387"/>
      <c r="G943" s="423"/>
      <c r="H943" s="423"/>
      <c r="I943" s="423"/>
      <c r="J943" s="423"/>
      <c r="K943" s="423"/>
      <c r="L943" s="423"/>
      <c r="M943" s="423"/>
      <c r="N943" s="423"/>
      <c r="O943" s="423"/>
      <c r="P943" s="423"/>
      <c r="Q943" s="423"/>
      <c r="R943" s="423"/>
      <c r="S943" s="423"/>
      <c r="T943" s="423"/>
      <c r="U943" s="423"/>
      <c r="V943" s="423"/>
      <c r="W943" s="423"/>
      <c r="X943" s="423"/>
      <c r="Y943" s="423"/>
      <c r="Z943" s="423"/>
      <c r="AA943" s="423"/>
      <c r="AB943" s="423"/>
      <c r="AC943" s="423"/>
      <c r="AD943" s="423"/>
      <c r="AE943" s="423"/>
      <c r="AF943" s="423"/>
      <c r="AG943" s="423"/>
      <c r="AH943" s="423"/>
      <c r="AI943" s="423"/>
    </row>
    <row r="944">
      <c r="A944" s="419"/>
      <c r="B944" s="419"/>
      <c r="C944" s="419"/>
      <c r="D944" s="419"/>
      <c r="E944" s="387"/>
      <c r="F944" s="387"/>
      <c r="G944" s="423"/>
      <c r="H944" s="423"/>
      <c r="I944" s="423"/>
      <c r="J944" s="423"/>
      <c r="K944" s="423"/>
      <c r="L944" s="423"/>
      <c r="M944" s="423"/>
      <c r="N944" s="423"/>
      <c r="O944" s="423"/>
      <c r="P944" s="423"/>
      <c r="Q944" s="423"/>
      <c r="R944" s="423"/>
      <c r="S944" s="423"/>
      <c r="T944" s="423"/>
      <c r="U944" s="423"/>
      <c r="V944" s="423"/>
      <c r="W944" s="423"/>
      <c r="X944" s="423"/>
      <c r="Y944" s="423"/>
      <c r="Z944" s="423"/>
      <c r="AA944" s="423"/>
      <c r="AB944" s="423"/>
      <c r="AC944" s="423"/>
      <c r="AD944" s="423"/>
      <c r="AE944" s="423"/>
      <c r="AF944" s="423"/>
      <c r="AG944" s="423"/>
      <c r="AH944" s="423"/>
      <c r="AI944" s="423"/>
    </row>
    <row r="945">
      <c r="A945" s="419"/>
      <c r="B945" s="419"/>
      <c r="C945" s="419"/>
      <c r="D945" s="419"/>
      <c r="E945" s="387"/>
      <c r="F945" s="387"/>
      <c r="G945" s="423"/>
      <c r="H945" s="423"/>
      <c r="I945" s="423"/>
      <c r="J945" s="423"/>
      <c r="K945" s="423"/>
      <c r="L945" s="423"/>
      <c r="M945" s="423"/>
      <c r="N945" s="423"/>
      <c r="O945" s="423"/>
      <c r="P945" s="423"/>
      <c r="Q945" s="423"/>
      <c r="R945" s="423"/>
      <c r="S945" s="423"/>
      <c r="T945" s="423"/>
      <c r="U945" s="423"/>
      <c r="V945" s="423"/>
      <c r="W945" s="423"/>
      <c r="X945" s="423"/>
      <c r="Y945" s="423"/>
      <c r="Z945" s="423"/>
      <c r="AA945" s="423"/>
      <c r="AB945" s="423"/>
      <c r="AC945" s="423"/>
      <c r="AD945" s="423"/>
      <c r="AE945" s="423"/>
      <c r="AF945" s="423"/>
      <c r="AG945" s="423"/>
      <c r="AH945" s="423"/>
      <c r="AI945" s="423"/>
    </row>
    <row r="946">
      <c r="A946" s="419"/>
      <c r="B946" s="419"/>
      <c r="C946" s="419"/>
      <c r="D946" s="419"/>
      <c r="E946" s="387"/>
      <c r="F946" s="387"/>
      <c r="G946" s="423"/>
      <c r="H946" s="423"/>
      <c r="I946" s="423"/>
      <c r="J946" s="423"/>
      <c r="K946" s="423"/>
      <c r="L946" s="423"/>
      <c r="M946" s="423"/>
      <c r="N946" s="423"/>
      <c r="O946" s="423"/>
      <c r="P946" s="423"/>
      <c r="Q946" s="423"/>
      <c r="R946" s="423"/>
      <c r="S946" s="423"/>
      <c r="T946" s="423"/>
      <c r="U946" s="423"/>
      <c r="V946" s="423"/>
      <c r="W946" s="423"/>
      <c r="X946" s="423"/>
      <c r="Y946" s="423"/>
      <c r="Z946" s="423"/>
      <c r="AA946" s="423"/>
      <c r="AB946" s="423"/>
      <c r="AC946" s="423"/>
      <c r="AD946" s="423"/>
      <c r="AE946" s="423"/>
      <c r="AF946" s="423"/>
      <c r="AG946" s="423"/>
      <c r="AH946" s="423"/>
      <c r="AI946" s="423"/>
    </row>
    <row r="947">
      <c r="A947" s="419"/>
      <c r="B947" s="419"/>
      <c r="C947" s="419"/>
      <c r="D947" s="419"/>
      <c r="E947" s="387"/>
      <c r="F947" s="387"/>
      <c r="G947" s="423"/>
      <c r="H947" s="423"/>
      <c r="I947" s="423"/>
      <c r="J947" s="423"/>
      <c r="K947" s="423"/>
      <c r="L947" s="423"/>
      <c r="M947" s="423"/>
      <c r="N947" s="423"/>
      <c r="O947" s="423"/>
      <c r="P947" s="423"/>
      <c r="Q947" s="423"/>
      <c r="R947" s="423"/>
      <c r="S947" s="423"/>
      <c r="T947" s="423"/>
      <c r="U947" s="423"/>
      <c r="V947" s="423"/>
      <c r="W947" s="423"/>
      <c r="X947" s="423"/>
      <c r="Y947" s="423"/>
      <c r="Z947" s="423"/>
      <c r="AA947" s="423"/>
      <c r="AB947" s="423"/>
      <c r="AC947" s="423"/>
      <c r="AD947" s="423"/>
      <c r="AE947" s="423"/>
      <c r="AF947" s="423"/>
      <c r="AG947" s="423"/>
      <c r="AH947" s="423"/>
      <c r="AI947" s="423"/>
    </row>
    <row r="948">
      <c r="A948" s="419"/>
      <c r="B948" s="419"/>
      <c r="C948" s="419"/>
      <c r="D948" s="419"/>
      <c r="E948" s="387"/>
      <c r="F948" s="387"/>
      <c r="G948" s="423"/>
      <c r="H948" s="423"/>
      <c r="I948" s="423"/>
      <c r="J948" s="423"/>
      <c r="K948" s="423"/>
      <c r="L948" s="423"/>
      <c r="M948" s="423"/>
      <c r="N948" s="423"/>
      <c r="O948" s="423"/>
      <c r="P948" s="423"/>
      <c r="Q948" s="423"/>
      <c r="R948" s="423"/>
      <c r="S948" s="423"/>
      <c r="T948" s="423"/>
      <c r="U948" s="423"/>
      <c r="V948" s="423"/>
      <c r="W948" s="423"/>
      <c r="X948" s="423"/>
      <c r="Y948" s="423"/>
      <c r="Z948" s="423"/>
      <c r="AA948" s="423"/>
      <c r="AB948" s="423"/>
      <c r="AC948" s="423"/>
      <c r="AD948" s="423"/>
      <c r="AE948" s="423"/>
      <c r="AF948" s="423"/>
      <c r="AG948" s="423"/>
      <c r="AH948" s="423"/>
      <c r="AI948" s="423"/>
    </row>
    <row r="949">
      <c r="A949" s="419"/>
      <c r="B949" s="419"/>
      <c r="C949" s="419"/>
      <c r="D949" s="419"/>
      <c r="E949" s="387"/>
      <c r="F949" s="387"/>
      <c r="G949" s="423"/>
      <c r="H949" s="423"/>
      <c r="I949" s="423"/>
      <c r="J949" s="423"/>
      <c r="K949" s="423"/>
      <c r="L949" s="423"/>
      <c r="M949" s="423"/>
      <c r="N949" s="423"/>
      <c r="O949" s="423"/>
      <c r="P949" s="423"/>
      <c r="Q949" s="423"/>
      <c r="R949" s="423"/>
      <c r="S949" s="423"/>
      <c r="T949" s="423"/>
      <c r="U949" s="423"/>
      <c r="V949" s="423"/>
      <c r="W949" s="423"/>
      <c r="X949" s="423"/>
      <c r="Y949" s="423"/>
      <c r="Z949" s="423"/>
      <c r="AA949" s="423"/>
      <c r="AB949" s="423"/>
      <c r="AC949" s="423"/>
      <c r="AD949" s="423"/>
      <c r="AE949" s="423"/>
      <c r="AF949" s="423"/>
      <c r="AG949" s="423"/>
      <c r="AH949" s="423"/>
      <c r="AI949" s="423"/>
    </row>
    <row r="950">
      <c r="A950" s="419"/>
      <c r="B950" s="419"/>
      <c r="C950" s="419"/>
      <c r="D950" s="419"/>
      <c r="E950" s="387"/>
      <c r="F950" s="387"/>
      <c r="G950" s="423"/>
      <c r="H950" s="423"/>
      <c r="I950" s="423"/>
      <c r="J950" s="423"/>
      <c r="K950" s="423"/>
      <c r="L950" s="423"/>
      <c r="M950" s="423"/>
      <c r="N950" s="423"/>
      <c r="O950" s="423"/>
      <c r="P950" s="423"/>
      <c r="Q950" s="423"/>
      <c r="R950" s="423"/>
      <c r="S950" s="423"/>
      <c r="T950" s="423"/>
      <c r="U950" s="423"/>
      <c r="V950" s="423"/>
      <c r="W950" s="423"/>
      <c r="X950" s="423"/>
      <c r="Y950" s="423"/>
      <c r="Z950" s="423"/>
      <c r="AA950" s="423"/>
      <c r="AB950" s="423"/>
      <c r="AC950" s="423"/>
      <c r="AD950" s="423"/>
      <c r="AE950" s="423"/>
      <c r="AF950" s="423"/>
      <c r="AG950" s="423"/>
      <c r="AH950" s="423"/>
      <c r="AI950" s="423"/>
    </row>
    <row r="951">
      <c r="A951" s="419"/>
      <c r="B951" s="419"/>
      <c r="C951" s="419"/>
      <c r="D951" s="419"/>
      <c r="E951" s="387"/>
      <c r="F951" s="387"/>
      <c r="G951" s="423"/>
      <c r="H951" s="423"/>
      <c r="I951" s="423"/>
      <c r="J951" s="423"/>
      <c r="K951" s="423"/>
      <c r="L951" s="423"/>
      <c r="M951" s="423"/>
      <c r="N951" s="423"/>
      <c r="O951" s="423"/>
      <c r="P951" s="423"/>
      <c r="Q951" s="423"/>
      <c r="R951" s="423"/>
      <c r="S951" s="423"/>
      <c r="T951" s="423"/>
      <c r="U951" s="423"/>
      <c r="V951" s="423"/>
      <c r="W951" s="423"/>
      <c r="X951" s="423"/>
      <c r="Y951" s="423"/>
      <c r="Z951" s="423"/>
      <c r="AA951" s="423"/>
      <c r="AB951" s="423"/>
      <c r="AC951" s="423"/>
      <c r="AD951" s="423"/>
      <c r="AE951" s="423"/>
      <c r="AF951" s="423"/>
      <c r="AG951" s="423"/>
      <c r="AH951" s="423"/>
      <c r="AI951" s="423"/>
    </row>
    <row r="952">
      <c r="A952" s="419"/>
      <c r="B952" s="419"/>
      <c r="C952" s="419"/>
      <c r="D952" s="419"/>
      <c r="E952" s="387"/>
      <c r="F952" s="387"/>
      <c r="G952" s="423"/>
      <c r="H952" s="423"/>
      <c r="I952" s="423"/>
      <c r="J952" s="423"/>
      <c r="K952" s="423"/>
      <c r="L952" s="423"/>
      <c r="M952" s="423"/>
      <c r="N952" s="423"/>
      <c r="O952" s="423"/>
      <c r="P952" s="423"/>
      <c r="Q952" s="423"/>
      <c r="R952" s="423"/>
      <c r="S952" s="423"/>
      <c r="T952" s="423"/>
      <c r="U952" s="423"/>
      <c r="V952" s="423"/>
      <c r="W952" s="423"/>
      <c r="X952" s="423"/>
      <c r="Y952" s="423"/>
      <c r="Z952" s="423"/>
      <c r="AA952" s="423"/>
      <c r="AB952" s="423"/>
      <c r="AC952" s="423"/>
      <c r="AD952" s="423"/>
      <c r="AE952" s="423"/>
      <c r="AF952" s="423"/>
      <c r="AG952" s="423"/>
      <c r="AH952" s="423"/>
      <c r="AI952" s="423"/>
    </row>
    <row r="953">
      <c r="A953" s="419"/>
      <c r="B953" s="419"/>
      <c r="C953" s="419"/>
      <c r="D953" s="419"/>
      <c r="E953" s="387"/>
      <c r="F953" s="387"/>
      <c r="G953" s="423"/>
      <c r="H953" s="423"/>
      <c r="I953" s="423"/>
      <c r="J953" s="423"/>
      <c r="K953" s="423"/>
      <c r="L953" s="423"/>
      <c r="M953" s="423"/>
      <c r="N953" s="423"/>
      <c r="O953" s="423"/>
      <c r="P953" s="423"/>
      <c r="Q953" s="423"/>
      <c r="R953" s="423"/>
      <c r="S953" s="423"/>
      <c r="T953" s="423"/>
      <c r="U953" s="423"/>
      <c r="V953" s="423"/>
      <c r="W953" s="423"/>
      <c r="X953" s="423"/>
      <c r="Y953" s="423"/>
      <c r="Z953" s="423"/>
      <c r="AA953" s="423"/>
      <c r="AB953" s="423"/>
      <c r="AC953" s="423"/>
      <c r="AD953" s="423"/>
      <c r="AE953" s="423"/>
      <c r="AF953" s="423"/>
      <c r="AG953" s="423"/>
      <c r="AH953" s="423"/>
      <c r="AI953" s="423"/>
    </row>
    <row r="954">
      <c r="A954" s="419"/>
      <c r="B954" s="419"/>
      <c r="C954" s="419"/>
      <c r="D954" s="419"/>
      <c r="E954" s="387"/>
      <c r="F954" s="387"/>
      <c r="G954" s="423"/>
      <c r="H954" s="423"/>
      <c r="I954" s="423"/>
      <c r="J954" s="423"/>
      <c r="K954" s="423"/>
      <c r="L954" s="423"/>
      <c r="M954" s="423"/>
      <c r="N954" s="423"/>
      <c r="O954" s="423"/>
      <c r="P954" s="423"/>
      <c r="Q954" s="423"/>
      <c r="R954" s="423"/>
      <c r="S954" s="423"/>
      <c r="T954" s="423"/>
      <c r="U954" s="423"/>
      <c r="V954" s="423"/>
      <c r="W954" s="423"/>
      <c r="X954" s="423"/>
      <c r="Y954" s="423"/>
      <c r="Z954" s="423"/>
      <c r="AA954" s="423"/>
      <c r="AB954" s="423"/>
      <c r="AC954" s="423"/>
      <c r="AD954" s="423"/>
      <c r="AE954" s="423"/>
      <c r="AF954" s="423"/>
      <c r="AG954" s="423"/>
      <c r="AH954" s="423"/>
      <c r="AI954" s="423"/>
    </row>
    <row r="955">
      <c r="A955" s="419"/>
      <c r="B955" s="419"/>
      <c r="C955" s="419"/>
      <c r="D955" s="419"/>
      <c r="E955" s="387"/>
      <c r="F955" s="387"/>
      <c r="G955" s="423"/>
      <c r="H955" s="423"/>
      <c r="I955" s="423"/>
      <c r="J955" s="423"/>
      <c r="K955" s="423"/>
      <c r="L955" s="423"/>
      <c r="M955" s="423"/>
      <c r="N955" s="423"/>
      <c r="O955" s="423"/>
      <c r="P955" s="423"/>
      <c r="Q955" s="423"/>
      <c r="R955" s="423"/>
      <c r="S955" s="423"/>
      <c r="T955" s="423"/>
      <c r="U955" s="423"/>
      <c r="V955" s="423"/>
      <c r="W955" s="423"/>
      <c r="X955" s="423"/>
      <c r="Y955" s="423"/>
      <c r="Z955" s="423"/>
      <c r="AA955" s="423"/>
      <c r="AB955" s="423"/>
      <c r="AC955" s="423"/>
      <c r="AD955" s="423"/>
      <c r="AE955" s="423"/>
      <c r="AF955" s="423"/>
      <c r="AG955" s="423"/>
      <c r="AH955" s="423"/>
      <c r="AI955" s="423"/>
    </row>
    <row r="956">
      <c r="A956" s="419"/>
      <c r="B956" s="419"/>
      <c r="C956" s="419"/>
      <c r="D956" s="419"/>
      <c r="E956" s="387"/>
      <c r="F956" s="387"/>
      <c r="G956" s="423"/>
      <c r="H956" s="423"/>
      <c r="I956" s="423"/>
      <c r="J956" s="423"/>
      <c r="K956" s="423"/>
      <c r="L956" s="423"/>
      <c r="M956" s="423"/>
      <c r="N956" s="423"/>
      <c r="O956" s="423"/>
      <c r="P956" s="423"/>
      <c r="Q956" s="423"/>
      <c r="R956" s="423"/>
      <c r="S956" s="423"/>
      <c r="T956" s="423"/>
      <c r="U956" s="423"/>
      <c r="V956" s="423"/>
      <c r="W956" s="423"/>
      <c r="X956" s="423"/>
      <c r="Y956" s="423"/>
      <c r="Z956" s="423"/>
      <c r="AA956" s="423"/>
      <c r="AB956" s="423"/>
      <c r="AC956" s="423"/>
      <c r="AD956" s="423"/>
      <c r="AE956" s="423"/>
      <c r="AF956" s="423"/>
      <c r="AG956" s="423"/>
      <c r="AH956" s="423"/>
      <c r="AI956" s="423"/>
    </row>
    <row r="957">
      <c r="A957" s="419"/>
      <c r="B957" s="419"/>
      <c r="C957" s="419"/>
      <c r="D957" s="419"/>
      <c r="E957" s="387"/>
      <c r="F957" s="387"/>
      <c r="G957" s="423"/>
      <c r="H957" s="423"/>
      <c r="I957" s="423"/>
      <c r="J957" s="423"/>
      <c r="K957" s="423"/>
      <c r="L957" s="423"/>
      <c r="M957" s="423"/>
      <c r="N957" s="423"/>
      <c r="O957" s="423"/>
      <c r="P957" s="423"/>
      <c r="Q957" s="423"/>
      <c r="R957" s="423"/>
      <c r="S957" s="423"/>
      <c r="T957" s="423"/>
      <c r="U957" s="423"/>
      <c r="V957" s="423"/>
      <c r="W957" s="423"/>
      <c r="X957" s="423"/>
      <c r="Y957" s="423"/>
      <c r="Z957" s="423"/>
      <c r="AA957" s="423"/>
      <c r="AB957" s="423"/>
      <c r="AC957" s="423"/>
      <c r="AD957" s="423"/>
      <c r="AE957" s="423"/>
      <c r="AF957" s="423"/>
      <c r="AG957" s="423"/>
      <c r="AH957" s="423"/>
      <c r="AI957" s="423"/>
    </row>
    <row r="958">
      <c r="A958" s="419"/>
      <c r="B958" s="419"/>
      <c r="C958" s="419"/>
      <c r="D958" s="419"/>
      <c r="E958" s="387"/>
      <c r="F958" s="387"/>
      <c r="G958" s="423"/>
      <c r="H958" s="423"/>
      <c r="I958" s="423"/>
      <c r="J958" s="423"/>
      <c r="K958" s="423"/>
      <c r="L958" s="423"/>
      <c r="M958" s="423"/>
      <c r="N958" s="423"/>
      <c r="O958" s="423"/>
      <c r="P958" s="423"/>
      <c r="Q958" s="423"/>
      <c r="R958" s="423"/>
      <c r="S958" s="423"/>
      <c r="T958" s="423"/>
      <c r="U958" s="423"/>
      <c r="V958" s="423"/>
      <c r="W958" s="423"/>
      <c r="X958" s="423"/>
      <c r="Y958" s="423"/>
      <c r="Z958" s="423"/>
      <c r="AA958" s="423"/>
      <c r="AB958" s="423"/>
      <c r="AC958" s="423"/>
      <c r="AD958" s="423"/>
      <c r="AE958" s="423"/>
      <c r="AF958" s="423"/>
      <c r="AG958" s="423"/>
      <c r="AH958" s="423"/>
      <c r="AI958" s="423"/>
    </row>
    <row r="959">
      <c r="A959" s="419"/>
      <c r="B959" s="419"/>
      <c r="C959" s="419"/>
      <c r="D959" s="419"/>
      <c r="E959" s="387"/>
      <c r="F959" s="387"/>
      <c r="G959" s="423"/>
      <c r="H959" s="423"/>
      <c r="I959" s="423"/>
      <c r="J959" s="423"/>
      <c r="K959" s="423"/>
      <c r="L959" s="423"/>
      <c r="M959" s="423"/>
      <c r="N959" s="423"/>
      <c r="O959" s="423"/>
      <c r="P959" s="423"/>
      <c r="Q959" s="423"/>
      <c r="R959" s="423"/>
      <c r="S959" s="423"/>
      <c r="T959" s="423"/>
      <c r="U959" s="423"/>
      <c r="V959" s="423"/>
      <c r="W959" s="423"/>
      <c r="X959" s="423"/>
      <c r="Y959" s="423"/>
      <c r="Z959" s="423"/>
      <c r="AA959" s="423"/>
      <c r="AB959" s="423"/>
      <c r="AC959" s="423"/>
      <c r="AD959" s="423"/>
      <c r="AE959" s="423"/>
      <c r="AF959" s="423"/>
      <c r="AG959" s="423"/>
      <c r="AH959" s="423"/>
      <c r="AI959" s="423"/>
    </row>
    <row r="960">
      <c r="A960" s="419"/>
      <c r="B960" s="419"/>
      <c r="C960" s="419"/>
      <c r="D960" s="419"/>
      <c r="E960" s="387"/>
      <c r="F960" s="387"/>
      <c r="G960" s="423"/>
      <c r="H960" s="423"/>
      <c r="I960" s="423"/>
      <c r="J960" s="423"/>
      <c r="K960" s="423"/>
      <c r="L960" s="423"/>
      <c r="M960" s="423"/>
      <c r="N960" s="423"/>
      <c r="O960" s="423"/>
      <c r="P960" s="423"/>
      <c r="Q960" s="423"/>
      <c r="R960" s="423"/>
      <c r="S960" s="423"/>
      <c r="T960" s="423"/>
      <c r="U960" s="423"/>
      <c r="V960" s="423"/>
      <c r="W960" s="423"/>
      <c r="X960" s="423"/>
      <c r="Y960" s="423"/>
      <c r="Z960" s="423"/>
      <c r="AA960" s="423"/>
      <c r="AB960" s="423"/>
      <c r="AC960" s="423"/>
      <c r="AD960" s="423"/>
      <c r="AE960" s="423"/>
      <c r="AF960" s="423"/>
      <c r="AG960" s="423"/>
      <c r="AH960" s="423"/>
      <c r="AI960" s="423"/>
    </row>
    <row r="961">
      <c r="A961" s="419"/>
      <c r="B961" s="419"/>
      <c r="C961" s="419"/>
      <c r="D961" s="419"/>
      <c r="E961" s="387"/>
      <c r="F961" s="387"/>
      <c r="G961" s="423"/>
      <c r="H961" s="423"/>
      <c r="I961" s="423"/>
      <c r="J961" s="423"/>
      <c r="K961" s="423"/>
      <c r="L961" s="423"/>
      <c r="M961" s="423"/>
      <c r="N961" s="423"/>
      <c r="O961" s="423"/>
      <c r="P961" s="423"/>
      <c r="Q961" s="423"/>
      <c r="R961" s="423"/>
      <c r="S961" s="423"/>
      <c r="T961" s="423"/>
      <c r="U961" s="423"/>
      <c r="V961" s="423"/>
      <c r="W961" s="423"/>
      <c r="X961" s="423"/>
      <c r="Y961" s="423"/>
      <c r="Z961" s="423"/>
      <c r="AA961" s="423"/>
      <c r="AB961" s="423"/>
      <c r="AC961" s="423"/>
      <c r="AD961" s="423"/>
      <c r="AE961" s="423"/>
      <c r="AF961" s="423"/>
      <c r="AG961" s="423"/>
      <c r="AH961" s="423"/>
      <c r="AI961" s="423"/>
    </row>
    <row r="962">
      <c r="A962" s="419"/>
      <c r="B962" s="419"/>
      <c r="C962" s="419"/>
      <c r="D962" s="419"/>
      <c r="E962" s="387"/>
      <c r="F962" s="387"/>
      <c r="G962" s="423"/>
      <c r="H962" s="423"/>
      <c r="I962" s="423"/>
      <c r="J962" s="423"/>
      <c r="K962" s="423"/>
      <c r="L962" s="423"/>
      <c r="M962" s="423"/>
      <c r="N962" s="423"/>
      <c r="O962" s="423"/>
      <c r="P962" s="423"/>
      <c r="Q962" s="423"/>
      <c r="R962" s="423"/>
      <c r="S962" s="423"/>
      <c r="T962" s="423"/>
      <c r="U962" s="423"/>
      <c r="V962" s="423"/>
      <c r="W962" s="423"/>
      <c r="X962" s="423"/>
      <c r="Y962" s="423"/>
      <c r="Z962" s="423"/>
      <c r="AA962" s="423"/>
      <c r="AB962" s="423"/>
      <c r="AC962" s="423"/>
      <c r="AD962" s="423"/>
      <c r="AE962" s="423"/>
      <c r="AF962" s="423"/>
      <c r="AG962" s="423"/>
      <c r="AH962" s="423"/>
      <c r="AI962" s="423"/>
    </row>
    <row r="963">
      <c r="A963" s="419"/>
      <c r="B963" s="419"/>
      <c r="C963" s="419"/>
      <c r="D963" s="419"/>
      <c r="E963" s="387"/>
      <c r="F963" s="387"/>
      <c r="G963" s="423"/>
      <c r="H963" s="423"/>
      <c r="I963" s="423"/>
      <c r="J963" s="423"/>
      <c r="K963" s="423"/>
      <c r="L963" s="423"/>
      <c r="M963" s="423"/>
      <c r="N963" s="423"/>
      <c r="O963" s="423"/>
      <c r="P963" s="423"/>
      <c r="Q963" s="423"/>
      <c r="R963" s="423"/>
      <c r="S963" s="423"/>
      <c r="T963" s="423"/>
      <c r="U963" s="423"/>
      <c r="V963" s="423"/>
      <c r="W963" s="423"/>
      <c r="X963" s="423"/>
      <c r="Y963" s="423"/>
      <c r="Z963" s="423"/>
      <c r="AA963" s="423"/>
      <c r="AB963" s="423"/>
      <c r="AC963" s="423"/>
      <c r="AD963" s="423"/>
      <c r="AE963" s="423"/>
      <c r="AF963" s="423"/>
      <c r="AG963" s="423"/>
      <c r="AH963" s="423"/>
      <c r="AI963" s="423"/>
    </row>
    <row r="964">
      <c r="A964" s="419"/>
      <c r="B964" s="419"/>
      <c r="C964" s="419"/>
      <c r="D964" s="419"/>
      <c r="E964" s="387"/>
      <c r="F964" s="387"/>
      <c r="G964" s="423"/>
      <c r="H964" s="423"/>
      <c r="I964" s="423"/>
      <c r="J964" s="423"/>
      <c r="K964" s="423"/>
      <c r="L964" s="423"/>
      <c r="M964" s="423"/>
      <c r="N964" s="423"/>
      <c r="O964" s="423"/>
      <c r="P964" s="423"/>
      <c r="Q964" s="423"/>
      <c r="R964" s="423"/>
      <c r="S964" s="423"/>
      <c r="T964" s="423"/>
      <c r="U964" s="423"/>
      <c r="V964" s="423"/>
      <c r="W964" s="423"/>
      <c r="X964" s="423"/>
      <c r="Y964" s="423"/>
      <c r="Z964" s="423"/>
      <c r="AA964" s="423"/>
      <c r="AB964" s="423"/>
      <c r="AC964" s="423"/>
      <c r="AD964" s="423"/>
      <c r="AE964" s="423"/>
      <c r="AF964" s="423"/>
      <c r="AG964" s="423"/>
      <c r="AH964" s="423"/>
      <c r="AI964" s="423"/>
    </row>
    <row r="965">
      <c r="A965" s="419"/>
      <c r="B965" s="419"/>
      <c r="C965" s="419"/>
      <c r="D965" s="419"/>
      <c r="E965" s="387"/>
      <c r="F965" s="387"/>
      <c r="G965" s="423"/>
      <c r="H965" s="423"/>
      <c r="I965" s="423"/>
      <c r="J965" s="423"/>
      <c r="K965" s="423"/>
      <c r="L965" s="423"/>
      <c r="M965" s="423"/>
      <c r="N965" s="423"/>
      <c r="O965" s="423"/>
      <c r="P965" s="423"/>
      <c r="Q965" s="423"/>
      <c r="R965" s="423"/>
      <c r="S965" s="423"/>
      <c r="T965" s="423"/>
      <c r="U965" s="423"/>
      <c r="V965" s="423"/>
      <c r="W965" s="423"/>
      <c r="X965" s="423"/>
      <c r="Y965" s="423"/>
      <c r="Z965" s="423"/>
      <c r="AA965" s="423"/>
      <c r="AB965" s="423"/>
      <c r="AC965" s="423"/>
      <c r="AD965" s="423"/>
      <c r="AE965" s="423"/>
      <c r="AF965" s="423"/>
      <c r="AG965" s="423"/>
      <c r="AH965" s="423"/>
      <c r="AI965" s="423"/>
    </row>
    <row r="966">
      <c r="A966" s="419"/>
      <c r="B966" s="419"/>
      <c r="C966" s="419"/>
      <c r="D966" s="419"/>
      <c r="E966" s="387"/>
      <c r="F966" s="387"/>
      <c r="G966" s="423"/>
      <c r="H966" s="423"/>
      <c r="I966" s="423"/>
      <c r="J966" s="423"/>
      <c r="K966" s="423"/>
      <c r="L966" s="423"/>
      <c r="M966" s="423"/>
      <c r="N966" s="423"/>
      <c r="O966" s="423"/>
      <c r="P966" s="423"/>
      <c r="Q966" s="423"/>
      <c r="R966" s="423"/>
      <c r="S966" s="423"/>
      <c r="T966" s="423"/>
      <c r="U966" s="423"/>
      <c r="V966" s="423"/>
      <c r="W966" s="423"/>
      <c r="X966" s="423"/>
      <c r="Y966" s="423"/>
      <c r="Z966" s="423"/>
      <c r="AA966" s="423"/>
      <c r="AB966" s="423"/>
      <c r="AC966" s="423"/>
      <c r="AD966" s="423"/>
      <c r="AE966" s="423"/>
      <c r="AF966" s="423"/>
      <c r="AG966" s="423"/>
      <c r="AH966" s="423"/>
      <c r="AI966" s="423"/>
    </row>
    <row r="967">
      <c r="A967" s="419"/>
      <c r="B967" s="419"/>
      <c r="C967" s="419"/>
      <c r="D967" s="419"/>
      <c r="E967" s="387"/>
      <c r="F967" s="387"/>
      <c r="G967" s="423"/>
      <c r="H967" s="423"/>
      <c r="I967" s="423"/>
      <c r="J967" s="423"/>
      <c r="K967" s="423"/>
      <c r="L967" s="423"/>
      <c r="M967" s="423"/>
      <c r="N967" s="423"/>
      <c r="O967" s="423"/>
      <c r="P967" s="423"/>
      <c r="Q967" s="423"/>
      <c r="R967" s="423"/>
      <c r="S967" s="423"/>
      <c r="T967" s="423"/>
      <c r="U967" s="423"/>
      <c r="V967" s="423"/>
      <c r="W967" s="423"/>
      <c r="X967" s="423"/>
      <c r="Y967" s="423"/>
      <c r="Z967" s="423"/>
      <c r="AA967" s="423"/>
      <c r="AB967" s="423"/>
      <c r="AC967" s="423"/>
      <c r="AD967" s="423"/>
      <c r="AE967" s="423"/>
      <c r="AF967" s="423"/>
      <c r="AG967" s="423"/>
      <c r="AH967" s="423"/>
      <c r="AI967" s="423"/>
    </row>
    <row r="968">
      <c r="A968" s="419"/>
      <c r="B968" s="419"/>
      <c r="C968" s="419"/>
      <c r="D968" s="419"/>
      <c r="E968" s="387"/>
      <c r="F968" s="387"/>
      <c r="G968" s="423"/>
      <c r="H968" s="423"/>
      <c r="I968" s="423"/>
      <c r="J968" s="423"/>
      <c r="K968" s="423"/>
      <c r="L968" s="423"/>
      <c r="M968" s="423"/>
      <c r="N968" s="423"/>
      <c r="O968" s="423"/>
      <c r="P968" s="423"/>
      <c r="Q968" s="423"/>
      <c r="R968" s="423"/>
      <c r="S968" s="423"/>
      <c r="T968" s="423"/>
      <c r="U968" s="423"/>
      <c r="V968" s="423"/>
      <c r="W968" s="423"/>
      <c r="X968" s="423"/>
      <c r="Y968" s="423"/>
      <c r="Z968" s="423"/>
      <c r="AA968" s="423"/>
      <c r="AB968" s="423"/>
      <c r="AC968" s="423"/>
      <c r="AD968" s="423"/>
      <c r="AE968" s="423"/>
      <c r="AF968" s="423"/>
      <c r="AG968" s="423"/>
      <c r="AH968" s="423"/>
      <c r="AI968" s="423"/>
    </row>
    <row r="969">
      <c r="A969" s="419"/>
      <c r="B969" s="419"/>
      <c r="C969" s="419"/>
      <c r="D969" s="419"/>
      <c r="E969" s="387"/>
      <c r="F969" s="387"/>
      <c r="G969" s="423"/>
      <c r="H969" s="423"/>
      <c r="I969" s="423"/>
      <c r="J969" s="423"/>
      <c r="K969" s="423"/>
      <c r="L969" s="423"/>
      <c r="M969" s="423"/>
      <c r="N969" s="423"/>
      <c r="O969" s="423"/>
      <c r="P969" s="423"/>
      <c r="Q969" s="423"/>
      <c r="R969" s="423"/>
      <c r="S969" s="423"/>
      <c r="T969" s="423"/>
      <c r="U969" s="423"/>
      <c r="V969" s="423"/>
      <c r="W969" s="423"/>
      <c r="X969" s="423"/>
      <c r="Y969" s="423"/>
      <c r="Z969" s="423"/>
      <c r="AA969" s="423"/>
      <c r="AB969" s="423"/>
      <c r="AC969" s="423"/>
      <c r="AD969" s="423"/>
      <c r="AE969" s="423"/>
      <c r="AF969" s="423"/>
      <c r="AG969" s="423"/>
      <c r="AH969" s="423"/>
      <c r="AI969" s="423"/>
    </row>
    <row r="970">
      <c r="A970" s="419"/>
      <c r="B970" s="419"/>
      <c r="C970" s="419"/>
      <c r="D970" s="419"/>
      <c r="E970" s="387"/>
      <c r="F970" s="387"/>
      <c r="G970" s="423"/>
      <c r="H970" s="423"/>
      <c r="I970" s="423"/>
      <c r="J970" s="423"/>
      <c r="K970" s="423"/>
      <c r="L970" s="423"/>
      <c r="M970" s="423"/>
      <c r="N970" s="423"/>
      <c r="O970" s="423"/>
      <c r="P970" s="423"/>
      <c r="Q970" s="423"/>
      <c r="R970" s="423"/>
      <c r="S970" s="423"/>
      <c r="T970" s="423"/>
      <c r="U970" s="423"/>
      <c r="V970" s="423"/>
      <c r="W970" s="423"/>
      <c r="X970" s="423"/>
      <c r="Y970" s="423"/>
      <c r="Z970" s="423"/>
      <c r="AA970" s="423"/>
      <c r="AB970" s="423"/>
      <c r="AC970" s="423"/>
      <c r="AD970" s="423"/>
      <c r="AE970" s="423"/>
      <c r="AF970" s="423"/>
      <c r="AG970" s="423"/>
      <c r="AH970" s="423"/>
      <c r="AI970" s="423"/>
    </row>
    <row r="971">
      <c r="A971" s="419"/>
      <c r="B971" s="419"/>
      <c r="C971" s="419"/>
      <c r="D971" s="419"/>
      <c r="E971" s="387"/>
      <c r="F971" s="387"/>
      <c r="G971" s="423"/>
      <c r="H971" s="423"/>
      <c r="I971" s="423"/>
      <c r="J971" s="423"/>
      <c r="K971" s="423"/>
      <c r="L971" s="423"/>
      <c r="M971" s="423"/>
      <c r="N971" s="423"/>
      <c r="O971" s="423"/>
      <c r="P971" s="423"/>
      <c r="Q971" s="423"/>
      <c r="R971" s="423"/>
      <c r="S971" s="423"/>
      <c r="T971" s="423"/>
      <c r="U971" s="423"/>
      <c r="V971" s="423"/>
      <c r="W971" s="423"/>
      <c r="X971" s="423"/>
      <c r="Y971" s="423"/>
      <c r="Z971" s="423"/>
      <c r="AA971" s="423"/>
      <c r="AB971" s="423"/>
      <c r="AC971" s="423"/>
      <c r="AD971" s="423"/>
      <c r="AE971" s="423"/>
      <c r="AF971" s="423"/>
      <c r="AG971" s="423"/>
      <c r="AH971" s="423"/>
      <c r="AI971" s="423"/>
    </row>
    <row r="972">
      <c r="A972" s="419"/>
      <c r="B972" s="419"/>
      <c r="C972" s="419"/>
      <c r="D972" s="419"/>
      <c r="E972" s="387"/>
      <c r="F972" s="387"/>
      <c r="G972" s="423"/>
      <c r="H972" s="423"/>
      <c r="I972" s="423"/>
      <c r="J972" s="423"/>
      <c r="K972" s="423"/>
      <c r="L972" s="423"/>
      <c r="M972" s="423"/>
      <c r="N972" s="423"/>
      <c r="O972" s="423"/>
      <c r="P972" s="423"/>
      <c r="Q972" s="423"/>
      <c r="R972" s="423"/>
      <c r="S972" s="423"/>
      <c r="T972" s="423"/>
      <c r="U972" s="423"/>
      <c r="V972" s="423"/>
      <c r="W972" s="423"/>
      <c r="X972" s="423"/>
      <c r="Y972" s="423"/>
      <c r="Z972" s="423"/>
      <c r="AA972" s="423"/>
      <c r="AB972" s="423"/>
      <c r="AC972" s="423"/>
      <c r="AD972" s="423"/>
      <c r="AE972" s="423"/>
      <c r="AF972" s="423"/>
      <c r="AG972" s="423"/>
      <c r="AH972" s="423"/>
      <c r="AI972" s="423"/>
    </row>
    <row r="973">
      <c r="A973" s="419"/>
      <c r="B973" s="419"/>
      <c r="C973" s="419"/>
      <c r="D973" s="419"/>
      <c r="E973" s="387"/>
      <c r="F973" s="387"/>
      <c r="G973" s="423"/>
      <c r="H973" s="423"/>
      <c r="I973" s="423"/>
      <c r="J973" s="423"/>
      <c r="K973" s="423"/>
      <c r="L973" s="423"/>
      <c r="M973" s="423"/>
      <c r="N973" s="423"/>
      <c r="O973" s="423"/>
      <c r="P973" s="423"/>
      <c r="Q973" s="423"/>
      <c r="R973" s="423"/>
      <c r="S973" s="423"/>
      <c r="T973" s="423"/>
      <c r="U973" s="423"/>
      <c r="V973" s="423"/>
      <c r="W973" s="423"/>
      <c r="X973" s="423"/>
      <c r="Y973" s="423"/>
      <c r="Z973" s="423"/>
      <c r="AA973" s="423"/>
      <c r="AB973" s="423"/>
      <c r="AC973" s="423"/>
      <c r="AD973" s="423"/>
      <c r="AE973" s="423"/>
      <c r="AF973" s="423"/>
      <c r="AG973" s="423"/>
      <c r="AH973" s="423"/>
      <c r="AI973" s="423"/>
    </row>
    <row r="974">
      <c r="A974" s="419"/>
      <c r="B974" s="419"/>
      <c r="C974" s="419"/>
      <c r="D974" s="419"/>
      <c r="E974" s="387"/>
      <c r="F974" s="387"/>
      <c r="G974" s="423"/>
      <c r="H974" s="423"/>
      <c r="I974" s="423"/>
      <c r="J974" s="423"/>
      <c r="K974" s="423"/>
      <c r="L974" s="423"/>
      <c r="M974" s="423"/>
      <c r="N974" s="423"/>
      <c r="O974" s="423"/>
      <c r="P974" s="423"/>
      <c r="Q974" s="423"/>
      <c r="R974" s="423"/>
      <c r="S974" s="423"/>
      <c r="T974" s="423"/>
      <c r="U974" s="423"/>
      <c r="V974" s="423"/>
      <c r="W974" s="423"/>
      <c r="X974" s="423"/>
      <c r="Y974" s="423"/>
      <c r="Z974" s="423"/>
      <c r="AA974" s="423"/>
      <c r="AB974" s="423"/>
      <c r="AC974" s="423"/>
      <c r="AD974" s="423"/>
      <c r="AE974" s="423"/>
      <c r="AF974" s="423"/>
      <c r="AG974" s="423"/>
      <c r="AH974" s="423"/>
      <c r="AI974" s="423"/>
    </row>
    <row r="975">
      <c r="A975" s="419"/>
      <c r="B975" s="419"/>
      <c r="C975" s="419"/>
      <c r="D975" s="419"/>
      <c r="E975" s="387"/>
      <c r="F975" s="387"/>
      <c r="G975" s="423"/>
      <c r="H975" s="423"/>
      <c r="I975" s="423"/>
      <c r="J975" s="423"/>
      <c r="K975" s="423"/>
      <c r="L975" s="423"/>
      <c r="M975" s="423"/>
      <c r="N975" s="423"/>
      <c r="O975" s="423"/>
      <c r="P975" s="423"/>
      <c r="Q975" s="423"/>
      <c r="R975" s="423"/>
      <c r="S975" s="423"/>
      <c r="T975" s="423"/>
      <c r="U975" s="423"/>
      <c r="V975" s="423"/>
      <c r="W975" s="423"/>
      <c r="X975" s="423"/>
      <c r="Y975" s="423"/>
      <c r="Z975" s="423"/>
      <c r="AA975" s="423"/>
      <c r="AB975" s="423"/>
      <c r="AC975" s="423"/>
      <c r="AD975" s="423"/>
      <c r="AE975" s="423"/>
      <c r="AF975" s="423"/>
      <c r="AG975" s="423"/>
      <c r="AH975" s="423"/>
      <c r="AI975" s="423"/>
    </row>
    <row r="976">
      <c r="A976" s="419"/>
      <c r="B976" s="419"/>
      <c r="C976" s="419"/>
      <c r="D976" s="419"/>
      <c r="E976" s="387"/>
      <c r="F976" s="387"/>
      <c r="G976" s="423"/>
      <c r="H976" s="423"/>
      <c r="I976" s="423"/>
      <c r="J976" s="423"/>
      <c r="K976" s="423"/>
      <c r="L976" s="423"/>
      <c r="M976" s="423"/>
      <c r="N976" s="423"/>
      <c r="O976" s="423"/>
      <c r="P976" s="423"/>
      <c r="Q976" s="423"/>
      <c r="R976" s="423"/>
      <c r="S976" s="423"/>
      <c r="T976" s="423"/>
      <c r="U976" s="423"/>
      <c r="V976" s="423"/>
      <c r="W976" s="423"/>
      <c r="X976" s="423"/>
      <c r="Y976" s="423"/>
      <c r="Z976" s="423"/>
      <c r="AA976" s="423"/>
      <c r="AB976" s="423"/>
      <c r="AC976" s="423"/>
      <c r="AD976" s="423"/>
      <c r="AE976" s="423"/>
      <c r="AF976" s="423"/>
      <c r="AG976" s="423"/>
      <c r="AH976" s="423"/>
      <c r="AI976" s="423"/>
    </row>
    <row r="977">
      <c r="A977" s="419"/>
      <c r="B977" s="419"/>
      <c r="C977" s="419"/>
      <c r="D977" s="419"/>
      <c r="E977" s="387"/>
      <c r="F977" s="387"/>
      <c r="G977" s="423"/>
      <c r="H977" s="423"/>
      <c r="I977" s="423"/>
      <c r="J977" s="423"/>
      <c r="K977" s="423"/>
      <c r="L977" s="423"/>
      <c r="M977" s="423"/>
      <c r="N977" s="423"/>
      <c r="O977" s="423"/>
      <c r="P977" s="423"/>
      <c r="Q977" s="423"/>
      <c r="R977" s="423"/>
      <c r="S977" s="423"/>
      <c r="T977" s="423"/>
      <c r="U977" s="423"/>
      <c r="V977" s="423"/>
      <c r="W977" s="423"/>
      <c r="X977" s="423"/>
      <c r="Y977" s="423"/>
      <c r="Z977" s="423"/>
      <c r="AA977" s="423"/>
      <c r="AB977" s="423"/>
      <c r="AC977" s="423"/>
      <c r="AD977" s="423"/>
      <c r="AE977" s="423"/>
      <c r="AF977" s="423"/>
      <c r="AG977" s="423"/>
      <c r="AH977" s="423"/>
      <c r="AI977" s="423"/>
    </row>
    <row r="978">
      <c r="A978" s="419"/>
      <c r="B978" s="419"/>
      <c r="C978" s="419"/>
      <c r="D978" s="419"/>
      <c r="E978" s="387"/>
      <c r="F978" s="387"/>
      <c r="G978" s="423"/>
      <c r="H978" s="423"/>
      <c r="I978" s="423"/>
      <c r="J978" s="423"/>
      <c r="K978" s="423"/>
      <c r="L978" s="423"/>
      <c r="M978" s="423"/>
      <c r="N978" s="423"/>
      <c r="O978" s="423"/>
      <c r="P978" s="423"/>
      <c r="Q978" s="423"/>
      <c r="R978" s="423"/>
      <c r="S978" s="423"/>
      <c r="T978" s="423"/>
      <c r="U978" s="423"/>
      <c r="V978" s="423"/>
      <c r="W978" s="423"/>
      <c r="X978" s="423"/>
      <c r="Y978" s="423"/>
      <c r="Z978" s="423"/>
      <c r="AA978" s="423"/>
      <c r="AB978" s="423"/>
      <c r="AC978" s="423"/>
      <c r="AD978" s="423"/>
      <c r="AE978" s="423"/>
      <c r="AF978" s="423"/>
      <c r="AG978" s="423"/>
      <c r="AH978" s="423"/>
      <c r="AI978" s="423"/>
    </row>
    <row r="979">
      <c r="A979" s="419"/>
      <c r="B979" s="419"/>
      <c r="C979" s="419"/>
      <c r="D979" s="419"/>
      <c r="E979" s="387"/>
      <c r="F979" s="387"/>
      <c r="G979" s="423"/>
      <c r="H979" s="423"/>
      <c r="I979" s="423"/>
      <c r="J979" s="423"/>
      <c r="K979" s="423"/>
      <c r="L979" s="423"/>
      <c r="M979" s="423"/>
      <c r="N979" s="423"/>
      <c r="O979" s="423"/>
      <c r="P979" s="423"/>
      <c r="Q979" s="423"/>
      <c r="R979" s="423"/>
      <c r="S979" s="423"/>
      <c r="T979" s="423"/>
      <c r="U979" s="423"/>
      <c r="V979" s="423"/>
      <c r="W979" s="423"/>
      <c r="X979" s="423"/>
      <c r="Y979" s="423"/>
      <c r="Z979" s="423"/>
      <c r="AA979" s="423"/>
      <c r="AB979" s="423"/>
      <c r="AC979" s="423"/>
      <c r="AD979" s="423"/>
      <c r="AE979" s="423"/>
      <c r="AF979" s="423"/>
      <c r="AG979" s="423"/>
      <c r="AH979" s="423"/>
      <c r="AI979" s="423"/>
    </row>
    <row r="980">
      <c r="A980" s="419"/>
      <c r="B980" s="419"/>
      <c r="C980" s="419"/>
      <c r="D980" s="419"/>
      <c r="E980" s="387"/>
      <c r="F980" s="387"/>
      <c r="G980" s="423"/>
      <c r="H980" s="423"/>
      <c r="I980" s="423"/>
      <c r="J980" s="423"/>
      <c r="K980" s="423"/>
      <c r="L980" s="423"/>
      <c r="M980" s="423"/>
      <c r="N980" s="423"/>
      <c r="O980" s="423"/>
      <c r="P980" s="423"/>
      <c r="Q980" s="423"/>
      <c r="R980" s="423"/>
      <c r="S980" s="423"/>
      <c r="T980" s="423"/>
      <c r="U980" s="423"/>
      <c r="V980" s="423"/>
      <c r="W980" s="423"/>
      <c r="X980" s="423"/>
      <c r="Y980" s="423"/>
      <c r="Z980" s="423"/>
      <c r="AA980" s="423"/>
      <c r="AB980" s="423"/>
      <c r="AC980" s="423"/>
      <c r="AD980" s="423"/>
      <c r="AE980" s="423"/>
      <c r="AF980" s="423"/>
      <c r="AG980" s="423"/>
      <c r="AH980" s="423"/>
      <c r="AI980" s="423"/>
    </row>
    <row r="981">
      <c r="A981" s="419"/>
      <c r="B981" s="419"/>
      <c r="C981" s="419"/>
      <c r="D981" s="419"/>
      <c r="E981" s="387"/>
      <c r="F981" s="387"/>
      <c r="G981" s="423"/>
      <c r="H981" s="423"/>
      <c r="I981" s="423"/>
      <c r="J981" s="423"/>
      <c r="K981" s="423"/>
      <c r="L981" s="423"/>
      <c r="M981" s="423"/>
      <c r="N981" s="423"/>
      <c r="O981" s="423"/>
      <c r="P981" s="423"/>
      <c r="Q981" s="423"/>
      <c r="R981" s="423"/>
      <c r="S981" s="423"/>
      <c r="T981" s="423"/>
      <c r="U981" s="423"/>
      <c r="V981" s="423"/>
      <c r="W981" s="423"/>
      <c r="X981" s="423"/>
      <c r="Y981" s="423"/>
      <c r="Z981" s="423"/>
      <c r="AA981" s="423"/>
      <c r="AB981" s="423"/>
      <c r="AC981" s="423"/>
      <c r="AD981" s="423"/>
      <c r="AE981" s="423"/>
      <c r="AF981" s="423"/>
      <c r="AG981" s="423"/>
      <c r="AH981" s="423"/>
      <c r="AI981" s="423"/>
    </row>
    <row r="982">
      <c r="A982" s="419"/>
      <c r="B982" s="419"/>
      <c r="C982" s="419"/>
      <c r="D982" s="419"/>
      <c r="E982" s="387"/>
      <c r="F982" s="387"/>
      <c r="G982" s="423"/>
      <c r="H982" s="423"/>
      <c r="I982" s="423"/>
      <c r="J982" s="423"/>
      <c r="K982" s="423"/>
      <c r="L982" s="423"/>
      <c r="M982" s="423"/>
      <c r="N982" s="423"/>
      <c r="O982" s="423"/>
      <c r="P982" s="423"/>
      <c r="Q982" s="423"/>
      <c r="R982" s="423"/>
      <c r="S982" s="423"/>
      <c r="T982" s="423"/>
      <c r="U982" s="423"/>
      <c r="V982" s="423"/>
      <c r="W982" s="423"/>
      <c r="X982" s="423"/>
      <c r="Y982" s="423"/>
      <c r="Z982" s="423"/>
      <c r="AA982" s="423"/>
      <c r="AB982" s="423"/>
      <c r="AC982" s="423"/>
      <c r="AD982" s="423"/>
      <c r="AE982" s="423"/>
      <c r="AF982" s="423"/>
      <c r="AG982" s="423"/>
      <c r="AH982" s="423"/>
      <c r="AI982" s="423"/>
    </row>
    <row r="983">
      <c r="A983" s="419"/>
      <c r="B983" s="419"/>
      <c r="C983" s="419"/>
      <c r="D983" s="419"/>
      <c r="E983" s="387"/>
      <c r="F983" s="387"/>
      <c r="G983" s="423"/>
      <c r="H983" s="423"/>
      <c r="I983" s="423"/>
      <c r="J983" s="423"/>
      <c r="K983" s="423"/>
      <c r="L983" s="423"/>
      <c r="M983" s="423"/>
      <c r="N983" s="423"/>
      <c r="O983" s="423"/>
      <c r="P983" s="423"/>
      <c r="Q983" s="423"/>
      <c r="R983" s="423"/>
      <c r="S983" s="423"/>
      <c r="T983" s="423"/>
      <c r="U983" s="423"/>
      <c r="V983" s="423"/>
      <c r="W983" s="423"/>
      <c r="X983" s="423"/>
      <c r="Y983" s="423"/>
      <c r="Z983" s="423"/>
      <c r="AA983" s="423"/>
      <c r="AB983" s="423"/>
      <c r="AC983" s="423"/>
      <c r="AD983" s="423"/>
      <c r="AE983" s="423"/>
      <c r="AF983" s="423"/>
      <c r="AG983" s="423"/>
      <c r="AH983" s="423"/>
      <c r="AI983" s="423"/>
    </row>
    <row r="984">
      <c r="A984" s="419"/>
      <c r="B984" s="419"/>
      <c r="C984" s="419"/>
      <c r="D984" s="419"/>
      <c r="E984" s="387"/>
      <c r="F984" s="387"/>
      <c r="G984" s="423"/>
      <c r="H984" s="423"/>
      <c r="I984" s="423"/>
      <c r="J984" s="423"/>
      <c r="K984" s="423"/>
      <c r="L984" s="423"/>
      <c r="M984" s="423"/>
      <c r="N984" s="423"/>
      <c r="O984" s="423"/>
      <c r="P984" s="423"/>
      <c r="Q984" s="423"/>
      <c r="R984" s="423"/>
      <c r="S984" s="423"/>
      <c r="T984" s="423"/>
      <c r="U984" s="423"/>
      <c r="V984" s="423"/>
      <c r="W984" s="423"/>
      <c r="X984" s="423"/>
      <c r="Y984" s="423"/>
      <c r="Z984" s="423"/>
      <c r="AA984" s="423"/>
      <c r="AB984" s="423"/>
      <c r="AC984" s="423"/>
      <c r="AD984" s="423"/>
      <c r="AE984" s="423"/>
      <c r="AF984" s="423"/>
      <c r="AG984" s="423"/>
      <c r="AH984" s="423"/>
      <c r="AI984" s="423"/>
    </row>
    <row r="985">
      <c r="A985" s="419"/>
      <c r="B985" s="419"/>
      <c r="C985" s="419"/>
      <c r="D985" s="419"/>
      <c r="E985" s="387"/>
      <c r="F985" s="387"/>
      <c r="G985" s="423"/>
      <c r="H985" s="423"/>
      <c r="I985" s="423"/>
      <c r="J985" s="423"/>
      <c r="K985" s="423"/>
      <c r="L985" s="423"/>
      <c r="M985" s="423"/>
      <c r="N985" s="423"/>
      <c r="O985" s="423"/>
      <c r="P985" s="423"/>
      <c r="Q985" s="423"/>
      <c r="R985" s="423"/>
      <c r="S985" s="423"/>
      <c r="T985" s="423"/>
      <c r="U985" s="423"/>
      <c r="V985" s="423"/>
      <c r="W985" s="423"/>
      <c r="X985" s="423"/>
      <c r="Y985" s="423"/>
      <c r="Z985" s="423"/>
      <c r="AA985" s="423"/>
      <c r="AB985" s="423"/>
      <c r="AC985" s="423"/>
      <c r="AD985" s="423"/>
      <c r="AE985" s="423"/>
      <c r="AF985" s="423"/>
      <c r="AG985" s="423"/>
      <c r="AH985" s="423"/>
      <c r="AI985" s="423"/>
    </row>
    <row r="986">
      <c r="A986" s="419"/>
      <c r="B986" s="419"/>
      <c r="C986" s="419"/>
      <c r="D986" s="419"/>
      <c r="E986" s="387"/>
      <c r="F986" s="387"/>
      <c r="G986" s="423"/>
      <c r="H986" s="423"/>
      <c r="I986" s="423"/>
      <c r="J986" s="423"/>
      <c r="K986" s="423"/>
      <c r="L986" s="423"/>
      <c r="M986" s="423"/>
      <c r="N986" s="423"/>
      <c r="O986" s="423"/>
      <c r="P986" s="423"/>
      <c r="Q986" s="423"/>
      <c r="R986" s="423"/>
      <c r="S986" s="423"/>
      <c r="T986" s="423"/>
      <c r="U986" s="423"/>
      <c r="V986" s="423"/>
      <c r="W986" s="423"/>
      <c r="X986" s="423"/>
      <c r="Y986" s="423"/>
      <c r="Z986" s="423"/>
      <c r="AA986" s="423"/>
      <c r="AB986" s="423"/>
      <c r="AC986" s="423"/>
      <c r="AD986" s="423"/>
      <c r="AE986" s="423"/>
      <c r="AF986" s="423"/>
      <c r="AG986" s="423"/>
      <c r="AH986" s="423"/>
      <c r="AI986" s="423"/>
    </row>
    <row r="987">
      <c r="A987" s="419"/>
      <c r="B987" s="419"/>
      <c r="C987" s="419"/>
      <c r="D987" s="419"/>
      <c r="E987" s="387"/>
      <c r="F987" s="387"/>
      <c r="G987" s="423"/>
      <c r="H987" s="423"/>
      <c r="I987" s="423"/>
      <c r="J987" s="423"/>
      <c r="K987" s="423"/>
      <c r="L987" s="423"/>
      <c r="M987" s="423"/>
      <c r="N987" s="423"/>
      <c r="O987" s="423"/>
      <c r="P987" s="423"/>
      <c r="Q987" s="423"/>
      <c r="R987" s="423"/>
      <c r="S987" s="423"/>
      <c r="T987" s="423"/>
      <c r="U987" s="423"/>
      <c r="V987" s="423"/>
      <c r="W987" s="423"/>
      <c r="X987" s="423"/>
      <c r="Y987" s="423"/>
      <c r="Z987" s="423"/>
      <c r="AA987" s="423"/>
      <c r="AB987" s="423"/>
      <c r="AC987" s="423"/>
      <c r="AD987" s="423"/>
      <c r="AE987" s="423"/>
      <c r="AF987" s="423"/>
      <c r="AG987" s="423"/>
      <c r="AH987" s="423"/>
      <c r="AI987" s="423"/>
    </row>
    <row r="988">
      <c r="A988" s="419"/>
      <c r="B988" s="419"/>
      <c r="C988" s="419"/>
      <c r="D988" s="419"/>
      <c r="E988" s="387"/>
      <c r="F988" s="387"/>
      <c r="G988" s="423"/>
      <c r="H988" s="423"/>
      <c r="I988" s="423"/>
      <c r="J988" s="423"/>
      <c r="K988" s="423"/>
      <c r="L988" s="423"/>
      <c r="M988" s="423"/>
      <c r="N988" s="423"/>
      <c r="O988" s="423"/>
      <c r="P988" s="423"/>
      <c r="Q988" s="423"/>
      <c r="R988" s="423"/>
      <c r="S988" s="423"/>
      <c r="T988" s="423"/>
      <c r="U988" s="423"/>
      <c r="V988" s="423"/>
      <c r="W988" s="423"/>
      <c r="X988" s="423"/>
      <c r="Y988" s="423"/>
      <c r="Z988" s="423"/>
      <c r="AA988" s="423"/>
      <c r="AB988" s="423"/>
      <c r="AC988" s="423"/>
      <c r="AD988" s="423"/>
      <c r="AE988" s="423"/>
      <c r="AF988" s="423"/>
      <c r="AG988" s="423"/>
      <c r="AH988" s="423"/>
      <c r="AI988" s="423"/>
    </row>
    <row r="989">
      <c r="A989" s="419"/>
      <c r="B989" s="419"/>
      <c r="C989" s="419"/>
      <c r="D989" s="419"/>
      <c r="E989" s="387"/>
      <c r="F989" s="387"/>
      <c r="G989" s="423"/>
      <c r="H989" s="423"/>
      <c r="I989" s="423"/>
      <c r="J989" s="423"/>
      <c r="K989" s="423"/>
      <c r="L989" s="423"/>
      <c r="M989" s="423"/>
      <c r="N989" s="423"/>
      <c r="O989" s="423"/>
      <c r="P989" s="423"/>
      <c r="Q989" s="423"/>
      <c r="R989" s="423"/>
      <c r="S989" s="423"/>
      <c r="T989" s="423"/>
      <c r="U989" s="423"/>
      <c r="V989" s="423"/>
      <c r="W989" s="423"/>
      <c r="X989" s="423"/>
      <c r="Y989" s="423"/>
      <c r="Z989" s="423"/>
      <c r="AA989" s="423"/>
      <c r="AB989" s="423"/>
      <c r="AC989" s="423"/>
      <c r="AD989" s="423"/>
      <c r="AE989" s="423"/>
      <c r="AF989" s="423"/>
      <c r="AG989" s="423"/>
      <c r="AH989" s="423"/>
      <c r="AI989" s="423"/>
    </row>
    <row r="990">
      <c r="A990" s="419"/>
      <c r="B990" s="419"/>
      <c r="C990" s="419"/>
      <c r="D990" s="419"/>
      <c r="E990" s="387"/>
      <c r="F990" s="387"/>
      <c r="G990" s="423"/>
      <c r="H990" s="423"/>
      <c r="I990" s="423"/>
      <c r="J990" s="423"/>
      <c r="K990" s="423"/>
      <c r="L990" s="423"/>
      <c r="M990" s="423"/>
      <c r="N990" s="423"/>
      <c r="O990" s="423"/>
      <c r="P990" s="423"/>
      <c r="Q990" s="423"/>
      <c r="R990" s="423"/>
      <c r="S990" s="423"/>
      <c r="T990" s="423"/>
      <c r="U990" s="423"/>
      <c r="V990" s="423"/>
      <c r="W990" s="423"/>
      <c r="X990" s="423"/>
      <c r="Y990" s="423"/>
      <c r="Z990" s="423"/>
      <c r="AA990" s="423"/>
      <c r="AB990" s="423"/>
      <c r="AC990" s="423"/>
      <c r="AD990" s="423"/>
      <c r="AE990" s="423"/>
      <c r="AF990" s="423"/>
      <c r="AG990" s="423"/>
      <c r="AH990" s="423"/>
      <c r="AI990" s="423"/>
    </row>
    <row r="991">
      <c r="A991" s="419"/>
      <c r="B991" s="419"/>
      <c r="C991" s="419"/>
      <c r="D991" s="419"/>
      <c r="E991" s="387"/>
      <c r="F991" s="387"/>
      <c r="G991" s="423"/>
      <c r="H991" s="423"/>
      <c r="I991" s="423"/>
      <c r="J991" s="423"/>
      <c r="K991" s="423"/>
      <c r="L991" s="423"/>
      <c r="M991" s="423"/>
      <c r="N991" s="423"/>
      <c r="O991" s="423"/>
      <c r="P991" s="423"/>
      <c r="Q991" s="423"/>
      <c r="R991" s="423"/>
      <c r="S991" s="423"/>
      <c r="T991" s="423"/>
      <c r="U991" s="423"/>
      <c r="V991" s="423"/>
      <c r="W991" s="423"/>
      <c r="X991" s="423"/>
      <c r="Y991" s="423"/>
      <c r="Z991" s="423"/>
      <c r="AA991" s="423"/>
      <c r="AB991" s="423"/>
      <c r="AC991" s="423"/>
      <c r="AD991" s="423"/>
      <c r="AE991" s="423"/>
      <c r="AF991" s="423"/>
      <c r="AG991" s="423"/>
      <c r="AH991" s="423"/>
      <c r="AI991" s="423"/>
    </row>
    <row r="992">
      <c r="A992" s="419"/>
      <c r="B992" s="419"/>
      <c r="C992" s="419"/>
      <c r="D992" s="419"/>
      <c r="E992" s="387"/>
      <c r="F992" s="387"/>
      <c r="G992" s="423"/>
      <c r="H992" s="423"/>
      <c r="I992" s="423"/>
      <c r="J992" s="423"/>
      <c r="K992" s="423"/>
      <c r="L992" s="423"/>
      <c r="M992" s="423"/>
      <c r="N992" s="423"/>
      <c r="O992" s="423"/>
      <c r="P992" s="423"/>
      <c r="Q992" s="423"/>
      <c r="R992" s="423"/>
      <c r="S992" s="423"/>
      <c r="T992" s="423"/>
      <c r="U992" s="423"/>
      <c r="V992" s="423"/>
      <c r="W992" s="423"/>
      <c r="X992" s="423"/>
      <c r="Y992" s="423"/>
      <c r="Z992" s="423"/>
      <c r="AA992" s="423"/>
      <c r="AB992" s="423"/>
      <c r="AC992" s="423"/>
      <c r="AD992" s="423"/>
      <c r="AE992" s="423"/>
      <c r="AF992" s="423"/>
      <c r="AG992" s="423"/>
      <c r="AH992" s="423"/>
      <c r="AI992" s="423"/>
    </row>
    <row r="993">
      <c r="A993" s="419"/>
      <c r="B993" s="419"/>
      <c r="C993" s="419"/>
      <c r="D993" s="419"/>
      <c r="E993" s="387"/>
      <c r="F993" s="387"/>
      <c r="G993" s="423"/>
      <c r="H993" s="423"/>
      <c r="I993" s="423"/>
      <c r="J993" s="423"/>
      <c r="K993" s="423"/>
      <c r="L993" s="423"/>
      <c r="M993" s="423"/>
      <c r="N993" s="423"/>
      <c r="O993" s="423"/>
      <c r="P993" s="423"/>
      <c r="Q993" s="423"/>
      <c r="R993" s="423"/>
      <c r="S993" s="423"/>
      <c r="T993" s="423"/>
      <c r="U993" s="423"/>
      <c r="V993" s="423"/>
      <c r="W993" s="423"/>
      <c r="X993" s="423"/>
      <c r="Y993" s="423"/>
      <c r="Z993" s="423"/>
      <c r="AA993" s="423"/>
      <c r="AB993" s="423"/>
      <c r="AC993" s="423"/>
      <c r="AD993" s="423"/>
      <c r="AE993" s="423"/>
      <c r="AF993" s="423"/>
      <c r="AG993" s="423"/>
      <c r="AH993" s="423"/>
      <c r="AI993" s="423"/>
    </row>
    <row r="994">
      <c r="A994" s="419"/>
      <c r="B994" s="419"/>
      <c r="C994" s="419"/>
      <c r="D994" s="419"/>
      <c r="E994" s="387"/>
      <c r="F994" s="387"/>
      <c r="G994" s="423"/>
      <c r="H994" s="423"/>
      <c r="I994" s="423"/>
      <c r="J994" s="423"/>
      <c r="K994" s="423"/>
      <c r="L994" s="423"/>
      <c r="M994" s="423"/>
      <c r="N994" s="423"/>
      <c r="O994" s="423"/>
      <c r="P994" s="423"/>
      <c r="Q994" s="423"/>
      <c r="R994" s="423"/>
      <c r="S994" s="423"/>
      <c r="T994" s="423"/>
      <c r="U994" s="423"/>
      <c r="V994" s="423"/>
      <c r="W994" s="423"/>
      <c r="X994" s="423"/>
      <c r="Y994" s="423"/>
      <c r="Z994" s="423"/>
      <c r="AA994" s="423"/>
      <c r="AB994" s="423"/>
      <c r="AC994" s="423"/>
      <c r="AD994" s="423"/>
      <c r="AE994" s="423"/>
      <c r="AF994" s="423"/>
      <c r="AG994" s="423"/>
      <c r="AH994" s="423"/>
      <c r="AI994" s="423"/>
    </row>
    <row r="995">
      <c r="A995" s="419"/>
      <c r="B995" s="419"/>
      <c r="C995" s="419"/>
      <c r="D995" s="419"/>
      <c r="E995" s="387"/>
      <c r="F995" s="387"/>
      <c r="G995" s="423"/>
      <c r="H995" s="423"/>
      <c r="I995" s="423"/>
      <c r="J995" s="423"/>
      <c r="K995" s="423"/>
      <c r="L995" s="423"/>
      <c r="M995" s="423"/>
      <c r="N995" s="423"/>
      <c r="O995" s="423"/>
      <c r="P995" s="423"/>
      <c r="Q995" s="423"/>
      <c r="R995" s="423"/>
      <c r="S995" s="423"/>
      <c r="T995" s="423"/>
      <c r="U995" s="423"/>
      <c r="V995" s="423"/>
      <c r="W995" s="423"/>
      <c r="X995" s="423"/>
      <c r="Y995" s="423"/>
      <c r="Z995" s="423"/>
      <c r="AA995" s="423"/>
      <c r="AB995" s="423"/>
      <c r="AC995" s="423"/>
      <c r="AD995" s="423"/>
      <c r="AE995" s="423"/>
      <c r="AF995" s="423"/>
      <c r="AG995" s="423"/>
      <c r="AH995" s="423"/>
      <c r="AI995" s="423"/>
    </row>
    <row r="996">
      <c r="A996" s="419"/>
      <c r="B996" s="419"/>
      <c r="C996" s="419"/>
      <c r="D996" s="419"/>
      <c r="E996" s="387"/>
      <c r="F996" s="387"/>
      <c r="G996" s="423"/>
      <c r="H996" s="423"/>
      <c r="I996" s="423"/>
      <c r="J996" s="423"/>
      <c r="K996" s="423"/>
      <c r="L996" s="423"/>
      <c r="M996" s="423"/>
      <c r="N996" s="423"/>
      <c r="O996" s="423"/>
      <c r="P996" s="423"/>
      <c r="Q996" s="423"/>
      <c r="R996" s="423"/>
      <c r="S996" s="423"/>
      <c r="T996" s="423"/>
      <c r="U996" s="423"/>
      <c r="V996" s="423"/>
      <c r="W996" s="423"/>
      <c r="X996" s="423"/>
      <c r="Y996" s="423"/>
      <c r="Z996" s="423"/>
      <c r="AA996" s="423"/>
      <c r="AB996" s="423"/>
      <c r="AC996" s="423"/>
      <c r="AD996" s="423"/>
      <c r="AE996" s="423"/>
      <c r="AF996" s="423"/>
      <c r="AG996" s="423"/>
      <c r="AH996" s="423"/>
      <c r="AI996" s="423"/>
    </row>
    <row r="997">
      <c r="A997" s="419"/>
      <c r="B997" s="419"/>
      <c r="C997" s="419"/>
      <c r="D997" s="419"/>
      <c r="E997" s="387"/>
      <c r="F997" s="387"/>
      <c r="G997" s="423"/>
      <c r="H997" s="423"/>
      <c r="I997" s="423"/>
      <c r="J997" s="423"/>
      <c r="K997" s="423"/>
      <c r="L997" s="423"/>
      <c r="M997" s="423"/>
      <c r="N997" s="423"/>
      <c r="O997" s="423"/>
      <c r="P997" s="423"/>
      <c r="Q997" s="423"/>
      <c r="R997" s="423"/>
      <c r="S997" s="423"/>
      <c r="T997" s="423"/>
      <c r="U997" s="423"/>
      <c r="V997" s="423"/>
      <c r="W997" s="423"/>
      <c r="X997" s="423"/>
      <c r="Y997" s="423"/>
      <c r="Z997" s="423"/>
      <c r="AA997" s="423"/>
      <c r="AB997" s="423"/>
      <c r="AC997" s="423"/>
      <c r="AD997" s="423"/>
      <c r="AE997" s="423"/>
      <c r="AF997" s="423"/>
      <c r="AG997" s="423"/>
      <c r="AH997" s="423"/>
      <c r="AI997" s="423"/>
    </row>
    <row r="998">
      <c r="A998" s="419"/>
      <c r="B998" s="419"/>
      <c r="C998" s="419"/>
      <c r="D998" s="419"/>
      <c r="E998" s="387"/>
      <c r="F998" s="387"/>
      <c r="G998" s="423"/>
      <c r="H998" s="423"/>
      <c r="I998" s="423"/>
      <c r="J998" s="423"/>
      <c r="K998" s="423"/>
      <c r="L998" s="423"/>
      <c r="M998" s="423"/>
      <c r="N998" s="423"/>
      <c r="O998" s="423"/>
      <c r="P998" s="423"/>
      <c r="Q998" s="423"/>
      <c r="R998" s="423"/>
      <c r="S998" s="423"/>
      <c r="T998" s="423"/>
      <c r="U998" s="423"/>
      <c r="V998" s="423"/>
      <c r="W998" s="423"/>
      <c r="X998" s="423"/>
      <c r="Y998" s="423"/>
      <c r="Z998" s="423"/>
      <c r="AA998" s="423"/>
      <c r="AB998" s="423"/>
      <c r="AC998" s="423"/>
      <c r="AD998" s="423"/>
      <c r="AE998" s="423"/>
      <c r="AF998" s="423"/>
      <c r="AG998" s="423"/>
      <c r="AH998" s="423"/>
      <c r="AI998" s="423"/>
    </row>
    <row r="999">
      <c r="A999" s="419"/>
      <c r="B999" s="419"/>
      <c r="C999" s="419"/>
      <c r="D999" s="419"/>
      <c r="E999" s="387"/>
      <c r="F999" s="387"/>
      <c r="G999" s="423"/>
      <c r="H999" s="423"/>
      <c r="I999" s="423"/>
      <c r="J999" s="423"/>
      <c r="K999" s="423"/>
      <c r="L999" s="423"/>
      <c r="M999" s="423"/>
      <c r="N999" s="423"/>
      <c r="O999" s="423"/>
      <c r="P999" s="423"/>
      <c r="Q999" s="423"/>
      <c r="R999" s="423"/>
      <c r="S999" s="423"/>
      <c r="T999" s="423"/>
      <c r="U999" s="423"/>
      <c r="V999" s="423"/>
      <c r="W999" s="423"/>
      <c r="X999" s="423"/>
      <c r="Y999" s="423"/>
      <c r="Z999" s="423"/>
      <c r="AA999" s="423"/>
      <c r="AB999" s="423"/>
      <c r="AC999" s="423"/>
      <c r="AD999" s="423"/>
      <c r="AE999" s="423"/>
      <c r="AF999" s="423"/>
      <c r="AG999" s="423"/>
      <c r="AH999" s="423"/>
      <c r="AI999" s="423"/>
    </row>
    <row r="1000">
      <c r="A1000" s="419"/>
      <c r="B1000" s="419"/>
      <c r="C1000" s="419"/>
      <c r="D1000" s="419"/>
      <c r="E1000" s="387"/>
      <c r="F1000" s="387"/>
      <c r="G1000" s="423"/>
      <c r="H1000" s="423"/>
      <c r="I1000" s="423"/>
      <c r="J1000" s="423"/>
      <c r="K1000" s="423"/>
      <c r="L1000" s="423"/>
      <c r="M1000" s="423"/>
      <c r="N1000" s="423"/>
      <c r="O1000" s="423"/>
      <c r="P1000" s="423"/>
      <c r="Q1000" s="423"/>
      <c r="R1000" s="423"/>
      <c r="S1000" s="423"/>
      <c r="T1000" s="423"/>
      <c r="U1000" s="423"/>
      <c r="V1000" s="423"/>
      <c r="W1000" s="423"/>
      <c r="X1000" s="423"/>
      <c r="Y1000" s="423"/>
      <c r="Z1000" s="423"/>
      <c r="AA1000" s="423"/>
      <c r="AB1000" s="423"/>
      <c r="AC1000" s="423"/>
      <c r="AD1000" s="423"/>
      <c r="AE1000" s="423"/>
      <c r="AF1000" s="423"/>
      <c r="AG1000" s="423"/>
      <c r="AH1000" s="423"/>
      <c r="AI1000" s="423"/>
    </row>
    <row r="1001">
      <c r="A1001" s="419"/>
      <c r="B1001" s="419"/>
      <c r="C1001" s="419"/>
      <c r="D1001" s="419"/>
      <c r="E1001" s="387"/>
      <c r="F1001" s="387"/>
      <c r="G1001" s="423"/>
      <c r="H1001" s="423"/>
      <c r="I1001" s="423"/>
      <c r="J1001" s="423"/>
      <c r="K1001" s="423"/>
      <c r="L1001" s="423"/>
      <c r="M1001" s="423"/>
      <c r="N1001" s="423"/>
      <c r="O1001" s="423"/>
      <c r="P1001" s="423"/>
      <c r="Q1001" s="423"/>
      <c r="R1001" s="423"/>
      <c r="S1001" s="423"/>
      <c r="T1001" s="423"/>
      <c r="U1001" s="423"/>
      <c r="V1001" s="423"/>
      <c r="W1001" s="423"/>
      <c r="X1001" s="423"/>
      <c r="Y1001" s="423"/>
      <c r="Z1001" s="423"/>
      <c r="AA1001" s="423"/>
      <c r="AB1001" s="423"/>
      <c r="AC1001" s="423"/>
      <c r="AD1001" s="423"/>
      <c r="AE1001" s="423"/>
      <c r="AF1001" s="423"/>
      <c r="AG1001" s="423"/>
      <c r="AH1001" s="423"/>
      <c r="AI1001" s="423"/>
    </row>
    <row r="1002">
      <c r="A1002" s="419"/>
      <c r="B1002" s="419"/>
      <c r="C1002" s="419"/>
      <c r="D1002" s="419"/>
      <c r="E1002" s="387"/>
      <c r="F1002" s="387"/>
      <c r="G1002" s="423"/>
      <c r="H1002" s="423"/>
      <c r="I1002" s="423"/>
      <c r="J1002" s="423"/>
      <c r="K1002" s="423"/>
      <c r="L1002" s="423"/>
      <c r="M1002" s="423"/>
      <c r="N1002" s="423"/>
      <c r="O1002" s="423"/>
      <c r="P1002" s="423"/>
      <c r="Q1002" s="423"/>
      <c r="R1002" s="423"/>
      <c r="S1002" s="423"/>
      <c r="T1002" s="423"/>
      <c r="U1002" s="423"/>
      <c r="V1002" s="423"/>
      <c r="W1002" s="423"/>
      <c r="X1002" s="423"/>
      <c r="Y1002" s="423"/>
      <c r="Z1002" s="423"/>
      <c r="AA1002" s="423"/>
      <c r="AB1002" s="423"/>
      <c r="AC1002" s="423"/>
      <c r="AD1002" s="423"/>
      <c r="AE1002" s="423"/>
      <c r="AF1002" s="423"/>
      <c r="AG1002" s="423"/>
      <c r="AH1002" s="423"/>
      <c r="AI1002" s="423"/>
    </row>
    <row r="1003">
      <c r="A1003" s="419"/>
      <c r="B1003" s="419"/>
      <c r="C1003" s="419"/>
      <c r="D1003" s="419"/>
      <c r="E1003" s="387"/>
      <c r="F1003" s="387"/>
      <c r="G1003" s="423"/>
      <c r="H1003" s="423"/>
      <c r="I1003" s="423"/>
      <c r="J1003" s="423"/>
      <c r="K1003" s="423"/>
      <c r="L1003" s="423"/>
      <c r="M1003" s="423"/>
      <c r="N1003" s="423"/>
      <c r="O1003" s="423"/>
      <c r="P1003" s="423"/>
      <c r="Q1003" s="423"/>
      <c r="R1003" s="423"/>
      <c r="S1003" s="423"/>
      <c r="T1003" s="423"/>
      <c r="U1003" s="423"/>
      <c r="V1003" s="423"/>
      <c r="W1003" s="423"/>
      <c r="X1003" s="423"/>
      <c r="Y1003" s="423"/>
      <c r="Z1003" s="423"/>
      <c r="AA1003" s="423"/>
      <c r="AB1003" s="423"/>
      <c r="AC1003" s="423"/>
      <c r="AD1003" s="423"/>
      <c r="AE1003" s="423"/>
      <c r="AF1003" s="423"/>
      <c r="AG1003" s="423"/>
      <c r="AH1003" s="423"/>
      <c r="AI1003" s="423"/>
    </row>
    <row r="1004">
      <c r="A1004" s="419"/>
      <c r="B1004" s="419"/>
      <c r="C1004" s="419"/>
      <c r="D1004" s="419"/>
      <c r="E1004" s="387"/>
      <c r="F1004" s="387"/>
      <c r="G1004" s="423"/>
      <c r="H1004" s="423"/>
      <c r="I1004" s="423"/>
      <c r="J1004" s="423"/>
      <c r="K1004" s="423"/>
      <c r="L1004" s="423"/>
      <c r="M1004" s="423"/>
      <c r="N1004" s="423"/>
      <c r="O1004" s="423"/>
      <c r="P1004" s="423"/>
      <c r="Q1004" s="423"/>
      <c r="R1004" s="423"/>
      <c r="S1004" s="423"/>
      <c r="T1004" s="423"/>
      <c r="U1004" s="423"/>
      <c r="V1004" s="423"/>
      <c r="W1004" s="423"/>
      <c r="X1004" s="423"/>
      <c r="Y1004" s="423"/>
      <c r="Z1004" s="423"/>
      <c r="AA1004" s="423"/>
      <c r="AB1004" s="423"/>
      <c r="AC1004" s="423"/>
      <c r="AD1004" s="423"/>
      <c r="AE1004" s="423"/>
      <c r="AF1004" s="423"/>
      <c r="AG1004" s="423"/>
      <c r="AH1004" s="423"/>
      <c r="AI1004" s="423"/>
    </row>
    <row r="1005">
      <c r="A1005" s="419"/>
      <c r="B1005" s="419"/>
      <c r="C1005" s="419"/>
      <c r="D1005" s="419"/>
      <c r="E1005" s="387"/>
      <c r="F1005" s="387"/>
      <c r="G1005" s="423"/>
      <c r="H1005" s="423"/>
      <c r="I1005" s="423"/>
      <c r="J1005" s="423"/>
      <c r="K1005" s="423"/>
      <c r="L1005" s="423"/>
      <c r="M1005" s="423"/>
      <c r="N1005" s="423"/>
      <c r="O1005" s="423"/>
      <c r="P1005" s="423"/>
      <c r="Q1005" s="423"/>
      <c r="R1005" s="423"/>
      <c r="S1005" s="423"/>
      <c r="T1005" s="423"/>
      <c r="U1005" s="423"/>
      <c r="V1005" s="423"/>
      <c r="W1005" s="423"/>
      <c r="X1005" s="423"/>
      <c r="Y1005" s="423"/>
      <c r="Z1005" s="423"/>
      <c r="AA1005" s="423"/>
      <c r="AB1005" s="423"/>
      <c r="AC1005" s="423"/>
      <c r="AD1005" s="423"/>
      <c r="AE1005" s="423"/>
      <c r="AF1005" s="423"/>
      <c r="AG1005" s="423"/>
      <c r="AH1005" s="423"/>
      <c r="AI1005" s="423"/>
    </row>
    <row r="1006">
      <c r="A1006" s="419"/>
      <c r="B1006" s="419"/>
      <c r="C1006" s="419"/>
      <c r="D1006" s="419"/>
      <c r="E1006" s="387"/>
      <c r="F1006" s="387"/>
      <c r="G1006" s="423"/>
      <c r="H1006" s="423"/>
      <c r="I1006" s="423"/>
      <c r="J1006" s="423"/>
      <c r="K1006" s="423"/>
      <c r="L1006" s="423"/>
      <c r="M1006" s="423"/>
      <c r="N1006" s="423"/>
      <c r="O1006" s="423"/>
      <c r="P1006" s="423"/>
      <c r="Q1006" s="423"/>
      <c r="R1006" s="423"/>
      <c r="S1006" s="423"/>
      <c r="T1006" s="423"/>
      <c r="U1006" s="423"/>
      <c r="V1006" s="423"/>
      <c r="W1006" s="423"/>
      <c r="X1006" s="423"/>
      <c r="Y1006" s="423"/>
      <c r="Z1006" s="423"/>
      <c r="AA1006" s="423"/>
      <c r="AB1006" s="423"/>
      <c r="AC1006" s="423"/>
      <c r="AD1006" s="423"/>
      <c r="AE1006" s="423"/>
      <c r="AF1006" s="423"/>
      <c r="AG1006" s="423"/>
      <c r="AH1006" s="423"/>
      <c r="AI1006" s="423"/>
    </row>
    <row r="1007">
      <c r="A1007" s="419"/>
      <c r="B1007" s="419"/>
      <c r="C1007" s="419"/>
      <c r="D1007" s="419"/>
      <c r="E1007" s="387"/>
      <c r="F1007" s="387"/>
      <c r="G1007" s="423"/>
      <c r="H1007" s="423"/>
      <c r="I1007" s="423"/>
      <c r="J1007" s="423"/>
      <c r="K1007" s="423"/>
      <c r="L1007" s="423"/>
      <c r="M1007" s="423"/>
      <c r="N1007" s="423"/>
      <c r="O1007" s="423"/>
      <c r="P1007" s="423"/>
      <c r="Q1007" s="423"/>
      <c r="R1007" s="423"/>
      <c r="S1007" s="423"/>
      <c r="T1007" s="423"/>
      <c r="U1007" s="423"/>
      <c r="V1007" s="423"/>
      <c r="W1007" s="423"/>
      <c r="X1007" s="423"/>
      <c r="Y1007" s="423"/>
      <c r="Z1007" s="423"/>
      <c r="AA1007" s="423"/>
      <c r="AB1007" s="423"/>
      <c r="AC1007" s="423"/>
      <c r="AD1007" s="423"/>
      <c r="AE1007" s="423"/>
      <c r="AF1007" s="423"/>
      <c r="AG1007" s="423"/>
      <c r="AH1007" s="423"/>
      <c r="AI1007" s="423"/>
    </row>
    <row r="1008">
      <c r="A1008" s="419"/>
      <c r="B1008" s="419"/>
      <c r="C1008" s="419"/>
      <c r="D1008" s="419"/>
      <c r="E1008" s="387"/>
      <c r="F1008" s="387"/>
      <c r="G1008" s="423"/>
      <c r="H1008" s="423"/>
      <c r="I1008" s="423"/>
      <c r="J1008" s="423"/>
      <c r="K1008" s="423"/>
      <c r="L1008" s="423"/>
      <c r="M1008" s="423"/>
      <c r="N1008" s="423"/>
      <c r="O1008" s="423"/>
      <c r="P1008" s="423"/>
      <c r="Q1008" s="423"/>
      <c r="R1008" s="423"/>
      <c r="S1008" s="423"/>
      <c r="T1008" s="423"/>
      <c r="U1008" s="423"/>
      <c r="V1008" s="423"/>
      <c r="W1008" s="423"/>
      <c r="X1008" s="423"/>
      <c r="Y1008" s="423"/>
      <c r="Z1008" s="423"/>
      <c r="AA1008" s="423"/>
      <c r="AB1008" s="423"/>
      <c r="AC1008" s="423"/>
      <c r="AD1008" s="423"/>
      <c r="AE1008" s="423"/>
      <c r="AF1008" s="423"/>
      <c r="AG1008" s="423"/>
      <c r="AH1008" s="423"/>
      <c r="AI1008" s="423"/>
    </row>
    <row r="1009">
      <c r="A1009" s="419"/>
      <c r="B1009" s="419"/>
      <c r="C1009" s="419"/>
      <c r="D1009" s="419"/>
      <c r="E1009" s="387"/>
      <c r="F1009" s="387"/>
      <c r="G1009" s="423"/>
      <c r="H1009" s="423"/>
      <c r="I1009" s="423"/>
      <c r="J1009" s="423"/>
      <c r="K1009" s="423"/>
      <c r="L1009" s="423"/>
      <c r="M1009" s="423"/>
      <c r="N1009" s="423"/>
      <c r="O1009" s="423"/>
      <c r="P1009" s="423"/>
      <c r="Q1009" s="423"/>
      <c r="R1009" s="423"/>
      <c r="S1009" s="423"/>
      <c r="T1009" s="423"/>
      <c r="U1009" s="423"/>
      <c r="V1009" s="423"/>
      <c r="W1009" s="423"/>
      <c r="X1009" s="423"/>
      <c r="Y1009" s="423"/>
      <c r="Z1009" s="423"/>
      <c r="AA1009" s="423"/>
      <c r="AB1009" s="423"/>
      <c r="AC1009" s="423"/>
      <c r="AD1009" s="423"/>
      <c r="AE1009" s="423"/>
      <c r="AF1009" s="423"/>
      <c r="AG1009" s="423"/>
      <c r="AH1009" s="423"/>
      <c r="AI1009" s="423"/>
    </row>
    <row r="1010">
      <c r="A1010" s="419"/>
      <c r="B1010" s="419"/>
      <c r="C1010" s="419"/>
      <c r="D1010" s="419"/>
      <c r="E1010" s="387"/>
      <c r="F1010" s="387"/>
      <c r="G1010" s="423"/>
      <c r="H1010" s="423"/>
      <c r="I1010" s="423"/>
      <c r="J1010" s="423"/>
      <c r="K1010" s="423"/>
      <c r="L1010" s="423"/>
      <c r="M1010" s="423"/>
      <c r="N1010" s="423"/>
      <c r="O1010" s="423"/>
      <c r="P1010" s="423"/>
      <c r="Q1010" s="423"/>
      <c r="R1010" s="423"/>
      <c r="S1010" s="423"/>
      <c r="T1010" s="423"/>
      <c r="U1010" s="423"/>
      <c r="V1010" s="423"/>
      <c r="W1010" s="423"/>
      <c r="X1010" s="423"/>
      <c r="Y1010" s="423"/>
      <c r="Z1010" s="423"/>
      <c r="AA1010" s="423"/>
      <c r="AB1010" s="423"/>
      <c r="AC1010" s="423"/>
      <c r="AD1010" s="423"/>
      <c r="AE1010" s="423"/>
      <c r="AF1010" s="423"/>
      <c r="AG1010" s="423"/>
      <c r="AH1010" s="423"/>
      <c r="AI1010" s="423"/>
    </row>
    <row r="1011">
      <c r="A1011" s="419"/>
      <c r="B1011" s="419"/>
      <c r="C1011" s="419"/>
      <c r="D1011" s="419"/>
      <c r="E1011" s="387"/>
      <c r="F1011" s="387"/>
      <c r="G1011" s="423"/>
      <c r="H1011" s="423"/>
      <c r="I1011" s="423"/>
      <c r="J1011" s="423"/>
      <c r="K1011" s="423"/>
      <c r="L1011" s="423"/>
      <c r="M1011" s="423"/>
      <c r="N1011" s="423"/>
      <c r="O1011" s="423"/>
      <c r="P1011" s="423"/>
      <c r="Q1011" s="423"/>
      <c r="R1011" s="423"/>
      <c r="S1011" s="423"/>
      <c r="T1011" s="423"/>
      <c r="U1011" s="423"/>
      <c r="V1011" s="423"/>
      <c r="W1011" s="423"/>
      <c r="X1011" s="423"/>
      <c r="Y1011" s="423"/>
      <c r="Z1011" s="423"/>
      <c r="AA1011" s="423"/>
      <c r="AB1011" s="423"/>
      <c r="AC1011" s="423"/>
      <c r="AD1011" s="423"/>
      <c r="AE1011" s="423"/>
      <c r="AF1011" s="423"/>
      <c r="AG1011" s="423"/>
      <c r="AH1011" s="423"/>
      <c r="AI1011" s="423"/>
    </row>
    <row r="1012">
      <c r="A1012" s="419"/>
      <c r="B1012" s="419"/>
      <c r="C1012" s="419"/>
      <c r="D1012" s="419"/>
      <c r="E1012" s="387"/>
      <c r="F1012" s="387"/>
      <c r="G1012" s="423"/>
      <c r="H1012" s="423"/>
      <c r="I1012" s="423"/>
      <c r="J1012" s="423"/>
      <c r="K1012" s="423"/>
      <c r="L1012" s="423"/>
      <c r="M1012" s="423"/>
      <c r="N1012" s="423"/>
      <c r="O1012" s="423"/>
      <c r="P1012" s="423"/>
      <c r="Q1012" s="423"/>
      <c r="R1012" s="423"/>
      <c r="S1012" s="423"/>
      <c r="T1012" s="423"/>
      <c r="U1012" s="423"/>
      <c r="V1012" s="423"/>
      <c r="W1012" s="423"/>
      <c r="X1012" s="423"/>
      <c r="Y1012" s="423"/>
      <c r="Z1012" s="423"/>
      <c r="AA1012" s="423"/>
      <c r="AB1012" s="423"/>
      <c r="AC1012" s="423"/>
      <c r="AD1012" s="423"/>
      <c r="AE1012" s="423"/>
      <c r="AF1012" s="423"/>
      <c r="AG1012" s="423"/>
      <c r="AH1012" s="423"/>
      <c r="AI1012" s="423"/>
    </row>
    <row r="1013">
      <c r="A1013" s="419"/>
      <c r="B1013" s="419"/>
      <c r="C1013" s="419"/>
      <c r="D1013" s="419"/>
      <c r="E1013" s="387"/>
      <c r="F1013" s="387"/>
      <c r="G1013" s="423"/>
      <c r="H1013" s="423"/>
      <c r="I1013" s="423"/>
      <c r="J1013" s="423"/>
      <c r="K1013" s="423"/>
      <c r="L1013" s="423"/>
      <c r="M1013" s="423"/>
      <c r="N1013" s="423"/>
      <c r="O1013" s="423"/>
      <c r="P1013" s="423"/>
      <c r="Q1013" s="423"/>
      <c r="R1013" s="423"/>
      <c r="S1013" s="423"/>
      <c r="T1013" s="423"/>
      <c r="U1013" s="423"/>
      <c r="V1013" s="423"/>
      <c r="W1013" s="423"/>
      <c r="X1013" s="423"/>
      <c r="Y1013" s="423"/>
      <c r="Z1013" s="423"/>
      <c r="AA1013" s="423"/>
      <c r="AB1013" s="423"/>
      <c r="AC1013" s="423"/>
      <c r="AD1013" s="423"/>
      <c r="AE1013" s="423"/>
      <c r="AF1013" s="423"/>
      <c r="AG1013" s="423"/>
      <c r="AH1013" s="423"/>
      <c r="AI1013" s="423"/>
    </row>
    <row r="1014">
      <c r="A1014" s="419"/>
      <c r="B1014" s="419"/>
      <c r="C1014" s="419"/>
      <c r="D1014" s="419"/>
      <c r="E1014" s="387"/>
      <c r="F1014" s="387"/>
      <c r="G1014" s="423"/>
      <c r="H1014" s="423"/>
      <c r="I1014" s="423"/>
      <c r="J1014" s="423"/>
      <c r="K1014" s="423"/>
      <c r="L1014" s="423"/>
      <c r="M1014" s="423"/>
      <c r="N1014" s="423"/>
      <c r="O1014" s="423"/>
      <c r="P1014" s="423"/>
      <c r="Q1014" s="423"/>
      <c r="R1014" s="423"/>
      <c r="S1014" s="423"/>
      <c r="T1014" s="423"/>
      <c r="U1014" s="423"/>
      <c r="V1014" s="423"/>
      <c r="W1014" s="423"/>
      <c r="X1014" s="423"/>
      <c r="Y1014" s="423"/>
      <c r="Z1014" s="423"/>
      <c r="AA1014" s="423"/>
      <c r="AB1014" s="423"/>
      <c r="AC1014" s="423"/>
      <c r="AD1014" s="423"/>
      <c r="AE1014" s="423"/>
      <c r="AF1014" s="423"/>
      <c r="AG1014" s="423"/>
      <c r="AH1014" s="423"/>
      <c r="AI1014" s="423"/>
    </row>
    <row r="1015">
      <c r="A1015" s="419"/>
      <c r="B1015" s="419"/>
      <c r="C1015" s="419"/>
      <c r="D1015" s="419"/>
      <c r="E1015" s="387"/>
      <c r="F1015" s="387"/>
      <c r="G1015" s="423"/>
      <c r="H1015" s="423"/>
      <c r="I1015" s="423"/>
      <c r="J1015" s="423"/>
      <c r="K1015" s="423"/>
      <c r="L1015" s="423"/>
      <c r="M1015" s="423"/>
      <c r="N1015" s="423"/>
      <c r="O1015" s="423"/>
      <c r="P1015" s="423"/>
      <c r="Q1015" s="423"/>
      <c r="R1015" s="423"/>
      <c r="S1015" s="423"/>
      <c r="T1015" s="423"/>
      <c r="U1015" s="423"/>
      <c r="V1015" s="423"/>
      <c r="W1015" s="423"/>
      <c r="X1015" s="423"/>
      <c r="Y1015" s="423"/>
      <c r="Z1015" s="423"/>
      <c r="AA1015" s="423"/>
      <c r="AB1015" s="423"/>
      <c r="AC1015" s="423"/>
      <c r="AD1015" s="423"/>
      <c r="AE1015" s="423"/>
      <c r="AF1015" s="423"/>
      <c r="AG1015" s="423"/>
      <c r="AH1015" s="423"/>
      <c r="AI1015" s="423"/>
    </row>
    <row r="1016">
      <c r="A1016" s="419"/>
      <c r="B1016" s="419"/>
      <c r="C1016" s="419"/>
      <c r="D1016" s="419"/>
      <c r="E1016" s="387"/>
      <c r="F1016" s="387"/>
      <c r="G1016" s="423"/>
      <c r="H1016" s="423"/>
      <c r="I1016" s="423"/>
      <c r="J1016" s="423"/>
      <c r="K1016" s="423"/>
      <c r="L1016" s="423"/>
      <c r="M1016" s="423"/>
      <c r="N1016" s="423"/>
      <c r="O1016" s="423"/>
      <c r="P1016" s="423"/>
      <c r="Q1016" s="423"/>
      <c r="R1016" s="423"/>
      <c r="S1016" s="423"/>
      <c r="T1016" s="423"/>
      <c r="U1016" s="423"/>
      <c r="V1016" s="423"/>
      <c r="W1016" s="423"/>
      <c r="X1016" s="423"/>
      <c r="Y1016" s="423"/>
      <c r="Z1016" s="423"/>
      <c r="AA1016" s="423"/>
      <c r="AB1016" s="423"/>
      <c r="AC1016" s="423"/>
      <c r="AD1016" s="423"/>
      <c r="AE1016" s="423"/>
      <c r="AF1016" s="423"/>
      <c r="AG1016" s="423"/>
      <c r="AH1016" s="423"/>
      <c r="AI1016" s="423"/>
    </row>
    <row r="1017">
      <c r="A1017" s="419"/>
      <c r="B1017" s="419"/>
      <c r="C1017" s="419"/>
      <c r="D1017" s="419"/>
      <c r="E1017" s="387"/>
      <c r="F1017" s="387"/>
      <c r="G1017" s="423"/>
      <c r="H1017" s="423"/>
      <c r="I1017" s="423"/>
      <c r="J1017" s="423"/>
      <c r="K1017" s="423"/>
      <c r="L1017" s="423"/>
      <c r="M1017" s="423"/>
      <c r="N1017" s="423"/>
      <c r="O1017" s="423"/>
      <c r="P1017" s="423"/>
      <c r="Q1017" s="423"/>
      <c r="R1017" s="423"/>
      <c r="S1017" s="423"/>
      <c r="T1017" s="423"/>
      <c r="U1017" s="423"/>
      <c r="V1017" s="423"/>
      <c r="W1017" s="423"/>
      <c r="X1017" s="423"/>
      <c r="Y1017" s="423"/>
      <c r="Z1017" s="423"/>
      <c r="AA1017" s="423"/>
      <c r="AB1017" s="423"/>
      <c r="AC1017" s="423"/>
      <c r="AD1017" s="423"/>
      <c r="AE1017" s="423"/>
      <c r="AF1017" s="423"/>
      <c r="AG1017" s="423"/>
      <c r="AH1017" s="423"/>
      <c r="AI1017" s="423"/>
    </row>
    <row r="1018">
      <c r="A1018" s="419"/>
      <c r="B1018" s="419"/>
      <c r="C1018" s="419"/>
      <c r="D1018" s="419"/>
      <c r="E1018" s="387"/>
      <c r="F1018" s="387"/>
      <c r="G1018" s="423"/>
      <c r="H1018" s="423"/>
      <c r="I1018" s="423"/>
      <c r="J1018" s="423"/>
      <c r="K1018" s="423"/>
      <c r="L1018" s="423"/>
      <c r="M1018" s="423"/>
      <c r="N1018" s="423"/>
      <c r="O1018" s="423"/>
      <c r="P1018" s="423"/>
      <c r="Q1018" s="423"/>
      <c r="R1018" s="423"/>
      <c r="S1018" s="423"/>
      <c r="T1018" s="423"/>
      <c r="U1018" s="423"/>
      <c r="V1018" s="423"/>
      <c r="W1018" s="423"/>
      <c r="X1018" s="423"/>
      <c r="Y1018" s="423"/>
      <c r="Z1018" s="423"/>
      <c r="AA1018" s="423"/>
      <c r="AB1018" s="423"/>
      <c r="AC1018" s="423"/>
      <c r="AD1018" s="423"/>
      <c r="AE1018" s="423"/>
      <c r="AF1018" s="423"/>
      <c r="AG1018" s="423"/>
      <c r="AH1018" s="423"/>
      <c r="AI1018" s="423"/>
    </row>
    <row r="1019">
      <c r="A1019" s="419"/>
      <c r="B1019" s="419"/>
      <c r="C1019" s="419"/>
      <c r="D1019" s="419"/>
      <c r="E1019" s="387"/>
      <c r="F1019" s="387"/>
      <c r="G1019" s="423"/>
      <c r="H1019" s="423"/>
      <c r="I1019" s="423"/>
      <c r="J1019" s="423"/>
      <c r="K1019" s="423"/>
      <c r="L1019" s="423"/>
      <c r="M1019" s="423"/>
      <c r="N1019" s="423"/>
      <c r="O1019" s="423"/>
      <c r="P1019" s="423"/>
      <c r="Q1019" s="423"/>
      <c r="R1019" s="423"/>
      <c r="S1019" s="423"/>
      <c r="T1019" s="423"/>
      <c r="U1019" s="423"/>
      <c r="V1019" s="423"/>
      <c r="W1019" s="423"/>
      <c r="X1019" s="423"/>
      <c r="Y1019" s="423"/>
      <c r="Z1019" s="423"/>
      <c r="AA1019" s="423"/>
      <c r="AB1019" s="423"/>
      <c r="AC1019" s="423"/>
      <c r="AD1019" s="423"/>
      <c r="AE1019" s="423"/>
      <c r="AF1019" s="423"/>
      <c r="AG1019" s="423"/>
      <c r="AH1019" s="423"/>
      <c r="AI1019" s="423"/>
    </row>
    <row r="1020">
      <c r="A1020" s="419"/>
      <c r="B1020" s="419"/>
      <c r="C1020" s="419"/>
      <c r="D1020" s="419"/>
      <c r="E1020" s="387"/>
      <c r="F1020" s="387"/>
      <c r="G1020" s="423"/>
      <c r="H1020" s="423"/>
      <c r="I1020" s="423"/>
      <c r="J1020" s="423"/>
      <c r="K1020" s="423"/>
      <c r="L1020" s="423"/>
      <c r="M1020" s="423"/>
      <c r="N1020" s="423"/>
      <c r="O1020" s="423"/>
      <c r="P1020" s="423"/>
      <c r="Q1020" s="423"/>
      <c r="R1020" s="423"/>
      <c r="S1020" s="423"/>
      <c r="T1020" s="423"/>
      <c r="U1020" s="423"/>
      <c r="V1020" s="423"/>
      <c r="W1020" s="423"/>
      <c r="X1020" s="423"/>
      <c r="Y1020" s="423"/>
      <c r="Z1020" s="423"/>
      <c r="AA1020" s="423"/>
      <c r="AB1020" s="423"/>
      <c r="AC1020" s="423"/>
      <c r="AD1020" s="423"/>
      <c r="AE1020" s="423"/>
      <c r="AF1020" s="423"/>
      <c r="AG1020" s="423"/>
      <c r="AH1020" s="423"/>
      <c r="AI1020" s="423"/>
    </row>
    <row r="1021">
      <c r="A1021" s="419"/>
      <c r="B1021" s="419"/>
      <c r="C1021" s="419"/>
      <c r="D1021" s="419"/>
      <c r="E1021" s="387"/>
      <c r="F1021" s="387"/>
      <c r="G1021" s="423"/>
      <c r="H1021" s="423"/>
      <c r="I1021" s="423"/>
      <c r="J1021" s="423"/>
      <c r="K1021" s="423"/>
      <c r="L1021" s="423"/>
      <c r="M1021" s="423"/>
      <c r="N1021" s="423"/>
      <c r="O1021" s="423"/>
      <c r="P1021" s="423"/>
      <c r="Q1021" s="423"/>
      <c r="R1021" s="423"/>
      <c r="S1021" s="423"/>
      <c r="T1021" s="423"/>
      <c r="U1021" s="423"/>
      <c r="V1021" s="423"/>
      <c r="W1021" s="423"/>
      <c r="X1021" s="423"/>
      <c r="Y1021" s="423"/>
      <c r="Z1021" s="423"/>
      <c r="AA1021" s="423"/>
      <c r="AB1021" s="423"/>
      <c r="AC1021" s="423"/>
      <c r="AD1021" s="423"/>
      <c r="AE1021" s="423"/>
      <c r="AF1021" s="423"/>
      <c r="AG1021" s="423"/>
      <c r="AH1021" s="423"/>
      <c r="AI1021" s="423"/>
    </row>
    <row r="1022">
      <c r="A1022" s="419"/>
      <c r="B1022" s="419"/>
      <c r="C1022" s="419"/>
      <c r="D1022" s="419"/>
      <c r="E1022" s="387"/>
      <c r="F1022" s="387"/>
      <c r="G1022" s="423"/>
      <c r="H1022" s="423"/>
      <c r="I1022" s="423"/>
      <c r="J1022" s="423"/>
      <c r="K1022" s="423"/>
      <c r="L1022" s="423"/>
      <c r="M1022" s="423"/>
      <c r="N1022" s="423"/>
      <c r="O1022" s="423"/>
      <c r="P1022" s="423"/>
      <c r="Q1022" s="423"/>
      <c r="R1022" s="423"/>
      <c r="S1022" s="423"/>
      <c r="T1022" s="423"/>
      <c r="U1022" s="423"/>
      <c r="V1022" s="423"/>
      <c r="W1022" s="423"/>
      <c r="X1022" s="423"/>
      <c r="Y1022" s="423"/>
      <c r="Z1022" s="423"/>
      <c r="AA1022" s="423"/>
      <c r="AB1022" s="423"/>
      <c r="AC1022" s="423"/>
      <c r="AD1022" s="423"/>
      <c r="AE1022" s="423"/>
      <c r="AF1022" s="423"/>
      <c r="AG1022" s="423"/>
      <c r="AH1022" s="423"/>
      <c r="AI1022" s="423"/>
    </row>
    <row r="1023">
      <c r="A1023" s="419"/>
      <c r="B1023" s="419"/>
      <c r="C1023" s="419"/>
      <c r="D1023" s="419"/>
      <c r="E1023" s="387"/>
      <c r="F1023" s="387"/>
      <c r="G1023" s="423"/>
      <c r="H1023" s="423"/>
      <c r="I1023" s="423"/>
      <c r="J1023" s="423"/>
      <c r="K1023" s="423"/>
      <c r="L1023" s="423"/>
      <c r="M1023" s="423"/>
      <c r="N1023" s="423"/>
      <c r="O1023" s="423"/>
      <c r="P1023" s="423"/>
      <c r="Q1023" s="423"/>
      <c r="R1023" s="423"/>
      <c r="S1023" s="423"/>
      <c r="T1023" s="423"/>
      <c r="U1023" s="423"/>
      <c r="V1023" s="423"/>
      <c r="W1023" s="423"/>
      <c r="X1023" s="423"/>
      <c r="Y1023" s="423"/>
      <c r="Z1023" s="423"/>
      <c r="AA1023" s="423"/>
      <c r="AB1023" s="423"/>
      <c r="AC1023" s="423"/>
      <c r="AD1023" s="423"/>
      <c r="AE1023" s="423"/>
      <c r="AF1023" s="423"/>
      <c r="AG1023" s="423"/>
      <c r="AH1023" s="423"/>
      <c r="AI1023" s="423"/>
    </row>
    <row r="1024">
      <c r="A1024" s="419"/>
      <c r="B1024" s="419"/>
      <c r="C1024" s="419"/>
      <c r="D1024" s="419"/>
      <c r="E1024" s="387"/>
      <c r="F1024" s="387"/>
      <c r="G1024" s="423"/>
      <c r="H1024" s="423"/>
      <c r="I1024" s="423"/>
      <c r="J1024" s="423"/>
      <c r="K1024" s="423"/>
      <c r="L1024" s="423"/>
      <c r="M1024" s="423"/>
      <c r="N1024" s="423"/>
      <c r="O1024" s="423"/>
      <c r="P1024" s="423"/>
      <c r="Q1024" s="423"/>
      <c r="R1024" s="423"/>
      <c r="S1024" s="423"/>
      <c r="T1024" s="423"/>
      <c r="U1024" s="423"/>
      <c r="V1024" s="423"/>
      <c r="W1024" s="423"/>
      <c r="X1024" s="423"/>
      <c r="Y1024" s="423"/>
      <c r="Z1024" s="423"/>
      <c r="AA1024" s="423"/>
      <c r="AB1024" s="423"/>
      <c r="AC1024" s="423"/>
      <c r="AD1024" s="423"/>
      <c r="AE1024" s="423"/>
      <c r="AF1024" s="423"/>
      <c r="AG1024" s="423"/>
      <c r="AH1024" s="423"/>
      <c r="AI1024" s="423"/>
    </row>
    <row r="1025">
      <c r="A1025" s="419"/>
      <c r="B1025" s="419"/>
      <c r="C1025" s="419"/>
      <c r="D1025" s="419"/>
      <c r="E1025" s="387"/>
      <c r="F1025" s="387"/>
      <c r="G1025" s="423"/>
      <c r="H1025" s="423"/>
      <c r="I1025" s="423"/>
      <c r="J1025" s="423"/>
      <c r="K1025" s="423"/>
      <c r="L1025" s="423"/>
      <c r="M1025" s="423"/>
      <c r="N1025" s="423"/>
      <c r="O1025" s="423"/>
      <c r="P1025" s="423"/>
      <c r="Q1025" s="423"/>
      <c r="R1025" s="423"/>
      <c r="S1025" s="423"/>
      <c r="T1025" s="423"/>
      <c r="U1025" s="423"/>
      <c r="V1025" s="423"/>
      <c r="W1025" s="423"/>
      <c r="X1025" s="423"/>
      <c r="Y1025" s="423"/>
      <c r="Z1025" s="423"/>
      <c r="AA1025" s="423"/>
      <c r="AB1025" s="423"/>
      <c r="AC1025" s="423"/>
      <c r="AD1025" s="423"/>
      <c r="AE1025" s="423"/>
      <c r="AF1025" s="423"/>
      <c r="AG1025" s="423"/>
      <c r="AH1025" s="423"/>
      <c r="AI1025" s="423"/>
    </row>
    <row r="1026">
      <c r="A1026" s="419"/>
      <c r="B1026" s="419"/>
      <c r="C1026" s="419"/>
      <c r="D1026" s="419"/>
      <c r="E1026" s="387"/>
      <c r="F1026" s="387"/>
      <c r="G1026" s="423"/>
      <c r="H1026" s="423"/>
      <c r="I1026" s="423"/>
      <c r="J1026" s="423"/>
      <c r="K1026" s="423"/>
      <c r="L1026" s="423"/>
      <c r="M1026" s="423"/>
      <c r="N1026" s="423"/>
      <c r="O1026" s="423"/>
      <c r="P1026" s="423"/>
      <c r="Q1026" s="423"/>
      <c r="R1026" s="423"/>
      <c r="S1026" s="423"/>
      <c r="T1026" s="423"/>
      <c r="U1026" s="423"/>
      <c r="V1026" s="423"/>
      <c r="W1026" s="423"/>
      <c r="X1026" s="423"/>
      <c r="Y1026" s="423"/>
      <c r="Z1026" s="423"/>
      <c r="AA1026" s="423"/>
      <c r="AB1026" s="423"/>
      <c r="AC1026" s="423"/>
      <c r="AD1026" s="423"/>
      <c r="AE1026" s="423"/>
      <c r="AF1026" s="423"/>
      <c r="AG1026" s="423"/>
      <c r="AH1026" s="423"/>
      <c r="AI1026" s="423"/>
    </row>
    <row r="1027">
      <c r="A1027" s="419"/>
      <c r="B1027" s="419"/>
      <c r="C1027" s="419"/>
      <c r="D1027" s="419"/>
      <c r="E1027" s="387"/>
      <c r="F1027" s="387"/>
      <c r="G1027" s="423"/>
      <c r="H1027" s="423"/>
      <c r="I1027" s="423"/>
      <c r="J1027" s="423"/>
      <c r="K1027" s="423"/>
      <c r="L1027" s="423"/>
      <c r="M1027" s="423"/>
      <c r="N1027" s="423"/>
      <c r="O1027" s="423"/>
      <c r="P1027" s="423"/>
      <c r="Q1027" s="423"/>
      <c r="R1027" s="423"/>
      <c r="S1027" s="423"/>
      <c r="T1027" s="423"/>
      <c r="U1027" s="423"/>
      <c r="V1027" s="423"/>
      <c r="W1027" s="423"/>
      <c r="X1027" s="423"/>
      <c r="Y1027" s="423"/>
      <c r="Z1027" s="423"/>
      <c r="AA1027" s="423"/>
      <c r="AB1027" s="423"/>
      <c r="AC1027" s="423"/>
      <c r="AD1027" s="423"/>
      <c r="AE1027" s="423"/>
      <c r="AF1027" s="423"/>
      <c r="AG1027" s="423"/>
      <c r="AH1027" s="423"/>
      <c r="AI1027" s="423"/>
    </row>
    <row r="1028">
      <c r="A1028" s="419"/>
      <c r="B1028" s="419"/>
      <c r="C1028" s="419"/>
      <c r="D1028" s="419"/>
      <c r="E1028" s="387"/>
      <c r="F1028" s="387"/>
      <c r="G1028" s="423"/>
      <c r="H1028" s="423"/>
      <c r="I1028" s="423"/>
      <c r="J1028" s="423"/>
      <c r="K1028" s="423"/>
      <c r="L1028" s="423"/>
      <c r="M1028" s="423"/>
      <c r="N1028" s="423"/>
      <c r="O1028" s="423"/>
      <c r="P1028" s="423"/>
      <c r="Q1028" s="423"/>
      <c r="R1028" s="423"/>
      <c r="S1028" s="423"/>
      <c r="T1028" s="423"/>
      <c r="U1028" s="423"/>
      <c r="V1028" s="423"/>
      <c r="W1028" s="423"/>
      <c r="X1028" s="423"/>
      <c r="Y1028" s="423"/>
      <c r="Z1028" s="423"/>
      <c r="AA1028" s="423"/>
      <c r="AB1028" s="423"/>
      <c r="AC1028" s="423"/>
      <c r="AD1028" s="423"/>
      <c r="AE1028" s="423"/>
      <c r="AF1028" s="423"/>
      <c r="AG1028" s="423"/>
      <c r="AH1028" s="423"/>
      <c r="AI1028" s="423"/>
    </row>
    <row r="1029">
      <c r="A1029" s="419"/>
      <c r="B1029" s="419"/>
      <c r="C1029" s="419"/>
      <c r="D1029" s="419"/>
      <c r="E1029" s="387"/>
      <c r="F1029" s="387"/>
      <c r="G1029" s="423"/>
      <c r="H1029" s="423"/>
      <c r="I1029" s="423"/>
      <c r="J1029" s="423"/>
      <c r="K1029" s="423"/>
      <c r="L1029" s="423"/>
      <c r="M1029" s="423"/>
      <c r="N1029" s="423"/>
      <c r="O1029" s="423"/>
      <c r="P1029" s="423"/>
      <c r="Q1029" s="423"/>
      <c r="R1029" s="423"/>
      <c r="S1029" s="423"/>
      <c r="T1029" s="423"/>
      <c r="U1029" s="423"/>
      <c r="V1029" s="423"/>
      <c r="W1029" s="423"/>
      <c r="X1029" s="423"/>
      <c r="Y1029" s="423"/>
      <c r="Z1029" s="423"/>
      <c r="AA1029" s="423"/>
      <c r="AB1029" s="423"/>
      <c r="AC1029" s="423"/>
      <c r="AD1029" s="423"/>
      <c r="AE1029" s="423"/>
      <c r="AF1029" s="423"/>
      <c r="AG1029" s="423"/>
      <c r="AH1029" s="423"/>
      <c r="AI1029" s="423"/>
    </row>
    <row r="1030">
      <c r="A1030" s="419"/>
      <c r="B1030" s="419"/>
      <c r="C1030" s="419"/>
      <c r="D1030" s="419"/>
      <c r="E1030" s="387"/>
      <c r="F1030" s="387"/>
      <c r="G1030" s="423"/>
      <c r="H1030" s="423"/>
      <c r="I1030" s="423"/>
      <c r="J1030" s="423"/>
      <c r="K1030" s="423"/>
      <c r="L1030" s="423"/>
      <c r="M1030" s="423"/>
      <c r="N1030" s="423"/>
      <c r="O1030" s="423"/>
      <c r="P1030" s="423"/>
      <c r="Q1030" s="423"/>
      <c r="R1030" s="423"/>
      <c r="S1030" s="423"/>
      <c r="T1030" s="423"/>
      <c r="U1030" s="423"/>
      <c r="V1030" s="423"/>
      <c r="W1030" s="423"/>
      <c r="X1030" s="423"/>
      <c r="Y1030" s="423"/>
      <c r="Z1030" s="423"/>
      <c r="AA1030" s="423"/>
      <c r="AB1030" s="423"/>
      <c r="AC1030" s="423"/>
      <c r="AD1030" s="423"/>
      <c r="AE1030" s="423"/>
      <c r="AF1030" s="423"/>
      <c r="AG1030" s="423"/>
      <c r="AH1030" s="423"/>
      <c r="AI1030" s="423"/>
    </row>
    <row r="1031">
      <c r="A1031" s="419"/>
      <c r="B1031" s="419"/>
      <c r="C1031" s="419"/>
      <c r="D1031" s="419"/>
      <c r="E1031" s="387"/>
      <c r="F1031" s="387"/>
      <c r="G1031" s="423"/>
      <c r="H1031" s="423"/>
      <c r="I1031" s="423"/>
      <c r="J1031" s="423"/>
      <c r="K1031" s="423"/>
      <c r="L1031" s="423"/>
      <c r="M1031" s="423"/>
      <c r="N1031" s="423"/>
      <c r="O1031" s="423"/>
      <c r="P1031" s="423"/>
      <c r="Q1031" s="423"/>
      <c r="R1031" s="423"/>
      <c r="S1031" s="423"/>
      <c r="T1031" s="423"/>
      <c r="U1031" s="423"/>
      <c r="V1031" s="423"/>
      <c r="W1031" s="423"/>
      <c r="X1031" s="423"/>
      <c r="Y1031" s="423"/>
      <c r="Z1031" s="423"/>
      <c r="AA1031" s="423"/>
      <c r="AB1031" s="423"/>
      <c r="AC1031" s="423"/>
      <c r="AD1031" s="423"/>
      <c r="AE1031" s="423"/>
      <c r="AF1031" s="423"/>
      <c r="AG1031" s="423"/>
      <c r="AH1031" s="423"/>
      <c r="AI1031" s="423"/>
    </row>
    <row r="1032">
      <c r="A1032" s="419"/>
      <c r="B1032" s="419"/>
      <c r="C1032" s="419"/>
      <c r="D1032" s="419"/>
      <c r="E1032" s="387"/>
      <c r="F1032" s="387"/>
      <c r="G1032" s="423"/>
      <c r="H1032" s="423"/>
      <c r="I1032" s="423"/>
      <c r="J1032" s="423"/>
      <c r="K1032" s="423"/>
      <c r="L1032" s="423"/>
      <c r="M1032" s="423"/>
      <c r="N1032" s="423"/>
      <c r="O1032" s="423"/>
      <c r="P1032" s="423"/>
      <c r="Q1032" s="423"/>
      <c r="R1032" s="423"/>
      <c r="S1032" s="423"/>
      <c r="T1032" s="423"/>
      <c r="U1032" s="423"/>
      <c r="V1032" s="423"/>
      <c r="W1032" s="423"/>
      <c r="X1032" s="423"/>
      <c r="Y1032" s="423"/>
      <c r="Z1032" s="423"/>
      <c r="AA1032" s="423"/>
      <c r="AB1032" s="423"/>
      <c r="AC1032" s="423"/>
      <c r="AD1032" s="423"/>
      <c r="AE1032" s="423"/>
      <c r="AF1032" s="423"/>
      <c r="AG1032" s="423"/>
      <c r="AH1032" s="423"/>
      <c r="AI1032" s="423"/>
    </row>
    <row r="1033">
      <c r="A1033" s="419"/>
      <c r="B1033" s="419"/>
      <c r="C1033" s="419"/>
      <c r="D1033" s="419"/>
      <c r="E1033" s="387"/>
      <c r="F1033" s="387"/>
      <c r="G1033" s="423"/>
      <c r="H1033" s="423"/>
      <c r="I1033" s="423"/>
      <c r="J1033" s="423"/>
      <c r="K1033" s="423"/>
      <c r="L1033" s="423"/>
      <c r="M1033" s="423"/>
      <c r="N1033" s="423"/>
      <c r="O1033" s="423"/>
      <c r="P1033" s="423"/>
      <c r="Q1033" s="423"/>
      <c r="R1033" s="423"/>
      <c r="S1033" s="423"/>
      <c r="T1033" s="423"/>
      <c r="U1033" s="423"/>
      <c r="V1033" s="423"/>
      <c r="W1033" s="423"/>
      <c r="X1033" s="423"/>
      <c r="Y1033" s="423"/>
      <c r="Z1033" s="423"/>
      <c r="AA1033" s="423"/>
      <c r="AB1033" s="423"/>
      <c r="AC1033" s="423"/>
      <c r="AD1033" s="423"/>
      <c r="AE1033" s="423"/>
      <c r="AF1033" s="423"/>
      <c r="AG1033" s="423"/>
      <c r="AH1033" s="423"/>
      <c r="AI1033" s="423"/>
    </row>
    <row r="1034">
      <c r="A1034" s="419"/>
      <c r="B1034" s="419"/>
      <c r="C1034" s="419"/>
      <c r="D1034" s="419"/>
      <c r="E1034" s="387"/>
      <c r="F1034" s="387"/>
      <c r="G1034" s="423"/>
      <c r="H1034" s="423"/>
      <c r="I1034" s="423"/>
      <c r="J1034" s="423"/>
      <c r="K1034" s="423"/>
      <c r="L1034" s="423"/>
      <c r="M1034" s="423"/>
      <c r="N1034" s="423"/>
      <c r="O1034" s="423"/>
      <c r="P1034" s="423"/>
      <c r="Q1034" s="423"/>
      <c r="R1034" s="423"/>
      <c r="S1034" s="423"/>
      <c r="T1034" s="423"/>
      <c r="U1034" s="423"/>
      <c r="V1034" s="423"/>
      <c r="W1034" s="423"/>
      <c r="X1034" s="423"/>
      <c r="Y1034" s="423"/>
      <c r="Z1034" s="423"/>
      <c r="AA1034" s="423"/>
      <c r="AB1034" s="423"/>
      <c r="AC1034" s="423"/>
      <c r="AD1034" s="423"/>
      <c r="AE1034" s="423"/>
      <c r="AF1034" s="423"/>
      <c r="AG1034" s="423"/>
      <c r="AH1034" s="423"/>
      <c r="AI1034" s="423"/>
    </row>
    <row r="1035">
      <c r="A1035" s="419"/>
      <c r="B1035" s="419"/>
      <c r="C1035" s="419"/>
      <c r="D1035" s="419"/>
      <c r="E1035" s="387"/>
      <c r="F1035" s="387"/>
      <c r="G1035" s="423"/>
      <c r="H1035" s="423"/>
      <c r="I1035" s="423"/>
      <c r="J1035" s="423"/>
      <c r="K1035" s="423"/>
      <c r="L1035" s="423"/>
      <c r="M1035" s="423"/>
      <c r="N1035" s="423"/>
      <c r="O1035" s="423"/>
      <c r="P1035" s="423"/>
      <c r="Q1035" s="423"/>
      <c r="R1035" s="423"/>
      <c r="S1035" s="423"/>
      <c r="T1035" s="423"/>
      <c r="U1035" s="423"/>
      <c r="V1035" s="423"/>
      <c r="W1035" s="423"/>
      <c r="X1035" s="423"/>
      <c r="Y1035" s="423"/>
      <c r="Z1035" s="423"/>
      <c r="AA1035" s="423"/>
      <c r="AB1035" s="423"/>
      <c r="AC1035" s="423"/>
      <c r="AD1035" s="423"/>
      <c r="AE1035" s="423"/>
      <c r="AF1035" s="423"/>
      <c r="AG1035" s="423"/>
      <c r="AH1035" s="423"/>
      <c r="AI1035" s="423"/>
    </row>
    <row r="1036">
      <c r="A1036" s="419"/>
      <c r="B1036" s="419"/>
      <c r="C1036" s="419"/>
      <c r="D1036" s="419"/>
      <c r="E1036" s="387"/>
      <c r="F1036" s="387"/>
      <c r="G1036" s="423"/>
      <c r="H1036" s="423"/>
      <c r="I1036" s="423"/>
      <c r="J1036" s="423"/>
      <c r="K1036" s="423"/>
      <c r="L1036" s="423"/>
      <c r="M1036" s="423"/>
      <c r="N1036" s="423"/>
      <c r="O1036" s="423"/>
      <c r="P1036" s="423"/>
      <c r="Q1036" s="423"/>
      <c r="R1036" s="423"/>
      <c r="S1036" s="423"/>
      <c r="T1036" s="423"/>
      <c r="U1036" s="423"/>
      <c r="V1036" s="423"/>
      <c r="W1036" s="423"/>
      <c r="X1036" s="423"/>
      <c r="Y1036" s="423"/>
      <c r="Z1036" s="423"/>
      <c r="AA1036" s="423"/>
      <c r="AB1036" s="423"/>
      <c r="AC1036" s="423"/>
      <c r="AD1036" s="423"/>
      <c r="AE1036" s="423"/>
      <c r="AF1036" s="423"/>
      <c r="AG1036" s="423"/>
      <c r="AH1036" s="423"/>
      <c r="AI1036" s="423"/>
    </row>
    <row r="1037">
      <c r="A1037" s="419"/>
      <c r="B1037" s="419"/>
      <c r="C1037" s="419"/>
      <c r="D1037" s="419"/>
      <c r="E1037" s="387"/>
      <c r="F1037" s="387"/>
      <c r="G1037" s="423"/>
      <c r="H1037" s="423"/>
      <c r="I1037" s="423"/>
      <c r="J1037" s="423"/>
      <c r="K1037" s="423"/>
      <c r="L1037" s="423"/>
      <c r="M1037" s="423"/>
      <c r="N1037" s="423"/>
      <c r="O1037" s="423"/>
      <c r="P1037" s="423"/>
      <c r="Q1037" s="423"/>
      <c r="R1037" s="423"/>
      <c r="S1037" s="423"/>
      <c r="T1037" s="423"/>
      <c r="U1037" s="423"/>
      <c r="V1037" s="423"/>
      <c r="W1037" s="423"/>
      <c r="X1037" s="423"/>
      <c r="Y1037" s="423"/>
      <c r="Z1037" s="423"/>
      <c r="AA1037" s="423"/>
      <c r="AB1037" s="423"/>
      <c r="AC1037" s="423"/>
      <c r="AD1037" s="423"/>
      <c r="AE1037" s="423"/>
      <c r="AF1037" s="423"/>
      <c r="AG1037" s="423"/>
      <c r="AH1037" s="423"/>
      <c r="AI1037" s="423"/>
    </row>
  </sheetData>
  <autoFilter ref="$A$3:$AI$249"/>
  <mergeCells count="6">
    <mergeCell ref="E2:W2"/>
    <mergeCell ref="X2:Z2"/>
    <mergeCell ref="AA2:AD2"/>
    <mergeCell ref="AE2:AI2"/>
    <mergeCell ref="A4:D4"/>
    <mergeCell ref="A24:D24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8.29"/>
    <col customWidth="1" min="3" max="3" width="20.43"/>
    <col customWidth="1" min="4" max="4" width="11.57"/>
    <col customWidth="1" min="5" max="5" width="26.86"/>
    <col customWidth="1" hidden="1" min="6" max="6" width="15.71"/>
    <col customWidth="1" hidden="1" min="7" max="7" width="13.86"/>
    <col customWidth="1" hidden="1" min="8" max="8" width="12.43"/>
    <col customWidth="1" hidden="1" min="9" max="16" width="21.14"/>
    <col customWidth="1" min="17" max="18" width="21.14"/>
    <col customWidth="1" min="19" max="19" width="15.43"/>
    <col customWidth="1" hidden="1" min="20" max="21" width="26.86"/>
    <col customWidth="1" hidden="1" min="22" max="22" width="27.14"/>
    <col customWidth="1" min="23" max="23" width="14.29"/>
    <col customWidth="1" min="24" max="24" width="27.14"/>
    <col customWidth="1" min="25" max="25" width="17.57"/>
    <col customWidth="1" min="26" max="26" width="17.0"/>
    <col customWidth="1" min="27" max="27" width="25.43"/>
    <col customWidth="1" min="28" max="28" width="17.57"/>
    <col customWidth="1" min="29" max="29" width="24.43"/>
    <col customWidth="1" min="30" max="30" width="13.57"/>
    <col customWidth="1" min="31" max="31" width="24.0"/>
    <col customWidth="1" min="32" max="32" width="15.71"/>
    <col customWidth="1" min="34" max="34" width="17.43"/>
    <col customWidth="1" min="39" max="39" width="27.29"/>
  </cols>
  <sheetData>
    <row r="1">
      <c r="A1" s="770" t="s">
        <v>1979</v>
      </c>
      <c r="B1" s="770" t="s">
        <v>1980</v>
      </c>
      <c r="C1" s="771" t="s">
        <v>1981</v>
      </c>
      <c r="D1" s="771" t="s">
        <v>1982</v>
      </c>
      <c r="E1" s="771" t="s">
        <v>1983</v>
      </c>
      <c r="F1" s="772" t="s">
        <v>1984</v>
      </c>
      <c r="G1" s="772" t="s">
        <v>1985</v>
      </c>
      <c r="H1" s="772" t="s">
        <v>1986</v>
      </c>
      <c r="I1" s="773" t="s">
        <v>9</v>
      </c>
      <c r="J1" s="773" t="s">
        <v>6</v>
      </c>
      <c r="K1" s="773" t="s">
        <v>7</v>
      </c>
      <c r="L1" s="773" t="s">
        <v>8</v>
      </c>
      <c r="M1" s="773" t="s">
        <v>10</v>
      </c>
      <c r="N1" s="773" t="s">
        <v>11</v>
      </c>
      <c r="O1" s="773" t="s">
        <v>12</v>
      </c>
      <c r="P1" s="773" t="s">
        <v>13</v>
      </c>
      <c r="Q1" s="772" t="s">
        <v>1987</v>
      </c>
      <c r="R1" s="772" t="s">
        <v>1988</v>
      </c>
      <c r="S1" s="774" t="s">
        <v>1989</v>
      </c>
      <c r="T1" s="773" t="s">
        <v>15</v>
      </c>
      <c r="U1" s="775" t="s">
        <v>16</v>
      </c>
      <c r="V1" s="776" t="s">
        <v>1990</v>
      </c>
      <c r="W1" s="774" t="s">
        <v>1991</v>
      </c>
      <c r="X1" s="776" t="s">
        <v>1992</v>
      </c>
      <c r="Y1" s="774" t="s">
        <v>1993</v>
      </c>
      <c r="Z1" s="774" t="s">
        <v>1994</v>
      </c>
      <c r="AA1" s="776" t="s">
        <v>1995</v>
      </c>
      <c r="AB1" s="774" t="s">
        <v>1996</v>
      </c>
      <c r="AC1" s="775" t="s">
        <v>17</v>
      </c>
      <c r="AD1" s="774" t="s">
        <v>1997</v>
      </c>
      <c r="AE1" s="774" t="s">
        <v>1998</v>
      </c>
      <c r="AF1" s="774" t="s">
        <v>1999</v>
      </c>
      <c r="AG1" s="777" t="s">
        <v>2000</v>
      </c>
      <c r="AH1" s="778" t="s">
        <v>2001</v>
      </c>
      <c r="AI1" s="779"/>
      <c r="AK1" s="780"/>
      <c r="AL1" s="780"/>
      <c r="AM1" s="780"/>
      <c r="AN1" s="780"/>
      <c r="AO1" s="780"/>
      <c r="AP1" s="780"/>
      <c r="AQ1" s="780"/>
      <c r="AS1" s="780"/>
      <c r="AT1" s="780"/>
      <c r="AU1" s="780"/>
      <c r="AV1" s="780"/>
      <c r="AW1" s="780"/>
    </row>
    <row r="2">
      <c r="A2" s="781">
        <v>45937.0</v>
      </c>
      <c r="B2" s="781">
        <v>45937.0</v>
      </c>
      <c r="C2" s="782" t="str">
        <f t="shared" ref="C2:C162" si="1">TEXT(B2,"mmm")</f>
        <v>out.</v>
      </c>
      <c r="D2" s="783"/>
      <c r="E2" s="783" t="s">
        <v>2002</v>
      </c>
      <c r="F2" s="784"/>
      <c r="G2" s="784">
        <v>500000.0</v>
      </c>
      <c r="H2" s="784">
        <v>700000.0</v>
      </c>
      <c r="I2" s="785">
        <v>0.0014045</v>
      </c>
      <c r="J2" s="786">
        <v>0.035</v>
      </c>
      <c r="K2" s="787">
        <f t="shared" ref="K2:K33" si="2">R2*(1-J2)</f>
        <v>716.4696232</v>
      </c>
      <c r="L2" s="788">
        <f t="shared" ref="L2:L33" si="3">R2-K2</f>
        <v>25.98594488</v>
      </c>
      <c r="M2" s="786">
        <v>0.0215</v>
      </c>
      <c r="N2" s="789">
        <f t="shared" ref="N2:N33" si="4">I2*(1+M2)</f>
        <v>0.00143469675</v>
      </c>
      <c r="O2" s="787">
        <f t="shared" ref="O2:O33" si="5">(K2*M2)+15</f>
        <v>30.4040969</v>
      </c>
      <c r="P2" s="787">
        <f t="shared" ref="P2:P7" si="6">(K2*N2)+M21</f>
        <v>1.04941664</v>
      </c>
      <c r="Q2" s="790">
        <v>351.0</v>
      </c>
      <c r="R2" s="791">
        <f>(G2*N2)*(1+J2)</f>
        <v>742.4555681</v>
      </c>
      <c r="S2" s="792"/>
      <c r="T2" s="787">
        <v>0.06</v>
      </c>
      <c r="U2" s="793"/>
      <c r="V2" s="787"/>
      <c r="W2" s="792"/>
      <c r="X2" s="794">
        <f t="shared" ref="X2:X963" si="7">Q2-R2-S2-W2</f>
        <v>-391.4555681</v>
      </c>
      <c r="Y2" s="795" t="s">
        <v>2003</v>
      </c>
      <c r="Z2" s="792">
        <f t="shared" ref="Z2:Z963" si="8">IF(Y2="Sim",(X2)*0.1,"")</f>
        <v>-39.14555681</v>
      </c>
      <c r="AA2" s="794">
        <f t="shared" ref="AA2:AA963" si="9">IF(Y2="Sim",X2-Z2,X2)</f>
        <v>-352.3100113</v>
      </c>
      <c r="AB2" s="795" t="s">
        <v>2003</v>
      </c>
      <c r="AC2" s="787">
        <f t="shared" ref="AC2:AC963" si="10">IF(AB2="Sim",AA2*0.2,"")</f>
        <v>-70.46200226</v>
      </c>
      <c r="AD2" s="792">
        <f t="shared" ref="AD2:AD963" si="11">IF(AB2="Sim",AA2-AC2,AA2)</f>
        <v>-281.8480091</v>
      </c>
      <c r="AE2" s="796"/>
      <c r="AF2" s="797" t="s">
        <v>2004</v>
      </c>
      <c r="AG2" s="798" t="b">
        <v>1</v>
      </c>
      <c r="AH2" s="780" t="str">
        <f>IF(AG2="VERDADEIRO",Q2*0.06,"")</f>
        <v/>
      </c>
      <c r="AI2" s="799" t="s">
        <v>2005</v>
      </c>
      <c r="AJ2" s="440"/>
      <c r="AK2" s="28"/>
      <c r="AL2" s="28"/>
      <c r="AM2" s="800"/>
      <c r="AN2" s="780"/>
      <c r="AO2" s="780"/>
      <c r="AP2" s="780"/>
      <c r="AQ2" s="780"/>
      <c r="AR2" s="780"/>
      <c r="AS2" s="780"/>
      <c r="AT2" s="780"/>
      <c r="AU2" s="780"/>
      <c r="AV2" s="780"/>
      <c r="AW2" s="780"/>
    </row>
    <row r="3">
      <c r="A3" s="781">
        <v>45912.0</v>
      </c>
      <c r="B3" s="781">
        <v>45938.0</v>
      </c>
      <c r="C3" s="782" t="str">
        <f t="shared" si="1"/>
        <v>out.</v>
      </c>
      <c r="D3" s="801"/>
      <c r="E3" s="801" t="s">
        <v>2006</v>
      </c>
      <c r="F3" s="802"/>
      <c r="G3" s="802"/>
      <c r="H3" s="802"/>
      <c r="I3" s="785">
        <v>0.0014045</v>
      </c>
      <c r="J3" s="786">
        <v>0.035</v>
      </c>
      <c r="K3" s="787">
        <f t="shared" si="2"/>
        <v>579</v>
      </c>
      <c r="L3" s="788">
        <f t="shared" si="3"/>
        <v>21</v>
      </c>
      <c r="M3" s="786">
        <v>0.0215</v>
      </c>
      <c r="N3" s="789">
        <f t="shared" si="4"/>
        <v>0.00143469675</v>
      </c>
      <c r="O3" s="787">
        <f t="shared" si="5"/>
        <v>27.4485</v>
      </c>
      <c r="P3" s="787">
        <f t="shared" si="6"/>
        <v>0.8521894183</v>
      </c>
      <c r="Q3" s="803">
        <v>1000.0</v>
      </c>
      <c r="R3" s="803">
        <v>600.0</v>
      </c>
      <c r="S3" s="792"/>
      <c r="T3" s="792" t="str">
        <f>IF(Z3="Sim",(S3-W3)*0.1,"")</f>
        <v/>
      </c>
      <c r="U3" s="792" t="str">
        <f>IF(AD3="Sim",(W3-T3)*0.1,"")</f>
        <v/>
      </c>
      <c r="V3" s="792" t="str">
        <f>IF(AE3="Sim",(T3-U3)*0.1,"")</f>
        <v/>
      </c>
      <c r="W3" s="792"/>
      <c r="X3" s="794">
        <f t="shared" si="7"/>
        <v>400</v>
      </c>
      <c r="Y3" s="795" t="s">
        <v>2003</v>
      </c>
      <c r="Z3" s="792">
        <f t="shared" si="8"/>
        <v>40</v>
      </c>
      <c r="AA3" s="794">
        <f t="shared" si="9"/>
        <v>360</v>
      </c>
      <c r="AB3" s="795" t="s">
        <v>2003</v>
      </c>
      <c r="AC3" s="787">
        <f t="shared" si="10"/>
        <v>72</v>
      </c>
      <c r="AD3" s="792">
        <f t="shared" si="11"/>
        <v>288</v>
      </c>
      <c r="AE3" s="796"/>
      <c r="AF3" s="797" t="s">
        <v>2004</v>
      </c>
      <c r="AG3" s="804" t="b">
        <v>0</v>
      </c>
      <c r="AH3" s="780"/>
      <c r="AI3" s="805" t="s">
        <v>2007</v>
      </c>
      <c r="AJ3" s="806">
        <f t="shared" ref="AJ3:AJ11" si="12">SUMIFS($AC$2:$AC$962,$AB$2:$AB$962,"Sim",$C$2:$C$962,AI3)</f>
        <v>3296.239998</v>
      </c>
      <c r="AK3" s="28"/>
      <c r="AL3" s="807" t="s">
        <v>2008</v>
      </c>
      <c r="AM3" s="440"/>
      <c r="AN3" s="780"/>
      <c r="AO3" s="780"/>
      <c r="AP3" s="780"/>
      <c r="AQ3" s="780"/>
      <c r="AR3" s="780"/>
      <c r="AS3" s="780"/>
      <c r="AT3" s="780"/>
      <c r="AU3" s="780"/>
      <c r="AV3" s="780"/>
      <c r="AW3" s="780"/>
    </row>
    <row r="4">
      <c r="A4" s="781">
        <v>45942.0</v>
      </c>
      <c r="B4" s="781">
        <v>45939.0</v>
      </c>
      <c r="C4" s="782" t="str">
        <f t="shared" si="1"/>
        <v>out.</v>
      </c>
      <c r="D4" s="783"/>
      <c r="E4" s="783" t="s">
        <v>2009</v>
      </c>
      <c r="F4" s="802"/>
      <c r="G4" s="802"/>
      <c r="H4" s="802"/>
      <c r="I4" s="785">
        <v>0.0014045</v>
      </c>
      <c r="J4" s="786">
        <v>0.035</v>
      </c>
      <c r="K4" s="787">
        <f t="shared" si="2"/>
        <v>0</v>
      </c>
      <c r="L4" s="788">
        <f t="shared" si="3"/>
        <v>0</v>
      </c>
      <c r="M4" s="786">
        <v>0.0215</v>
      </c>
      <c r="N4" s="789">
        <f t="shared" si="4"/>
        <v>0.00143469675</v>
      </c>
      <c r="O4" s="787">
        <f t="shared" si="5"/>
        <v>15</v>
      </c>
      <c r="P4" s="787">
        <f t="shared" si="6"/>
        <v>0.0215</v>
      </c>
      <c r="Q4" s="803">
        <v>193.83</v>
      </c>
      <c r="R4" s="808">
        <f>(G4*N4)*(1+J4)</f>
        <v>0</v>
      </c>
      <c r="S4" s="792"/>
      <c r="T4" s="787">
        <v>0.06</v>
      </c>
      <c r="U4" s="793"/>
      <c r="V4" s="787"/>
      <c r="W4" s="792"/>
      <c r="X4" s="794">
        <f t="shared" si="7"/>
        <v>193.83</v>
      </c>
      <c r="Y4" s="795"/>
      <c r="Z4" s="792" t="str">
        <f t="shared" si="8"/>
        <v/>
      </c>
      <c r="AA4" s="794">
        <f t="shared" si="9"/>
        <v>193.83</v>
      </c>
      <c r="AB4" s="795" t="s">
        <v>2003</v>
      </c>
      <c r="AC4" s="787">
        <f t="shared" si="10"/>
        <v>38.766</v>
      </c>
      <c r="AD4" s="792">
        <f t="shared" si="11"/>
        <v>155.064</v>
      </c>
      <c r="AE4" s="796"/>
      <c r="AF4" s="797" t="s">
        <v>2004</v>
      </c>
      <c r="AG4" s="804" t="b">
        <v>0</v>
      </c>
      <c r="AH4" s="780"/>
      <c r="AI4" s="805" t="s">
        <v>2010</v>
      </c>
      <c r="AJ4" s="806">
        <f t="shared" si="12"/>
        <v>8139.308</v>
      </c>
      <c r="AK4" s="28"/>
      <c r="AL4" s="809"/>
      <c r="AM4" s="810" t="s">
        <v>2011</v>
      </c>
      <c r="AN4" s="780"/>
      <c r="AO4" s="780"/>
      <c r="AP4" s="780"/>
      <c r="AQ4" s="780"/>
      <c r="AR4" s="780"/>
      <c r="AS4" s="780"/>
      <c r="AT4" s="780"/>
      <c r="AU4" s="780"/>
      <c r="AV4" s="780"/>
      <c r="AW4" s="780"/>
    </row>
    <row r="5">
      <c r="A5" s="781">
        <v>45934.0</v>
      </c>
      <c r="B5" s="781">
        <v>45941.0</v>
      </c>
      <c r="C5" s="782" t="str">
        <f t="shared" si="1"/>
        <v>out.</v>
      </c>
      <c r="D5" s="801"/>
      <c r="E5" s="801" t="s">
        <v>2012</v>
      </c>
      <c r="F5" s="802"/>
      <c r="G5" s="802"/>
      <c r="H5" s="802"/>
      <c r="I5" s="785">
        <v>0.0014045</v>
      </c>
      <c r="J5" s="786">
        <v>0.035</v>
      </c>
      <c r="K5" s="787">
        <f t="shared" si="2"/>
        <v>557.7507</v>
      </c>
      <c r="L5" s="788">
        <f t="shared" si="3"/>
        <v>20.2293</v>
      </c>
      <c r="M5" s="786">
        <v>0.0215</v>
      </c>
      <c r="N5" s="789">
        <f t="shared" si="4"/>
        <v>0.00143469675</v>
      </c>
      <c r="O5" s="787">
        <f t="shared" si="5"/>
        <v>26.99164005</v>
      </c>
      <c r="P5" s="787">
        <f t="shared" si="6"/>
        <v>0.8217031166</v>
      </c>
      <c r="Q5" s="803">
        <v>1117.23</v>
      </c>
      <c r="R5" s="803">
        <v>577.98</v>
      </c>
      <c r="S5" s="792"/>
      <c r="T5" s="787">
        <v>0.06</v>
      </c>
      <c r="U5" s="793"/>
      <c r="V5" s="787"/>
      <c r="W5" s="792"/>
      <c r="X5" s="794">
        <f t="shared" si="7"/>
        <v>539.25</v>
      </c>
      <c r="Y5" s="795"/>
      <c r="Z5" s="792" t="str">
        <f t="shared" si="8"/>
        <v/>
      </c>
      <c r="AA5" s="794">
        <f t="shared" si="9"/>
        <v>539.25</v>
      </c>
      <c r="AB5" s="795" t="s">
        <v>2003</v>
      </c>
      <c r="AC5" s="787">
        <f t="shared" si="10"/>
        <v>107.85</v>
      </c>
      <c r="AD5" s="792">
        <f t="shared" si="11"/>
        <v>431.4</v>
      </c>
      <c r="AE5" s="796"/>
      <c r="AF5" s="797" t="s">
        <v>2004</v>
      </c>
      <c r="AG5" s="804" t="b">
        <v>0</v>
      </c>
      <c r="AH5" s="780"/>
      <c r="AI5" s="805" t="s">
        <v>2013</v>
      </c>
      <c r="AJ5" s="806">
        <f t="shared" si="12"/>
        <v>18195.394</v>
      </c>
      <c r="AK5" s="28"/>
      <c r="AL5" s="811"/>
      <c r="AM5" s="812" t="s">
        <v>2014</v>
      </c>
      <c r="AN5" s="780"/>
      <c r="AO5" s="780"/>
      <c r="AP5" s="780"/>
      <c r="AQ5" s="780"/>
      <c r="AR5" s="780"/>
      <c r="AS5" s="780"/>
      <c r="AT5" s="780"/>
      <c r="AU5" s="780"/>
      <c r="AV5" s="780"/>
      <c r="AW5" s="780"/>
    </row>
    <row r="6">
      <c r="A6" s="781">
        <v>45932.0</v>
      </c>
      <c r="B6" s="781">
        <v>45941.0</v>
      </c>
      <c r="C6" s="782" t="str">
        <f t="shared" si="1"/>
        <v>out.</v>
      </c>
      <c r="D6" s="801"/>
      <c r="E6" s="801" t="s">
        <v>2015</v>
      </c>
      <c r="F6" s="802"/>
      <c r="G6" s="802"/>
      <c r="H6" s="802"/>
      <c r="I6" s="785">
        <v>0.0014045</v>
      </c>
      <c r="J6" s="786">
        <v>0.035</v>
      </c>
      <c r="K6" s="787">
        <f t="shared" si="2"/>
        <v>0</v>
      </c>
      <c r="L6" s="788">
        <f t="shared" si="3"/>
        <v>0</v>
      </c>
      <c r="M6" s="786">
        <v>0.0215</v>
      </c>
      <c r="N6" s="789">
        <f t="shared" si="4"/>
        <v>0.00143469675</v>
      </c>
      <c r="O6" s="787">
        <f t="shared" si="5"/>
        <v>15</v>
      </c>
      <c r="P6" s="787">
        <f t="shared" si="6"/>
        <v>0.0215</v>
      </c>
      <c r="Q6" s="803">
        <v>911.05</v>
      </c>
      <c r="R6" s="808">
        <f>(G6*N6)*(1+J6)</f>
        <v>0</v>
      </c>
      <c r="S6" s="792"/>
      <c r="T6" s="787">
        <v>0.06</v>
      </c>
      <c r="U6" s="793"/>
      <c r="V6" s="787"/>
      <c r="W6" s="792"/>
      <c r="X6" s="794">
        <f t="shared" si="7"/>
        <v>911.05</v>
      </c>
      <c r="Y6" s="795"/>
      <c r="Z6" s="792" t="str">
        <f t="shared" si="8"/>
        <v/>
      </c>
      <c r="AA6" s="794">
        <f t="shared" si="9"/>
        <v>911.05</v>
      </c>
      <c r="AB6" s="795" t="s">
        <v>2003</v>
      </c>
      <c r="AC6" s="787">
        <f t="shared" si="10"/>
        <v>182.21</v>
      </c>
      <c r="AD6" s="792">
        <f t="shared" si="11"/>
        <v>728.84</v>
      </c>
      <c r="AE6" s="796"/>
      <c r="AF6" s="797" t="s">
        <v>2004</v>
      </c>
      <c r="AG6" s="804" t="b">
        <v>0</v>
      </c>
      <c r="AH6" s="780"/>
      <c r="AI6" s="812" t="s">
        <v>2016</v>
      </c>
      <c r="AJ6" s="813">
        <f t="shared" si="12"/>
        <v>7298.8548</v>
      </c>
      <c r="AK6" s="28"/>
      <c r="AL6" s="814"/>
      <c r="AM6" s="812" t="s">
        <v>2017</v>
      </c>
      <c r="AN6" s="780"/>
      <c r="AO6" s="780"/>
      <c r="AP6" s="780"/>
      <c r="AQ6" s="780"/>
      <c r="AR6" s="780"/>
      <c r="AS6" s="780"/>
      <c r="AT6" s="780"/>
      <c r="AU6" s="780"/>
      <c r="AV6" s="780"/>
      <c r="AW6" s="780"/>
    </row>
    <row r="7">
      <c r="A7" s="781">
        <v>45933.0</v>
      </c>
      <c r="B7" s="781">
        <v>45944.0</v>
      </c>
      <c r="C7" s="782" t="str">
        <f t="shared" si="1"/>
        <v>out.</v>
      </c>
      <c r="D7" s="783"/>
      <c r="E7" s="783" t="s">
        <v>2018</v>
      </c>
      <c r="F7" s="802"/>
      <c r="G7" s="802"/>
      <c r="H7" s="784"/>
      <c r="I7" s="785">
        <v>0.0014045</v>
      </c>
      <c r="J7" s="786">
        <v>0.035</v>
      </c>
      <c r="K7" s="787">
        <f t="shared" si="2"/>
        <v>714.9106</v>
      </c>
      <c r="L7" s="788">
        <f t="shared" si="3"/>
        <v>25.9294</v>
      </c>
      <c r="M7" s="786">
        <v>0.0215</v>
      </c>
      <c r="N7" s="789">
        <f t="shared" si="4"/>
        <v>0.00143469675</v>
      </c>
      <c r="O7" s="787">
        <f t="shared" si="5"/>
        <v>30.3705779</v>
      </c>
      <c r="P7" s="787">
        <f t="shared" si="6"/>
        <v>1.047179914</v>
      </c>
      <c r="Q7" s="803">
        <v>3249.0</v>
      </c>
      <c r="R7" s="803">
        <v>740.84</v>
      </c>
      <c r="S7" s="792"/>
      <c r="T7" s="787">
        <v>0.06</v>
      </c>
      <c r="U7" s="793"/>
      <c r="V7" s="787"/>
      <c r="W7" s="792"/>
      <c r="X7" s="794">
        <f t="shared" si="7"/>
        <v>2508.16</v>
      </c>
      <c r="Y7" s="795"/>
      <c r="Z7" s="792" t="str">
        <f t="shared" si="8"/>
        <v/>
      </c>
      <c r="AA7" s="794">
        <f t="shared" si="9"/>
        <v>2508.16</v>
      </c>
      <c r="AB7" s="795" t="s">
        <v>2003</v>
      </c>
      <c r="AC7" s="787">
        <f t="shared" si="10"/>
        <v>501.632</v>
      </c>
      <c r="AD7" s="792">
        <f t="shared" si="11"/>
        <v>2006.528</v>
      </c>
      <c r="AE7" s="796"/>
      <c r="AF7" s="797" t="s">
        <v>2004</v>
      </c>
      <c r="AG7" s="804" t="b">
        <v>0</v>
      </c>
      <c r="AH7" s="780"/>
      <c r="AI7" s="812" t="s">
        <v>2019</v>
      </c>
      <c r="AJ7" s="813">
        <f t="shared" si="12"/>
        <v>9911.5534</v>
      </c>
      <c r="AK7" s="28"/>
      <c r="AL7" s="815"/>
      <c r="AM7" s="812" t="s">
        <v>2020</v>
      </c>
      <c r="AN7" s="780"/>
      <c r="AO7" s="780"/>
      <c r="AP7" s="780"/>
      <c r="AQ7" s="780"/>
      <c r="AR7" s="780"/>
      <c r="AS7" s="780"/>
      <c r="AT7" s="780"/>
      <c r="AU7" s="780"/>
      <c r="AV7" s="780"/>
      <c r="AW7" s="780"/>
    </row>
    <row r="8">
      <c r="A8" s="781">
        <v>45946.0</v>
      </c>
      <c r="B8" s="781">
        <v>45953.0</v>
      </c>
      <c r="C8" s="782" t="str">
        <f t="shared" si="1"/>
        <v>out.</v>
      </c>
      <c r="D8" s="783"/>
      <c r="E8" s="816" t="s">
        <v>2021</v>
      </c>
      <c r="F8" s="784"/>
      <c r="G8" s="784"/>
      <c r="H8" s="784"/>
      <c r="I8" s="785">
        <v>0.0014045</v>
      </c>
      <c r="J8" s="786">
        <v>0.035</v>
      </c>
      <c r="K8" s="787">
        <f t="shared" si="2"/>
        <v>0</v>
      </c>
      <c r="L8" s="788">
        <f t="shared" si="3"/>
        <v>0</v>
      </c>
      <c r="M8" s="786">
        <v>0.0215</v>
      </c>
      <c r="N8" s="789">
        <f t="shared" si="4"/>
        <v>0.00143469675</v>
      </c>
      <c r="O8" s="787">
        <f t="shared" si="5"/>
        <v>15</v>
      </c>
      <c r="P8" s="787" t="str">
        <f>(K8*N8)+#REF!</f>
        <v>#REF!</v>
      </c>
      <c r="Q8" s="803">
        <v>832.53</v>
      </c>
      <c r="R8" s="808">
        <f>(G8*N8)*(1+J8)</f>
        <v>0</v>
      </c>
      <c r="S8" s="792"/>
      <c r="T8" s="787">
        <v>0.06</v>
      </c>
      <c r="U8" s="793"/>
      <c r="V8" s="787"/>
      <c r="W8" s="792"/>
      <c r="X8" s="794">
        <f t="shared" si="7"/>
        <v>832.53</v>
      </c>
      <c r="Y8" s="795"/>
      <c r="Z8" s="792" t="str">
        <f t="shared" si="8"/>
        <v/>
      </c>
      <c r="AA8" s="794">
        <f t="shared" si="9"/>
        <v>832.53</v>
      </c>
      <c r="AB8" s="795" t="s">
        <v>2003</v>
      </c>
      <c r="AC8" s="787">
        <f t="shared" si="10"/>
        <v>166.506</v>
      </c>
      <c r="AD8" s="792">
        <f t="shared" si="11"/>
        <v>666.024</v>
      </c>
      <c r="AE8" s="796"/>
      <c r="AF8" s="797" t="s">
        <v>2004</v>
      </c>
      <c r="AG8" s="804" t="b">
        <v>0</v>
      </c>
      <c r="AH8" s="780"/>
      <c r="AI8" s="810" t="s">
        <v>2022</v>
      </c>
      <c r="AJ8" s="813">
        <f t="shared" si="12"/>
        <v>3804.883</v>
      </c>
      <c r="AK8" s="28"/>
      <c r="AL8" s="817"/>
      <c r="AM8" s="810" t="s">
        <v>2023</v>
      </c>
      <c r="AN8" s="780"/>
      <c r="AO8" s="780"/>
      <c r="AP8" s="780"/>
      <c r="AQ8" s="780"/>
      <c r="AR8" s="780"/>
      <c r="AS8" s="780"/>
      <c r="AT8" s="780"/>
      <c r="AU8" s="780"/>
      <c r="AV8" s="780"/>
      <c r="AW8" s="780"/>
    </row>
    <row r="9">
      <c r="A9" s="781">
        <v>45901.0</v>
      </c>
      <c r="B9" s="781">
        <v>45955.0</v>
      </c>
      <c r="C9" s="782" t="str">
        <f t="shared" si="1"/>
        <v>out.</v>
      </c>
      <c r="D9" s="783"/>
      <c r="E9" s="795" t="s">
        <v>2024</v>
      </c>
      <c r="F9" s="784"/>
      <c r="G9" s="784"/>
      <c r="H9" s="784"/>
      <c r="I9" s="785">
        <v>0.0014045</v>
      </c>
      <c r="J9" s="786">
        <v>0.035</v>
      </c>
      <c r="K9" s="787">
        <f t="shared" si="2"/>
        <v>0</v>
      </c>
      <c r="L9" s="788">
        <f t="shared" si="3"/>
        <v>0</v>
      </c>
      <c r="M9" s="786">
        <v>0.0215</v>
      </c>
      <c r="N9" s="789">
        <f t="shared" si="4"/>
        <v>0.00143469675</v>
      </c>
      <c r="O9" s="787">
        <f t="shared" si="5"/>
        <v>15</v>
      </c>
      <c r="P9" s="787">
        <f t="shared" ref="P9:P11" si="13">(K9*N9)+M27</f>
        <v>0.0215</v>
      </c>
      <c r="Q9" s="803">
        <v>431.26</v>
      </c>
      <c r="R9" s="803">
        <v>0.0</v>
      </c>
      <c r="S9" s="792"/>
      <c r="T9" s="787">
        <v>0.06</v>
      </c>
      <c r="U9" s="793"/>
      <c r="V9" s="787"/>
      <c r="W9" s="792"/>
      <c r="X9" s="794">
        <f t="shared" si="7"/>
        <v>431.26</v>
      </c>
      <c r="Y9" s="795"/>
      <c r="Z9" s="792" t="str">
        <f t="shared" si="8"/>
        <v/>
      </c>
      <c r="AA9" s="794">
        <f t="shared" si="9"/>
        <v>431.26</v>
      </c>
      <c r="AB9" s="795" t="s">
        <v>2003</v>
      </c>
      <c r="AC9" s="787">
        <f t="shared" si="10"/>
        <v>86.252</v>
      </c>
      <c r="AD9" s="792">
        <f t="shared" si="11"/>
        <v>345.008</v>
      </c>
      <c r="AE9" s="796"/>
      <c r="AF9" s="797" t="s">
        <v>2004</v>
      </c>
      <c r="AG9" s="804" t="b">
        <v>0</v>
      </c>
      <c r="AH9" s="780"/>
      <c r="AI9" s="812" t="s">
        <v>2025</v>
      </c>
      <c r="AJ9" s="813">
        <f t="shared" si="12"/>
        <v>153.8658</v>
      </c>
      <c r="AK9" s="28"/>
      <c r="AL9" s="818"/>
      <c r="AM9" s="812" t="s">
        <v>2026</v>
      </c>
      <c r="AN9" s="780"/>
      <c r="AO9" s="780"/>
      <c r="AP9" s="780"/>
      <c r="AQ9" s="780"/>
      <c r="AR9" s="780"/>
      <c r="AS9" s="780"/>
      <c r="AT9" s="780"/>
      <c r="AU9" s="780"/>
      <c r="AV9" s="780"/>
      <c r="AW9" s="780"/>
    </row>
    <row r="10">
      <c r="A10" s="781">
        <v>45950.0</v>
      </c>
      <c r="B10" s="781">
        <v>45955.0</v>
      </c>
      <c r="C10" s="782" t="str">
        <f t="shared" si="1"/>
        <v>out.</v>
      </c>
      <c r="D10" s="783"/>
      <c r="E10" s="816" t="s">
        <v>2027</v>
      </c>
      <c r="F10" s="784"/>
      <c r="G10" s="784"/>
      <c r="H10" s="784"/>
      <c r="I10" s="785">
        <v>0.0014045</v>
      </c>
      <c r="J10" s="786">
        <v>0.035</v>
      </c>
      <c r="K10" s="787">
        <f t="shared" si="2"/>
        <v>0</v>
      </c>
      <c r="L10" s="788">
        <f t="shared" si="3"/>
        <v>0</v>
      </c>
      <c r="M10" s="786">
        <v>0.0215</v>
      </c>
      <c r="N10" s="789">
        <f t="shared" si="4"/>
        <v>0.00143469675</v>
      </c>
      <c r="O10" s="787">
        <f t="shared" si="5"/>
        <v>15</v>
      </c>
      <c r="P10" s="787">
        <f t="shared" si="13"/>
        <v>0.0215</v>
      </c>
      <c r="Q10" s="803">
        <v>914.0</v>
      </c>
      <c r="R10" s="808">
        <f t="shared" ref="R10:R12" si="14">(G10*N10)*(1+J10)</f>
        <v>0</v>
      </c>
      <c r="S10" s="792"/>
      <c r="T10" s="787">
        <v>0.06</v>
      </c>
      <c r="U10" s="793"/>
      <c r="V10" s="787"/>
      <c r="W10" s="792"/>
      <c r="X10" s="794">
        <f t="shared" si="7"/>
        <v>914</v>
      </c>
      <c r="Y10" s="795"/>
      <c r="Z10" s="792" t="str">
        <f t="shared" si="8"/>
        <v/>
      </c>
      <c r="AA10" s="794">
        <f t="shared" si="9"/>
        <v>914</v>
      </c>
      <c r="AB10" s="795" t="s">
        <v>2003</v>
      </c>
      <c r="AC10" s="787">
        <f t="shared" si="10"/>
        <v>182.8</v>
      </c>
      <c r="AD10" s="792">
        <f t="shared" si="11"/>
        <v>731.2</v>
      </c>
      <c r="AE10" s="796"/>
      <c r="AF10" s="797" t="s">
        <v>2004</v>
      </c>
      <c r="AG10" s="804" t="b">
        <v>0</v>
      </c>
      <c r="AH10" s="780"/>
      <c r="AI10" s="810" t="s">
        <v>2028</v>
      </c>
      <c r="AJ10" s="813">
        <f t="shared" si="12"/>
        <v>0</v>
      </c>
      <c r="AK10" s="28"/>
      <c r="AL10" s="819"/>
      <c r="AM10" s="810" t="s">
        <v>2029</v>
      </c>
      <c r="AN10" s="780"/>
      <c r="AO10" s="780"/>
      <c r="AP10" s="780"/>
      <c r="AQ10" s="780"/>
      <c r="AR10" s="780"/>
      <c r="AS10" s="780"/>
      <c r="AT10" s="780"/>
      <c r="AU10" s="780"/>
      <c r="AV10" s="780"/>
      <c r="AW10" s="780"/>
    </row>
    <row r="11">
      <c r="A11" s="781">
        <v>45950.0</v>
      </c>
      <c r="B11" s="820">
        <v>45955.0</v>
      </c>
      <c r="C11" s="782" t="str">
        <f t="shared" si="1"/>
        <v>out.</v>
      </c>
      <c r="D11" s="801"/>
      <c r="E11" s="821" t="s">
        <v>2030</v>
      </c>
      <c r="F11" s="784"/>
      <c r="G11" s="784"/>
      <c r="H11" s="784"/>
      <c r="I11" s="785">
        <v>0.0014045</v>
      </c>
      <c r="J11" s="786">
        <v>0.035</v>
      </c>
      <c r="K11" s="787">
        <f t="shared" si="2"/>
        <v>0</v>
      </c>
      <c r="L11" s="788">
        <f t="shared" si="3"/>
        <v>0</v>
      </c>
      <c r="M11" s="786">
        <v>0.0215</v>
      </c>
      <c r="N11" s="789">
        <f t="shared" si="4"/>
        <v>0.00143469675</v>
      </c>
      <c r="O11" s="787">
        <f t="shared" si="5"/>
        <v>15</v>
      </c>
      <c r="P11" s="787">
        <f t="shared" si="13"/>
        <v>0.0215</v>
      </c>
      <c r="Q11" s="803">
        <v>441.3</v>
      </c>
      <c r="R11" s="808">
        <f t="shared" si="14"/>
        <v>0</v>
      </c>
      <c r="S11" s="792"/>
      <c r="T11" s="787">
        <v>0.06</v>
      </c>
      <c r="U11" s="793"/>
      <c r="V11" s="787"/>
      <c r="W11" s="792"/>
      <c r="X11" s="794">
        <f t="shared" si="7"/>
        <v>441.3</v>
      </c>
      <c r="Y11" s="795"/>
      <c r="Z11" s="792" t="str">
        <f t="shared" si="8"/>
        <v/>
      </c>
      <c r="AA11" s="794">
        <f t="shared" si="9"/>
        <v>441.3</v>
      </c>
      <c r="AB11" s="795" t="s">
        <v>2003</v>
      </c>
      <c r="AC11" s="787">
        <f t="shared" si="10"/>
        <v>88.26</v>
      </c>
      <c r="AD11" s="792">
        <f t="shared" si="11"/>
        <v>353.04</v>
      </c>
      <c r="AE11" s="796"/>
      <c r="AF11" s="797" t="s">
        <v>2004</v>
      </c>
      <c r="AG11" s="804" t="b">
        <v>0</v>
      </c>
      <c r="AH11" s="780"/>
      <c r="AI11" s="810" t="s">
        <v>2031</v>
      </c>
      <c r="AJ11" s="813">
        <f t="shared" si="12"/>
        <v>0</v>
      </c>
      <c r="AK11" s="28"/>
      <c r="AL11" s="822"/>
      <c r="AM11" s="810" t="s">
        <v>2032</v>
      </c>
      <c r="AN11" s="780"/>
      <c r="AO11" s="780"/>
      <c r="AP11" s="780"/>
      <c r="AQ11" s="780"/>
      <c r="AR11" s="780"/>
      <c r="AS11" s="780"/>
      <c r="AT11" s="780"/>
      <c r="AU11" s="780"/>
      <c r="AV11" s="780"/>
      <c r="AW11" s="780"/>
    </row>
    <row r="12">
      <c r="A12" s="781">
        <v>45944.0</v>
      </c>
      <c r="B12" s="781">
        <v>45955.0</v>
      </c>
      <c r="C12" s="782" t="str">
        <f t="shared" si="1"/>
        <v>out.</v>
      </c>
      <c r="D12" s="783"/>
      <c r="E12" s="816" t="s">
        <v>2033</v>
      </c>
      <c r="F12" s="784"/>
      <c r="G12" s="784"/>
      <c r="H12" s="784"/>
      <c r="I12" s="785">
        <v>0.0014045</v>
      </c>
      <c r="J12" s="786">
        <v>0.035</v>
      </c>
      <c r="K12" s="787">
        <f t="shared" si="2"/>
        <v>0</v>
      </c>
      <c r="L12" s="788">
        <f t="shared" si="3"/>
        <v>0</v>
      </c>
      <c r="M12" s="786">
        <v>0.0215</v>
      </c>
      <c r="N12" s="789">
        <f t="shared" si="4"/>
        <v>0.00143469675</v>
      </c>
      <c r="O12" s="787">
        <f t="shared" si="5"/>
        <v>15</v>
      </c>
      <c r="P12" s="787" t="str">
        <f>(K12*N12)+#REF!</f>
        <v>#REF!</v>
      </c>
      <c r="Q12" s="803">
        <v>766.89</v>
      </c>
      <c r="R12" s="808">
        <f t="shared" si="14"/>
        <v>0</v>
      </c>
      <c r="S12" s="792"/>
      <c r="T12" s="787">
        <v>0.06</v>
      </c>
      <c r="U12" s="793"/>
      <c r="V12" s="787"/>
      <c r="W12" s="792"/>
      <c r="X12" s="794">
        <f t="shared" si="7"/>
        <v>766.89</v>
      </c>
      <c r="Y12" s="795"/>
      <c r="Z12" s="792" t="str">
        <f t="shared" si="8"/>
        <v/>
      </c>
      <c r="AA12" s="794">
        <f t="shared" si="9"/>
        <v>766.89</v>
      </c>
      <c r="AB12" s="795" t="s">
        <v>2003</v>
      </c>
      <c r="AC12" s="787">
        <f t="shared" si="10"/>
        <v>153.378</v>
      </c>
      <c r="AD12" s="792">
        <f t="shared" si="11"/>
        <v>613.512</v>
      </c>
      <c r="AE12" s="796"/>
      <c r="AF12" s="797" t="s">
        <v>2004</v>
      </c>
      <c r="AG12" s="804" t="b">
        <v>0</v>
      </c>
      <c r="AH12" s="780"/>
      <c r="AI12" s="780"/>
      <c r="AJ12" s="823"/>
      <c r="AK12" s="28"/>
      <c r="AL12" s="28"/>
      <c r="AM12" s="780"/>
      <c r="AN12" s="780"/>
      <c r="AO12" s="780"/>
      <c r="AP12" s="780"/>
      <c r="AQ12" s="780"/>
      <c r="AR12" s="780"/>
      <c r="AS12" s="780"/>
      <c r="AT12" s="780"/>
      <c r="AU12" s="780"/>
      <c r="AV12" s="780"/>
      <c r="AW12" s="780"/>
    </row>
    <row r="13">
      <c r="A13" s="824"/>
      <c r="B13" s="781">
        <v>45956.0</v>
      </c>
      <c r="C13" s="782" t="str">
        <f t="shared" si="1"/>
        <v>out.</v>
      </c>
      <c r="D13" s="801"/>
      <c r="E13" s="821" t="s">
        <v>1749</v>
      </c>
      <c r="F13" s="802"/>
      <c r="G13" s="802"/>
      <c r="H13" s="802"/>
      <c r="I13" s="785">
        <v>0.0014045</v>
      </c>
      <c r="J13" s="786">
        <v>0.035</v>
      </c>
      <c r="K13" s="787">
        <f t="shared" si="2"/>
        <v>10403.665</v>
      </c>
      <c r="L13" s="788">
        <f t="shared" si="3"/>
        <v>377.335</v>
      </c>
      <c r="M13" s="786">
        <v>0.0215</v>
      </c>
      <c r="N13" s="789">
        <f t="shared" si="4"/>
        <v>0.00143469675</v>
      </c>
      <c r="O13" s="787">
        <f t="shared" si="5"/>
        <v>238.6787975</v>
      </c>
      <c r="P13" s="787">
        <f t="shared" ref="P13:P16" si="15">(K13*N13)+M30</f>
        <v>14.94760436</v>
      </c>
      <c r="Q13" s="825">
        <v>16991.0</v>
      </c>
      <c r="R13" s="803">
        <v>10781.0</v>
      </c>
      <c r="S13" s="792"/>
      <c r="T13" s="787">
        <v>0.06</v>
      </c>
      <c r="U13" s="793"/>
      <c r="V13" s="787"/>
      <c r="W13" s="792"/>
      <c r="X13" s="794">
        <f t="shared" si="7"/>
        <v>6210</v>
      </c>
      <c r="Y13" s="795"/>
      <c r="Z13" s="792" t="str">
        <f t="shared" si="8"/>
        <v/>
      </c>
      <c r="AA13" s="794">
        <f t="shared" si="9"/>
        <v>6210</v>
      </c>
      <c r="AB13" s="795" t="s">
        <v>2003</v>
      </c>
      <c r="AC13" s="787">
        <f t="shared" si="10"/>
        <v>1242</v>
      </c>
      <c r="AD13" s="792">
        <f t="shared" si="11"/>
        <v>4968</v>
      </c>
      <c r="AE13" s="796"/>
      <c r="AF13" s="797" t="s">
        <v>2004</v>
      </c>
      <c r="AG13" s="804" t="b">
        <v>0</v>
      </c>
      <c r="AH13" s="780"/>
      <c r="AI13" s="800"/>
      <c r="AJ13" s="826"/>
      <c r="AK13" s="28"/>
      <c r="AL13" s="28"/>
      <c r="AM13" s="800"/>
      <c r="AN13" s="780"/>
      <c r="AO13" s="780"/>
      <c r="AP13" s="780"/>
      <c r="AQ13" s="780"/>
      <c r="AR13" s="780"/>
      <c r="AS13" s="780"/>
      <c r="AT13" s="780"/>
      <c r="AU13" s="780"/>
      <c r="AV13" s="780"/>
      <c r="AW13" s="780"/>
    </row>
    <row r="14">
      <c r="A14" s="781">
        <v>45938.0</v>
      </c>
      <c r="B14" s="781">
        <v>45956.0</v>
      </c>
      <c r="C14" s="782" t="str">
        <f t="shared" si="1"/>
        <v>out.</v>
      </c>
      <c r="D14" s="801"/>
      <c r="E14" s="801" t="s">
        <v>2034</v>
      </c>
      <c r="F14" s="802"/>
      <c r="G14" s="802"/>
      <c r="H14" s="802"/>
      <c r="I14" s="785">
        <v>0.0014045</v>
      </c>
      <c r="J14" s="786">
        <v>0.035</v>
      </c>
      <c r="K14" s="787">
        <f t="shared" si="2"/>
        <v>712.7104</v>
      </c>
      <c r="L14" s="788">
        <f t="shared" si="3"/>
        <v>25.8496</v>
      </c>
      <c r="M14" s="786">
        <v>0.0215</v>
      </c>
      <c r="N14" s="789">
        <f t="shared" si="4"/>
        <v>0.00143469675</v>
      </c>
      <c r="O14" s="787">
        <f t="shared" si="5"/>
        <v>30.3232736</v>
      </c>
      <c r="P14" s="787">
        <f t="shared" si="15"/>
        <v>1.044023295</v>
      </c>
      <c r="Q14" s="803">
        <v>2021.59</v>
      </c>
      <c r="R14" s="803">
        <v>738.56</v>
      </c>
      <c r="S14" s="792"/>
      <c r="T14" s="787">
        <v>0.06</v>
      </c>
      <c r="U14" s="793"/>
      <c r="V14" s="787"/>
      <c r="W14" s="792"/>
      <c r="X14" s="794">
        <f t="shared" si="7"/>
        <v>1283.03</v>
      </c>
      <c r="Y14" s="795"/>
      <c r="Z14" s="792" t="str">
        <f t="shared" si="8"/>
        <v/>
      </c>
      <c r="AA14" s="794">
        <f t="shared" si="9"/>
        <v>1283.03</v>
      </c>
      <c r="AB14" s="795" t="s">
        <v>2003</v>
      </c>
      <c r="AC14" s="787">
        <f t="shared" si="10"/>
        <v>256.606</v>
      </c>
      <c r="AD14" s="792">
        <f t="shared" si="11"/>
        <v>1026.424</v>
      </c>
      <c r="AE14" s="796"/>
      <c r="AF14" s="797" t="s">
        <v>2004</v>
      </c>
      <c r="AG14" s="804" t="b">
        <v>0</v>
      </c>
      <c r="AH14" s="780"/>
      <c r="AI14" s="28"/>
      <c r="AJ14" s="81" t="s">
        <v>2035</v>
      </c>
      <c r="AK14" s="28"/>
      <c r="AL14" s="28"/>
      <c r="AM14" s="28"/>
      <c r="AN14" s="780"/>
      <c r="AO14" s="780"/>
      <c r="AP14" s="780"/>
      <c r="AQ14" s="780"/>
      <c r="AR14" s="780"/>
      <c r="AS14" s="780"/>
      <c r="AT14" s="780"/>
      <c r="AU14" s="780"/>
      <c r="AV14" s="780"/>
      <c r="AW14" s="780"/>
    </row>
    <row r="15">
      <c r="A15" s="781">
        <v>45944.0</v>
      </c>
      <c r="B15" s="781">
        <v>45958.0</v>
      </c>
      <c r="C15" s="782" t="str">
        <f t="shared" si="1"/>
        <v>out.</v>
      </c>
      <c r="D15" s="801"/>
      <c r="E15" s="827" t="s">
        <v>2036</v>
      </c>
      <c r="F15" s="784"/>
      <c r="G15" s="784"/>
      <c r="H15" s="784"/>
      <c r="I15" s="785">
        <v>0.0014045</v>
      </c>
      <c r="J15" s="786">
        <v>0.035</v>
      </c>
      <c r="K15" s="787">
        <f t="shared" si="2"/>
        <v>0</v>
      </c>
      <c r="L15" s="788">
        <f t="shared" si="3"/>
        <v>0</v>
      </c>
      <c r="M15" s="786">
        <v>0.0215</v>
      </c>
      <c r="N15" s="789">
        <f t="shared" si="4"/>
        <v>0.00143469675</v>
      </c>
      <c r="O15" s="787">
        <f t="shared" si="5"/>
        <v>15</v>
      </c>
      <c r="P15" s="787">
        <f t="shared" si="15"/>
        <v>0.0215</v>
      </c>
      <c r="Q15" s="803">
        <v>1442.21</v>
      </c>
      <c r="R15" s="808">
        <f>(G15*N15)*(1+J15)</f>
        <v>0</v>
      </c>
      <c r="S15" s="792"/>
      <c r="T15" s="787">
        <v>0.06</v>
      </c>
      <c r="U15" s="793"/>
      <c r="V15" s="787"/>
      <c r="W15" s="792"/>
      <c r="X15" s="794">
        <f t="shared" si="7"/>
        <v>1442.21</v>
      </c>
      <c r="Y15" s="795"/>
      <c r="Z15" s="792" t="str">
        <f t="shared" si="8"/>
        <v/>
      </c>
      <c r="AA15" s="794">
        <f t="shared" si="9"/>
        <v>1442.21</v>
      </c>
      <c r="AB15" s="795" t="s">
        <v>2003</v>
      </c>
      <c r="AC15" s="787">
        <f t="shared" si="10"/>
        <v>288.442</v>
      </c>
      <c r="AD15" s="792">
        <f t="shared" si="11"/>
        <v>1153.768</v>
      </c>
      <c r="AE15" s="796"/>
      <c r="AF15" s="797" t="s">
        <v>2004</v>
      </c>
      <c r="AG15" s="804" t="b">
        <v>0</v>
      </c>
      <c r="AH15" s="780"/>
      <c r="AI15" s="780"/>
      <c r="AJ15" s="778" t="s">
        <v>2037</v>
      </c>
      <c r="AK15" s="780"/>
      <c r="AL15" s="780"/>
      <c r="AM15" s="778" t="s">
        <v>2038</v>
      </c>
      <c r="AN15" s="780"/>
      <c r="AO15" s="780"/>
      <c r="AP15" s="780"/>
      <c r="AQ15" s="780"/>
      <c r="AR15" s="780"/>
      <c r="AS15" s="780"/>
      <c r="AT15" s="780"/>
      <c r="AU15" s="780"/>
      <c r="AV15" s="780"/>
      <c r="AW15" s="780"/>
    </row>
    <row r="16">
      <c r="A16" s="781">
        <v>45963.0</v>
      </c>
      <c r="B16" s="781">
        <v>45964.0</v>
      </c>
      <c r="C16" s="782" t="str">
        <f t="shared" si="1"/>
        <v>nov.</v>
      </c>
      <c r="D16" s="783"/>
      <c r="E16" s="816" t="s">
        <v>2039</v>
      </c>
      <c r="F16" s="784"/>
      <c r="G16" s="784"/>
      <c r="H16" s="784"/>
      <c r="I16" s="785">
        <v>0.0014045</v>
      </c>
      <c r="J16" s="786">
        <v>0.035</v>
      </c>
      <c r="K16" s="787">
        <f t="shared" si="2"/>
        <v>599.9212</v>
      </c>
      <c r="L16" s="788">
        <f t="shared" si="3"/>
        <v>21.7588</v>
      </c>
      <c r="M16" s="786">
        <v>0.0215</v>
      </c>
      <c r="N16" s="789">
        <f t="shared" si="4"/>
        <v>0.00143469675</v>
      </c>
      <c r="O16" s="787">
        <f t="shared" si="5"/>
        <v>27.8983058</v>
      </c>
      <c r="P16" s="787">
        <f t="shared" si="15"/>
        <v>0.8822049959</v>
      </c>
      <c r="Q16" s="803">
        <v>2170.71</v>
      </c>
      <c r="R16" s="803">
        <v>621.68</v>
      </c>
      <c r="S16" s="792"/>
      <c r="T16" s="787">
        <v>0.06</v>
      </c>
      <c r="U16" s="793"/>
      <c r="V16" s="787"/>
      <c r="W16" s="792"/>
      <c r="X16" s="794">
        <f t="shared" si="7"/>
        <v>1549.03</v>
      </c>
      <c r="Y16" s="795"/>
      <c r="Z16" s="792" t="str">
        <f t="shared" si="8"/>
        <v/>
      </c>
      <c r="AA16" s="794">
        <f t="shared" si="9"/>
        <v>1549.03</v>
      </c>
      <c r="AB16" s="795" t="s">
        <v>2003</v>
      </c>
      <c r="AC16" s="787">
        <f t="shared" si="10"/>
        <v>309.806</v>
      </c>
      <c r="AD16" s="792">
        <f t="shared" si="11"/>
        <v>1239.224</v>
      </c>
      <c r="AE16" s="796"/>
      <c r="AF16" s="797" t="s">
        <v>2004</v>
      </c>
      <c r="AG16" s="804" t="b">
        <v>0</v>
      </c>
      <c r="AH16" s="780"/>
      <c r="AI16" s="780"/>
      <c r="AJ16" s="778" t="s">
        <v>2040</v>
      </c>
      <c r="AK16" s="780"/>
      <c r="AL16" s="780"/>
      <c r="AM16" s="828">
        <f>AJ6</f>
        <v>7298.8548</v>
      </c>
      <c r="AN16" s="778" t="s">
        <v>2041</v>
      </c>
      <c r="AO16" s="780"/>
      <c r="AP16" s="780"/>
      <c r="AQ16" s="780"/>
      <c r="AR16" s="780"/>
      <c r="AS16" s="780"/>
      <c r="AT16" s="780"/>
      <c r="AU16" s="780"/>
      <c r="AV16" s="780"/>
      <c r="AW16" s="780"/>
    </row>
    <row r="17">
      <c r="A17" s="781">
        <v>45965.0</v>
      </c>
      <c r="B17" s="781">
        <v>45965.0</v>
      </c>
      <c r="C17" s="782" t="str">
        <f t="shared" si="1"/>
        <v>nov.</v>
      </c>
      <c r="D17" s="783"/>
      <c r="E17" s="816" t="s">
        <v>2042</v>
      </c>
      <c r="F17" s="802"/>
      <c r="G17" s="802"/>
      <c r="H17" s="802"/>
      <c r="I17" s="785">
        <v>0.0014045</v>
      </c>
      <c r="J17" s="786">
        <v>0.035</v>
      </c>
      <c r="K17" s="787">
        <f t="shared" si="2"/>
        <v>0</v>
      </c>
      <c r="L17" s="788">
        <f t="shared" si="3"/>
        <v>0</v>
      </c>
      <c r="M17" s="786">
        <v>0.0215</v>
      </c>
      <c r="N17" s="789">
        <f t="shared" si="4"/>
        <v>0.00143469675</v>
      </c>
      <c r="O17" s="787">
        <f t="shared" si="5"/>
        <v>15</v>
      </c>
      <c r="P17" s="787">
        <f>(K17*N17)+M33</f>
        <v>0.0215</v>
      </c>
      <c r="Q17" s="803">
        <v>474.52</v>
      </c>
      <c r="R17" s="808">
        <f t="shared" ref="R17:R19" si="16">(G17*N17)*(1+J17)</f>
        <v>0</v>
      </c>
      <c r="S17" s="792"/>
      <c r="T17" s="787">
        <v>0.06</v>
      </c>
      <c r="U17" s="793"/>
      <c r="V17" s="787"/>
      <c r="W17" s="792"/>
      <c r="X17" s="794">
        <f t="shared" si="7"/>
        <v>474.52</v>
      </c>
      <c r="Y17" s="795"/>
      <c r="Z17" s="792" t="str">
        <f t="shared" si="8"/>
        <v/>
      </c>
      <c r="AA17" s="794">
        <f t="shared" si="9"/>
        <v>474.52</v>
      </c>
      <c r="AB17" s="795" t="s">
        <v>2003</v>
      </c>
      <c r="AC17" s="787">
        <f t="shared" si="10"/>
        <v>94.904</v>
      </c>
      <c r="AD17" s="792">
        <f t="shared" si="11"/>
        <v>379.616</v>
      </c>
      <c r="AE17" s="796"/>
      <c r="AF17" s="797" t="s">
        <v>2004</v>
      </c>
      <c r="AG17" s="804" t="b">
        <v>0</v>
      </c>
      <c r="AH17" s="780"/>
      <c r="AI17" s="780"/>
      <c r="AJ17" s="778" t="s">
        <v>2043</v>
      </c>
      <c r="AK17" s="780"/>
      <c r="AL17" s="780"/>
      <c r="AM17" s="778">
        <v>741.59</v>
      </c>
      <c r="AN17" s="778" t="s">
        <v>2044</v>
      </c>
      <c r="AO17" s="780"/>
      <c r="AP17" s="780"/>
      <c r="AQ17" s="780"/>
      <c r="AR17" s="780"/>
      <c r="AS17" s="780"/>
      <c r="AT17" s="780"/>
      <c r="AU17" s="780"/>
      <c r="AV17" s="780"/>
      <c r="AW17" s="780"/>
    </row>
    <row r="18">
      <c r="A18" s="781">
        <v>45937.0</v>
      </c>
      <c r="B18" s="781">
        <v>45966.0</v>
      </c>
      <c r="C18" s="782" t="str">
        <f t="shared" si="1"/>
        <v>nov.</v>
      </c>
      <c r="D18" s="801"/>
      <c r="E18" s="801" t="s">
        <v>2045</v>
      </c>
      <c r="F18" s="802"/>
      <c r="G18" s="802"/>
      <c r="H18" s="802"/>
      <c r="I18" s="785">
        <v>0.0014045</v>
      </c>
      <c r="J18" s="786">
        <v>0.035</v>
      </c>
      <c r="K18" s="787">
        <f t="shared" si="2"/>
        <v>0</v>
      </c>
      <c r="L18" s="788">
        <f t="shared" si="3"/>
        <v>0</v>
      </c>
      <c r="M18" s="786">
        <v>0.0215</v>
      </c>
      <c r="N18" s="789">
        <f t="shared" si="4"/>
        <v>0.00143469675</v>
      </c>
      <c r="O18" s="787">
        <f t="shared" si="5"/>
        <v>15</v>
      </c>
      <c r="P18" s="787">
        <f>(K18*N18)+M35</f>
        <v>0.0215</v>
      </c>
      <c r="Q18" s="803">
        <v>644.63</v>
      </c>
      <c r="R18" s="808">
        <f t="shared" si="16"/>
        <v>0</v>
      </c>
      <c r="S18" s="792"/>
      <c r="T18" s="787">
        <v>0.06</v>
      </c>
      <c r="U18" s="793"/>
      <c r="V18" s="787"/>
      <c r="W18" s="792"/>
      <c r="X18" s="794">
        <f t="shared" si="7"/>
        <v>644.63</v>
      </c>
      <c r="Y18" s="795"/>
      <c r="Z18" s="792" t="str">
        <f t="shared" si="8"/>
        <v/>
      </c>
      <c r="AA18" s="794">
        <f t="shared" si="9"/>
        <v>644.63</v>
      </c>
      <c r="AB18" s="795" t="s">
        <v>2003</v>
      </c>
      <c r="AC18" s="787">
        <f t="shared" si="10"/>
        <v>128.926</v>
      </c>
      <c r="AD18" s="792">
        <f t="shared" si="11"/>
        <v>515.704</v>
      </c>
      <c r="AE18" s="796"/>
      <c r="AF18" s="797" t="s">
        <v>2004</v>
      </c>
      <c r="AG18" s="804" t="b">
        <v>0</v>
      </c>
      <c r="AH18" s="780"/>
      <c r="AI18" s="780"/>
      <c r="AJ18" s="778" t="s">
        <v>2046</v>
      </c>
      <c r="AK18" s="780"/>
      <c r="AL18" s="780"/>
      <c r="AM18" s="778">
        <v>2000.0</v>
      </c>
      <c r="AN18" s="778" t="s">
        <v>2047</v>
      </c>
      <c r="AO18" s="780"/>
      <c r="AP18" s="780"/>
      <c r="AQ18" s="780"/>
      <c r="AR18" s="780"/>
      <c r="AS18" s="780"/>
      <c r="AT18" s="780"/>
      <c r="AU18" s="780"/>
      <c r="AV18" s="780"/>
      <c r="AW18" s="780"/>
    </row>
    <row r="19">
      <c r="A19" s="781">
        <v>45954.0</v>
      </c>
      <c r="B19" s="781">
        <v>45968.0</v>
      </c>
      <c r="C19" s="782" t="str">
        <f t="shared" si="1"/>
        <v>nov.</v>
      </c>
      <c r="D19" s="783"/>
      <c r="E19" s="829" t="s">
        <v>2048</v>
      </c>
      <c r="F19" s="802"/>
      <c r="G19" s="802"/>
      <c r="H19" s="802"/>
      <c r="I19" s="785">
        <v>0.0014045</v>
      </c>
      <c r="J19" s="786">
        <v>0.035</v>
      </c>
      <c r="K19" s="787">
        <f t="shared" si="2"/>
        <v>0</v>
      </c>
      <c r="L19" s="788">
        <f t="shared" si="3"/>
        <v>0</v>
      </c>
      <c r="M19" s="786">
        <v>0.0215</v>
      </c>
      <c r="N19" s="789">
        <f t="shared" si="4"/>
        <v>0.00143469675</v>
      </c>
      <c r="O19" s="787">
        <f t="shared" si="5"/>
        <v>15</v>
      </c>
      <c r="P19" s="787">
        <f>(K19*N19)+M35</f>
        <v>0.0215</v>
      </c>
      <c r="Q19" s="803">
        <v>875.19</v>
      </c>
      <c r="R19" s="808">
        <f t="shared" si="16"/>
        <v>0</v>
      </c>
      <c r="S19" s="792"/>
      <c r="T19" s="787">
        <v>0.06</v>
      </c>
      <c r="U19" s="793"/>
      <c r="V19" s="787"/>
      <c r="W19" s="792"/>
      <c r="X19" s="794">
        <f t="shared" si="7"/>
        <v>875.19</v>
      </c>
      <c r="Y19" s="795"/>
      <c r="Z19" s="792" t="str">
        <f t="shared" si="8"/>
        <v/>
      </c>
      <c r="AA19" s="794">
        <f t="shared" si="9"/>
        <v>875.19</v>
      </c>
      <c r="AB19" s="795" t="s">
        <v>2003</v>
      </c>
      <c r="AC19" s="787">
        <f t="shared" si="10"/>
        <v>175.038</v>
      </c>
      <c r="AD19" s="792">
        <f t="shared" si="11"/>
        <v>700.152</v>
      </c>
      <c r="AE19" s="796"/>
      <c r="AF19" s="797" t="s">
        <v>2004</v>
      </c>
      <c r="AG19" s="804" t="b">
        <v>0</v>
      </c>
      <c r="AH19" s="780"/>
      <c r="AI19" s="780"/>
      <c r="AJ19" s="778" t="s">
        <v>2049</v>
      </c>
      <c r="AK19" s="780"/>
      <c r="AL19" s="780"/>
      <c r="AM19" s="828">
        <f>SUM(AM16:AM18)</f>
        <v>10040.4448</v>
      </c>
      <c r="AN19" s="780"/>
      <c r="AO19" s="780"/>
      <c r="AP19" s="780"/>
      <c r="AQ19" s="780"/>
      <c r="AR19" s="780"/>
      <c r="AS19" s="780"/>
      <c r="AT19" s="780"/>
      <c r="AU19" s="780"/>
      <c r="AV19" s="780"/>
      <c r="AW19" s="780"/>
    </row>
    <row r="20">
      <c r="A20" s="781">
        <v>45943.0</v>
      </c>
      <c r="B20" s="781">
        <v>45969.0</v>
      </c>
      <c r="C20" s="782" t="str">
        <f t="shared" si="1"/>
        <v>nov.</v>
      </c>
      <c r="D20" s="783"/>
      <c r="E20" s="816" t="s">
        <v>2050</v>
      </c>
      <c r="F20" s="802"/>
      <c r="G20" s="802"/>
      <c r="H20" s="802"/>
      <c r="I20" s="785">
        <v>0.0014045</v>
      </c>
      <c r="J20" s="786">
        <v>0.035</v>
      </c>
      <c r="K20" s="787">
        <f t="shared" si="2"/>
        <v>574.2908</v>
      </c>
      <c r="L20" s="788">
        <f t="shared" si="3"/>
        <v>20.8292</v>
      </c>
      <c r="M20" s="786">
        <v>0.0215</v>
      </c>
      <c r="N20" s="789">
        <f t="shared" si="4"/>
        <v>0.00143469675</v>
      </c>
      <c r="O20" s="787">
        <f t="shared" si="5"/>
        <v>27.3472522</v>
      </c>
      <c r="P20" s="787">
        <f>(K20*N20)+M37</f>
        <v>0.8454331443</v>
      </c>
      <c r="Q20" s="803">
        <v>1059.22</v>
      </c>
      <c r="R20" s="803">
        <v>595.12</v>
      </c>
      <c r="S20" s="792"/>
      <c r="T20" s="787">
        <v>0.06</v>
      </c>
      <c r="U20" s="793"/>
      <c r="V20" s="787"/>
      <c r="W20" s="792"/>
      <c r="X20" s="794">
        <f t="shared" si="7"/>
        <v>464.1</v>
      </c>
      <c r="Y20" s="795"/>
      <c r="Z20" s="792" t="str">
        <f t="shared" si="8"/>
        <v/>
      </c>
      <c r="AA20" s="794">
        <f t="shared" si="9"/>
        <v>464.1</v>
      </c>
      <c r="AB20" s="795" t="s">
        <v>2003</v>
      </c>
      <c r="AC20" s="787">
        <f t="shared" si="10"/>
        <v>92.82</v>
      </c>
      <c r="AD20" s="792">
        <f t="shared" si="11"/>
        <v>371.28</v>
      </c>
      <c r="AE20" s="796"/>
      <c r="AF20" s="797" t="s">
        <v>2004</v>
      </c>
      <c r="AG20" s="804" t="b">
        <v>0</v>
      </c>
      <c r="AH20" s="780"/>
      <c r="AI20" s="780"/>
      <c r="AJ20" s="780"/>
      <c r="AK20" s="780"/>
      <c r="AL20" s="780"/>
      <c r="AM20" s="828">
        <f>AM19-1000</f>
        <v>9040.4448</v>
      </c>
      <c r="AN20" s="778" t="s">
        <v>2051</v>
      </c>
      <c r="AO20" s="780"/>
      <c r="AP20" s="780"/>
      <c r="AQ20" s="780"/>
      <c r="AR20" s="780"/>
      <c r="AS20" s="780"/>
      <c r="AT20" s="780"/>
      <c r="AU20" s="780"/>
      <c r="AV20" s="780"/>
      <c r="AW20" s="780"/>
    </row>
    <row r="21">
      <c r="A21" s="781"/>
      <c r="B21" s="781">
        <v>45969.0</v>
      </c>
      <c r="C21" s="782" t="str">
        <f t="shared" si="1"/>
        <v>nov.</v>
      </c>
      <c r="D21" s="783"/>
      <c r="E21" s="816" t="s">
        <v>2052</v>
      </c>
      <c r="F21" s="802"/>
      <c r="G21" s="802"/>
      <c r="H21" s="802"/>
      <c r="I21" s="785">
        <v>0.0014045</v>
      </c>
      <c r="J21" s="786">
        <v>0.035</v>
      </c>
      <c r="K21" s="787">
        <f t="shared" si="2"/>
        <v>0</v>
      </c>
      <c r="L21" s="788">
        <f t="shared" si="3"/>
        <v>0</v>
      </c>
      <c r="M21" s="786">
        <v>0.0215</v>
      </c>
      <c r="N21" s="789">
        <f t="shared" si="4"/>
        <v>0.00143469675</v>
      </c>
      <c r="O21" s="787">
        <f t="shared" si="5"/>
        <v>15</v>
      </c>
      <c r="P21" s="787">
        <f t="shared" ref="P21:P23" si="17">(K21*N21)+M37</f>
        <v>0.0215</v>
      </c>
      <c r="Q21" s="803">
        <v>649.66</v>
      </c>
      <c r="R21" s="808">
        <f t="shared" ref="R21:R27" si="18">(G21*N21)*(1+J21)</f>
        <v>0</v>
      </c>
      <c r="S21" s="792"/>
      <c r="T21" s="787">
        <v>0.06</v>
      </c>
      <c r="U21" s="793"/>
      <c r="V21" s="787"/>
      <c r="W21" s="792"/>
      <c r="X21" s="794">
        <f t="shared" si="7"/>
        <v>649.66</v>
      </c>
      <c r="Y21" s="795"/>
      <c r="Z21" s="792" t="str">
        <f t="shared" si="8"/>
        <v/>
      </c>
      <c r="AA21" s="794">
        <f t="shared" si="9"/>
        <v>649.66</v>
      </c>
      <c r="AB21" s="795" t="s">
        <v>2003</v>
      </c>
      <c r="AC21" s="787">
        <f t="shared" si="10"/>
        <v>129.932</v>
      </c>
      <c r="AD21" s="792">
        <f t="shared" si="11"/>
        <v>519.728</v>
      </c>
      <c r="AE21" s="796"/>
      <c r="AF21" s="797" t="s">
        <v>2004</v>
      </c>
      <c r="AG21" s="804" t="b">
        <v>0</v>
      </c>
      <c r="AH21" s="780"/>
      <c r="AI21" s="780"/>
      <c r="AJ21" s="780"/>
      <c r="AK21" s="780"/>
      <c r="AL21" s="780"/>
      <c r="AM21" s="830">
        <f>AM20-3000</f>
        <v>6040.4448</v>
      </c>
      <c r="AN21" s="778" t="s">
        <v>2053</v>
      </c>
      <c r="AO21" s="780"/>
      <c r="AP21" s="780"/>
      <c r="AQ21" s="780"/>
      <c r="AR21" s="780"/>
      <c r="AS21" s="780"/>
      <c r="AT21" s="780"/>
      <c r="AU21" s="780"/>
      <c r="AV21" s="780"/>
      <c r="AW21" s="780"/>
    </row>
    <row r="22">
      <c r="A22" s="781">
        <v>45968.0</v>
      </c>
      <c r="B22" s="781">
        <v>45972.0</v>
      </c>
      <c r="C22" s="782" t="str">
        <f t="shared" si="1"/>
        <v>nov.</v>
      </c>
      <c r="D22" s="783"/>
      <c r="E22" s="795" t="s">
        <v>2054</v>
      </c>
      <c r="F22" s="802"/>
      <c r="G22" s="802"/>
      <c r="H22" s="802"/>
      <c r="I22" s="785">
        <v>0.0014045</v>
      </c>
      <c r="J22" s="786">
        <v>0.035</v>
      </c>
      <c r="K22" s="787">
        <f t="shared" si="2"/>
        <v>0</v>
      </c>
      <c r="L22" s="788">
        <f t="shared" si="3"/>
        <v>0</v>
      </c>
      <c r="M22" s="786">
        <v>0.0215</v>
      </c>
      <c r="N22" s="789">
        <f t="shared" si="4"/>
        <v>0.00143469675</v>
      </c>
      <c r="O22" s="787">
        <f t="shared" si="5"/>
        <v>15</v>
      </c>
      <c r="P22" s="787">
        <f t="shared" si="17"/>
        <v>0.0215</v>
      </c>
      <c r="Q22" s="803">
        <v>299.5</v>
      </c>
      <c r="R22" s="808">
        <f t="shared" si="18"/>
        <v>0</v>
      </c>
      <c r="S22" s="792"/>
      <c r="T22" s="787">
        <v>0.06</v>
      </c>
      <c r="U22" s="793"/>
      <c r="V22" s="787"/>
      <c r="W22" s="792"/>
      <c r="X22" s="794">
        <f t="shared" si="7"/>
        <v>299.5</v>
      </c>
      <c r="Y22" s="795"/>
      <c r="Z22" s="792" t="str">
        <f t="shared" si="8"/>
        <v/>
      </c>
      <c r="AA22" s="794">
        <f t="shared" si="9"/>
        <v>299.5</v>
      </c>
      <c r="AB22" s="795" t="s">
        <v>2003</v>
      </c>
      <c r="AC22" s="787">
        <f t="shared" si="10"/>
        <v>59.9</v>
      </c>
      <c r="AD22" s="792">
        <f t="shared" si="11"/>
        <v>239.6</v>
      </c>
      <c r="AE22" s="796"/>
      <c r="AF22" s="797" t="s">
        <v>2004</v>
      </c>
      <c r="AG22" s="804" t="b">
        <v>0</v>
      </c>
      <c r="AH22" s="780"/>
      <c r="AI22" s="780"/>
      <c r="AJ22" s="780"/>
      <c r="AK22" s="780"/>
      <c r="AL22" s="780"/>
      <c r="AM22" s="780"/>
      <c r="AN22" s="780"/>
      <c r="AO22" s="780"/>
      <c r="AP22" s="780"/>
      <c r="AQ22" s="780"/>
      <c r="AR22" s="780"/>
      <c r="AS22" s="780"/>
      <c r="AT22" s="780"/>
      <c r="AU22" s="780"/>
      <c r="AV22" s="780"/>
      <c r="AW22" s="780"/>
    </row>
    <row r="23">
      <c r="A23" s="781">
        <v>45973.0</v>
      </c>
      <c r="B23" s="781">
        <v>45973.0</v>
      </c>
      <c r="C23" s="782" t="str">
        <f t="shared" si="1"/>
        <v>nov.</v>
      </c>
      <c r="D23" s="801"/>
      <c r="E23" s="831" t="s">
        <v>2055</v>
      </c>
      <c r="F23" s="802"/>
      <c r="G23" s="802"/>
      <c r="H23" s="802"/>
      <c r="I23" s="785">
        <v>0.00140450000000001</v>
      </c>
      <c r="J23" s="786">
        <v>0.035</v>
      </c>
      <c r="K23" s="787">
        <f t="shared" si="2"/>
        <v>0</v>
      </c>
      <c r="L23" s="788">
        <f t="shared" si="3"/>
        <v>0</v>
      </c>
      <c r="M23" s="786">
        <v>0.0215</v>
      </c>
      <c r="N23" s="789">
        <f t="shared" si="4"/>
        <v>0.00143469675</v>
      </c>
      <c r="O23" s="787">
        <f t="shared" si="5"/>
        <v>15</v>
      </c>
      <c r="P23" s="787">
        <f t="shared" si="17"/>
        <v>0.0215</v>
      </c>
      <c r="Q23" s="803">
        <v>563.04</v>
      </c>
      <c r="R23" s="808">
        <f t="shared" si="18"/>
        <v>0</v>
      </c>
      <c r="S23" s="792"/>
      <c r="T23" s="787">
        <v>0.06</v>
      </c>
      <c r="U23" s="793"/>
      <c r="V23" s="787"/>
      <c r="W23" s="792"/>
      <c r="X23" s="794">
        <f t="shared" si="7"/>
        <v>563.04</v>
      </c>
      <c r="Y23" s="795"/>
      <c r="Z23" s="792" t="str">
        <f t="shared" si="8"/>
        <v/>
      </c>
      <c r="AA23" s="794">
        <f t="shared" si="9"/>
        <v>563.04</v>
      </c>
      <c r="AB23" s="795" t="s">
        <v>2003</v>
      </c>
      <c r="AC23" s="787">
        <f t="shared" si="10"/>
        <v>112.608</v>
      </c>
      <c r="AD23" s="792">
        <f t="shared" si="11"/>
        <v>450.432</v>
      </c>
      <c r="AE23" s="796"/>
      <c r="AF23" s="797" t="s">
        <v>2004</v>
      </c>
      <c r="AG23" s="804" t="b">
        <v>0</v>
      </c>
      <c r="AH23" s="780"/>
      <c r="AI23" s="780"/>
      <c r="AJ23" s="780"/>
      <c r="AK23" s="780"/>
      <c r="AL23" s="780"/>
      <c r="AM23" s="780"/>
      <c r="AN23" s="780"/>
      <c r="AO23" s="780"/>
      <c r="AP23" s="780"/>
      <c r="AQ23" s="780"/>
      <c r="AR23" s="780"/>
      <c r="AS23" s="780"/>
      <c r="AT23" s="780"/>
      <c r="AU23" s="780"/>
      <c r="AV23" s="780"/>
      <c r="AW23" s="780"/>
    </row>
    <row r="24">
      <c r="A24" s="781">
        <v>45943.0</v>
      </c>
      <c r="B24" s="781">
        <v>45973.0</v>
      </c>
      <c r="C24" s="782" t="str">
        <f t="shared" si="1"/>
        <v>nov.</v>
      </c>
      <c r="D24" s="801"/>
      <c r="E24" s="821" t="s">
        <v>2056</v>
      </c>
      <c r="F24" s="802"/>
      <c r="G24" s="802"/>
      <c r="H24" s="802"/>
      <c r="I24" s="785">
        <v>0.0014045</v>
      </c>
      <c r="J24" s="786">
        <v>0.035</v>
      </c>
      <c r="K24" s="787">
        <f t="shared" si="2"/>
        <v>0</v>
      </c>
      <c r="L24" s="788">
        <f t="shared" si="3"/>
        <v>0</v>
      </c>
      <c r="M24" s="786">
        <v>0.0215</v>
      </c>
      <c r="N24" s="789">
        <f t="shared" si="4"/>
        <v>0.00143469675</v>
      </c>
      <c r="O24" s="787">
        <f t="shared" si="5"/>
        <v>15</v>
      </c>
      <c r="P24" s="787">
        <f>(K24*N24)+M41</f>
        <v>0.0215</v>
      </c>
      <c r="Q24" s="803">
        <v>1131.43</v>
      </c>
      <c r="R24" s="808">
        <f t="shared" si="18"/>
        <v>0</v>
      </c>
      <c r="S24" s="792"/>
      <c r="T24" s="787">
        <v>0.06</v>
      </c>
      <c r="U24" s="793"/>
      <c r="V24" s="787"/>
      <c r="W24" s="792"/>
      <c r="X24" s="794">
        <f t="shared" si="7"/>
        <v>1131.43</v>
      </c>
      <c r="Y24" s="795"/>
      <c r="Z24" s="792" t="str">
        <f t="shared" si="8"/>
        <v/>
      </c>
      <c r="AA24" s="794">
        <f t="shared" si="9"/>
        <v>1131.43</v>
      </c>
      <c r="AB24" s="795" t="s">
        <v>2003</v>
      </c>
      <c r="AC24" s="787">
        <f t="shared" si="10"/>
        <v>226.286</v>
      </c>
      <c r="AD24" s="792">
        <f t="shared" si="11"/>
        <v>905.144</v>
      </c>
      <c r="AE24" s="796"/>
      <c r="AF24" s="797" t="s">
        <v>2004</v>
      </c>
      <c r="AG24" s="804" t="b">
        <v>0</v>
      </c>
      <c r="AH24" s="780"/>
      <c r="AI24" s="780"/>
      <c r="AJ24" s="780"/>
      <c r="AK24" s="780"/>
      <c r="AL24" s="780"/>
      <c r="AM24" s="780"/>
      <c r="AN24" s="780"/>
      <c r="AO24" s="780"/>
      <c r="AP24" s="780"/>
      <c r="AQ24" s="780"/>
      <c r="AR24" s="780"/>
      <c r="AS24" s="780"/>
      <c r="AT24" s="780"/>
      <c r="AU24" s="780"/>
      <c r="AV24" s="780"/>
      <c r="AW24" s="780"/>
    </row>
    <row r="25">
      <c r="A25" s="781">
        <v>45952.0</v>
      </c>
      <c r="B25" s="781">
        <v>45974.0</v>
      </c>
      <c r="C25" s="782" t="str">
        <f t="shared" si="1"/>
        <v>nov.</v>
      </c>
      <c r="D25" s="783"/>
      <c r="E25" s="795" t="s">
        <v>2057</v>
      </c>
      <c r="F25" s="802"/>
      <c r="G25" s="802"/>
      <c r="H25" s="802"/>
      <c r="I25" s="785">
        <v>0.0014045</v>
      </c>
      <c r="J25" s="786">
        <v>0.035</v>
      </c>
      <c r="K25" s="787">
        <f t="shared" si="2"/>
        <v>0</v>
      </c>
      <c r="L25" s="788">
        <f t="shared" si="3"/>
        <v>0</v>
      </c>
      <c r="M25" s="786">
        <v>0.0215</v>
      </c>
      <c r="N25" s="789">
        <f t="shared" si="4"/>
        <v>0.00143469675</v>
      </c>
      <c r="O25" s="787">
        <f t="shared" si="5"/>
        <v>15</v>
      </c>
      <c r="P25" s="787">
        <f t="shared" ref="P25:P26" si="19">(K25*N25)+M41</f>
        <v>0.0215</v>
      </c>
      <c r="Q25" s="803">
        <v>1758.62</v>
      </c>
      <c r="R25" s="808">
        <f t="shared" si="18"/>
        <v>0</v>
      </c>
      <c r="S25" s="792"/>
      <c r="T25" s="787">
        <v>0.06</v>
      </c>
      <c r="U25" s="793"/>
      <c r="V25" s="787"/>
      <c r="W25" s="792"/>
      <c r="X25" s="794">
        <f t="shared" si="7"/>
        <v>1758.62</v>
      </c>
      <c r="Y25" s="795"/>
      <c r="Z25" s="792" t="str">
        <f t="shared" si="8"/>
        <v/>
      </c>
      <c r="AA25" s="794">
        <f t="shared" si="9"/>
        <v>1758.62</v>
      </c>
      <c r="AB25" s="795" t="s">
        <v>2003</v>
      </c>
      <c r="AC25" s="787">
        <f t="shared" si="10"/>
        <v>351.724</v>
      </c>
      <c r="AD25" s="792">
        <f t="shared" si="11"/>
        <v>1406.896</v>
      </c>
      <c r="AE25" s="796"/>
      <c r="AF25" s="797" t="s">
        <v>2004</v>
      </c>
      <c r="AG25" s="793" t="b">
        <v>0</v>
      </c>
      <c r="AH25" s="780"/>
      <c r="AI25" s="780"/>
      <c r="AJ25" s="780"/>
      <c r="AK25" s="780"/>
      <c r="AL25" s="780"/>
      <c r="AM25" s="780"/>
      <c r="AN25" s="780"/>
      <c r="AO25" s="780"/>
      <c r="AP25" s="780"/>
      <c r="AQ25" s="780"/>
      <c r="AR25" s="780"/>
      <c r="AS25" s="780"/>
      <c r="AT25" s="780"/>
      <c r="AU25" s="780"/>
      <c r="AV25" s="780"/>
      <c r="AW25" s="780"/>
    </row>
    <row r="26">
      <c r="A26" s="781">
        <v>45964.0</v>
      </c>
      <c r="B26" s="781">
        <v>45974.0</v>
      </c>
      <c r="C26" s="782" t="str">
        <f t="shared" si="1"/>
        <v>nov.</v>
      </c>
      <c r="D26" s="783"/>
      <c r="E26" s="816" t="s">
        <v>2058</v>
      </c>
      <c r="F26" s="802"/>
      <c r="G26" s="802"/>
      <c r="H26" s="802"/>
      <c r="I26" s="785">
        <v>0.0014045</v>
      </c>
      <c r="J26" s="786">
        <v>0.035</v>
      </c>
      <c r="K26" s="787">
        <f t="shared" si="2"/>
        <v>0</v>
      </c>
      <c r="L26" s="788">
        <f t="shared" si="3"/>
        <v>0</v>
      </c>
      <c r="M26" s="786">
        <v>0.0215</v>
      </c>
      <c r="N26" s="789">
        <f t="shared" si="4"/>
        <v>0.00143469675</v>
      </c>
      <c r="O26" s="787">
        <f t="shared" si="5"/>
        <v>15</v>
      </c>
      <c r="P26" s="787">
        <f t="shared" si="19"/>
        <v>0.0215</v>
      </c>
      <c r="Q26" s="803">
        <v>854.94</v>
      </c>
      <c r="R26" s="808">
        <f t="shared" si="18"/>
        <v>0</v>
      </c>
      <c r="S26" s="792"/>
      <c r="T26" s="787">
        <v>0.06</v>
      </c>
      <c r="U26" s="793"/>
      <c r="V26" s="787"/>
      <c r="W26" s="792"/>
      <c r="X26" s="794">
        <f t="shared" si="7"/>
        <v>854.94</v>
      </c>
      <c r="Y26" s="795"/>
      <c r="Z26" s="792" t="str">
        <f t="shared" si="8"/>
        <v/>
      </c>
      <c r="AA26" s="794">
        <f t="shared" si="9"/>
        <v>854.94</v>
      </c>
      <c r="AB26" s="795" t="s">
        <v>2003</v>
      </c>
      <c r="AC26" s="787">
        <f t="shared" si="10"/>
        <v>170.988</v>
      </c>
      <c r="AD26" s="792">
        <f t="shared" si="11"/>
        <v>683.952</v>
      </c>
      <c r="AE26" s="796"/>
      <c r="AF26" s="797" t="s">
        <v>2004</v>
      </c>
      <c r="AG26" s="804" t="b">
        <v>0</v>
      </c>
      <c r="AH26" s="780"/>
      <c r="AI26" s="780"/>
      <c r="AJ26" s="780"/>
      <c r="AK26" s="780"/>
      <c r="AL26" s="780"/>
      <c r="AM26" s="780"/>
      <c r="AN26" s="780"/>
      <c r="AO26" s="780"/>
      <c r="AP26" s="780"/>
      <c r="AQ26" s="780"/>
      <c r="AR26" s="780"/>
      <c r="AS26" s="780"/>
      <c r="AT26" s="780"/>
      <c r="AU26" s="780"/>
      <c r="AV26" s="780"/>
      <c r="AW26" s="780"/>
    </row>
    <row r="27">
      <c r="A27" s="781">
        <v>45910.0</v>
      </c>
      <c r="B27" s="781">
        <v>45975.0</v>
      </c>
      <c r="C27" s="782" t="str">
        <f t="shared" si="1"/>
        <v>nov.</v>
      </c>
      <c r="D27" s="783"/>
      <c r="E27" s="783" t="s">
        <v>2059</v>
      </c>
      <c r="F27" s="802"/>
      <c r="G27" s="802"/>
      <c r="H27" s="802"/>
      <c r="I27" s="785">
        <v>0.0014045</v>
      </c>
      <c r="J27" s="786">
        <v>0.035</v>
      </c>
      <c r="K27" s="787">
        <f t="shared" si="2"/>
        <v>0</v>
      </c>
      <c r="L27" s="788">
        <f t="shared" si="3"/>
        <v>0</v>
      </c>
      <c r="M27" s="786">
        <v>0.0215</v>
      </c>
      <c r="N27" s="789">
        <f t="shared" si="4"/>
        <v>0.00143469675</v>
      </c>
      <c r="O27" s="787">
        <f t="shared" si="5"/>
        <v>15</v>
      </c>
      <c r="P27" s="787">
        <f>(K27*N27)+M45</f>
        <v>0.0215</v>
      </c>
      <c r="Q27" s="803">
        <v>321.1</v>
      </c>
      <c r="R27" s="808">
        <f t="shared" si="18"/>
        <v>0</v>
      </c>
      <c r="S27" s="792"/>
      <c r="T27" s="787">
        <v>0.06</v>
      </c>
      <c r="U27" s="793"/>
      <c r="V27" s="787"/>
      <c r="W27" s="792"/>
      <c r="X27" s="794">
        <f t="shared" si="7"/>
        <v>321.1</v>
      </c>
      <c r="Y27" s="795"/>
      <c r="Z27" s="792" t="str">
        <f t="shared" si="8"/>
        <v/>
      </c>
      <c r="AA27" s="794">
        <f t="shared" si="9"/>
        <v>321.1</v>
      </c>
      <c r="AB27" s="795" t="s">
        <v>2003</v>
      </c>
      <c r="AC27" s="787">
        <f t="shared" si="10"/>
        <v>64.22</v>
      </c>
      <c r="AD27" s="792">
        <f t="shared" si="11"/>
        <v>256.88</v>
      </c>
      <c r="AE27" s="796"/>
      <c r="AF27" s="797" t="s">
        <v>2004</v>
      </c>
      <c r="AG27" s="804" t="b">
        <v>0</v>
      </c>
      <c r="AH27" s="780"/>
      <c r="AI27" s="780"/>
      <c r="AJ27" s="780"/>
      <c r="AK27" s="780"/>
      <c r="AL27" s="780"/>
      <c r="AM27" s="780"/>
      <c r="AN27" s="780"/>
      <c r="AO27" s="780"/>
      <c r="AP27" s="780"/>
      <c r="AQ27" s="780"/>
      <c r="AR27" s="780"/>
      <c r="AS27" s="780"/>
      <c r="AT27" s="780"/>
      <c r="AU27" s="780"/>
      <c r="AV27" s="780"/>
      <c r="AW27" s="780"/>
    </row>
    <row r="28">
      <c r="A28" s="781">
        <v>45974.0</v>
      </c>
      <c r="B28" s="832">
        <v>45975.0</v>
      </c>
      <c r="C28" s="782" t="str">
        <f t="shared" si="1"/>
        <v>nov.</v>
      </c>
      <c r="D28" s="783"/>
      <c r="E28" s="795" t="s">
        <v>2060</v>
      </c>
      <c r="F28" s="802"/>
      <c r="G28" s="802"/>
      <c r="H28" s="802"/>
      <c r="I28" s="785">
        <v>0.00140450000000001</v>
      </c>
      <c r="J28" s="786">
        <v>0.035</v>
      </c>
      <c r="K28" s="787">
        <f t="shared" si="2"/>
        <v>1009.07155</v>
      </c>
      <c r="L28" s="788">
        <f t="shared" si="3"/>
        <v>36.59845</v>
      </c>
      <c r="M28" s="786">
        <v>0.0215</v>
      </c>
      <c r="N28" s="789">
        <f t="shared" si="4"/>
        <v>0.00143469675</v>
      </c>
      <c r="O28" s="787">
        <f t="shared" si="5"/>
        <v>36.69503833</v>
      </c>
      <c r="P28" s="787">
        <f>(K28*N28)+M45</f>
        <v>1.469211673</v>
      </c>
      <c r="Q28" s="803">
        <v>1468.61</v>
      </c>
      <c r="R28" s="803">
        <v>1045.67</v>
      </c>
      <c r="S28" s="792"/>
      <c r="T28" s="787">
        <v>0.06</v>
      </c>
      <c r="U28" s="793"/>
      <c r="V28" s="787"/>
      <c r="W28" s="792"/>
      <c r="X28" s="794">
        <f t="shared" si="7"/>
        <v>422.94</v>
      </c>
      <c r="Y28" s="795"/>
      <c r="Z28" s="792" t="str">
        <f t="shared" si="8"/>
        <v/>
      </c>
      <c r="AA28" s="794">
        <f t="shared" si="9"/>
        <v>422.94</v>
      </c>
      <c r="AB28" s="795" t="s">
        <v>2003</v>
      </c>
      <c r="AC28" s="787">
        <f t="shared" si="10"/>
        <v>84.588</v>
      </c>
      <c r="AD28" s="792">
        <f t="shared" si="11"/>
        <v>338.352</v>
      </c>
      <c r="AE28" s="796"/>
      <c r="AF28" s="797" t="s">
        <v>2004</v>
      </c>
      <c r="AG28" s="804" t="b">
        <v>0</v>
      </c>
      <c r="AH28" s="780"/>
      <c r="AI28" s="780"/>
      <c r="AJ28" s="780"/>
      <c r="AK28" s="780"/>
      <c r="AL28" s="780"/>
      <c r="AM28" s="780"/>
      <c r="AN28" s="780"/>
      <c r="AO28" s="780"/>
      <c r="AP28" s="780"/>
      <c r="AQ28" s="780"/>
      <c r="AR28" s="780"/>
      <c r="AS28" s="780"/>
      <c r="AT28" s="780"/>
      <c r="AU28" s="780"/>
      <c r="AV28" s="780"/>
      <c r="AW28" s="780"/>
    </row>
    <row r="29">
      <c r="A29" s="781">
        <v>45946.0</v>
      </c>
      <c r="B29" s="781">
        <v>45976.0</v>
      </c>
      <c r="C29" s="782" t="str">
        <f t="shared" si="1"/>
        <v>nov.</v>
      </c>
      <c r="D29" s="783"/>
      <c r="E29" s="783" t="s">
        <v>2061</v>
      </c>
      <c r="F29" s="802"/>
      <c r="G29" s="802"/>
      <c r="H29" s="802"/>
      <c r="I29" s="785">
        <v>0.0014045</v>
      </c>
      <c r="J29" s="786">
        <v>0.035</v>
      </c>
      <c r="K29" s="787">
        <f t="shared" si="2"/>
        <v>0</v>
      </c>
      <c r="L29" s="788">
        <f t="shared" si="3"/>
        <v>0</v>
      </c>
      <c r="M29" s="786">
        <v>0.0215</v>
      </c>
      <c r="N29" s="789">
        <f t="shared" si="4"/>
        <v>0.00143469675</v>
      </c>
      <c r="O29" s="787">
        <f t="shared" si="5"/>
        <v>15</v>
      </c>
      <c r="P29" s="787">
        <f t="shared" ref="P29:P30" si="20">(K29*N29)+M47</f>
        <v>0.0215</v>
      </c>
      <c r="Q29" s="803">
        <v>952.46</v>
      </c>
      <c r="R29" s="808">
        <f>(G29*N29)*(1+J29)</f>
        <v>0</v>
      </c>
      <c r="S29" s="792"/>
      <c r="T29" s="787">
        <v>0.06</v>
      </c>
      <c r="U29" s="793"/>
      <c r="V29" s="787"/>
      <c r="W29" s="792"/>
      <c r="X29" s="794">
        <f t="shared" si="7"/>
        <v>952.46</v>
      </c>
      <c r="Y29" s="795"/>
      <c r="Z29" s="792" t="str">
        <f t="shared" si="8"/>
        <v/>
      </c>
      <c r="AA29" s="794">
        <f t="shared" si="9"/>
        <v>952.46</v>
      </c>
      <c r="AB29" s="795" t="s">
        <v>2003</v>
      </c>
      <c r="AC29" s="787">
        <f t="shared" si="10"/>
        <v>190.492</v>
      </c>
      <c r="AD29" s="792">
        <f t="shared" si="11"/>
        <v>761.968</v>
      </c>
      <c r="AE29" s="796"/>
      <c r="AF29" s="797" t="s">
        <v>2004</v>
      </c>
      <c r="AG29" s="804" t="b">
        <v>0</v>
      </c>
      <c r="AH29" s="780"/>
      <c r="AI29" s="780"/>
      <c r="AJ29" s="780"/>
      <c r="AK29" s="780"/>
      <c r="AL29" s="780"/>
      <c r="AM29" s="780"/>
      <c r="AN29" s="780"/>
      <c r="AO29" s="780"/>
      <c r="AP29" s="780"/>
      <c r="AQ29" s="780"/>
      <c r="AR29" s="780"/>
      <c r="AS29" s="780"/>
      <c r="AT29" s="780"/>
      <c r="AU29" s="780"/>
      <c r="AV29" s="780"/>
      <c r="AW29" s="780"/>
    </row>
    <row r="30">
      <c r="A30" s="781">
        <v>45944.0</v>
      </c>
      <c r="B30" s="781">
        <v>45977.0</v>
      </c>
      <c r="C30" s="782" t="str">
        <f t="shared" si="1"/>
        <v>nov.</v>
      </c>
      <c r="D30" s="801"/>
      <c r="E30" s="821" t="s">
        <v>2062</v>
      </c>
      <c r="F30" s="802"/>
      <c r="G30" s="802"/>
      <c r="H30" s="802"/>
      <c r="I30" s="785">
        <v>0.0014045</v>
      </c>
      <c r="J30" s="786">
        <v>0.035</v>
      </c>
      <c r="K30" s="787">
        <f t="shared" si="2"/>
        <v>84.92</v>
      </c>
      <c r="L30" s="788">
        <f t="shared" si="3"/>
        <v>3.08</v>
      </c>
      <c r="M30" s="786">
        <v>0.0215</v>
      </c>
      <c r="N30" s="789">
        <f t="shared" si="4"/>
        <v>0.00143469675</v>
      </c>
      <c r="O30" s="787">
        <f t="shared" si="5"/>
        <v>16.82578</v>
      </c>
      <c r="P30" s="787">
        <f t="shared" si="20"/>
        <v>0.143334448</v>
      </c>
      <c r="Q30" s="803">
        <f>2166</f>
        <v>2166</v>
      </c>
      <c r="R30" s="803">
        <v>88.0</v>
      </c>
      <c r="S30" s="792"/>
      <c r="T30" s="787">
        <v>0.06</v>
      </c>
      <c r="U30" s="793"/>
      <c r="V30" s="787"/>
      <c r="W30" s="792"/>
      <c r="X30" s="794">
        <f t="shared" si="7"/>
        <v>2078</v>
      </c>
      <c r="Y30" s="795"/>
      <c r="Z30" s="792" t="str">
        <f t="shared" si="8"/>
        <v/>
      </c>
      <c r="AA30" s="794">
        <f t="shared" si="9"/>
        <v>2078</v>
      </c>
      <c r="AB30" s="795" t="s">
        <v>2003</v>
      </c>
      <c r="AC30" s="787">
        <f t="shared" si="10"/>
        <v>415.6</v>
      </c>
      <c r="AD30" s="792">
        <f t="shared" si="11"/>
        <v>1662.4</v>
      </c>
      <c r="AE30" s="796"/>
      <c r="AF30" s="797" t="s">
        <v>2004</v>
      </c>
      <c r="AG30" s="804" t="b">
        <v>0</v>
      </c>
      <c r="AH30" s="780"/>
      <c r="AI30" s="780"/>
      <c r="AJ30" s="780"/>
      <c r="AK30" s="780"/>
      <c r="AL30" s="780"/>
      <c r="AM30" s="780"/>
      <c r="AN30" s="780"/>
      <c r="AO30" s="780"/>
      <c r="AP30" s="780"/>
      <c r="AQ30" s="780"/>
      <c r="AR30" s="780"/>
      <c r="AS30" s="780"/>
      <c r="AT30" s="780"/>
      <c r="AU30" s="780"/>
      <c r="AV30" s="780"/>
      <c r="AW30" s="780"/>
    </row>
    <row r="31">
      <c r="A31" s="781">
        <v>45943.0</v>
      </c>
      <c r="B31" s="781">
        <v>45977.0</v>
      </c>
      <c r="C31" s="782" t="str">
        <f t="shared" si="1"/>
        <v>nov.</v>
      </c>
      <c r="D31" s="801"/>
      <c r="E31" s="801" t="s">
        <v>2063</v>
      </c>
      <c r="F31" s="802"/>
      <c r="G31" s="802"/>
      <c r="H31" s="802"/>
      <c r="I31" s="785">
        <v>0.0014045</v>
      </c>
      <c r="J31" s="786">
        <v>0.035</v>
      </c>
      <c r="K31" s="787">
        <f t="shared" si="2"/>
        <v>4631.21835</v>
      </c>
      <c r="L31" s="788">
        <f t="shared" si="3"/>
        <v>167.97165</v>
      </c>
      <c r="M31" s="786">
        <v>0.0215</v>
      </c>
      <c r="N31" s="789">
        <f t="shared" si="4"/>
        <v>0.00143469675</v>
      </c>
      <c r="O31" s="787">
        <f t="shared" si="5"/>
        <v>114.5711945</v>
      </c>
      <c r="P31" s="787">
        <f t="shared" ref="P31:P32" si="21">(K31*N31)+M50</f>
        <v>6.665893915</v>
      </c>
      <c r="Q31" s="803">
        <f>3400+2945.08</f>
        <v>6345.08</v>
      </c>
      <c r="R31" s="808">
        <f>2185.34+1933.85+680</f>
        <v>4799.19</v>
      </c>
      <c r="S31" s="792"/>
      <c r="T31" s="787">
        <v>0.06</v>
      </c>
      <c r="U31" s="793"/>
      <c r="V31" s="787"/>
      <c r="W31" s="792"/>
      <c r="X31" s="794">
        <f t="shared" si="7"/>
        <v>1545.89</v>
      </c>
      <c r="Y31" s="795"/>
      <c r="Z31" s="792" t="str">
        <f t="shared" si="8"/>
        <v/>
      </c>
      <c r="AA31" s="794">
        <f t="shared" si="9"/>
        <v>1545.89</v>
      </c>
      <c r="AB31" s="795" t="s">
        <v>2003</v>
      </c>
      <c r="AC31" s="787">
        <f t="shared" si="10"/>
        <v>309.178</v>
      </c>
      <c r="AD31" s="792">
        <f t="shared" si="11"/>
        <v>1236.712</v>
      </c>
      <c r="AE31" s="796"/>
      <c r="AF31" s="797" t="s">
        <v>2004</v>
      </c>
      <c r="AG31" s="804" t="b">
        <v>0</v>
      </c>
      <c r="AH31" s="780"/>
      <c r="AI31" s="780"/>
      <c r="AJ31" s="780"/>
      <c r="AK31" s="780"/>
      <c r="AL31" s="780"/>
      <c r="AM31" s="780"/>
      <c r="AN31" s="780"/>
      <c r="AO31" s="780"/>
      <c r="AP31" s="780"/>
      <c r="AQ31" s="780"/>
      <c r="AR31" s="780"/>
      <c r="AS31" s="780"/>
      <c r="AT31" s="780"/>
      <c r="AU31" s="780"/>
      <c r="AV31" s="780"/>
      <c r="AW31" s="780"/>
    </row>
    <row r="32">
      <c r="A32" s="781">
        <v>45954.0</v>
      </c>
      <c r="B32" s="781">
        <v>45977.0</v>
      </c>
      <c r="C32" s="782" t="str">
        <f t="shared" si="1"/>
        <v>nov.</v>
      </c>
      <c r="D32" s="783"/>
      <c r="E32" s="816" t="s">
        <v>2064</v>
      </c>
      <c r="F32" s="802"/>
      <c r="G32" s="802"/>
      <c r="H32" s="802"/>
      <c r="I32" s="785">
        <v>0.0014045</v>
      </c>
      <c r="J32" s="786">
        <v>0.035</v>
      </c>
      <c r="K32" s="787">
        <f t="shared" si="2"/>
        <v>760.1884</v>
      </c>
      <c r="L32" s="788">
        <f t="shared" si="3"/>
        <v>27.5716</v>
      </c>
      <c r="M32" s="786">
        <v>0.0215</v>
      </c>
      <c r="N32" s="789">
        <f t="shared" si="4"/>
        <v>0.00143469675</v>
      </c>
      <c r="O32" s="787">
        <f t="shared" si="5"/>
        <v>31.3440506</v>
      </c>
      <c r="P32" s="787">
        <f t="shared" si="21"/>
        <v>1.112139827</v>
      </c>
      <c r="Q32" s="803">
        <v>1153.6</v>
      </c>
      <c r="R32" s="803">
        <v>787.76</v>
      </c>
      <c r="S32" s="792"/>
      <c r="T32" s="787">
        <v>0.06</v>
      </c>
      <c r="U32" s="793"/>
      <c r="V32" s="787"/>
      <c r="W32" s="792"/>
      <c r="X32" s="794">
        <f t="shared" si="7"/>
        <v>365.84</v>
      </c>
      <c r="Y32" s="795"/>
      <c r="Z32" s="792" t="str">
        <f t="shared" si="8"/>
        <v/>
      </c>
      <c r="AA32" s="794">
        <f t="shared" si="9"/>
        <v>365.84</v>
      </c>
      <c r="AB32" s="795" t="s">
        <v>2003</v>
      </c>
      <c r="AC32" s="787">
        <f t="shared" si="10"/>
        <v>73.168</v>
      </c>
      <c r="AD32" s="792">
        <f t="shared" si="11"/>
        <v>292.672</v>
      </c>
      <c r="AE32" s="796"/>
      <c r="AF32" s="797" t="s">
        <v>2004</v>
      </c>
      <c r="AG32" s="804" t="b">
        <v>0</v>
      </c>
      <c r="AH32" s="780"/>
      <c r="AI32" s="780"/>
      <c r="AJ32" s="780"/>
      <c r="AK32" s="780"/>
      <c r="AL32" s="780"/>
      <c r="AM32" s="780"/>
      <c r="AN32" s="780"/>
      <c r="AO32" s="780"/>
      <c r="AP32" s="780"/>
      <c r="AQ32" s="780"/>
      <c r="AR32" s="780"/>
      <c r="AS32" s="780"/>
      <c r="AT32" s="780"/>
      <c r="AU32" s="780"/>
      <c r="AV32" s="780"/>
      <c r="AW32" s="780"/>
    </row>
    <row r="33">
      <c r="A33" s="781">
        <v>45976.0</v>
      </c>
      <c r="B33" s="781">
        <v>45977.0</v>
      </c>
      <c r="C33" s="782" t="str">
        <f t="shared" si="1"/>
        <v>nov.</v>
      </c>
      <c r="D33" s="783"/>
      <c r="E33" s="795" t="s">
        <v>2065</v>
      </c>
      <c r="F33" s="802"/>
      <c r="G33" s="802"/>
      <c r="H33" s="802"/>
      <c r="I33" s="785">
        <v>0.00140450000000001</v>
      </c>
      <c r="J33" s="786">
        <v>0.035</v>
      </c>
      <c r="K33" s="787">
        <f t="shared" si="2"/>
        <v>0</v>
      </c>
      <c r="L33" s="788">
        <f t="shared" si="3"/>
        <v>0</v>
      </c>
      <c r="M33" s="786">
        <v>0.0215</v>
      </c>
      <c r="N33" s="789">
        <f t="shared" si="4"/>
        <v>0.00143469675</v>
      </c>
      <c r="O33" s="787">
        <f t="shared" si="5"/>
        <v>15</v>
      </c>
      <c r="P33" s="787">
        <f>(K33*N33)+M53</f>
        <v>0.0215</v>
      </c>
      <c r="Q33" s="803">
        <v>478.04</v>
      </c>
      <c r="R33" s="808">
        <f>(G33*N33)*(1+J33)</f>
        <v>0</v>
      </c>
      <c r="S33" s="792"/>
      <c r="T33" s="787">
        <v>0.06</v>
      </c>
      <c r="U33" s="793"/>
      <c r="V33" s="787"/>
      <c r="W33" s="792"/>
      <c r="X33" s="794">
        <f t="shared" si="7"/>
        <v>478.04</v>
      </c>
      <c r="Y33" s="795"/>
      <c r="Z33" s="792" t="str">
        <f t="shared" si="8"/>
        <v/>
      </c>
      <c r="AA33" s="794">
        <f t="shared" si="9"/>
        <v>478.04</v>
      </c>
      <c r="AB33" s="795" t="s">
        <v>2003</v>
      </c>
      <c r="AC33" s="787">
        <f t="shared" si="10"/>
        <v>95.608</v>
      </c>
      <c r="AD33" s="792">
        <f t="shared" si="11"/>
        <v>382.432</v>
      </c>
      <c r="AE33" s="796"/>
      <c r="AF33" s="797" t="s">
        <v>2004</v>
      </c>
      <c r="AG33" s="804" t="b">
        <v>0</v>
      </c>
      <c r="AH33" s="780"/>
      <c r="AI33" s="780"/>
      <c r="AJ33" s="780"/>
      <c r="AK33" s="780"/>
      <c r="AL33" s="780"/>
      <c r="AM33" s="780"/>
      <c r="AN33" s="780"/>
      <c r="AO33" s="780"/>
      <c r="AP33" s="780"/>
      <c r="AQ33" s="780"/>
      <c r="AR33" s="780"/>
      <c r="AS33" s="780"/>
      <c r="AT33" s="780"/>
      <c r="AU33" s="780"/>
      <c r="AV33" s="780"/>
      <c r="AW33" s="780"/>
    </row>
    <row r="34">
      <c r="A34" s="781">
        <v>45840.0</v>
      </c>
      <c r="B34" s="781">
        <v>45977.0</v>
      </c>
      <c r="C34" s="782" t="str">
        <f t="shared" si="1"/>
        <v>nov.</v>
      </c>
      <c r="D34" s="801"/>
      <c r="E34" s="801" t="s">
        <v>2066</v>
      </c>
      <c r="F34" s="784"/>
      <c r="G34" s="784"/>
      <c r="H34" s="784"/>
      <c r="I34" s="785">
        <v>0.0014045</v>
      </c>
      <c r="J34" s="786"/>
      <c r="K34" s="787"/>
      <c r="L34" s="788"/>
      <c r="M34" s="786"/>
      <c r="N34" s="789"/>
      <c r="O34" s="787"/>
      <c r="P34" s="787"/>
      <c r="Q34" s="803">
        <v>2267.0</v>
      </c>
      <c r="R34" s="803">
        <v>0.0</v>
      </c>
      <c r="S34" s="792"/>
      <c r="T34" s="787">
        <v>0.06</v>
      </c>
      <c r="U34" s="793"/>
      <c r="V34" s="787"/>
      <c r="W34" s="792"/>
      <c r="X34" s="794">
        <f t="shared" si="7"/>
        <v>2267</v>
      </c>
      <c r="Y34" s="795"/>
      <c r="Z34" s="792" t="str">
        <f t="shared" si="8"/>
        <v/>
      </c>
      <c r="AA34" s="794">
        <f t="shared" si="9"/>
        <v>2267</v>
      </c>
      <c r="AB34" s="795" t="s">
        <v>2003</v>
      </c>
      <c r="AC34" s="787">
        <f t="shared" si="10"/>
        <v>453.4</v>
      </c>
      <c r="AD34" s="792">
        <f t="shared" si="11"/>
        <v>1813.6</v>
      </c>
      <c r="AE34" s="796"/>
      <c r="AF34" s="797" t="s">
        <v>2004</v>
      </c>
      <c r="AG34" s="804" t="b">
        <v>0</v>
      </c>
      <c r="AH34" s="780"/>
      <c r="AI34" s="780"/>
      <c r="AJ34" s="780"/>
      <c r="AK34" s="780"/>
      <c r="AL34" s="780"/>
      <c r="AM34" s="780"/>
      <c r="AN34" s="780"/>
      <c r="AO34" s="780"/>
      <c r="AP34" s="780"/>
      <c r="AQ34" s="780"/>
      <c r="AR34" s="780"/>
      <c r="AS34" s="780"/>
      <c r="AT34" s="780"/>
      <c r="AU34" s="780"/>
      <c r="AV34" s="780"/>
      <c r="AW34" s="780"/>
    </row>
    <row r="35">
      <c r="A35" s="781">
        <v>45946.0</v>
      </c>
      <c r="B35" s="781">
        <v>45978.0</v>
      </c>
      <c r="C35" s="782" t="str">
        <f t="shared" si="1"/>
        <v>nov.</v>
      </c>
      <c r="D35" s="783"/>
      <c r="E35" s="816" t="s">
        <v>66</v>
      </c>
      <c r="F35" s="784"/>
      <c r="G35" s="784"/>
      <c r="H35" s="784"/>
      <c r="I35" s="785">
        <v>0.0014045</v>
      </c>
      <c r="J35" s="786">
        <v>0.035</v>
      </c>
      <c r="K35" s="787">
        <f t="shared" ref="K35:K962" si="22">R35*(1-J35)</f>
        <v>5043.8234</v>
      </c>
      <c r="L35" s="788">
        <f t="shared" ref="L35:L962" si="23">R35-K35</f>
        <v>182.9366</v>
      </c>
      <c r="M35" s="786">
        <v>0.0215</v>
      </c>
      <c r="N35" s="789">
        <f t="shared" ref="N35:N962" si="24">I35*(1+M35)</f>
        <v>0.00143469675</v>
      </c>
      <c r="O35" s="787">
        <f t="shared" ref="O35:O962" si="25">(K35*M35)+15</f>
        <v>123.4422031</v>
      </c>
      <c r="P35" s="787">
        <f t="shared" ref="P35:P39" si="26">(K35*N35)+M54</f>
        <v>7.25785704</v>
      </c>
      <c r="Q35" s="803">
        <v>7351.15</v>
      </c>
      <c r="R35" s="803">
        <v>5226.76</v>
      </c>
      <c r="S35" s="792"/>
      <c r="T35" s="787">
        <v>0.06</v>
      </c>
      <c r="U35" s="793"/>
      <c r="V35" s="787"/>
      <c r="W35" s="792"/>
      <c r="X35" s="794">
        <f t="shared" si="7"/>
        <v>2124.39</v>
      </c>
      <c r="Y35" s="795"/>
      <c r="Z35" s="792" t="str">
        <f t="shared" si="8"/>
        <v/>
      </c>
      <c r="AA35" s="794">
        <f t="shared" si="9"/>
        <v>2124.39</v>
      </c>
      <c r="AB35" s="795" t="s">
        <v>2003</v>
      </c>
      <c r="AC35" s="787">
        <f t="shared" si="10"/>
        <v>424.878</v>
      </c>
      <c r="AD35" s="792">
        <f t="shared" si="11"/>
        <v>1699.512</v>
      </c>
      <c r="AE35" s="796"/>
      <c r="AF35" s="797" t="s">
        <v>2004</v>
      </c>
      <c r="AG35" s="804" t="b">
        <v>0</v>
      </c>
      <c r="AH35" s="780"/>
      <c r="AI35" s="780"/>
      <c r="AJ35" s="780"/>
      <c r="AK35" s="780"/>
      <c r="AL35" s="780"/>
      <c r="AM35" s="780"/>
      <c r="AN35" s="780"/>
      <c r="AO35" s="780"/>
      <c r="AP35" s="780"/>
      <c r="AQ35" s="780"/>
      <c r="AR35" s="780"/>
      <c r="AS35" s="780"/>
      <c r="AT35" s="780"/>
      <c r="AU35" s="780"/>
      <c r="AV35" s="780"/>
      <c r="AW35" s="780"/>
    </row>
    <row r="36">
      <c r="A36" s="781">
        <v>45944.0</v>
      </c>
      <c r="B36" s="781">
        <v>45978.0</v>
      </c>
      <c r="C36" s="782" t="str">
        <f t="shared" si="1"/>
        <v>nov.</v>
      </c>
      <c r="D36" s="783"/>
      <c r="E36" s="816" t="s">
        <v>2067</v>
      </c>
      <c r="F36" s="802"/>
      <c r="G36" s="802"/>
      <c r="H36" s="802"/>
      <c r="I36" s="785">
        <v>0.0014045</v>
      </c>
      <c r="J36" s="786">
        <v>0.035</v>
      </c>
      <c r="K36" s="787">
        <f t="shared" si="22"/>
        <v>0</v>
      </c>
      <c r="L36" s="788">
        <f t="shared" si="23"/>
        <v>0</v>
      </c>
      <c r="M36" s="786">
        <v>0.0215</v>
      </c>
      <c r="N36" s="789">
        <f t="shared" si="24"/>
        <v>0.00143469675</v>
      </c>
      <c r="O36" s="787">
        <f t="shared" si="25"/>
        <v>15</v>
      </c>
      <c r="P36" s="787">
        <f t="shared" si="26"/>
        <v>0.0215</v>
      </c>
      <c r="Q36" s="803">
        <v>180.92</v>
      </c>
      <c r="R36" s="808">
        <f t="shared" ref="R36:R39" si="27">(G36*N36)*(1+J36)</f>
        <v>0</v>
      </c>
      <c r="S36" s="792"/>
      <c r="T36" s="787">
        <v>0.06</v>
      </c>
      <c r="U36" s="793"/>
      <c r="V36" s="787"/>
      <c r="W36" s="792"/>
      <c r="X36" s="794">
        <f t="shared" si="7"/>
        <v>180.92</v>
      </c>
      <c r="Y36" s="795"/>
      <c r="Z36" s="792" t="str">
        <f t="shared" si="8"/>
        <v/>
      </c>
      <c r="AA36" s="794">
        <f t="shared" si="9"/>
        <v>180.92</v>
      </c>
      <c r="AB36" s="795" t="s">
        <v>2003</v>
      </c>
      <c r="AC36" s="787">
        <f t="shared" si="10"/>
        <v>36.184</v>
      </c>
      <c r="AD36" s="792">
        <f t="shared" si="11"/>
        <v>144.736</v>
      </c>
      <c r="AE36" s="796"/>
      <c r="AF36" s="797" t="s">
        <v>2004</v>
      </c>
      <c r="AG36" s="804" t="b">
        <v>0</v>
      </c>
      <c r="AH36" s="780"/>
      <c r="AI36" s="780"/>
      <c r="AJ36" s="780"/>
      <c r="AK36" s="780"/>
      <c r="AL36" s="780"/>
      <c r="AM36" s="780"/>
      <c r="AN36" s="780"/>
      <c r="AO36" s="780"/>
      <c r="AP36" s="780"/>
      <c r="AQ36" s="780"/>
      <c r="AR36" s="780"/>
      <c r="AS36" s="780"/>
      <c r="AT36" s="780"/>
      <c r="AU36" s="780"/>
      <c r="AV36" s="780"/>
      <c r="AW36" s="780"/>
    </row>
    <row r="37">
      <c r="A37" s="833">
        <v>45973.0</v>
      </c>
      <c r="B37" s="833">
        <v>45980.0</v>
      </c>
      <c r="C37" s="834" t="str">
        <f t="shared" si="1"/>
        <v>nov.</v>
      </c>
      <c r="D37" s="835"/>
      <c r="E37" s="836" t="s">
        <v>2068</v>
      </c>
      <c r="F37" s="837"/>
      <c r="G37" s="837"/>
      <c r="H37" s="837"/>
      <c r="I37" s="838">
        <v>0.00140450000000001</v>
      </c>
      <c r="J37" s="839">
        <v>0.035</v>
      </c>
      <c r="K37" s="840">
        <f t="shared" si="22"/>
        <v>0</v>
      </c>
      <c r="L37" s="841">
        <f t="shared" si="23"/>
        <v>0</v>
      </c>
      <c r="M37" s="839">
        <v>0.0215</v>
      </c>
      <c r="N37" s="842">
        <f t="shared" si="24"/>
        <v>0.00143469675</v>
      </c>
      <c r="O37" s="840">
        <f t="shared" si="25"/>
        <v>15</v>
      </c>
      <c r="P37" s="840">
        <f t="shared" si="26"/>
        <v>0.0215</v>
      </c>
      <c r="Q37" s="843">
        <v>1665.0</v>
      </c>
      <c r="R37" s="844">
        <f t="shared" si="27"/>
        <v>0</v>
      </c>
      <c r="S37" s="845"/>
      <c r="T37" s="840">
        <v>0.06</v>
      </c>
      <c r="U37" s="846"/>
      <c r="V37" s="840"/>
      <c r="W37" s="845"/>
      <c r="X37" s="794">
        <f t="shared" si="7"/>
        <v>1665</v>
      </c>
      <c r="Y37" s="795"/>
      <c r="Z37" s="792" t="str">
        <f t="shared" si="8"/>
        <v/>
      </c>
      <c r="AA37" s="794">
        <f t="shared" si="9"/>
        <v>1665</v>
      </c>
      <c r="AB37" s="795" t="s">
        <v>2003</v>
      </c>
      <c r="AC37" s="787">
        <f t="shared" si="10"/>
        <v>333</v>
      </c>
      <c r="AD37" s="792">
        <f t="shared" si="11"/>
        <v>1332</v>
      </c>
      <c r="AE37" s="847"/>
      <c r="AF37" s="797" t="s">
        <v>2004</v>
      </c>
      <c r="AG37" s="848" t="b">
        <v>0</v>
      </c>
      <c r="AH37" s="849"/>
      <c r="AI37" s="849"/>
      <c r="AJ37" s="849"/>
      <c r="AK37" s="849"/>
      <c r="AL37" s="849"/>
      <c r="AM37" s="849"/>
      <c r="AN37" s="849"/>
      <c r="AO37" s="849"/>
      <c r="AP37" s="849"/>
      <c r="AQ37" s="849"/>
      <c r="AR37" s="849"/>
      <c r="AS37" s="849"/>
      <c r="AT37" s="849"/>
      <c r="AU37" s="849"/>
      <c r="AV37" s="849"/>
      <c r="AW37" s="849"/>
    </row>
    <row r="38">
      <c r="A38" s="781">
        <v>45971.0</v>
      </c>
      <c r="B38" s="781">
        <v>45980.0</v>
      </c>
      <c r="C38" s="782" t="str">
        <f t="shared" si="1"/>
        <v>nov.</v>
      </c>
      <c r="D38" s="801"/>
      <c r="E38" s="831" t="s">
        <v>2069</v>
      </c>
      <c r="F38" s="802"/>
      <c r="G38" s="802"/>
      <c r="H38" s="802"/>
      <c r="I38" s="785">
        <v>0.00140450000000001</v>
      </c>
      <c r="J38" s="786">
        <v>0.035</v>
      </c>
      <c r="K38" s="787">
        <f t="shared" si="22"/>
        <v>0</v>
      </c>
      <c r="L38" s="788">
        <f t="shared" si="23"/>
        <v>0</v>
      </c>
      <c r="M38" s="786">
        <v>0.0215</v>
      </c>
      <c r="N38" s="789">
        <f t="shared" si="24"/>
        <v>0.00143469675</v>
      </c>
      <c r="O38" s="787">
        <f t="shared" si="25"/>
        <v>15</v>
      </c>
      <c r="P38" s="787">
        <f t="shared" si="26"/>
        <v>0.0215</v>
      </c>
      <c r="Q38" s="803">
        <v>479.44</v>
      </c>
      <c r="R38" s="808">
        <f t="shared" si="27"/>
        <v>0</v>
      </c>
      <c r="S38" s="792"/>
      <c r="T38" s="787">
        <v>0.06</v>
      </c>
      <c r="U38" s="793"/>
      <c r="V38" s="787"/>
      <c r="W38" s="792"/>
      <c r="X38" s="794">
        <f t="shared" si="7"/>
        <v>479.44</v>
      </c>
      <c r="Y38" s="795"/>
      <c r="Z38" s="792" t="str">
        <f t="shared" si="8"/>
        <v/>
      </c>
      <c r="AA38" s="794">
        <f t="shared" si="9"/>
        <v>479.44</v>
      </c>
      <c r="AB38" s="795" t="s">
        <v>2003</v>
      </c>
      <c r="AC38" s="787">
        <f t="shared" si="10"/>
        <v>95.888</v>
      </c>
      <c r="AD38" s="792">
        <f t="shared" si="11"/>
        <v>383.552</v>
      </c>
      <c r="AE38" s="796"/>
      <c r="AF38" s="797" t="s">
        <v>2004</v>
      </c>
      <c r="AG38" s="804" t="b">
        <v>0</v>
      </c>
      <c r="AH38" s="780"/>
      <c r="AI38" s="780"/>
      <c r="AJ38" s="780"/>
      <c r="AK38" s="780"/>
      <c r="AL38" s="780"/>
      <c r="AM38" s="780"/>
      <c r="AN38" s="780"/>
      <c r="AO38" s="780"/>
      <c r="AP38" s="780"/>
      <c r="AQ38" s="780"/>
      <c r="AR38" s="780"/>
      <c r="AS38" s="780"/>
      <c r="AT38" s="780"/>
      <c r="AU38" s="780"/>
      <c r="AV38" s="780"/>
      <c r="AW38" s="780"/>
    </row>
    <row r="39">
      <c r="A39" s="781">
        <v>45946.0</v>
      </c>
      <c r="B39" s="781">
        <v>45980.0</v>
      </c>
      <c r="C39" s="782" t="str">
        <f t="shared" si="1"/>
        <v>nov.</v>
      </c>
      <c r="D39" s="801"/>
      <c r="E39" s="827" t="s">
        <v>2070</v>
      </c>
      <c r="F39" s="784"/>
      <c r="G39" s="784"/>
      <c r="H39" s="784"/>
      <c r="I39" s="785">
        <v>0.0014045</v>
      </c>
      <c r="J39" s="786">
        <v>0.035</v>
      </c>
      <c r="K39" s="787">
        <f t="shared" si="22"/>
        <v>0</v>
      </c>
      <c r="L39" s="788">
        <f t="shared" si="23"/>
        <v>0</v>
      </c>
      <c r="M39" s="786">
        <v>0.0215</v>
      </c>
      <c r="N39" s="789">
        <f t="shared" si="24"/>
        <v>0.00143469675</v>
      </c>
      <c r="O39" s="787">
        <f t="shared" si="25"/>
        <v>15</v>
      </c>
      <c r="P39" s="787">
        <f t="shared" si="26"/>
        <v>0.0215</v>
      </c>
      <c r="Q39" s="803">
        <v>474.7</v>
      </c>
      <c r="R39" s="808">
        <f t="shared" si="27"/>
        <v>0</v>
      </c>
      <c r="S39" s="792"/>
      <c r="T39" s="787">
        <v>0.06</v>
      </c>
      <c r="U39" s="793"/>
      <c r="V39" s="787"/>
      <c r="W39" s="792"/>
      <c r="X39" s="794">
        <f t="shared" si="7"/>
        <v>474.7</v>
      </c>
      <c r="Y39" s="795"/>
      <c r="Z39" s="792" t="str">
        <f t="shared" si="8"/>
        <v/>
      </c>
      <c r="AA39" s="794">
        <f t="shared" si="9"/>
        <v>474.7</v>
      </c>
      <c r="AB39" s="795" t="s">
        <v>2003</v>
      </c>
      <c r="AC39" s="787">
        <f t="shared" si="10"/>
        <v>94.94</v>
      </c>
      <c r="AD39" s="792">
        <f t="shared" si="11"/>
        <v>379.76</v>
      </c>
      <c r="AE39" s="796"/>
      <c r="AF39" s="797" t="s">
        <v>2004</v>
      </c>
      <c r="AG39" s="804" t="b">
        <v>0</v>
      </c>
      <c r="AH39" s="780"/>
      <c r="AI39" s="780"/>
      <c r="AJ39" s="780"/>
      <c r="AK39" s="780"/>
      <c r="AL39" s="780"/>
      <c r="AM39" s="780"/>
      <c r="AN39" s="780"/>
      <c r="AO39" s="780"/>
      <c r="AP39" s="780"/>
      <c r="AQ39" s="780"/>
      <c r="AR39" s="780"/>
      <c r="AS39" s="780"/>
      <c r="AT39" s="780"/>
      <c r="AU39" s="780"/>
      <c r="AV39" s="780"/>
      <c r="AW39" s="780"/>
    </row>
    <row r="40">
      <c r="A40" s="781">
        <v>45974.0</v>
      </c>
      <c r="B40" s="781">
        <v>45981.0</v>
      </c>
      <c r="C40" s="782" t="str">
        <f t="shared" si="1"/>
        <v>nov.</v>
      </c>
      <c r="D40" s="783"/>
      <c r="E40" s="795" t="s">
        <v>2071</v>
      </c>
      <c r="F40" s="802"/>
      <c r="G40" s="802"/>
      <c r="H40" s="802"/>
      <c r="I40" s="785">
        <v>0.00140450000000001</v>
      </c>
      <c r="J40" s="786">
        <v>0.035</v>
      </c>
      <c r="K40" s="787">
        <f t="shared" si="22"/>
        <v>160.962</v>
      </c>
      <c r="L40" s="788">
        <f t="shared" si="23"/>
        <v>5.838</v>
      </c>
      <c r="M40" s="786">
        <v>0.0215</v>
      </c>
      <c r="N40" s="789">
        <f t="shared" si="24"/>
        <v>0.00143469675</v>
      </c>
      <c r="O40" s="787">
        <f t="shared" si="25"/>
        <v>18.460683</v>
      </c>
      <c r="P40" s="787">
        <f>(K40*N40)+M60</f>
        <v>0.2524316583</v>
      </c>
      <c r="Q40" s="803">
        <v>2345.82</v>
      </c>
      <c r="R40" s="808">
        <v>166.8</v>
      </c>
      <c r="S40" s="792"/>
      <c r="T40" s="787">
        <v>0.06</v>
      </c>
      <c r="U40" s="793"/>
      <c r="V40" s="787"/>
      <c r="W40" s="792"/>
      <c r="X40" s="794">
        <f t="shared" si="7"/>
        <v>2179.02</v>
      </c>
      <c r="Y40" s="795"/>
      <c r="Z40" s="792" t="str">
        <f t="shared" si="8"/>
        <v/>
      </c>
      <c r="AA40" s="794">
        <f t="shared" si="9"/>
        <v>2179.02</v>
      </c>
      <c r="AB40" s="795" t="s">
        <v>2003</v>
      </c>
      <c r="AC40" s="787">
        <f t="shared" si="10"/>
        <v>435.804</v>
      </c>
      <c r="AD40" s="792">
        <f t="shared" si="11"/>
        <v>1743.216</v>
      </c>
      <c r="AE40" s="796"/>
      <c r="AF40" s="797" t="s">
        <v>2004</v>
      </c>
      <c r="AG40" s="804" t="b">
        <v>0</v>
      </c>
      <c r="AH40" s="780"/>
      <c r="AI40" s="780"/>
      <c r="AJ40" s="780"/>
      <c r="AK40" s="780"/>
      <c r="AL40" s="780"/>
      <c r="AM40" s="780"/>
      <c r="AN40" s="780"/>
      <c r="AO40" s="780"/>
      <c r="AP40" s="780"/>
      <c r="AQ40" s="780"/>
      <c r="AR40" s="780"/>
      <c r="AS40" s="780"/>
      <c r="AT40" s="780"/>
      <c r="AU40" s="780"/>
      <c r="AV40" s="780"/>
      <c r="AW40" s="780"/>
    </row>
    <row r="41">
      <c r="A41" s="781">
        <v>45943.0</v>
      </c>
      <c r="B41" s="781">
        <v>45981.0</v>
      </c>
      <c r="C41" s="782" t="str">
        <f t="shared" si="1"/>
        <v>nov.</v>
      </c>
      <c r="D41" s="801"/>
      <c r="E41" s="821" t="s">
        <v>2072</v>
      </c>
      <c r="F41" s="802"/>
      <c r="G41" s="802"/>
      <c r="H41" s="802"/>
      <c r="I41" s="785">
        <v>0.0014045</v>
      </c>
      <c r="J41" s="786">
        <v>0.035</v>
      </c>
      <c r="K41" s="787">
        <f t="shared" si="22"/>
        <v>0</v>
      </c>
      <c r="L41" s="788">
        <f t="shared" si="23"/>
        <v>0</v>
      </c>
      <c r="M41" s="786">
        <v>0.0215</v>
      </c>
      <c r="N41" s="789">
        <f t="shared" si="24"/>
        <v>0.00143469675</v>
      </c>
      <c r="O41" s="787">
        <f t="shared" si="25"/>
        <v>15</v>
      </c>
      <c r="P41" s="787" t="str">
        <f>(K41*N41)+#REF!</f>
        <v>#REF!</v>
      </c>
      <c r="Q41" s="803">
        <v>729.0</v>
      </c>
      <c r="R41" s="808">
        <f>(G41*N41)*(1+J41)</f>
        <v>0</v>
      </c>
      <c r="S41" s="792"/>
      <c r="T41" s="787">
        <v>0.06</v>
      </c>
      <c r="U41" s="793"/>
      <c r="V41" s="787"/>
      <c r="W41" s="792"/>
      <c r="X41" s="794">
        <f t="shared" si="7"/>
        <v>729</v>
      </c>
      <c r="Y41" s="795"/>
      <c r="Z41" s="792" t="str">
        <f t="shared" si="8"/>
        <v/>
      </c>
      <c r="AA41" s="794">
        <f t="shared" si="9"/>
        <v>729</v>
      </c>
      <c r="AB41" s="795" t="s">
        <v>2003</v>
      </c>
      <c r="AC41" s="787">
        <f t="shared" si="10"/>
        <v>145.8</v>
      </c>
      <c r="AD41" s="792">
        <f t="shared" si="11"/>
        <v>583.2</v>
      </c>
      <c r="AE41" s="796"/>
      <c r="AF41" s="797" t="s">
        <v>2004</v>
      </c>
      <c r="AG41" s="793" t="b">
        <v>0</v>
      </c>
      <c r="AH41" s="780"/>
      <c r="AI41" s="780"/>
      <c r="AJ41" s="780"/>
      <c r="AK41" s="780"/>
      <c r="AL41" s="780"/>
      <c r="AM41" s="780"/>
      <c r="AN41" s="780"/>
      <c r="AO41" s="780"/>
      <c r="AP41" s="780"/>
      <c r="AQ41" s="780"/>
      <c r="AR41" s="780"/>
      <c r="AS41" s="780"/>
      <c r="AT41" s="780"/>
      <c r="AU41" s="780"/>
      <c r="AV41" s="780"/>
      <c r="AW41" s="780"/>
    </row>
    <row r="42">
      <c r="A42" s="832">
        <v>45982.0</v>
      </c>
      <c r="B42" s="781">
        <v>45982.0</v>
      </c>
      <c r="C42" s="782" t="str">
        <f t="shared" si="1"/>
        <v>nov.</v>
      </c>
      <c r="D42" s="783"/>
      <c r="E42" s="795" t="s">
        <v>2073</v>
      </c>
      <c r="F42" s="802"/>
      <c r="G42" s="802"/>
      <c r="H42" s="802"/>
      <c r="I42" s="785">
        <v>0.00140450000000001</v>
      </c>
      <c r="J42" s="786">
        <v>0.035</v>
      </c>
      <c r="K42" s="787">
        <f t="shared" si="22"/>
        <v>946.5878</v>
      </c>
      <c r="L42" s="788">
        <f t="shared" si="23"/>
        <v>34.3322</v>
      </c>
      <c r="M42" s="786">
        <v>0.0215</v>
      </c>
      <c r="N42" s="789">
        <f t="shared" si="24"/>
        <v>0.00143469675</v>
      </c>
      <c r="O42" s="787">
        <f t="shared" si="25"/>
        <v>35.3516377</v>
      </c>
      <c r="P42" s="787">
        <f>(K42*N42)+M62</f>
        <v>1.37956644</v>
      </c>
      <c r="Q42" s="803">
        <v>1475.0</v>
      </c>
      <c r="R42" s="803">
        <v>980.92</v>
      </c>
      <c r="S42" s="792"/>
      <c r="T42" s="787">
        <v>0.06</v>
      </c>
      <c r="U42" s="793"/>
      <c r="V42" s="787"/>
      <c r="W42" s="792"/>
      <c r="X42" s="794">
        <f t="shared" si="7"/>
        <v>494.08</v>
      </c>
      <c r="Y42" s="795"/>
      <c r="Z42" s="792" t="str">
        <f t="shared" si="8"/>
        <v/>
      </c>
      <c r="AA42" s="794">
        <f t="shared" si="9"/>
        <v>494.08</v>
      </c>
      <c r="AB42" s="795" t="s">
        <v>2003</v>
      </c>
      <c r="AC42" s="787">
        <f t="shared" si="10"/>
        <v>98.816</v>
      </c>
      <c r="AD42" s="792">
        <f t="shared" si="11"/>
        <v>395.264</v>
      </c>
      <c r="AE42" s="850"/>
      <c r="AF42" s="797" t="s">
        <v>2004</v>
      </c>
      <c r="AG42" s="804" t="b">
        <v>0</v>
      </c>
      <c r="AH42" s="780"/>
      <c r="AI42" s="780"/>
      <c r="AJ42" s="780"/>
      <c r="AK42" s="780"/>
      <c r="AL42" s="780"/>
      <c r="AM42" s="780"/>
      <c r="AN42" s="780"/>
      <c r="AO42" s="780"/>
      <c r="AP42" s="780"/>
      <c r="AQ42" s="780"/>
      <c r="AR42" s="780"/>
      <c r="AS42" s="780"/>
      <c r="AT42" s="780"/>
      <c r="AU42" s="780"/>
      <c r="AV42" s="780"/>
      <c r="AW42" s="780"/>
    </row>
    <row r="43">
      <c r="A43" s="781">
        <v>45972.0</v>
      </c>
      <c r="B43" s="781">
        <v>45983.0</v>
      </c>
      <c r="C43" s="782" t="str">
        <f t="shared" si="1"/>
        <v>nov.</v>
      </c>
      <c r="D43" s="801"/>
      <c r="E43" s="831" t="s">
        <v>2074</v>
      </c>
      <c r="F43" s="802"/>
      <c r="G43" s="802"/>
      <c r="H43" s="802"/>
      <c r="I43" s="785">
        <v>0.00140450000000001</v>
      </c>
      <c r="J43" s="786">
        <v>0.035</v>
      </c>
      <c r="K43" s="787">
        <f t="shared" si="22"/>
        <v>0</v>
      </c>
      <c r="L43" s="788">
        <f t="shared" si="23"/>
        <v>0</v>
      </c>
      <c r="M43" s="786">
        <v>0.0215</v>
      </c>
      <c r="N43" s="789">
        <f t="shared" si="24"/>
        <v>0.00143469675</v>
      </c>
      <c r="O43" s="787">
        <f t="shared" si="25"/>
        <v>15</v>
      </c>
      <c r="P43" s="787">
        <f>(K43*N43)+M62</f>
        <v>0.0215</v>
      </c>
      <c r="Q43" s="803">
        <v>1066.82</v>
      </c>
      <c r="R43" s="808">
        <f t="shared" ref="R43:R48" si="28">(G43*N43)*(1+J43)</f>
        <v>0</v>
      </c>
      <c r="S43" s="792"/>
      <c r="T43" s="787">
        <v>0.06</v>
      </c>
      <c r="U43" s="793"/>
      <c r="V43" s="787"/>
      <c r="W43" s="792"/>
      <c r="X43" s="794">
        <f t="shared" si="7"/>
        <v>1066.82</v>
      </c>
      <c r="Y43" s="795"/>
      <c r="Z43" s="792" t="str">
        <f t="shared" si="8"/>
        <v/>
      </c>
      <c r="AA43" s="794">
        <f t="shared" si="9"/>
        <v>1066.82</v>
      </c>
      <c r="AB43" s="795" t="s">
        <v>2003</v>
      </c>
      <c r="AC43" s="787">
        <f t="shared" si="10"/>
        <v>213.364</v>
      </c>
      <c r="AD43" s="792">
        <f t="shared" si="11"/>
        <v>853.456</v>
      </c>
      <c r="AE43" s="796"/>
      <c r="AF43" s="797" t="s">
        <v>2004</v>
      </c>
      <c r="AG43" s="804" t="b">
        <v>0</v>
      </c>
      <c r="AH43" s="780"/>
      <c r="AI43" s="780"/>
      <c r="AJ43" s="780"/>
      <c r="AK43" s="780"/>
      <c r="AL43" s="780"/>
      <c r="AM43" s="780"/>
      <c r="AN43" s="780"/>
      <c r="AO43" s="780"/>
      <c r="AP43" s="780"/>
      <c r="AQ43" s="780"/>
      <c r="AR43" s="780"/>
      <c r="AS43" s="780"/>
      <c r="AT43" s="780"/>
      <c r="AU43" s="780"/>
      <c r="AV43" s="780"/>
      <c r="AW43" s="780"/>
    </row>
    <row r="44">
      <c r="A44" s="781">
        <v>45902.0</v>
      </c>
      <c r="B44" s="781">
        <v>45984.0</v>
      </c>
      <c r="C44" s="782" t="str">
        <f t="shared" si="1"/>
        <v>nov.</v>
      </c>
      <c r="D44" s="783"/>
      <c r="E44" s="783" t="s">
        <v>2075</v>
      </c>
      <c r="F44" s="802"/>
      <c r="G44" s="802"/>
      <c r="H44" s="802"/>
      <c r="I44" s="785">
        <v>0.0014045</v>
      </c>
      <c r="J44" s="786">
        <v>0.035</v>
      </c>
      <c r="K44" s="787">
        <f t="shared" si="22"/>
        <v>0</v>
      </c>
      <c r="L44" s="788">
        <f t="shared" si="23"/>
        <v>0</v>
      </c>
      <c r="M44" s="786">
        <v>0.0215</v>
      </c>
      <c r="N44" s="789">
        <f t="shared" si="24"/>
        <v>0.00143469675</v>
      </c>
      <c r="O44" s="787">
        <f t="shared" si="25"/>
        <v>15</v>
      </c>
      <c r="P44" s="787">
        <f>(K44*N44)+M64</f>
        <v>0.0215</v>
      </c>
      <c r="Q44" s="803">
        <v>1168.48</v>
      </c>
      <c r="R44" s="808">
        <f t="shared" si="28"/>
        <v>0</v>
      </c>
      <c r="S44" s="792"/>
      <c r="T44" s="787">
        <v>0.06</v>
      </c>
      <c r="U44" s="793"/>
      <c r="V44" s="787"/>
      <c r="W44" s="792"/>
      <c r="X44" s="794">
        <f t="shared" si="7"/>
        <v>1168.48</v>
      </c>
      <c r="Y44" s="795"/>
      <c r="Z44" s="792" t="str">
        <f t="shared" si="8"/>
        <v/>
      </c>
      <c r="AA44" s="794">
        <f t="shared" si="9"/>
        <v>1168.48</v>
      </c>
      <c r="AB44" s="795" t="s">
        <v>2003</v>
      </c>
      <c r="AC44" s="787">
        <f t="shared" si="10"/>
        <v>233.696</v>
      </c>
      <c r="AD44" s="792">
        <f t="shared" si="11"/>
        <v>934.784</v>
      </c>
      <c r="AE44" s="796"/>
      <c r="AF44" s="797" t="s">
        <v>2004</v>
      </c>
      <c r="AG44" s="804" t="b">
        <v>0</v>
      </c>
      <c r="AH44" s="780"/>
      <c r="AI44" s="780"/>
      <c r="AJ44" s="780"/>
      <c r="AK44" s="780"/>
      <c r="AL44" s="780"/>
      <c r="AM44" s="780"/>
      <c r="AN44" s="780"/>
      <c r="AO44" s="780"/>
      <c r="AP44" s="780"/>
      <c r="AQ44" s="780"/>
      <c r="AR44" s="780"/>
      <c r="AS44" s="780"/>
      <c r="AT44" s="780"/>
      <c r="AU44" s="780"/>
      <c r="AV44" s="780"/>
      <c r="AW44" s="780"/>
    </row>
    <row r="45">
      <c r="A45" s="781">
        <v>45975.0</v>
      </c>
      <c r="B45" s="781">
        <v>45984.0</v>
      </c>
      <c r="C45" s="782" t="str">
        <f t="shared" si="1"/>
        <v>nov.</v>
      </c>
      <c r="D45" s="783"/>
      <c r="E45" s="795" t="s">
        <v>2076</v>
      </c>
      <c r="F45" s="802"/>
      <c r="G45" s="802"/>
      <c r="H45" s="802"/>
      <c r="I45" s="785">
        <v>0.00140450000000001</v>
      </c>
      <c r="J45" s="786">
        <v>0.035</v>
      </c>
      <c r="K45" s="787">
        <f t="shared" si="22"/>
        <v>0</v>
      </c>
      <c r="L45" s="788">
        <f t="shared" si="23"/>
        <v>0</v>
      </c>
      <c r="M45" s="786">
        <v>0.0215</v>
      </c>
      <c r="N45" s="789">
        <f t="shared" si="24"/>
        <v>0.00143469675</v>
      </c>
      <c r="O45" s="787">
        <f t="shared" si="25"/>
        <v>15</v>
      </c>
      <c r="P45" s="787">
        <f>(K45*N45)+M64</f>
        <v>0.0215</v>
      </c>
      <c r="Q45" s="803">
        <v>5895.57</v>
      </c>
      <c r="R45" s="808">
        <f t="shared" si="28"/>
        <v>0</v>
      </c>
      <c r="S45" s="792"/>
      <c r="T45" s="787">
        <v>0.06</v>
      </c>
      <c r="U45" s="793"/>
      <c r="V45" s="787"/>
      <c r="W45" s="792"/>
      <c r="X45" s="794">
        <f t="shared" si="7"/>
        <v>5895.57</v>
      </c>
      <c r="Y45" s="795"/>
      <c r="Z45" s="792" t="str">
        <f t="shared" si="8"/>
        <v/>
      </c>
      <c r="AA45" s="794">
        <f t="shared" si="9"/>
        <v>5895.57</v>
      </c>
      <c r="AB45" s="795" t="s">
        <v>2003</v>
      </c>
      <c r="AC45" s="787">
        <f t="shared" si="10"/>
        <v>1179.114</v>
      </c>
      <c r="AD45" s="792">
        <f t="shared" si="11"/>
        <v>4716.456</v>
      </c>
      <c r="AE45" s="796"/>
      <c r="AF45" s="797" t="s">
        <v>2004</v>
      </c>
      <c r="AG45" s="804" t="b">
        <v>0</v>
      </c>
      <c r="AH45" s="780"/>
      <c r="AI45" s="780"/>
      <c r="AJ45" s="780"/>
      <c r="AK45" s="780"/>
      <c r="AL45" s="780"/>
      <c r="AM45" s="780"/>
      <c r="AN45" s="780"/>
      <c r="AO45" s="780"/>
      <c r="AP45" s="780"/>
      <c r="AQ45" s="780"/>
      <c r="AR45" s="780"/>
      <c r="AS45" s="780"/>
      <c r="AT45" s="780"/>
      <c r="AU45" s="780"/>
      <c r="AV45" s="780"/>
      <c r="AW45" s="780"/>
    </row>
    <row r="46">
      <c r="A46" s="781">
        <v>45889.0</v>
      </c>
      <c r="B46" s="781">
        <v>45984.0</v>
      </c>
      <c r="C46" s="782" t="str">
        <f t="shared" si="1"/>
        <v>nov.</v>
      </c>
      <c r="D46" s="801"/>
      <c r="E46" s="801" t="s">
        <v>2077</v>
      </c>
      <c r="F46" s="802"/>
      <c r="G46" s="802"/>
      <c r="H46" s="802"/>
      <c r="I46" s="785">
        <v>0.0014045</v>
      </c>
      <c r="J46" s="786">
        <v>0.035</v>
      </c>
      <c r="K46" s="787">
        <f t="shared" si="22"/>
        <v>0</v>
      </c>
      <c r="L46" s="788">
        <f t="shared" si="23"/>
        <v>0</v>
      </c>
      <c r="M46" s="786">
        <v>0.0215</v>
      </c>
      <c r="N46" s="789">
        <f t="shared" si="24"/>
        <v>0.00143469675</v>
      </c>
      <c r="O46" s="787">
        <f t="shared" si="25"/>
        <v>15</v>
      </c>
      <c r="P46" s="787">
        <f t="shared" ref="P46:P51" si="29">(K46*N46)+M66</f>
        <v>0.0215</v>
      </c>
      <c r="Q46" s="803">
        <v>658.0</v>
      </c>
      <c r="R46" s="808">
        <f t="shared" si="28"/>
        <v>0</v>
      </c>
      <c r="S46" s="792"/>
      <c r="T46" s="787">
        <v>0.06</v>
      </c>
      <c r="U46" s="793"/>
      <c r="V46" s="787"/>
      <c r="W46" s="792"/>
      <c r="X46" s="794">
        <f t="shared" si="7"/>
        <v>658</v>
      </c>
      <c r="Y46" s="795"/>
      <c r="Z46" s="792" t="str">
        <f t="shared" si="8"/>
        <v/>
      </c>
      <c r="AA46" s="794">
        <f t="shared" si="9"/>
        <v>658</v>
      </c>
      <c r="AB46" s="795" t="s">
        <v>2003</v>
      </c>
      <c r="AC46" s="787">
        <f t="shared" si="10"/>
        <v>131.6</v>
      </c>
      <c r="AD46" s="792">
        <f t="shared" si="11"/>
        <v>526.4</v>
      </c>
      <c r="AE46" s="796"/>
      <c r="AF46" s="797" t="s">
        <v>2004</v>
      </c>
      <c r="AG46" s="804" t="b">
        <v>0</v>
      </c>
      <c r="AH46" s="780"/>
      <c r="AI46" s="780"/>
      <c r="AJ46" s="780"/>
      <c r="AK46" s="780"/>
      <c r="AL46" s="780"/>
      <c r="AM46" s="780"/>
      <c r="AN46" s="780"/>
      <c r="AO46" s="780"/>
      <c r="AP46" s="780"/>
      <c r="AQ46" s="780"/>
      <c r="AR46" s="780"/>
      <c r="AS46" s="780"/>
      <c r="AT46" s="780"/>
      <c r="AU46" s="780"/>
      <c r="AV46" s="780"/>
      <c r="AW46" s="780"/>
    </row>
    <row r="47">
      <c r="A47" s="781">
        <v>45988.0</v>
      </c>
      <c r="B47" s="781">
        <v>45985.0</v>
      </c>
      <c r="C47" s="782" t="str">
        <f t="shared" si="1"/>
        <v>nov.</v>
      </c>
      <c r="D47" s="783"/>
      <c r="E47" s="795" t="s">
        <v>2078</v>
      </c>
      <c r="F47" s="802"/>
      <c r="G47" s="802"/>
      <c r="H47" s="802"/>
      <c r="I47" s="785">
        <v>0.00140450000000001</v>
      </c>
      <c r="J47" s="786">
        <v>0.035</v>
      </c>
      <c r="K47" s="787">
        <f t="shared" si="22"/>
        <v>0</v>
      </c>
      <c r="L47" s="788">
        <f t="shared" si="23"/>
        <v>0</v>
      </c>
      <c r="M47" s="786">
        <v>0.0215</v>
      </c>
      <c r="N47" s="789">
        <f t="shared" si="24"/>
        <v>0.00143469675</v>
      </c>
      <c r="O47" s="787">
        <f t="shared" si="25"/>
        <v>15</v>
      </c>
      <c r="P47" s="787">
        <f t="shared" si="29"/>
        <v>0.0215</v>
      </c>
      <c r="Q47" s="803">
        <v>485.05</v>
      </c>
      <c r="R47" s="808">
        <f t="shared" si="28"/>
        <v>0</v>
      </c>
      <c r="S47" s="792"/>
      <c r="T47" s="787">
        <v>0.06</v>
      </c>
      <c r="U47" s="793"/>
      <c r="V47" s="787"/>
      <c r="W47" s="792"/>
      <c r="X47" s="794">
        <f t="shared" si="7"/>
        <v>485.05</v>
      </c>
      <c r="Y47" s="795"/>
      <c r="Z47" s="792" t="str">
        <f t="shared" si="8"/>
        <v/>
      </c>
      <c r="AA47" s="794">
        <f t="shared" si="9"/>
        <v>485.05</v>
      </c>
      <c r="AB47" s="795" t="s">
        <v>2003</v>
      </c>
      <c r="AC47" s="787">
        <f t="shared" si="10"/>
        <v>97.01</v>
      </c>
      <c r="AD47" s="792">
        <f t="shared" si="11"/>
        <v>388.04</v>
      </c>
      <c r="AE47" s="796"/>
      <c r="AF47" s="797" t="s">
        <v>2004</v>
      </c>
      <c r="AG47" s="804" t="b">
        <v>0</v>
      </c>
      <c r="AH47" s="780"/>
      <c r="AI47" s="780"/>
      <c r="AJ47" s="780"/>
      <c r="AK47" s="780"/>
      <c r="AL47" s="780"/>
      <c r="AM47" s="780"/>
      <c r="AN47" s="780"/>
      <c r="AO47" s="780"/>
      <c r="AP47" s="780"/>
      <c r="AQ47" s="780"/>
      <c r="AR47" s="780"/>
      <c r="AS47" s="780"/>
      <c r="AT47" s="780"/>
      <c r="AU47" s="780"/>
      <c r="AV47" s="780"/>
      <c r="AW47" s="780"/>
    </row>
    <row r="48">
      <c r="A48" s="781">
        <v>45945.0</v>
      </c>
      <c r="B48" s="781">
        <v>45985.0</v>
      </c>
      <c r="C48" s="782" t="str">
        <f t="shared" si="1"/>
        <v>nov.</v>
      </c>
      <c r="D48" s="783"/>
      <c r="E48" s="816" t="s">
        <v>2079</v>
      </c>
      <c r="F48" s="802"/>
      <c r="G48" s="802"/>
      <c r="H48" s="802"/>
      <c r="I48" s="785">
        <v>0.0014045</v>
      </c>
      <c r="J48" s="786">
        <v>0.035</v>
      </c>
      <c r="K48" s="787">
        <f t="shared" si="22"/>
        <v>0</v>
      </c>
      <c r="L48" s="788">
        <f t="shared" si="23"/>
        <v>0</v>
      </c>
      <c r="M48" s="786">
        <v>0.0215</v>
      </c>
      <c r="N48" s="789">
        <f t="shared" si="24"/>
        <v>0.00143469675</v>
      </c>
      <c r="O48" s="787">
        <f t="shared" si="25"/>
        <v>15</v>
      </c>
      <c r="P48" s="787">
        <f t="shared" si="29"/>
        <v>0.0215</v>
      </c>
      <c r="Q48" s="803">
        <v>732.02</v>
      </c>
      <c r="R48" s="808">
        <f t="shared" si="28"/>
        <v>0</v>
      </c>
      <c r="S48" s="792"/>
      <c r="T48" s="787">
        <v>0.06</v>
      </c>
      <c r="U48" s="793"/>
      <c r="V48" s="787"/>
      <c r="W48" s="792"/>
      <c r="X48" s="794">
        <f t="shared" si="7"/>
        <v>732.02</v>
      </c>
      <c r="Y48" s="795"/>
      <c r="Z48" s="792" t="str">
        <f t="shared" si="8"/>
        <v/>
      </c>
      <c r="AA48" s="794">
        <f t="shared" si="9"/>
        <v>732.02</v>
      </c>
      <c r="AB48" s="795" t="s">
        <v>2003</v>
      </c>
      <c r="AC48" s="787">
        <f t="shared" si="10"/>
        <v>146.404</v>
      </c>
      <c r="AD48" s="792">
        <f t="shared" si="11"/>
        <v>585.616</v>
      </c>
      <c r="AE48" s="796"/>
      <c r="AF48" s="797" t="s">
        <v>2004</v>
      </c>
      <c r="AG48" s="804" t="b">
        <v>0</v>
      </c>
      <c r="AH48" s="780"/>
      <c r="AI48" s="780"/>
      <c r="AJ48" s="780"/>
      <c r="AK48" s="780"/>
      <c r="AL48" s="780"/>
      <c r="AM48" s="780"/>
      <c r="AN48" s="780"/>
      <c r="AO48" s="780"/>
      <c r="AP48" s="780"/>
      <c r="AQ48" s="780"/>
      <c r="AR48" s="780"/>
      <c r="AS48" s="780"/>
      <c r="AT48" s="780"/>
      <c r="AU48" s="780"/>
      <c r="AV48" s="780"/>
      <c r="AW48" s="780"/>
    </row>
    <row r="49">
      <c r="A49" s="781">
        <v>45986.0</v>
      </c>
      <c r="B49" s="781">
        <v>45986.0</v>
      </c>
      <c r="C49" s="782" t="str">
        <f t="shared" si="1"/>
        <v>nov.</v>
      </c>
      <c r="D49" s="783"/>
      <c r="E49" s="795" t="s">
        <v>2080</v>
      </c>
      <c r="F49" s="802"/>
      <c r="G49" s="802"/>
      <c r="H49" s="802"/>
      <c r="I49" s="785">
        <v>0.00140450000000001</v>
      </c>
      <c r="J49" s="786">
        <v>0.035</v>
      </c>
      <c r="K49" s="787">
        <f t="shared" si="22"/>
        <v>542.70635</v>
      </c>
      <c r="L49" s="788">
        <f t="shared" si="23"/>
        <v>19.68365</v>
      </c>
      <c r="M49" s="786">
        <v>0.0215</v>
      </c>
      <c r="N49" s="789">
        <f t="shared" si="24"/>
        <v>0.00143469675</v>
      </c>
      <c r="O49" s="787">
        <f t="shared" si="25"/>
        <v>26.66818653</v>
      </c>
      <c r="P49" s="787">
        <f t="shared" si="29"/>
        <v>0.8001190365</v>
      </c>
      <c r="Q49" s="803">
        <v>987.19</v>
      </c>
      <c r="R49" s="803">
        <v>562.39</v>
      </c>
      <c r="S49" s="792"/>
      <c r="T49" s="787">
        <v>0.06</v>
      </c>
      <c r="U49" s="793"/>
      <c r="V49" s="787"/>
      <c r="W49" s="792"/>
      <c r="X49" s="794">
        <f t="shared" si="7"/>
        <v>424.8</v>
      </c>
      <c r="Y49" s="795"/>
      <c r="Z49" s="792" t="str">
        <f t="shared" si="8"/>
        <v/>
      </c>
      <c r="AA49" s="794">
        <f t="shared" si="9"/>
        <v>424.8</v>
      </c>
      <c r="AB49" s="795" t="s">
        <v>2003</v>
      </c>
      <c r="AC49" s="787">
        <f t="shared" si="10"/>
        <v>84.96</v>
      </c>
      <c r="AD49" s="792">
        <f t="shared" si="11"/>
        <v>339.84</v>
      </c>
      <c r="AE49" s="796"/>
      <c r="AF49" s="797" t="s">
        <v>2004</v>
      </c>
      <c r="AG49" s="804" t="b">
        <v>0</v>
      </c>
      <c r="AH49" s="780"/>
      <c r="AI49" s="780"/>
      <c r="AJ49" s="780"/>
      <c r="AK49" s="780"/>
      <c r="AL49" s="780"/>
      <c r="AM49" s="780"/>
      <c r="AN49" s="780"/>
      <c r="AO49" s="780"/>
      <c r="AP49" s="780"/>
      <c r="AQ49" s="780"/>
      <c r="AR49" s="780"/>
      <c r="AS49" s="780"/>
      <c r="AT49" s="780"/>
      <c r="AU49" s="780"/>
      <c r="AV49" s="780"/>
      <c r="AW49" s="780"/>
    </row>
    <row r="50">
      <c r="A50" s="781">
        <v>45989.0</v>
      </c>
      <c r="B50" s="781">
        <v>45989.0</v>
      </c>
      <c r="C50" s="782" t="str">
        <f t="shared" si="1"/>
        <v>nov.</v>
      </c>
      <c r="D50" s="783"/>
      <c r="E50" s="795" t="s">
        <v>2081</v>
      </c>
      <c r="F50" s="802"/>
      <c r="G50" s="802"/>
      <c r="H50" s="802"/>
      <c r="I50" s="785">
        <v>0.00140450000000001</v>
      </c>
      <c r="J50" s="786">
        <v>0.035</v>
      </c>
      <c r="K50" s="787">
        <f t="shared" si="22"/>
        <v>0</v>
      </c>
      <c r="L50" s="788">
        <f t="shared" si="23"/>
        <v>0</v>
      </c>
      <c r="M50" s="786">
        <v>0.0215</v>
      </c>
      <c r="N50" s="789">
        <f t="shared" si="24"/>
        <v>0.00143469675</v>
      </c>
      <c r="O50" s="787">
        <f t="shared" si="25"/>
        <v>15</v>
      </c>
      <c r="P50" s="787">
        <f t="shared" si="29"/>
        <v>0.0215</v>
      </c>
      <c r="Q50" s="803">
        <v>362.65</v>
      </c>
      <c r="R50" s="808">
        <f t="shared" ref="R50:R55" si="30">(G50*N50)*(1+J50)</f>
        <v>0</v>
      </c>
      <c r="S50" s="792"/>
      <c r="T50" s="787">
        <v>0.06</v>
      </c>
      <c r="U50" s="793"/>
      <c r="V50" s="787"/>
      <c r="W50" s="792"/>
      <c r="X50" s="794">
        <f t="shared" si="7"/>
        <v>362.65</v>
      </c>
      <c r="Y50" s="795"/>
      <c r="Z50" s="792" t="str">
        <f t="shared" si="8"/>
        <v/>
      </c>
      <c r="AA50" s="794">
        <f t="shared" si="9"/>
        <v>362.65</v>
      </c>
      <c r="AB50" s="795" t="s">
        <v>2003</v>
      </c>
      <c r="AC50" s="787">
        <f t="shared" si="10"/>
        <v>72.53</v>
      </c>
      <c r="AD50" s="792">
        <f t="shared" si="11"/>
        <v>290.12</v>
      </c>
      <c r="AE50" s="796"/>
      <c r="AF50" s="797" t="s">
        <v>2004</v>
      </c>
      <c r="AG50" s="804" t="b">
        <v>0</v>
      </c>
      <c r="AH50" s="780"/>
      <c r="AI50" s="780"/>
      <c r="AJ50" s="780"/>
      <c r="AK50" s="780"/>
      <c r="AL50" s="780"/>
      <c r="AM50" s="780"/>
      <c r="AN50" s="780"/>
      <c r="AO50" s="780"/>
      <c r="AP50" s="780"/>
      <c r="AQ50" s="780"/>
      <c r="AR50" s="780"/>
      <c r="AS50" s="780"/>
      <c r="AT50" s="780"/>
      <c r="AU50" s="780"/>
      <c r="AV50" s="780"/>
      <c r="AW50" s="780"/>
    </row>
    <row r="51">
      <c r="A51" s="781">
        <v>45979.0</v>
      </c>
      <c r="B51" s="781">
        <v>45990.0</v>
      </c>
      <c r="C51" s="782" t="str">
        <f t="shared" si="1"/>
        <v>nov.</v>
      </c>
      <c r="D51" s="783"/>
      <c r="E51" s="795" t="s">
        <v>2082</v>
      </c>
      <c r="F51" s="802"/>
      <c r="G51" s="802"/>
      <c r="H51" s="802"/>
      <c r="I51" s="785">
        <v>0.00140450000000001</v>
      </c>
      <c r="J51" s="786">
        <v>0.035</v>
      </c>
      <c r="K51" s="787">
        <f t="shared" si="22"/>
        <v>0</v>
      </c>
      <c r="L51" s="788">
        <f t="shared" si="23"/>
        <v>0</v>
      </c>
      <c r="M51" s="786">
        <v>0.0215</v>
      </c>
      <c r="N51" s="789">
        <f t="shared" si="24"/>
        <v>0.00143469675</v>
      </c>
      <c r="O51" s="787">
        <f t="shared" si="25"/>
        <v>15</v>
      </c>
      <c r="P51" s="787">
        <f t="shared" si="29"/>
        <v>0.0215</v>
      </c>
      <c r="Q51" s="803">
        <v>300.74</v>
      </c>
      <c r="R51" s="808">
        <f t="shared" si="30"/>
        <v>0</v>
      </c>
      <c r="S51" s="792"/>
      <c r="T51" s="787">
        <v>0.06</v>
      </c>
      <c r="U51" s="793"/>
      <c r="V51" s="787"/>
      <c r="W51" s="792"/>
      <c r="X51" s="794">
        <f t="shared" si="7"/>
        <v>300.74</v>
      </c>
      <c r="Y51" s="795"/>
      <c r="Z51" s="792" t="str">
        <f t="shared" si="8"/>
        <v/>
      </c>
      <c r="AA51" s="794">
        <f t="shared" si="9"/>
        <v>300.74</v>
      </c>
      <c r="AB51" s="795" t="s">
        <v>2003</v>
      </c>
      <c r="AC51" s="787">
        <f t="shared" si="10"/>
        <v>60.148</v>
      </c>
      <c r="AD51" s="792">
        <f t="shared" si="11"/>
        <v>240.592</v>
      </c>
      <c r="AE51" s="796"/>
      <c r="AF51" s="797" t="s">
        <v>2004</v>
      </c>
      <c r="AG51" s="804" t="b">
        <v>0</v>
      </c>
      <c r="AH51" s="780"/>
      <c r="AI51" s="780"/>
      <c r="AJ51" s="780"/>
      <c r="AK51" s="780"/>
      <c r="AL51" s="780"/>
      <c r="AM51" s="780"/>
      <c r="AN51" s="780"/>
      <c r="AO51" s="780"/>
      <c r="AP51" s="780"/>
      <c r="AQ51" s="780"/>
      <c r="AR51" s="780"/>
      <c r="AS51" s="780"/>
      <c r="AT51" s="780"/>
      <c r="AU51" s="780"/>
      <c r="AV51" s="780"/>
      <c r="AW51" s="780"/>
    </row>
    <row r="52">
      <c r="A52" s="781">
        <v>45968.0</v>
      </c>
      <c r="B52" s="781">
        <v>45990.0</v>
      </c>
      <c r="C52" s="782" t="str">
        <f t="shared" si="1"/>
        <v>nov.</v>
      </c>
      <c r="D52" s="851"/>
      <c r="E52" s="831" t="s">
        <v>2083</v>
      </c>
      <c r="F52" s="802"/>
      <c r="G52" s="802"/>
      <c r="H52" s="802"/>
      <c r="I52" s="785">
        <v>0.0014045</v>
      </c>
      <c r="J52" s="786">
        <v>0.035</v>
      </c>
      <c r="K52" s="787">
        <f t="shared" si="22"/>
        <v>0</v>
      </c>
      <c r="L52" s="788">
        <f t="shared" si="23"/>
        <v>0</v>
      </c>
      <c r="M52" s="786">
        <v>0.0215</v>
      </c>
      <c r="N52" s="789">
        <f t="shared" si="24"/>
        <v>0.00143469675</v>
      </c>
      <c r="O52" s="787">
        <f t="shared" si="25"/>
        <v>15</v>
      </c>
      <c r="P52" s="787">
        <f>(K52*N52)+M71</f>
        <v>0.0215</v>
      </c>
      <c r="Q52" s="803">
        <v>1031.91</v>
      </c>
      <c r="R52" s="808">
        <f t="shared" si="30"/>
        <v>0</v>
      </c>
      <c r="S52" s="792"/>
      <c r="T52" s="787">
        <v>0.06</v>
      </c>
      <c r="U52" s="793"/>
      <c r="V52" s="787"/>
      <c r="W52" s="792"/>
      <c r="X52" s="794">
        <f t="shared" si="7"/>
        <v>1031.91</v>
      </c>
      <c r="Y52" s="795"/>
      <c r="Z52" s="792" t="str">
        <f t="shared" si="8"/>
        <v/>
      </c>
      <c r="AA52" s="794">
        <f t="shared" si="9"/>
        <v>1031.91</v>
      </c>
      <c r="AB52" s="795" t="s">
        <v>2003</v>
      </c>
      <c r="AC52" s="787">
        <f t="shared" si="10"/>
        <v>206.382</v>
      </c>
      <c r="AD52" s="792">
        <f t="shared" si="11"/>
        <v>825.528</v>
      </c>
      <c r="AE52" s="796"/>
      <c r="AF52" s="797" t="s">
        <v>2004</v>
      </c>
      <c r="AG52" s="804" t="b">
        <v>0</v>
      </c>
      <c r="AH52" s="780"/>
      <c r="AI52" s="780"/>
      <c r="AJ52" s="780"/>
      <c r="AK52" s="780"/>
      <c r="AL52" s="780"/>
      <c r="AM52" s="780"/>
      <c r="AN52" s="780"/>
      <c r="AO52" s="780"/>
      <c r="AP52" s="780"/>
      <c r="AQ52" s="780"/>
      <c r="AR52" s="780"/>
      <c r="AS52" s="780"/>
      <c r="AT52" s="780"/>
      <c r="AU52" s="780"/>
      <c r="AV52" s="780"/>
      <c r="AW52" s="780"/>
    </row>
    <row r="53">
      <c r="A53" s="781">
        <v>45981.0</v>
      </c>
      <c r="B53" s="781">
        <v>45990.0</v>
      </c>
      <c r="C53" s="782" t="str">
        <f t="shared" si="1"/>
        <v>nov.</v>
      </c>
      <c r="D53" s="783"/>
      <c r="E53" s="795" t="s">
        <v>2084</v>
      </c>
      <c r="F53" s="802"/>
      <c r="G53" s="802"/>
      <c r="H53" s="802"/>
      <c r="I53" s="785">
        <v>0.00140450000000001</v>
      </c>
      <c r="J53" s="786">
        <v>0.035</v>
      </c>
      <c r="K53" s="787">
        <f t="shared" si="22"/>
        <v>0</v>
      </c>
      <c r="L53" s="788">
        <f t="shared" si="23"/>
        <v>0</v>
      </c>
      <c r="M53" s="786">
        <v>0.0215</v>
      </c>
      <c r="N53" s="789">
        <f t="shared" si="24"/>
        <v>0.00143469675</v>
      </c>
      <c r="O53" s="787">
        <f t="shared" si="25"/>
        <v>15</v>
      </c>
      <c r="P53" s="787">
        <f>(K53*N53)+M73</f>
        <v>0.0215</v>
      </c>
      <c r="Q53" s="803">
        <v>1051.92</v>
      </c>
      <c r="R53" s="808">
        <f t="shared" si="30"/>
        <v>0</v>
      </c>
      <c r="S53" s="792"/>
      <c r="T53" s="787">
        <v>0.06</v>
      </c>
      <c r="U53" s="793"/>
      <c r="V53" s="787"/>
      <c r="W53" s="792"/>
      <c r="X53" s="794">
        <f t="shared" si="7"/>
        <v>1051.92</v>
      </c>
      <c r="Y53" s="795"/>
      <c r="Z53" s="792" t="str">
        <f t="shared" si="8"/>
        <v/>
      </c>
      <c r="AA53" s="794">
        <f t="shared" si="9"/>
        <v>1051.92</v>
      </c>
      <c r="AB53" s="795" t="s">
        <v>2003</v>
      </c>
      <c r="AC53" s="787">
        <f t="shared" si="10"/>
        <v>210.384</v>
      </c>
      <c r="AD53" s="792">
        <f t="shared" si="11"/>
        <v>841.536</v>
      </c>
      <c r="AE53" s="850"/>
      <c r="AF53" s="797" t="s">
        <v>2004</v>
      </c>
      <c r="AG53" s="804" t="b">
        <v>0</v>
      </c>
      <c r="AH53" s="780"/>
      <c r="AI53" s="780"/>
      <c r="AJ53" s="780"/>
      <c r="AK53" s="780"/>
      <c r="AL53" s="780"/>
      <c r="AM53" s="780"/>
      <c r="AN53" s="780"/>
      <c r="AO53" s="780"/>
      <c r="AP53" s="780"/>
      <c r="AQ53" s="780"/>
      <c r="AR53" s="780"/>
      <c r="AS53" s="780"/>
      <c r="AT53" s="780"/>
      <c r="AU53" s="780"/>
      <c r="AV53" s="780"/>
      <c r="AW53" s="780"/>
    </row>
    <row r="54">
      <c r="A54" s="781">
        <v>45972.0</v>
      </c>
      <c r="B54" s="781">
        <v>45990.0</v>
      </c>
      <c r="C54" s="782" t="str">
        <f t="shared" si="1"/>
        <v>nov.</v>
      </c>
      <c r="D54" s="801"/>
      <c r="E54" s="831" t="s">
        <v>2085</v>
      </c>
      <c r="F54" s="802"/>
      <c r="G54" s="802"/>
      <c r="H54" s="802"/>
      <c r="I54" s="785">
        <v>0.00140450000000001</v>
      </c>
      <c r="J54" s="786">
        <v>0.035</v>
      </c>
      <c r="K54" s="787">
        <f t="shared" si="22"/>
        <v>0</v>
      </c>
      <c r="L54" s="788">
        <f t="shared" si="23"/>
        <v>0</v>
      </c>
      <c r="M54" s="786">
        <v>0.0215</v>
      </c>
      <c r="N54" s="789">
        <f t="shared" si="24"/>
        <v>0.00143469675</v>
      </c>
      <c r="O54" s="787">
        <f t="shared" si="25"/>
        <v>15</v>
      </c>
      <c r="P54" s="787">
        <f t="shared" ref="P54:P56" si="31">(K54*N54)+M73</f>
        <v>0.0215</v>
      </c>
      <c r="Q54" s="803">
        <v>748.24</v>
      </c>
      <c r="R54" s="808">
        <f t="shared" si="30"/>
        <v>0</v>
      </c>
      <c r="S54" s="792"/>
      <c r="T54" s="787">
        <v>0.06</v>
      </c>
      <c r="U54" s="793"/>
      <c r="V54" s="787"/>
      <c r="W54" s="792"/>
      <c r="X54" s="794">
        <f t="shared" si="7"/>
        <v>748.24</v>
      </c>
      <c r="Y54" s="795"/>
      <c r="Z54" s="792" t="str">
        <f t="shared" si="8"/>
        <v/>
      </c>
      <c r="AA54" s="794">
        <f t="shared" si="9"/>
        <v>748.24</v>
      </c>
      <c r="AB54" s="795" t="s">
        <v>2003</v>
      </c>
      <c r="AC54" s="787">
        <f t="shared" si="10"/>
        <v>149.648</v>
      </c>
      <c r="AD54" s="792">
        <f t="shared" si="11"/>
        <v>598.592</v>
      </c>
      <c r="AE54" s="796"/>
      <c r="AF54" s="797" t="s">
        <v>2004</v>
      </c>
      <c r="AG54" s="804" t="b">
        <v>0</v>
      </c>
      <c r="AH54" s="780"/>
      <c r="AI54" s="780"/>
      <c r="AJ54" s="780"/>
      <c r="AK54" s="780"/>
      <c r="AL54" s="780"/>
      <c r="AM54" s="780"/>
      <c r="AN54" s="780"/>
      <c r="AO54" s="780"/>
      <c r="AP54" s="780"/>
      <c r="AQ54" s="780"/>
      <c r="AR54" s="780"/>
      <c r="AS54" s="780"/>
      <c r="AT54" s="780"/>
      <c r="AU54" s="780"/>
      <c r="AV54" s="780"/>
      <c r="AW54" s="780"/>
    </row>
    <row r="55">
      <c r="A55" s="781">
        <v>45975.0</v>
      </c>
      <c r="B55" s="781">
        <v>45991.0</v>
      </c>
      <c r="C55" s="782" t="str">
        <f t="shared" si="1"/>
        <v>nov.</v>
      </c>
      <c r="D55" s="801"/>
      <c r="E55" s="831" t="s">
        <v>2086</v>
      </c>
      <c r="F55" s="802"/>
      <c r="G55" s="802"/>
      <c r="H55" s="802"/>
      <c r="I55" s="785">
        <v>0.00140450000000001</v>
      </c>
      <c r="J55" s="786">
        <v>0.035</v>
      </c>
      <c r="K55" s="787">
        <f t="shared" si="22"/>
        <v>0</v>
      </c>
      <c r="L55" s="788">
        <f t="shared" si="23"/>
        <v>0</v>
      </c>
      <c r="M55" s="786">
        <v>0.0215</v>
      </c>
      <c r="N55" s="789">
        <f t="shared" si="24"/>
        <v>0.00143469675</v>
      </c>
      <c r="O55" s="787">
        <f t="shared" si="25"/>
        <v>15</v>
      </c>
      <c r="P55" s="787">
        <f t="shared" si="31"/>
        <v>0.0215</v>
      </c>
      <c r="Q55" s="803">
        <v>747.86</v>
      </c>
      <c r="R55" s="808">
        <f t="shared" si="30"/>
        <v>0</v>
      </c>
      <c r="S55" s="792"/>
      <c r="T55" s="787">
        <v>0.06</v>
      </c>
      <c r="U55" s="793"/>
      <c r="V55" s="787"/>
      <c r="W55" s="792"/>
      <c r="X55" s="794">
        <f t="shared" si="7"/>
        <v>747.86</v>
      </c>
      <c r="Y55" s="795"/>
      <c r="Z55" s="792" t="str">
        <f t="shared" si="8"/>
        <v/>
      </c>
      <c r="AA55" s="794">
        <f t="shared" si="9"/>
        <v>747.86</v>
      </c>
      <c r="AB55" s="795" t="s">
        <v>2003</v>
      </c>
      <c r="AC55" s="787">
        <f t="shared" si="10"/>
        <v>149.572</v>
      </c>
      <c r="AD55" s="792">
        <f t="shared" si="11"/>
        <v>598.288</v>
      </c>
      <c r="AE55" s="796"/>
      <c r="AF55" s="797" t="s">
        <v>2004</v>
      </c>
      <c r="AG55" s="804" t="b">
        <v>0</v>
      </c>
      <c r="AH55" s="780"/>
      <c r="AI55" s="780"/>
      <c r="AJ55" s="780"/>
      <c r="AK55" s="780"/>
      <c r="AL55" s="780"/>
      <c r="AM55" s="780"/>
      <c r="AN55" s="780"/>
      <c r="AO55" s="780"/>
      <c r="AP55" s="780"/>
      <c r="AQ55" s="780"/>
      <c r="AR55" s="780"/>
      <c r="AS55" s="780"/>
      <c r="AT55" s="780"/>
      <c r="AU55" s="780"/>
      <c r="AV55" s="780"/>
      <c r="AW55" s="780"/>
    </row>
    <row r="56">
      <c r="A56" s="852">
        <v>45973.0</v>
      </c>
      <c r="B56" s="852">
        <v>45992.0</v>
      </c>
      <c r="C56" s="853" t="str">
        <f t="shared" si="1"/>
        <v>dez.</v>
      </c>
      <c r="D56" s="854"/>
      <c r="E56" s="855" t="s">
        <v>2087</v>
      </c>
      <c r="F56" s="856"/>
      <c r="G56" s="856"/>
      <c r="H56" s="856"/>
      <c r="I56" s="857">
        <v>0.00140450000000001</v>
      </c>
      <c r="J56" s="858">
        <v>0.035</v>
      </c>
      <c r="K56" s="794">
        <f t="shared" si="22"/>
        <v>1377.27695</v>
      </c>
      <c r="L56" s="859">
        <f t="shared" si="23"/>
        <v>49.95305</v>
      </c>
      <c r="M56" s="858">
        <v>0.0215</v>
      </c>
      <c r="N56" s="860">
        <f t="shared" si="24"/>
        <v>0.00143469675</v>
      </c>
      <c r="O56" s="794">
        <f t="shared" si="25"/>
        <v>44.61145443</v>
      </c>
      <c r="P56" s="794">
        <f t="shared" si="31"/>
        <v>1.997474764</v>
      </c>
      <c r="Q56" s="861">
        <f>2362.6+2498.85</f>
        <v>4861.45</v>
      </c>
      <c r="R56" s="861">
        <v>1427.23</v>
      </c>
      <c r="S56" s="792"/>
      <c r="T56" s="787">
        <v>0.06</v>
      </c>
      <c r="U56" s="793"/>
      <c r="V56" s="787"/>
      <c r="W56" s="792"/>
      <c r="X56" s="794">
        <f t="shared" si="7"/>
        <v>3434.22</v>
      </c>
      <c r="Y56" s="795"/>
      <c r="Z56" s="792" t="str">
        <f t="shared" si="8"/>
        <v/>
      </c>
      <c r="AA56" s="794">
        <f t="shared" si="9"/>
        <v>3434.22</v>
      </c>
      <c r="AB56" s="795" t="s">
        <v>2003</v>
      </c>
      <c r="AC56" s="787">
        <f t="shared" si="10"/>
        <v>686.844</v>
      </c>
      <c r="AD56" s="792">
        <f t="shared" si="11"/>
        <v>2747.376</v>
      </c>
      <c r="AE56" s="862"/>
      <c r="AF56" s="797" t="s">
        <v>2004</v>
      </c>
      <c r="AG56" s="810" t="b">
        <v>0</v>
      </c>
      <c r="AH56" s="780"/>
      <c r="AI56" s="780"/>
      <c r="AJ56" s="780"/>
      <c r="AK56" s="780"/>
      <c r="AL56" s="780"/>
      <c r="AM56" s="780"/>
      <c r="AN56" s="780"/>
      <c r="AO56" s="780"/>
      <c r="AP56" s="780"/>
      <c r="AQ56" s="780"/>
      <c r="AR56" s="780"/>
      <c r="AS56" s="780"/>
      <c r="AT56" s="780"/>
      <c r="AU56" s="780"/>
      <c r="AV56" s="780"/>
      <c r="AW56" s="780"/>
    </row>
    <row r="57">
      <c r="A57" s="863">
        <v>45700.0</v>
      </c>
      <c r="B57" s="864">
        <v>45993.0</v>
      </c>
      <c r="C57" s="865" t="str">
        <f t="shared" si="1"/>
        <v>dez.</v>
      </c>
      <c r="D57" s="866"/>
      <c r="E57" s="867" t="s">
        <v>2088</v>
      </c>
      <c r="F57" s="868"/>
      <c r="G57" s="868"/>
      <c r="H57" s="868"/>
      <c r="I57" s="869">
        <v>0.00140450000000001</v>
      </c>
      <c r="J57" s="870">
        <v>0.035</v>
      </c>
      <c r="K57" s="871">
        <f t="shared" si="22"/>
        <v>0</v>
      </c>
      <c r="L57" s="872">
        <f t="shared" si="23"/>
        <v>0</v>
      </c>
      <c r="M57" s="870">
        <v>0.0215</v>
      </c>
      <c r="N57" s="873">
        <f t="shared" si="24"/>
        <v>0.00143469675</v>
      </c>
      <c r="O57" s="871">
        <f t="shared" si="25"/>
        <v>15</v>
      </c>
      <c r="P57" s="871">
        <f t="shared" ref="P57:P62" si="32">(K57*N57)+M77</f>
        <v>0.0215</v>
      </c>
      <c r="Q57" s="874">
        <v>563.21</v>
      </c>
      <c r="R57" s="875">
        <f>(G57*N57)*(1+J57)</f>
        <v>0</v>
      </c>
      <c r="S57" s="792"/>
      <c r="T57" s="787">
        <v>0.06</v>
      </c>
      <c r="U57" s="793"/>
      <c r="V57" s="787"/>
      <c r="W57" s="792"/>
      <c r="X57" s="794">
        <f t="shared" si="7"/>
        <v>563.21</v>
      </c>
      <c r="Y57" s="795"/>
      <c r="Z57" s="792" t="str">
        <f t="shared" si="8"/>
        <v/>
      </c>
      <c r="AA57" s="794">
        <f t="shared" si="9"/>
        <v>563.21</v>
      </c>
      <c r="AB57" s="795" t="s">
        <v>2003</v>
      </c>
      <c r="AC57" s="787">
        <f t="shared" si="10"/>
        <v>112.642</v>
      </c>
      <c r="AD57" s="792">
        <f t="shared" si="11"/>
        <v>450.568</v>
      </c>
      <c r="AE57" s="876" t="s">
        <v>2089</v>
      </c>
      <c r="AF57" s="877" t="s">
        <v>2004</v>
      </c>
      <c r="AG57" s="878" t="b">
        <v>0</v>
      </c>
      <c r="AH57" s="879"/>
      <c r="AI57" s="879"/>
      <c r="AJ57" s="879"/>
      <c r="AK57" s="879"/>
      <c r="AL57" s="879"/>
      <c r="AM57" s="879"/>
      <c r="AN57" s="879"/>
      <c r="AO57" s="879"/>
      <c r="AP57" s="879"/>
      <c r="AQ57" s="879"/>
      <c r="AR57" s="879"/>
      <c r="AS57" s="879"/>
      <c r="AT57" s="879"/>
      <c r="AU57" s="879"/>
      <c r="AV57" s="879"/>
      <c r="AW57" s="879"/>
    </row>
    <row r="58">
      <c r="A58" s="852">
        <v>45992.0</v>
      </c>
      <c r="B58" s="852">
        <v>45994.0</v>
      </c>
      <c r="C58" s="853" t="str">
        <f t="shared" si="1"/>
        <v>dez.</v>
      </c>
      <c r="D58" s="880"/>
      <c r="E58" s="881" t="s">
        <v>2090</v>
      </c>
      <c r="F58" s="856"/>
      <c r="G58" s="856"/>
      <c r="H58" s="856"/>
      <c r="I58" s="857">
        <v>0.00140450000000001</v>
      </c>
      <c r="J58" s="858">
        <v>0.035</v>
      </c>
      <c r="K58" s="794">
        <f t="shared" si="22"/>
        <v>637.35355</v>
      </c>
      <c r="L58" s="859">
        <f t="shared" si="23"/>
        <v>23.11645</v>
      </c>
      <c r="M58" s="858">
        <v>0.0215</v>
      </c>
      <c r="N58" s="860">
        <f t="shared" si="24"/>
        <v>0.00143469675</v>
      </c>
      <c r="O58" s="794">
        <f t="shared" si="25"/>
        <v>28.70310133</v>
      </c>
      <c r="P58" s="794">
        <f t="shared" si="32"/>
        <v>0.9359090668</v>
      </c>
      <c r="Q58" s="861">
        <v>2279.33</v>
      </c>
      <c r="R58" s="861">
        <v>660.47</v>
      </c>
      <c r="S58" s="792"/>
      <c r="T58" s="787">
        <v>0.06</v>
      </c>
      <c r="U58" s="793"/>
      <c r="V58" s="787"/>
      <c r="W58" s="792"/>
      <c r="X58" s="794">
        <f t="shared" si="7"/>
        <v>1618.86</v>
      </c>
      <c r="Y58" s="795"/>
      <c r="Z58" s="792" t="str">
        <f t="shared" si="8"/>
        <v/>
      </c>
      <c r="AA58" s="794">
        <f t="shared" si="9"/>
        <v>1618.86</v>
      </c>
      <c r="AB58" s="795" t="s">
        <v>2003</v>
      </c>
      <c r="AC58" s="787">
        <f t="shared" si="10"/>
        <v>323.772</v>
      </c>
      <c r="AD58" s="792">
        <f t="shared" si="11"/>
        <v>1295.088</v>
      </c>
      <c r="AE58" s="862"/>
      <c r="AF58" s="797" t="s">
        <v>2004</v>
      </c>
      <c r="AG58" s="810" t="b">
        <v>0</v>
      </c>
      <c r="AH58" s="780"/>
      <c r="AI58" s="780"/>
      <c r="AJ58" s="780"/>
      <c r="AK58" s="780"/>
      <c r="AL58" s="780"/>
      <c r="AM58" s="780"/>
      <c r="AN58" s="780"/>
      <c r="AO58" s="780"/>
      <c r="AP58" s="780"/>
      <c r="AQ58" s="780"/>
      <c r="AR58" s="780"/>
      <c r="AS58" s="780"/>
      <c r="AT58" s="780"/>
      <c r="AU58" s="780"/>
      <c r="AV58" s="780"/>
      <c r="AW58" s="780"/>
    </row>
    <row r="59">
      <c r="A59" s="852">
        <v>45960.0</v>
      </c>
      <c r="B59" s="852">
        <v>45995.0</v>
      </c>
      <c r="C59" s="853" t="str">
        <f t="shared" si="1"/>
        <v>dez.</v>
      </c>
      <c r="D59" s="880"/>
      <c r="E59" s="881" t="s">
        <v>2091</v>
      </c>
      <c r="F59" s="856"/>
      <c r="G59" s="856"/>
      <c r="H59" s="856"/>
      <c r="I59" s="857">
        <v>0.00140450000000001</v>
      </c>
      <c r="J59" s="858">
        <v>0.035</v>
      </c>
      <c r="K59" s="794">
        <f t="shared" si="22"/>
        <v>4232.78915</v>
      </c>
      <c r="L59" s="859">
        <f t="shared" si="23"/>
        <v>153.52085</v>
      </c>
      <c r="M59" s="858">
        <v>0.0215</v>
      </c>
      <c r="N59" s="860">
        <f t="shared" si="24"/>
        <v>0.00143469675</v>
      </c>
      <c r="O59" s="794">
        <f t="shared" si="25"/>
        <v>106.0049667</v>
      </c>
      <c r="P59" s="794">
        <f t="shared" si="32"/>
        <v>6.094268837</v>
      </c>
      <c r="Q59" s="882">
        <f>2820.18+2820.18</f>
        <v>5640.36</v>
      </c>
      <c r="R59" s="882">
        <f>1671.63+2052.67+662.01</f>
        <v>4386.31</v>
      </c>
      <c r="S59" s="792"/>
      <c r="T59" s="787">
        <v>0.06</v>
      </c>
      <c r="U59" s="793"/>
      <c r="V59" s="787"/>
      <c r="W59" s="792"/>
      <c r="X59" s="794">
        <f t="shared" si="7"/>
        <v>1254.05</v>
      </c>
      <c r="Y59" s="795"/>
      <c r="Z59" s="792" t="str">
        <f t="shared" si="8"/>
        <v/>
      </c>
      <c r="AA59" s="794">
        <f t="shared" si="9"/>
        <v>1254.05</v>
      </c>
      <c r="AB59" s="795" t="s">
        <v>2003</v>
      </c>
      <c r="AC59" s="787">
        <f t="shared" si="10"/>
        <v>250.81</v>
      </c>
      <c r="AD59" s="792">
        <f t="shared" si="11"/>
        <v>1003.24</v>
      </c>
      <c r="AE59" s="862"/>
      <c r="AF59" s="797" t="s">
        <v>2004</v>
      </c>
      <c r="AG59" s="810" t="b">
        <v>0</v>
      </c>
      <c r="AH59" s="780"/>
      <c r="AI59" s="780"/>
      <c r="AJ59" s="780"/>
      <c r="AK59" s="780"/>
      <c r="AL59" s="780"/>
      <c r="AM59" s="780"/>
      <c r="AN59" s="780"/>
      <c r="AO59" s="780"/>
      <c r="AP59" s="780"/>
      <c r="AQ59" s="780"/>
      <c r="AR59" s="780"/>
      <c r="AS59" s="780"/>
      <c r="AT59" s="780"/>
      <c r="AU59" s="780"/>
      <c r="AV59" s="780"/>
      <c r="AW59" s="780"/>
    </row>
    <row r="60">
      <c r="A60" s="852">
        <v>45988.0</v>
      </c>
      <c r="B60" s="852">
        <v>45995.0</v>
      </c>
      <c r="C60" s="853" t="str">
        <f t="shared" si="1"/>
        <v>dez.</v>
      </c>
      <c r="D60" s="880"/>
      <c r="E60" s="881" t="s">
        <v>457</v>
      </c>
      <c r="F60" s="856"/>
      <c r="G60" s="856"/>
      <c r="H60" s="856"/>
      <c r="I60" s="857">
        <v>0.00140450000000001</v>
      </c>
      <c r="J60" s="858">
        <v>0.035</v>
      </c>
      <c r="K60" s="794">
        <f t="shared" si="22"/>
        <v>616.72185</v>
      </c>
      <c r="L60" s="859">
        <f t="shared" si="23"/>
        <v>22.36815</v>
      </c>
      <c r="M60" s="858">
        <v>0.0215</v>
      </c>
      <c r="N60" s="860">
        <f t="shared" si="24"/>
        <v>0.00143469675</v>
      </c>
      <c r="O60" s="794">
        <f t="shared" si="25"/>
        <v>28.25951978</v>
      </c>
      <c r="P60" s="794">
        <f t="shared" si="32"/>
        <v>0.9063088338</v>
      </c>
      <c r="Q60" s="861">
        <v>1606.74</v>
      </c>
      <c r="R60" s="861">
        <v>639.09</v>
      </c>
      <c r="S60" s="792"/>
      <c r="T60" s="787">
        <v>0.06</v>
      </c>
      <c r="U60" s="793"/>
      <c r="V60" s="787"/>
      <c r="W60" s="792"/>
      <c r="X60" s="794">
        <f t="shared" si="7"/>
        <v>967.65</v>
      </c>
      <c r="Y60" s="795"/>
      <c r="Z60" s="792" t="str">
        <f t="shared" si="8"/>
        <v/>
      </c>
      <c r="AA60" s="794">
        <f t="shared" si="9"/>
        <v>967.65</v>
      </c>
      <c r="AB60" s="795" t="s">
        <v>2003</v>
      </c>
      <c r="AC60" s="787">
        <f t="shared" si="10"/>
        <v>193.53</v>
      </c>
      <c r="AD60" s="792">
        <f t="shared" si="11"/>
        <v>774.12</v>
      </c>
      <c r="AE60" s="862"/>
      <c r="AF60" s="797" t="s">
        <v>2004</v>
      </c>
      <c r="AG60" s="810" t="b">
        <v>0</v>
      </c>
      <c r="AH60" s="780"/>
      <c r="AI60" s="780"/>
      <c r="AJ60" s="780"/>
      <c r="AK60" s="780"/>
      <c r="AL60" s="780"/>
      <c r="AM60" s="780"/>
      <c r="AN60" s="780"/>
      <c r="AO60" s="780"/>
      <c r="AP60" s="780"/>
      <c r="AQ60" s="780"/>
      <c r="AR60" s="780"/>
      <c r="AS60" s="780"/>
      <c r="AT60" s="780"/>
      <c r="AU60" s="780"/>
      <c r="AV60" s="780"/>
      <c r="AW60" s="780"/>
    </row>
    <row r="61">
      <c r="A61" s="852">
        <v>45988.0</v>
      </c>
      <c r="B61" s="852">
        <v>45995.0</v>
      </c>
      <c r="C61" s="853" t="str">
        <f t="shared" si="1"/>
        <v>dez.</v>
      </c>
      <c r="D61" s="854"/>
      <c r="E61" s="855" t="s">
        <v>2092</v>
      </c>
      <c r="F61" s="883"/>
      <c r="G61" s="883"/>
      <c r="H61" s="883"/>
      <c r="I61" s="857">
        <v>0.00140450000000001</v>
      </c>
      <c r="J61" s="858">
        <v>0.035</v>
      </c>
      <c r="K61" s="794">
        <f t="shared" si="22"/>
        <v>1743.0216</v>
      </c>
      <c r="L61" s="859">
        <f t="shared" si="23"/>
        <v>63.2184</v>
      </c>
      <c r="M61" s="858">
        <v>0.0215</v>
      </c>
      <c r="N61" s="860">
        <f t="shared" si="24"/>
        <v>0.00143469675</v>
      </c>
      <c r="O61" s="794">
        <f t="shared" si="25"/>
        <v>52.4749644</v>
      </c>
      <c r="P61" s="794">
        <f t="shared" si="32"/>
        <v>2.522207425</v>
      </c>
      <c r="Q61" s="861">
        <f>1486.08+1562.64 </f>
        <v>3048.72</v>
      </c>
      <c r="R61" s="882">
        <f>829.1+977.14</f>
        <v>1806.24</v>
      </c>
      <c r="S61" s="792"/>
      <c r="T61" s="787">
        <v>0.06</v>
      </c>
      <c r="U61" s="793"/>
      <c r="V61" s="787"/>
      <c r="W61" s="792"/>
      <c r="X61" s="794">
        <f t="shared" si="7"/>
        <v>1242.48</v>
      </c>
      <c r="Y61" s="795"/>
      <c r="Z61" s="792" t="str">
        <f t="shared" si="8"/>
        <v/>
      </c>
      <c r="AA61" s="794">
        <f t="shared" si="9"/>
        <v>1242.48</v>
      </c>
      <c r="AB61" s="795" t="s">
        <v>2003</v>
      </c>
      <c r="AC61" s="787">
        <f t="shared" si="10"/>
        <v>248.496</v>
      </c>
      <c r="AD61" s="792">
        <f t="shared" si="11"/>
        <v>993.984</v>
      </c>
      <c r="AE61" s="862"/>
      <c r="AF61" s="797" t="s">
        <v>2004</v>
      </c>
      <c r="AG61" s="810" t="b">
        <v>0</v>
      </c>
      <c r="AH61" s="780"/>
      <c r="AI61" s="780"/>
      <c r="AJ61" s="780"/>
      <c r="AK61" s="780"/>
      <c r="AL61" s="780"/>
      <c r="AM61" s="780"/>
      <c r="AN61" s="780"/>
      <c r="AO61" s="780"/>
      <c r="AP61" s="780"/>
      <c r="AQ61" s="780"/>
      <c r="AR61" s="780"/>
      <c r="AS61" s="780"/>
      <c r="AT61" s="780"/>
      <c r="AU61" s="780"/>
      <c r="AV61" s="780"/>
      <c r="AW61" s="780"/>
    </row>
    <row r="62">
      <c r="A62" s="852">
        <v>45992.0</v>
      </c>
      <c r="B62" s="852">
        <v>45996.0</v>
      </c>
      <c r="C62" s="853" t="str">
        <f t="shared" si="1"/>
        <v>dez.</v>
      </c>
      <c r="D62" s="880"/>
      <c r="E62" s="881" t="s">
        <v>2093</v>
      </c>
      <c r="F62" s="856"/>
      <c r="G62" s="856"/>
      <c r="H62" s="856"/>
      <c r="I62" s="857">
        <v>0.00140450000000001</v>
      </c>
      <c r="J62" s="858">
        <v>0.035</v>
      </c>
      <c r="K62" s="794">
        <f t="shared" si="22"/>
        <v>1696.6244</v>
      </c>
      <c r="L62" s="859">
        <f t="shared" si="23"/>
        <v>61.5356</v>
      </c>
      <c r="M62" s="858">
        <v>0.0215</v>
      </c>
      <c r="N62" s="860">
        <f t="shared" si="24"/>
        <v>0.00143469675</v>
      </c>
      <c r="O62" s="794">
        <f t="shared" si="25"/>
        <v>51.4774246</v>
      </c>
      <c r="P62" s="794">
        <f t="shared" si="32"/>
        <v>2.455641513</v>
      </c>
      <c r="Q62" s="861">
        <v>2774.0</v>
      </c>
      <c r="R62" s="861">
        <v>1758.16</v>
      </c>
      <c r="S62" s="792"/>
      <c r="T62" s="787">
        <v>0.06</v>
      </c>
      <c r="U62" s="793"/>
      <c r="V62" s="787"/>
      <c r="W62" s="792"/>
      <c r="X62" s="794">
        <f t="shared" si="7"/>
        <v>1015.84</v>
      </c>
      <c r="Y62" s="795"/>
      <c r="Z62" s="792" t="str">
        <f t="shared" si="8"/>
        <v/>
      </c>
      <c r="AA62" s="794">
        <f t="shared" si="9"/>
        <v>1015.84</v>
      </c>
      <c r="AB62" s="795" t="s">
        <v>2003</v>
      </c>
      <c r="AC62" s="787">
        <f t="shared" si="10"/>
        <v>203.168</v>
      </c>
      <c r="AD62" s="792">
        <f t="shared" si="11"/>
        <v>812.672</v>
      </c>
      <c r="AE62" s="862"/>
      <c r="AF62" s="797" t="s">
        <v>2004</v>
      </c>
      <c r="AG62" s="810" t="b">
        <v>0</v>
      </c>
      <c r="AH62" s="780"/>
      <c r="AI62" s="780"/>
      <c r="AJ62" s="780"/>
      <c r="AK62" s="780"/>
      <c r="AL62" s="780"/>
      <c r="AM62" s="780"/>
      <c r="AN62" s="780"/>
      <c r="AO62" s="780"/>
      <c r="AP62" s="780"/>
      <c r="AQ62" s="780"/>
      <c r="AR62" s="780"/>
      <c r="AS62" s="780"/>
      <c r="AT62" s="780"/>
      <c r="AU62" s="780"/>
      <c r="AV62" s="780"/>
      <c r="AW62" s="780"/>
    </row>
    <row r="63">
      <c r="A63" s="852">
        <v>45971.0</v>
      </c>
      <c r="B63" s="852">
        <v>45997.0</v>
      </c>
      <c r="C63" s="853" t="str">
        <f t="shared" si="1"/>
        <v>dez.</v>
      </c>
      <c r="D63" s="880"/>
      <c r="E63" s="881" t="s">
        <v>2094</v>
      </c>
      <c r="F63" s="856"/>
      <c r="G63" s="856"/>
      <c r="H63" s="856"/>
      <c r="I63" s="857">
        <v>0.00140450000000001</v>
      </c>
      <c r="J63" s="858">
        <v>0.035</v>
      </c>
      <c r="K63" s="794">
        <f t="shared" si="22"/>
        <v>0</v>
      </c>
      <c r="L63" s="859">
        <f t="shared" si="23"/>
        <v>0</v>
      </c>
      <c r="M63" s="858">
        <v>0.0215</v>
      </c>
      <c r="N63" s="860">
        <f t="shared" si="24"/>
        <v>0.00143469675</v>
      </c>
      <c r="O63" s="794">
        <f t="shared" si="25"/>
        <v>15</v>
      </c>
      <c r="P63" s="794">
        <f>(K63*N63)+M82</f>
        <v>0.0215</v>
      </c>
      <c r="Q63" s="861">
        <v>780.0</v>
      </c>
      <c r="R63" s="882">
        <f>(G63*N63)*(1+J63)</f>
        <v>0</v>
      </c>
      <c r="S63" s="792"/>
      <c r="T63" s="787">
        <v>0.06</v>
      </c>
      <c r="U63" s="793"/>
      <c r="V63" s="787"/>
      <c r="W63" s="792"/>
      <c r="X63" s="794">
        <f t="shared" si="7"/>
        <v>780</v>
      </c>
      <c r="Y63" s="795"/>
      <c r="Z63" s="792" t="str">
        <f t="shared" si="8"/>
        <v/>
      </c>
      <c r="AA63" s="794">
        <f t="shared" si="9"/>
        <v>780</v>
      </c>
      <c r="AB63" s="795" t="s">
        <v>2003</v>
      </c>
      <c r="AC63" s="787">
        <f t="shared" si="10"/>
        <v>156</v>
      </c>
      <c r="AD63" s="792">
        <f t="shared" si="11"/>
        <v>624</v>
      </c>
      <c r="AE63" s="884"/>
      <c r="AF63" s="797" t="s">
        <v>2004</v>
      </c>
      <c r="AG63" s="810" t="b">
        <v>0</v>
      </c>
      <c r="AH63" s="780"/>
      <c r="AI63" s="778" t="s">
        <v>198</v>
      </c>
      <c r="AJ63" s="778" t="s">
        <v>147</v>
      </c>
      <c r="AK63" s="780"/>
      <c r="AL63" s="780"/>
      <c r="AM63" s="780"/>
      <c r="AN63" s="780"/>
      <c r="AO63" s="780"/>
      <c r="AP63" s="780"/>
      <c r="AQ63" s="780"/>
      <c r="AR63" s="780"/>
      <c r="AS63" s="780"/>
      <c r="AT63" s="780"/>
      <c r="AU63" s="780"/>
      <c r="AV63" s="780"/>
      <c r="AW63" s="780"/>
    </row>
    <row r="64">
      <c r="A64" s="852">
        <v>45997.0</v>
      </c>
      <c r="B64" s="852">
        <v>45998.0</v>
      </c>
      <c r="C64" s="853" t="str">
        <f t="shared" si="1"/>
        <v>dez.</v>
      </c>
      <c r="D64" s="854"/>
      <c r="E64" s="855" t="s">
        <v>2095</v>
      </c>
      <c r="F64" s="856"/>
      <c r="G64" s="856"/>
      <c r="H64" s="856"/>
      <c r="I64" s="857">
        <v>0.00140450000000001</v>
      </c>
      <c r="J64" s="858">
        <v>0.035</v>
      </c>
      <c r="K64" s="794">
        <f t="shared" si="22"/>
        <v>1496.0781</v>
      </c>
      <c r="L64" s="859">
        <f t="shared" si="23"/>
        <v>54.2619</v>
      </c>
      <c r="M64" s="858">
        <v>0.0215</v>
      </c>
      <c r="N64" s="860">
        <f t="shared" si="24"/>
        <v>0.00143469675</v>
      </c>
      <c r="O64" s="794">
        <f t="shared" si="25"/>
        <v>47.16567915</v>
      </c>
      <c r="P64" s="794">
        <f t="shared" ref="P64:P65" si="33">(K64*N64)+M84</f>
        <v>2.167918388</v>
      </c>
      <c r="Q64" s="885">
        <v>2790.0</v>
      </c>
      <c r="R64" s="882">
        <f>'Saldos e Devoluções Ju'!G496+'Saldos e Devoluções Ju'!G495</f>
        <v>1550.34</v>
      </c>
      <c r="S64" s="792"/>
      <c r="T64" s="787">
        <v>0.06</v>
      </c>
      <c r="U64" s="793"/>
      <c r="V64" s="787"/>
      <c r="W64" s="792"/>
      <c r="X64" s="794">
        <f t="shared" si="7"/>
        <v>1239.66</v>
      </c>
      <c r="Y64" s="795"/>
      <c r="Z64" s="792" t="str">
        <f t="shared" si="8"/>
        <v/>
      </c>
      <c r="AA64" s="794">
        <f t="shared" si="9"/>
        <v>1239.66</v>
      </c>
      <c r="AB64" s="795" t="s">
        <v>2003</v>
      </c>
      <c r="AC64" s="787">
        <f t="shared" si="10"/>
        <v>247.932</v>
      </c>
      <c r="AD64" s="792">
        <f t="shared" si="11"/>
        <v>991.728</v>
      </c>
      <c r="AE64" s="884" t="s">
        <v>2096</v>
      </c>
      <c r="AF64" s="797" t="s">
        <v>2004</v>
      </c>
      <c r="AG64" s="810" t="b">
        <v>0</v>
      </c>
      <c r="AH64" s="780"/>
      <c r="AI64" s="778">
        <v>1149.22</v>
      </c>
      <c r="AJ64" s="667">
        <v>824.24</v>
      </c>
      <c r="AK64" s="780"/>
      <c r="AL64" s="780"/>
      <c r="AM64" s="780"/>
      <c r="AN64" s="780"/>
      <c r="AO64" s="780"/>
      <c r="AP64" s="780"/>
      <c r="AQ64" s="780"/>
      <c r="AR64" s="780"/>
      <c r="AS64" s="780"/>
      <c r="AT64" s="780"/>
      <c r="AU64" s="780"/>
      <c r="AV64" s="780"/>
      <c r="AW64" s="780"/>
    </row>
    <row r="65">
      <c r="A65" s="852">
        <v>45979.0</v>
      </c>
      <c r="B65" s="852">
        <v>46000.0</v>
      </c>
      <c r="C65" s="853" t="str">
        <f t="shared" si="1"/>
        <v>dez.</v>
      </c>
      <c r="D65" s="854"/>
      <c r="E65" s="855" t="s">
        <v>2097</v>
      </c>
      <c r="F65" s="856"/>
      <c r="G65" s="856"/>
      <c r="H65" s="856"/>
      <c r="I65" s="857">
        <v>0.00140450000000001</v>
      </c>
      <c r="J65" s="858">
        <v>0.035</v>
      </c>
      <c r="K65" s="794">
        <f t="shared" si="22"/>
        <v>8422.8095</v>
      </c>
      <c r="L65" s="859">
        <f t="shared" si="23"/>
        <v>305.4905</v>
      </c>
      <c r="M65" s="858">
        <v>0.0215</v>
      </c>
      <c r="N65" s="860">
        <f t="shared" si="24"/>
        <v>0.00143469675</v>
      </c>
      <c r="O65" s="794">
        <f t="shared" si="25"/>
        <v>196.0904043</v>
      </c>
      <c r="P65" s="794">
        <f t="shared" si="33"/>
        <v>12.10567742</v>
      </c>
      <c r="Q65" s="861">
        <v>13690.0</v>
      </c>
      <c r="R65" s="861">
        <v>8728.3</v>
      </c>
      <c r="S65" s="792"/>
      <c r="T65" s="787">
        <v>0.06</v>
      </c>
      <c r="U65" s="793"/>
      <c r="V65" s="787"/>
      <c r="W65" s="792"/>
      <c r="X65" s="794">
        <f t="shared" si="7"/>
        <v>4961.7</v>
      </c>
      <c r="Y65" s="795"/>
      <c r="Z65" s="792" t="str">
        <f t="shared" si="8"/>
        <v/>
      </c>
      <c r="AA65" s="794">
        <f t="shared" si="9"/>
        <v>4961.7</v>
      </c>
      <c r="AB65" s="795" t="s">
        <v>2003</v>
      </c>
      <c r="AC65" s="787">
        <f t="shared" si="10"/>
        <v>992.34</v>
      </c>
      <c r="AD65" s="792">
        <f t="shared" si="11"/>
        <v>3969.36</v>
      </c>
      <c r="AE65" s="862"/>
      <c r="AF65" s="797" t="s">
        <v>2004</v>
      </c>
      <c r="AG65" s="810" t="b">
        <v>0</v>
      </c>
      <c r="AH65" s="780"/>
      <c r="AI65" s="780"/>
      <c r="AJ65" s="780"/>
      <c r="AK65" s="780"/>
      <c r="AL65" s="780"/>
      <c r="AM65" s="780"/>
      <c r="AN65" s="780"/>
      <c r="AO65" s="780"/>
      <c r="AP65" s="780"/>
      <c r="AQ65" s="780"/>
      <c r="AR65" s="780"/>
      <c r="AS65" s="780"/>
      <c r="AT65" s="780"/>
      <c r="AU65" s="780"/>
      <c r="AV65" s="780"/>
      <c r="AW65" s="780"/>
    </row>
    <row r="66">
      <c r="A66" s="852">
        <v>46000.0</v>
      </c>
      <c r="B66" s="852">
        <v>46001.0</v>
      </c>
      <c r="C66" s="853" t="str">
        <f t="shared" si="1"/>
        <v>dez.</v>
      </c>
      <c r="D66" s="854"/>
      <c r="E66" s="855" t="s">
        <v>2098</v>
      </c>
      <c r="F66" s="856"/>
      <c r="G66" s="856"/>
      <c r="H66" s="856"/>
      <c r="I66" s="857">
        <v>0.00140450000000001</v>
      </c>
      <c r="J66" s="858">
        <v>0.035</v>
      </c>
      <c r="K66" s="794">
        <f t="shared" si="22"/>
        <v>0</v>
      </c>
      <c r="L66" s="859">
        <f t="shared" si="23"/>
        <v>0</v>
      </c>
      <c r="M66" s="858">
        <v>0.0215</v>
      </c>
      <c r="N66" s="860">
        <f t="shared" si="24"/>
        <v>0.00143469675</v>
      </c>
      <c r="O66" s="794">
        <f t="shared" si="25"/>
        <v>15</v>
      </c>
      <c r="P66" s="794">
        <f t="shared" ref="P66:P67" si="34">(K66*N66)+M85</f>
        <v>0.0215</v>
      </c>
      <c r="Q66" s="861">
        <v>1048.44</v>
      </c>
      <c r="R66" s="882">
        <f t="shared" ref="R66:R68" si="35">(G66*N66)*(1+J66)</f>
        <v>0</v>
      </c>
      <c r="S66" s="792"/>
      <c r="T66" s="787">
        <v>0.06</v>
      </c>
      <c r="U66" s="793"/>
      <c r="V66" s="787"/>
      <c r="W66" s="792"/>
      <c r="X66" s="794">
        <f t="shared" si="7"/>
        <v>1048.44</v>
      </c>
      <c r="Y66" s="795"/>
      <c r="Z66" s="792" t="str">
        <f t="shared" si="8"/>
        <v/>
      </c>
      <c r="AA66" s="794">
        <f t="shared" si="9"/>
        <v>1048.44</v>
      </c>
      <c r="AB66" s="795" t="s">
        <v>2003</v>
      </c>
      <c r="AC66" s="787">
        <f t="shared" si="10"/>
        <v>209.688</v>
      </c>
      <c r="AD66" s="792">
        <f t="shared" si="11"/>
        <v>838.752</v>
      </c>
      <c r="AE66" s="862"/>
      <c r="AF66" s="797" t="s">
        <v>2004</v>
      </c>
      <c r="AG66" s="810" t="b">
        <v>0</v>
      </c>
      <c r="AH66" s="780"/>
      <c r="AI66" s="780"/>
      <c r="AJ66" s="780"/>
      <c r="AK66" s="780"/>
      <c r="AL66" s="780"/>
      <c r="AM66" s="780"/>
      <c r="AN66" s="780"/>
      <c r="AO66" s="780"/>
      <c r="AP66" s="780"/>
      <c r="AQ66" s="780"/>
      <c r="AR66" s="780"/>
      <c r="AS66" s="780"/>
      <c r="AT66" s="780"/>
      <c r="AU66" s="780"/>
      <c r="AV66" s="780"/>
      <c r="AW66" s="780"/>
    </row>
    <row r="67">
      <c r="A67" s="852">
        <v>46000.0</v>
      </c>
      <c r="B67" s="852">
        <v>46001.0</v>
      </c>
      <c r="C67" s="853" t="str">
        <f t="shared" si="1"/>
        <v>dez.</v>
      </c>
      <c r="D67" s="880"/>
      <c r="E67" s="881" t="s">
        <v>2099</v>
      </c>
      <c r="F67" s="856"/>
      <c r="G67" s="856"/>
      <c r="H67" s="856"/>
      <c r="I67" s="857">
        <v>0.00140450000000001</v>
      </c>
      <c r="J67" s="858">
        <v>0.035</v>
      </c>
      <c r="K67" s="794">
        <f t="shared" si="22"/>
        <v>0</v>
      </c>
      <c r="L67" s="859">
        <f t="shared" si="23"/>
        <v>0</v>
      </c>
      <c r="M67" s="858">
        <v>0.0215</v>
      </c>
      <c r="N67" s="860">
        <f t="shared" si="24"/>
        <v>0.00143469675</v>
      </c>
      <c r="O67" s="794">
        <f t="shared" si="25"/>
        <v>15</v>
      </c>
      <c r="P67" s="794">
        <f t="shared" si="34"/>
        <v>0.0215</v>
      </c>
      <c r="Q67" s="861">
        <v>536.85</v>
      </c>
      <c r="R67" s="882">
        <f t="shared" si="35"/>
        <v>0</v>
      </c>
      <c r="S67" s="792"/>
      <c r="T67" s="787">
        <v>0.06</v>
      </c>
      <c r="U67" s="793"/>
      <c r="V67" s="787"/>
      <c r="W67" s="792"/>
      <c r="X67" s="794">
        <f t="shared" si="7"/>
        <v>536.85</v>
      </c>
      <c r="Y67" s="795"/>
      <c r="Z67" s="792" t="str">
        <f t="shared" si="8"/>
        <v/>
      </c>
      <c r="AA67" s="794">
        <f t="shared" si="9"/>
        <v>536.85</v>
      </c>
      <c r="AB67" s="795" t="s">
        <v>2003</v>
      </c>
      <c r="AC67" s="787">
        <f t="shared" si="10"/>
        <v>107.37</v>
      </c>
      <c r="AD67" s="792">
        <f t="shared" si="11"/>
        <v>429.48</v>
      </c>
      <c r="AE67" s="862"/>
      <c r="AF67" s="797" t="s">
        <v>2004</v>
      </c>
      <c r="AG67" s="810" t="b">
        <v>0</v>
      </c>
      <c r="AH67" s="780"/>
      <c r="AI67" s="780"/>
      <c r="AJ67" s="780"/>
      <c r="AK67" s="780"/>
      <c r="AL67" s="780"/>
      <c r="AM67" s="780"/>
      <c r="AN67" s="780"/>
      <c r="AO67" s="780"/>
      <c r="AP67" s="780"/>
      <c r="AQ67" s="780"/>
      <c r="AR67" s="780"/>
      <c r="AS67" s="780"/>
      <c r="AT67" s="780"/>
      <c r="AU67" s="780"/>
      <c r="AV67" s="780"/>
      <c r="AW67" s="780"/>
    </row>
    <row r="68">
      <c r="A68" s="852">
        <v>46002.0</v>
      </c>
      <c r="B68" s="852">
        <v>46002.0</v>
      </c>
      <c r="C68" s="853" t="str">
        <f t="shared" si="1"/>
        <v>dez.</v>
      </c>
      <c r="D68" s="880"/>
      <c r="E68" s="881" t="s">
        <v>2100</v>
      </c>
      <c r="F68" s="856"/>
      <c r="G68" s="856"/>
      <c r="H68" s="856"/>
      <c r="I68" s="857">
        <v>0.00140450000000001</v>
      </c>
      <c r="J68" s="858">
        <v>0.035</v>
      </c>
      <c r="K68" s="794">
        <f t="shared" si="22"/>
        <v>0</v>
      </c>
      <c r="L68" s="859">
        <f t="shared" si="23"/>
        <v>0</v>
      </c>
      <c r="M68" s="858">
        <v>0.0215</v>
      </c>
      <c r="N68" s="860">
        <f t="shared" si="24"/>
        <v>0.00143469675</v>
      </c>
      <c r="O68" s="794">
        <f t="shared" si="25"/>
        <v>15</v>
      </c>
      <c r="P68" s="794">
        <f t="shared" ref="P68:P79" si="36">(K68*N68)+M88</f>
        <v>0.0215</v>
      </c>
      <c r="Q68" s="861">
        <v>211.14</v>
      </c>
      <c r="R68" s="882">
        <f t="shared" si="35"/>
        <v>0</v>
      </c>
      <c r="S68" s="792"/>
      <c r="T68" s="787">
        <v>0.06</v>
      </c>
      <c r="U68" s="793"/>
      <c r="V68" s="787"/>
      <c r="W68" s="792"/>
      <c r="X68" s="794">
        <f t="shared" si="7"/>
        <v>211.14</v>
      </c>
      <c r="Y68" s="795"/>
      <c r="Z68" s="792" t="str">
        <f t="shared" si="8"/>
        <v/>
      </c>
      <c r="AA68" s="794">
        <f t="shared" si="9"/>
        <v>211.14</v>
      </c>
      <c r="AB68" s="795" t="s">
        <v>2003</v>
      </c>
      <c r="AC68" s="787">
        <f t="shared" si="10"/>
        <v>42.228</v>
      </c>
      <c r="AD68" s="792">
        <f t="shared" si="11"/>
        <v>168.912</v>
      </c>
      <c r="AE68" s="862"/>
      <c r="AF68" s="797" t="s">
        <v>2004</v>
      </c>
      <c r="AG68" s="886" t="b">
        <v>0</v>
      </c>
      <c r="AH68" s="780"/>
      <c r="AI68" s="780"/>
      <c r="AJ68" s="780"/>
      <c r="AK68" s="780"/>
      <c r="AL68" s="780"/>
      <c r="AM68" s="780"/>
      <c r="AN68" s="780"/>
      <c r="AO68" s="780"/>
      <c r="AP68" s="780"/>
      <c r="AQ68" s="780"/>
      <c r="AR68" s="780"/>
      <c r="AS68" s="780"/>
      <c r="AT68" s="780"/>
      <c r="AU68" s="780"/>
      <c r="AV68" s="780"/>
      <c r="AW68" s="780"/>
    </row>
    <row r="69">
      <c r="A69" s="852">
        <v>45992.0</v>
      </c>
      <c r="B69" s="852">
        <v>46003.0</v>
      </c>
      <c r="C69" s="853" t="str">
        <f t="shared" si="1"/>
        <v>dez.</v>
      </c>
      <c r="D69" s="880"/>
      <c r="E69" s="881" t="s">
        <v>2101</v>
      </c>
      <c r="F69" s="856"/>
      <c r="G69" s="856"/>
      <c r="H69" s="856"/>
      <c r="I69" s="857">
        <v>0.00140450000000001</v>
      </c>
      <c r="J69" s="858">
        <v>0.035</v>
      </c>
      <c r="K69" s="794">
        <f t="shared" si="22"/>
        <v>804.81965</v>
      </c>
      <c r="L69" s="859">
        <f t="shared" si="23"/>
        <v>29.19035</v>
      </c>
      <c r="M69" s="858">
        <v>0.0215</v>
      </c>
      <c r="N69" s="860">
        <f t="shared" si="24"/>
        <v>0.00143469675</v>
      </c>
      <c r="O69" s="794">
        <f t="shared" si="25"/>
        <v>32.30362248</v>
      </c>
      <c r="P69" s="794">
        <f t="shared" si="36"/>
        <v>1.176172136</v>
      </c>
      <c r="Q69" s="861">
        <v>1341.17</v>
      </c>
      <c r="R69" s="861">
        <v>834.01</v>
      </c>
      <c r="S69" s="792"/>
      <c r="T69" s="787">
        <v>0.06</v>
      </c>
      <c r="U69" s="793"/>
      <c r="V69" s="787"/>
      <c r="W69" s="792"/>
      <c r="X69" s="794">
        <f t="shared" si="7"/>
        <v>507.16</v>
      </c>
      <c r="Y69" s="795"/>
      <c r="Z69" s="792" t="str">
        <f t="shared" si="8"/>
        <v/>
      </c>
      <c r="AA69" s="794">
        <f t="shared" si="9"/>
        <v>507.16</v>
      </c>
      <c r="AB69" s="795" t="s">
        <v>2003</v>
      </c>
      <c r="AC69" s="787">
        <f t="shared" si="10"/>
        <v>101.432</v>
      </c>
      <c r="AD69" s="792">
        <f t="shared" si="11"/>
        <v>405.728</v>
      </c>
      <c r="AE69" s="862"/>
      <c r="AF69" s="797" t="s">
        <v>2004</v>
      </c>
      <c r="AG69" s="810" t="b">
        <v>0</v>
      </c>
      <c r="AH69" s="780"/>
      <c r="AI69" s="780"/>
      <c r="AJ69" s="780"/>
      <c r="AK69" s="780"/>
      <c r="AL69" s="780"/>
      <c r="AM69" s="780"/>
      <c r="AN69" s="780"/>
      <c r="AO69" s="780"/>
      <c r="AP69" s="780"/>
      <c r="AQ69" s="780"/>
      <c r="AR69" s="780"/>
      <c r="AS69" s="780"/>
      <c r="AT69" s="780"/>
      <c r="AU69" s="780"/>
      <c r="AV69" s="780"/>
      <c r="AW69" s="780"/>
    </row>
    <row r="70">
      <c r="A70" s="887">
        <v>45700.0</v>
      </c>
      <c r="B70" s="852">
        <v>46007.0</v>
      </c>
      <c r="C70" s="853" t="str">
        <f t="shared" si="1"/>
        <v>dez.</v>
      </c>
      <c r="D70" s="880"/>
      <c r="E70" s="881" t="s">
        <v>2102</v>
      </c>
      <c r="F70" s="856"/>
      <c r="G70" s="856"/>
      <c r="H70" s="856"/>
      <c r="I70" s="857">
        <v>0.00140450000000001</v>
      </c>
      <c r="J70" s="858">
        <v>0.035</v>
      </c>
      <c r="K70" s="794">
        <f t="shared" si="22"/>
        <v>0</v>
      </c>
      <c r="L70" s="859">
        <f t="shared" si="23"/>
        <v>0</v>
      </c>
      <c r="M70" s="858">
        <v>0.0215</v>
      </c>
      <c r="N70" s="860">
        <f t="shared" si="24"/>
        <v>0.00143469675</v>
      </c>
      <c r="O70" s="794">
        <f t="shared" si="25"/>
        <v>15</v>
      </c>
      <c r="P70" s="794">
        <f t="shared" si="36"/>
        <v>0.0215</v>
      </c>
      <c r="Q70" s="861">
        <v>355.45</v>
      </c>
      <c r="R70" s="882">
        <f>(G70*N70)*(1+J70)</f>
        <v>0</v>
      </c>
      <c r="S70" s="792"/>
      <c r="T70" s="787">
        <v>0.06</v>
      </c>
      <c r="U70" s="793"/>
      <c r="V70" s="787"/>
      <c r="W70" s="792"/>
      <c r="X70" s="794">
        <f t="shared" si="7"/>
        <v>355.45</v>
      </c>
      <c r="Y70" s="795"/>
      <c r="Z70" s="792" t="str">
        <f t="shared" si="8"/>
        <v/>
      </c>
      <c r="AA70" s="794">
        <f t="shared" si="9"/>
        <v>355.45</v>
      </c>
      <c r="AB70" s="795" t="s">
        <v>2003</v>
      </c>
      <c r="AC70" s="787">
        <f t="shared" si="10"/>
        <v>71.09</v>
      </c>
      <c r="AD70" s="792">
        <f t="shared" si="11"/>
        <v>284.36</v>
      </c>
      <c r="AE70" s="862"/>
      <c r="AF70" s="797" t="s">
        <v>2004</v>
      </c>
      <c r="AG70" s="810" t="b">
        <v>0</v>
      </c>
      <c r="AH70" s="780"/>
      <c r="AI70" s="780"/>
      <c r="AJ70" s="780"/>
      <c r="AK70" s="780"/>
      <c r="AL70" s="780"/>
      <c r="AM70" s="780"/>
      <c r="AN70" s="780"/>
      <c r="AO70" s="780"/>
      <c r="AP70" s="780"/>
      <c r="AQ70" s="780"/>
      <c r="AR70" s="780"/>
      <c r="AS70" s="780"/>
      <c r="AT70" s="780"/>
      <c r="AU70" s="780"/>
      <c r="AV70" s="780"/>
      <c r="AW70" s="780"/>
    </row>
    <row r="71">
      <c r="A71" s="852">
        <v>45981.0</v>
      </c>
      <c r="B71" s="852">
        <v>46008.0</v>
      </c>
      <c r="C71" s="853" t="str">
        <f t="shared" si="1"/>
        <v>dez.</v>
      </c>
      <c r="D71" s="880"/>
      <c r="E71" s="881" t="s">
        <v>2103</v>
      </c>
      <c r="F71" s="856"/>
      <c r="G71" s="856"/>
      <c r="H71" s="856"/>
      <c r="I71" s="857">
        <v>0.00140450000000001</v>
      </c>
      <c r="J71" s="858">
        <v>0.035</v>
      </c>
      <c r="K71" s="794">
        <f t="shared" si="22"/>
        <v>160.3444</v>
      </c>
      <c r="L71" s="859">
        <f t="shared" si="23"/>
        <v>5.8156</v>
      </c>
      <c r="M71" s="858">
        <v>0.0215</v>
      </c>
      <c r="N71" s="860">
        <f t="shared" si="24"/>
        <v>0.00143469675</v>
      </c>
      <c r="O71" s="794">
        <f t="shared" si="25"/>
        <v>18.4474046</v>
      </c>
      <c r="P71" s="794">
        <f t="shared" si="36"/>
        <v>0.2515455896</v>
      </c>
      <c r="Q71" s="861">
        <v>2172.12</v>
      </c>
      <c r="R71" s="861">
        <v>166.16</v>
      </c>
      <c r="S71" s="792"/>
      <c r="T71" s="787">
        <v>0.06</v>
      </c>
      <c r="U71" s="793"/>
      <c r="V71" s="787"/>
      <c r="W71" s="792"/>
      <c r="X71" s="794">
        <f t="shared" si="7"/>
        <v>2005.96</v>
      </c>
      <c r="Y71" s="795"/>
      <c r="Z71" s="792" t="str">
        <f t="shared" si="8"/>
        <v/>
      </c>
      <c r="AA71" s="794">
        <f t="shared" si="9"/>
        <v>2005.96</v>
      </c>
      <c r="AB71" s="795" t="s">
        <v>2003</v>
      </c>
      <c r="AC71" s="787">
        <f t="shared" si="10"/>
        <v>401.192</v>
      </c>
      <c r="AD71" s="792">
        <f t="shared" si="11"/>
        <v>1604.768</v>
      </c>
      <c r="AE71" s="862"/>
      <c r="AF71" s="797" t="s">
        <v>2004</v>
      </c>
      <c r="AG71" s="810" t="b">
        <v>0</v>
      </c>
      <c r="AH71" s="780"/>
      <c r="AI71" s="780"/>
      <c r="AJ71" s="780"/>
      <c r="AK71" s="780"/>
      <c r="AL71" s="780"/>
      <c r="AM71" s="780"/>
      <c r="AN71" s="780"/>
      <c r="AO71" s="780"/>
      <c r="AP71" s="780"/>
      <c r="AQ71" s="780"/>
      <c r="AR71" s="780"/>
      <c r="AS71" s="780"/>
      <c r="AT71" s="780"/>
      <c r="AU71" s="780"/>
      <c r="AV71" s="780"/>
      <c r="AW71" s="780"/>
    </row>
    <row r="72">
      <c r="A72" s="852">
        <v>45997.0</v>
      </c>
      <c r="B72" s="852">
        <v>46009.0</v>
      </c>
      <c r="C72" s="853" t="str">
        <f t="shared" si="1"/>
        <v>dez.</v>
      </c>
      <c r="D72" s="880"/>
      <c r="E72" s="881" t="s">
        <v>2104</v>
      </c>
      <c r="F72" s="856"/>
      <c r="G72" s="856"/>
      <c r="H72" s="856"/>
      <c r="I72" s="857">
        <v>0.00140450000000001</v>
      </c>
      <c r="J72" s="858">
        <v>0.035</v>
      </c>
      <c r="K72" s="794">
        <f t="shared" si="22"/>
        <v>0</v>
      </c>
      <c r="L72" s="859">
        <f t="shared" si="23"/>
        <v>0</v>
      </c>
      <c r="M72" s="858">
        <v>0.0215</v>
      </c>
      <c r="N72" s="860">
        <f t="shared" si="24"/>
        <v>0.00143469675</v>
      </c>
      <c r="O72" s="794">
        <f t="shared" si="25"/>
        <v>15</v>
      </c>
      <c r="P72" s="794">
        <f t="shared" si="36"/>
        <v>0.0215</v>
      </c>
      <c r="Q72" s="861">
        <v>536.02</v>
      </c>
      <c r="R72" s="882">
        <f t="shared" ref="R72:R75" si="37">(G72*N72)*(1+J72)</f>
        <v>0</v>
      </c>
      <c r="S72" s="792"/>
      <c r="T72" s="787">
        <v>0.06</v>
      </c>
      <c r="U72" s="793"/>
      <c r="V72" s="787"/>
      <c r="W72" s="792"/>
      <c r="X72" s="794">
        <f t="shared" si="7"/>
        <v>536.02</v>
      </c>
      <c r="Y72" s="795"/>
      <c r="Z72" s="792" t="str">
        <f t="shared" si="8"/>
        <v/>
      </c>
      <c r="AA72" s="794">
        <f t="shared" si="9"/>
        <v>536.02</v>
      </c>
      <c r="AB72" s="795" t="s">
        <v>2003</v>
      </c>
      <c r="AC72" s="787">
        <f t="shared" si="10"/>
        <v>107.204</v>
      </c>
      <c r="AD72" s="792">
        <f t="shared" si="11"/>
        <v>428.816</v>
      </c>
      <c r="AE72" s="862"/>
      <c r="AF72" s="797" t="s">
        <v>2004</v>
      </c>
      <c r="AG72" s="810" t="b">
        <v>0</v>
      </c>
      <c r="AH72" s="780"/>
      <c r="AI72" s="780"/>
      <c r="AJ72" s="780"/>
      <c r="AK72" s="780"/>
      <c r="AL72" s="780"/>
      <c r="AM72" s="780"/>
      <c r="AN72" s="780"/>
      <c r="AO72" s="780"/>
      <c r="AP72" s="780"/>
      <c r="AQ72" s="780"/>
      <c r="AR72" s="780"/>
      <c r="AS72" s="780"/>
      <c r="AT72" s="780"/>
      <c r="AU72" s="780"/>
      <c r="AV72" s="780"/>
      <c r="AW72" s="780"/>
    </row>
    <row r="73">
      <c r="A73" s="852">
        <v>45992.0</v>
      </c>
      <c r="B73" s="852">
        <v>46010.0</v>
      </c>
      <c r="C73" s="853" t="str">
        <f t="shared" si="1"/>
        <v>dez.</v>
      </c>
      <c r="D73" s="880"/>
      <c r="E73" s="881" t="s">
        <v>2105</v>
      </c>
      <c r="F73" s="856"/>
      <c r="G73" s="856"/>
      <c r="H73" s="856"/>
      <c r="I73" s="857">
        <v>0.00140450000000001</v>
      </c>
      <c r="J73" s="858">
        <v>0.035</v>
      </c>
      <c r="K73" s="794">
        <f t="shared" si="22"/>
        <v>0</v>
      </c>
      <c r="L73" s="859">
        <f t="shared" si="23"/>
        <v>0</v>
      </c>
      <c r="M73" s="858">
        <v>0.0215</v>
      </c>
      <c r="N73" s="860">
        <f t="shared" si="24"/>
        <v>0.00143469675</v>
      </c>
      <c r="O73" s="794">
        <f t="shared" si="25"/>
        <v>15</v>
      </c>
      <c r="P73" s="794">
        <f t="shared" si="36"/>
        <v>0.0215</v>
      </c>
      <c r="Q73" s="861">
        <v>454.72</v>
      </c>
      <c r="R73" s="882">
        <f t="shared" si="37"/>
        <v>0</v>
      </c>
      <c r="S73" s="792"/>
      <c r="T73" s="787">
        <v>0.06</v>
      </c>
      <c r="U73" s="793"/>
      <c r="V73" s="787"/>
      <c r="W73" s="792"/>
      <c r="X73" s="794">
        <f t="shared" si="7"/>
        <v>454.72</v>
      </c>
      <c r="Y73" s="795"/>
      <c r="Z73" s="792" t="str">
        <f t="shared" si="8"/>
        <v/>
      </c>
      <c r="AA73" s="794">
        <f t="shared" si="9"/>
        <v>454.72</v>
      </c>
      <c r="AB73" s="795" t="s">
        <v>2003</v>
      </c>
      <c r="AC73" s="787">
        <f t="shared" si="10"/>
        <v>90.944</v>
      </c>
      <c r="AD73" s="792">
        <f t="shared" si="11"/>
        <v>363.776</v>
      </c>
      <c r="AE73" s="862"/>
      <c r="AF73" s="797" t="s">
        <v>2004</v>
      </c>
      <c r="AG73" s="810" t="b">
        <v>0</v>
      </c>
      <c r="AH73" s="780"/>
      <c r="AI73" s="780"/>
      <c r="AJ73" s="780"/>
      <c r="AK73" s="780"/>
      <c r="AL73" s="780"/>
      <c r="AM73" s="780"/>
      <c r="AN73" s="780"/>
      <c r="AO73" s="780"/>
      <c r="AP73" s="780"/>
      <c r="AQ73" s="780"/>
      <c r="AR73" s="780"/>
      <c r="AS73" s="780"/>
      <c r="AT73" s="780"/>
      <c r="AU73" s="780"/>
      <c r="AV73" s="780"/>
      <c r="AW73" s="780"/>
    </row>
    <row r="74">
      <c r="A74" s="852">
        <v>45988.0</v>
      </c>
      <c r="B74" s="852">
        <v>46010.0</v>
      </c>
      <c r="C74" s="853" t="str">
        <f t="shared" si="1"/>
        <v>dez.</v>
      </c>
      <c r="D74" s="880"/>
      <c r="E74" s="881" t="s">
        <v>2106</v>
      </c>
      <c r="F74" s="856"/>
      <c r="G74" s="856"/>
      <c r="H74" s="856"/>
      <c r="I74" s="857">
        <v>0.00140450000000001</v>
      </c>
      <c r="J74" s="858">
        <v>0.035</v>
      </c>
      <c r="K74" s="794">
        <f t="shared" si="22"/>
        <v>0</v>
      </c>
      <c r="L74" s="859">
        <f t="shared" si="23"/>
        <v>0</v>
      </c>
      <c r="M74" s="858">
        <v>0.0215</v>
      </c>
      <c r="N74" s="860">
        <f t="shared" si="24"/>
        <v>0.00143469675</v>
      </c>
      <c r="O74" s="794">
        <f t="shared" si="25"/>
        <v>15</v>
      </c>
      <c r="P74" s="794">
        <f t="shared" si="36"/>
        <v>0.0215</v>
      </c>
      <c r="Q74" s="861">
        <v>361.09</v>
      </c>
      <c r="R74" s="882">
        <f t="shared" si="37"/>
        <v>0</v>
      </c>
      <c r="S74" s="792"/>
      <c r="T74" s="787">
        <v>0.06</v>
      </c>
      <c r="U74" s="793"/>
      <c r="V74" s="787"/>
      <c r="W74" s="792"/>
      <c r="X74" s="794">
        <f t="shared" si="7"/>
        <v>361.09</v>
      </c>
      <c r="Y74" s="795"/>
      <c r="Z74" s="792" t="str">
        <f t="shared" si="8"/>
        <v/>
      </c>
      <c r="AA74" s="794">
        <f t="shared" si="9"/>
        <v>361.09</v>
      </c>
      <c r="AB74" s="795" t="s">
        <v>2003</v>
      </c>
      <c r="AC74" s="787">
        <f t="shared" si="10"/>
        <v>72.218</v>
      </c>
      <c r="AD74" s="792">
        <f t="shared" si="11"/>
        <v>288.872</v>
      </c>
      <c r="AE74" s="862"/>
      <c r="AF74" s="797" t="s">
        <v>2004</v>
      </c>
      <c r="AG74" s="810" t="b">
        <v>0</v>
      </c>
      <c r="AH74" s="780"/>
      <c r="AI74" s="780"/>
      <c r="AJ74" s="780"/>
      <c r="AK74" s="780"/>
      <c r="AL74" s="780"/>
      <c r="AM74" s="780"/>
      <c r="AN74" s="780"/>
      <c r="AO74" s="780"/>
      <c r="AP74" s="780"/>
      <c r="AQ74" s="780"/>
      <c r="AR74" s="780"/>
      <c r="AS74" s="780"/>
      <c r="AT74" s="780"/>
      <c r="AU74" s="780"/>
      <c r="AV74" s="780"/>
      <c r="AW74" s="780"/>
    </row>
    <row r="75">
      <c r="A75" s="852">
        <v>46006.0</v>
      </c>
      <c r="B75" s="888">
        <v>46010.0</v>
      </c>
      <c r="C75" s="853" t="str">
        <f t="shared" si="1"/>
        <v>dez.</v>
      </c>
      <c r="D75" s="880"/>
      <c r="E75" s="881" t="s">
        <v>2107</v>
      </c>
      <c r="F75" s="856"/>
      <c r="G75" s="856"/>
      <c r="H75" s="856"/>
      <c r="I75" s="857">
        <v>0.00140450000000001</v>
      </c>
      <c r="J75" s="858">
        <v>0.035</v>
      </c>
      <c r="K75" s="794">
        <f t="shared" si="22"/>
        <v>0</v>
      </c>
      <c r="L75" s="859">
        <f t="shared" si="23"/>
        <v>0</v>
      </c>
      <c r="M75" s="858">
        <v>0.0215</v>
      </c>
      <c r="N75" s="860">
        <f t="shared" si="24"/>
        <v>0.00143469675</v>
      </c>
      <c r="O75" s="794">
        <f t="shared" si="25"/>
        <v>15</v>
      </c>
      <c r="P75" s="794">
        <f t="shared" si="36"/>
        <v>0.0215</v>
      </c>
      <c r="Q75" s="861">
        <v>816.99</v>
      </c>
      <c r="R75" s="882">
        <f t="shared" si="37"/>
        <v>0</v>
      </c>
      <c r="S75" s="792"/>
      <c r="T75" s="787">
        <v>0.06</v>
      </c>
      <c r="U75" s="793"/>
      <c r="V75" s="787"/>
      <c r="W75" s="792"/>
      <c r="X75" s="794">
        <f t="shared" si="7"/>
        <v>816.99</v>
      </c>
      <c r="Y75" s="795"/>
      <c r="Z75" s="792" t="str">
        <f t="shared" si="8"/>
        <v/>
      </c>
      <c r="AA75" s="794">
        <f t="shared" si="9"/>
        <v>816.99</v>
      </c>
      <c r="AB75" s="795" t="s">
        <v>2003</v>
      </c>
      <c r="AC75" s="787">
        <f t="shared" si="10"/>
        <v>163.398</v>
      </c>
      <c r="AD75" s="792">
        <f t="shared" si="11"/>
        <v>653.592</v>
      </c>
      <c r="AE75" s="862"/>
      <c r="AF75" s="797" t="s">
        <v>2004</v>
      </c>
      <c r="AG75" s="886" t="b">
        <v>0</v>
      </c>
      <c r="AH75" s="780"/>
      <c r="AI75" s="780"/>
      <c r="AJ75" s="780"/>
      <c r="AK75" s="780"/>
      <c r="AL75" s="780"/>
      <c r="AM75" s="780"/>
      <c r="AN75" s="780"/>
      <c r="AO75" s="780"/>
      <c r="AP75" s="780"/>
      <c r="AQ75" s="780"/>
      <c r="AR75" s="780"/>
      <c r="AS75" s="780"/>
      <c r="AT75" s="780"/>
      <c r="AU75" s="780"/>
      <c r="AV75" s="780"/>
      <c r="AW75" s="780"/>
    </row>
    <row r="76">
      <c r="A76" s="852">
        <v>45976.0</v>
      </c>
      <c r="B76" s="852">
        <v>46011.0</v>
      </c>
      <c r="C76" s="853" t="str">
        <f t="shared" si="1"/>
        <v>dez.</v>
      </c>
      <c r="D76" s="854"/>
      <c r="E76" s="855" t="s">
        <v>2108</v>
      </c>
      <c r="F76" s="856"/>
      <c r="G76" s="856"/>
      <c r="H76" s="856"/>
      <c r="I76" s="857">
        <v>0.00140450000000001</v>
      </c>
      <c r="J76" s="858">
        <v>0.035</v>
      </c>
      <c r="K76" s="794">
        <f t="shared" si="22"/>
        <v>1224.2762</v>
      </c>
      <c r="L76" s="859">
        <f t="shared" si="23"/>
        <v>44.4038</v>
      </c>
      <c r="M76" s="858">
        <v>0.0215</v>
      </c>
      <c r="N76" s="860">
        <f t="shared" si="24"/>
        <v>0.00143469675</v>
      </c>
      <c r="O76" s="794">
        <f t="shared" si="25"/>
        <v>41.3219383</v>
      </c>
      <c r="P76" s="794">
        <f t="shared" si="36"/>
        <v>1.777965085</v>
      </c>
      <c r="Q76" s="861">
        <v>4765.26</v>
      </c>
      <c r="R76" s="861">
        <v>1268.68</v>
      </c>
      <c r="S76" s="792"/>
      <c r="T76" s="787">
        <v>0.06</v>
      </c>
      <c r="U76" s="793"/>
      <c r="V76" s="787"/>
      <c r="W76" s="792"/>
      <c r="X76" s="794">
        <f t="shared" si="7"/>
        <v>3496.58</v>
      </c>
      <c r="Y76" s="795"/>
      <c r="Z76" s="792" t="str">
        <f t="shared" si="8"/>
        <v/>
      </c>
      <c r="AA76" s="794">
        <f t="shared" si="9"/>
        <v>3496.58</v>
      </c>
      <c r="AB76" s="795" t="s">
        <v>2003</v>
      </c>
      <c r="AC76" s="787">
        <f t="shared" si="10"/>
        <v>699.316</v>
      </c>
      <c r="AD76" s="792">
        <f t="shared" si="11"/>
        <v>2797.264</v>
      </c>
      <c r="AE76" s="884" t="s">
        <v>2109</v>
      </c>
      <c r="AF76" s="797" t="s">
        <v>2004</v>
      </c>
      <c r="AG76" s="810" t="b">
        <v>0</v>
      </c>
      <c r="AH76" s="780"/>
      <c r="AI76" s="780"/>
      <c r="AJ76" s="780"/>
      <c r="AK76" s="780"/>
      <c r="AL76" s="780"/>
      <c r="AM76" s="780"/>
      <c r="AN76" s="780"/>
      <c r="AO76" s="780"/>
      <c r="AP76" s="780"/>
      <c r="AQ76" s="780"/>
      <c r="AR76" s="780"/>
      <c r="AS76" s="780"/>
      <c r="AT76" s="780"/>
      <c r="AU76" s="780"/>
      <c r="AV76" s="780"/>
      <c r="AW76" s="780"/>
    </row>
    <row r="77">
      <c r="A77" s="852">
        <v>45993.0</v>
      </c>
      <c r="B77" s="852">
        <v>46011.0</v>
      </c>
      <c r="C77" s="853" t="str">
        <f t="shared" si="1"/>
        <v>dez.</v>
      </c>
      <c r="D77" s="880"/>
      <c r="E77" s="881" t="s">
        <v>2110</v>
      </c>
      <c r="F77" s="856"/>
      <c r="G77" s="856"/>
      <c r="H77" s="856"/>
      <c r="I77" s="857">
        <v>0.00140450000000001</v>
      </c>
      <c r="J77" s="858">
        <v>0.035</v>
      </c>
      <c r="K77" s="794">
        <f t="shared" si="22"/>
        <v>1058.3734</v>
      </c>
      <c r="L77" s="859">
        <f t="shared" si="23"/>
        <v>38.3866</v>
      </c>
      <c r="M77" s="858">
        <v>0.0215</v>
      </c>
      <c r="N77" s="860">
        <f t="shared" si="24"/>
        <v>0.00143469675</v>
      </c>
      <c r="O77" s="794">
        <f t="shared" si="25"/>
        <v>37.7550281</v>
      </c>
      <c r="P77" s="794">
        <f t="shared" si="36"/>
        <v>1.539944877</v>
      </c>
      <c r="Q77" s="861">
        <v>1534.35</v>
      </c>
      <c r="R77" s="861">
        <v>1096.76</v>
      </c>
      <c r="S77" s="792"/>
      <c r="T77" s="787">
        <v>0.06</v>
      </c>
      <c r="U77" s="793"/>
      <c r="V77" s="787"/>
      <c r="W77" s="792"/>
      <c r="X77" s="794">
        <f t="shared" si="7"/>
        <v>437.59</v>
      </c>
      <c r="Y77" s="795"/>
      <c r="Z77" s="792" t="str">
        <f t="shared" si="8"/>
        <v/>
      </c>
      <c r="AA77" s="794">
        <f t="shared" si="9"/>
        <v>437.59</v>
      </c>
      <c r="AB77" s="795" t="s">
        <v>2003</v>
      </c>
      <c r="AC77" s="787">
        <f t="shared" si="10"/>
        <v>87.518</v>
      </c>
      <c r="AD77" s="792">
        <f t="shared" si="11"/>
        <v>350.072</v>
      </c>
      <c r="AE77" s="862"/>
      <c r="AF77" s="797" t="s">
        <v>2004</v>
      </c>
      <c r="AG77" s="810" t="b">
        <v>0</v>
      </c>
      <c r="AH77" s="780"/>
      <c r="AI77" s="780"/>
      <c r="AJ77" s="780"/>
      <c r="AK77" s="780"/>
      <c r="AL77" s="780"/>
      <c r="AM77" s="780"/>
      <c r="AN77" s="780"/>
      <c r="AO77" s="780"/>
      <c r="AP77" s="780"/>
      <c r="AQ77" s="780"/>
      <c r="AR77" s="780"/>
      <c r="AS77" s="780"/>
      <c r="AT77" s="780"/>
      <c r="AU77" s="780"/>
      <c r="AV77" s="780"/>
      <c r="AW77" s="780"/>
    </row>
    <row r="78">
      <c r="A78" s="852">
        <v>45996.0</v>
      </c>
      <c r="B78" s="852">
        <v>46012.0</v>
      </c>
      <c r="C78" s="853" t="str">
        <f t="shared" si="1"/>
        <v>dez.</v>
      </c>
      <c r="D78" s="880"/>
      <c r="E78" s="881" t="s">
        <v>2111</v>
      </c>
      <c r="F78" s="856"/>
      <c r="G78" s="856"/>
      <c r="H78" s="856"/>
      <c r="I78" s="857">
        <v>0.00140450000000001</v>
      </c>
      <c r="J78" s="858">
        <v>0.035</v>
      </c>
      <c r="K78" s="794">
        <f t="shared" si="22"/>
        <v>0</v>
      </c>
      <c r="L78" s="859">
        <f t="shared" si="23"/>
        <v>0</v>
      </c>
      <c r="M78" s="858">
        <v>0.0215</v>
      </c>
      <c r="N78" s="860">
        <f t="shared" si="24"/>
        <v>0.00143469675</v>
      </c>
      <c r="O78" s="794">
        <f t="shared" si="25"/>
        <v>15</v>
      </c>
      <c r="P78" s="794">
        <f t="shared" si="36"/>
        <v>0.0215</v>
      </c>
      <c r="Q78" s="861">
        <v>649.46</v>
      </c>
      <c r="R78" s="882">
        <f t="shared" ref="R78:R79" si="38">(G78*N78)*(1+J78)</f>
        <v>0</v>
      </c>
      <c r="S78" s="792"/>
      <c r="T78" s="787">
        <v>0.06</v>
      </c>
      <c r="U78" s="793"/>
      <c r="V78" s="787"/>
      <c r="W78" s="792"/>
      <c r="X78" s="794">
        <f t="shared" si="7"/>
        <v>649.46</v>
      </c>
      <c r="Y78" s="795"/>
      <c r="Z78" s="792" t="str">
        <f t="shared" si="8"/>
        <v/>
      </c>
      <c r="AA78" s="794">
        <f t="shared" si="9"/>
        <v>649.46</v>
      </c>
      <c r="AB78" s="795" t="s">
        <v>2003</v>
      </c>
      <c r="AC78" s="787">
        <f t="shared" si="10"/>
        <v>129.892</v>
      </c>
      <c r="AD78" s="792">
        <f t="shared" si="11"/>
        <v>519.568</v>
      </c>
      <c r="AE78" s="862"/>
      <c r="AF78" s="797" t="s">
        <v>2004</v>
      </c>
      <c r="AG78" s="810" t="b">
        <v>0</v>
      </c>
      <c r="AH78" s="780"/>
      <c r="AI78" s="780"/>
      <c r="AJ78" s="780"/>
      <c r="AK78" s="780"/>
      <c r="AL78" s="780"/>
      <c r="AM78" s="780"/>
      <c r="AN78" s="780"/>
      <c r="AO78" s="780"/>
      <c r="AP78" s="780"/>
      <c r="AQ78" s="780"/>
      <c r="AR78" s="780"/>
      <c r="AS78" s="780"/>
      <c r="AT78" s="780"/>
      <c r="AU78" s="780"/>
      <c r="AV78" s="780"/>
      <c r="AW78" s="780"/>
    </row>
    <row r="79">
      <c r="A79" s="852">
        <v>45998.0</v>
      </c>
      <c r="B79" s="852">
        <v>46013.0</v>
      </c>
      <c r="C79" s="853" t="str">
        <f t="shared" si="1"/>
        <v>dez.</v>
      </c>
      <c r="D79" s="854"/>
      <c r="E79" s="855" t="s">
        <v>2112</v>
      </c>
      <c r="F79" s="856"/>
      <c r="G79" s="856"/>
      <c r="H79" s="856"/>
      <c r="I79" s="857">
        <v>0.00140450000000001</v>
      </c>
      <c r="J79" s="858">
        <v>0.035</v>
      </c>
      <c r="K79" s="794">
        <f t="shared" si="22"/>
        <v>0</v>
      </c>
      <c r="L79" s="859">
        <f t="shared" si="23"/>
        <v>0</v>
      </c>
      <c r="M79" s="858">
        <v>0.0215</v>
      </c>
      <c r="N79" s="860">
        <f t="shared" si="24"/>
        <v>0.00143469675</v>
      </c>
      <c r="O79" s="794">
        <f t="shared" si="25"/>
        <v>15</v>
      </c>
      <c r="P79" s="794">
        <f t="shared" si="36"/>
        <v>0.0215</v>
      </c>
      <c r="Q79" s="861">
        <v>1109.44</v>
      </c>
      <c r="R79" s="882">
        <f t="shared" si="38"/>
        <v>0</v>
      </c>
      <c r="S79" s="792"/>
      <c r="T79" s="787">
        <v>0.06</v>
      </c>
      <c r="U79" s="793"/>
      <c r="V79" s="787"/>
      <c r="W79" s="792"/>
      <c r="X79" s="794">
        <f t="shared" si="7"/>
        <v>1109.44</v>
      </c>
      <c r="Y79" s="795"/>
      <c r="Z79" s="792" t="str">
        <f t="shared" si="8"/>
        <v/>
      </c>
      <c r="AA79" s="794">
        <f t="shared" si="9"/>
        <v>1109.44</v>
      </c>
      <c r="AB79" s="795" t="s">
        <v>2003</v>
      </c>
      <c r="AC79" s="787">
        <f t="shared" si="10"/>
        <v>221.888</v>
      </c>
      <c r="AD79" s="792">
        <f t="shared" si="11"/>
        <v>887.552</v>
      </c>
      <c r="AE79" s="862"/>
      <c r="AF79" s="797" t="s">
        <v>2004</v>
      </c>
      <c r="AG79" s="810" t="b">
        <v>0</v>
      </c>
      <c r="AH79" s="780"/>
      <c r="AI79" s="780"/>
      <c r="AJ79" s="780"/>
      <c r="AK79" s="780"/>
      <c r="AL79" s="780"/>
      <c r="AM79" s="780"/>
      <c r="AN79" s="780"/>
      <c r="AO79" s="780"/>
      <c r="AP79" s="780"/>
      <c r="AQ79" s="780"/>
      <c r="AR79" s="780"/>
      <c r="AS79" s="780"/>
      <c r="AT79" s="780"/>
      <c r="AU79" s="780"/>
      <c r="AV79" s="780"/>
      <c r="AW79" s="780"/>
    </row>
    <row r="80">
      <c r="A80" s="852">
        <v>45903.0</v>
      </c>
      <c r="B80" s="852">
        <v>46014.0</v>
      </c>
      <c r="C80" s="853" t="str">
        <f t="shared" si="1"/>
        <v>dez.</v>
      </c>
      <c r="D80" s="880"/>
      <c r="E80" s="880" t="s">
        <v>2113</v>
      </c>
      <c r="F80" s="856"/>
      <c r="G80" s="856"/>
      <c r="H80" s="856"/>
      <c r="I80" s="857">
        <v>0.0014045</v>
      </c>
      <c r="J80" s="858">
        <v>0.035</v>
      </c>
      <c r="K80" s="794">
        <f t="shared" si="22"/>
        <v>2419.70855</v>
      </c>
      <c r="L80" s="859">
        <f t="shared" si="23"/>
        <v>87.76145</v>
      </c>
      <c r="M80" s="858">
        <v>0.0215</v>
      </c>
      <c r="N80" s="860">
        <f t="shared" si="24"/>
        <v>0.00143469675</v>
      </c>
      <c r="O80" s="794">
        <f t="shared" si="25"/>
        <v>67.02373383</v>
      </c>
      <c r="P80" s="794">
        <f>(K80*N80)+M99</f>
        <v>3.493047993</v>
      </c>
      <c r="Q80" s="861">
        <f>2025.53+3686.51</f>
        <v>5712.04</v>
      </c>
      <c r="R80" s="861">
        <f>1071.33+318.5+610.93+506.71</f>
        <v>2507.47</v>
      </c>
      <c r="S80" s="792"/>
      <c r="T80" s="787">
        <v>0.06</v>
      </c>
      <c r="U80" s="793"/>
      <c r="V80" s="787"/>
      <c r="W80" s="792"/>
      <c r="X80" s="794">
        <f t="shared" si="7"/>
        <v>3204.57</v>
      </c>
      <c r="Y80" s="795"/>
      <c r="Z80" s="792" t="str">
        <f t="shared" si="8"/>
        <v/>
      </c>
      <c r="AA80" s="794">
        <f t="shared" si="9"/>
        <v>3204.57</v>
      </c>
      <c r="AB80" s="795" t="s">
        <v>2003</v>
      </c>
      <c r="AC80" s="787">
        <f t="shared" si="10"/>
        <v>640.914</v>
      </c>
      <c r="AD80" s="792">
        <f t="shared" si="11"/>
        <v>2563.656</v>
      </c>
      <c r="AE80" s="884" t="s">
        <v>2114</v>
      </c>
      <c r="AF80" s="797" t="s">
        <v>2004</v>
      </c>
      <c r="AG80" s="810" t="b">
        <v>0</v>
      </c>
      <c r="AH80" s="780"/>
      <c r="AI80" s="778">
        <v>3135.61</v>
      </c>
      <c r="AJ80" s="780"/>
      <c r="AK80" s="780"/>
      <c r="AL80" s="780"/>
      <c r="AM80" s="780"/>
      <c r="AN80" s="780"/>
      <c r="AO80" s="780"/>
      <c r="AP80" s="780"/>
      <c r="AQ80" s="780"/>
      <c r="AR80" s="780"/>
      <c r="AS80" s="780"/>
      <c r="AT80" s="780"/>
      <c r="AU80" s="780"/>
      <c r="AV80" s="780"/>
      <c r="AW80" s="780"/>
    </row>
    <row r="81">
      <c r="A81" s="852">
        <v>45996.0</v>
      </c>
      <c r="B81" s="852">
        <v>46015.0</v>
      </c>
      <c r="C81" s="853" t="str">
        <f t="shared" si="1"/>
        <v>dez.</v>
      </c>
      <c r="D81" s="854"/>
      <c r="E81" s="855" t="s">
        <v>2115</v>
      </c>
      <c r="F81" s="856"/>
      <c r="G81" s="856"/>
      <c r="H81" s="856"/>
      <c r="I81" s="857">
        <v>0.00140450000000001</v>
      </c>
      <c r="J81" s="858">
        <v>0.035</v>
      </c>
      <c r="K81" s="794">
        <f t="shared" si="22"/>
        <v>0</v>
      </c>
      <c r="L81" s="859">
        <f t="shared" si="23"/>
        <v>0</v>
      </c>
      <c r="M81" s="858">
        <v>0.0215</v>
      </c>
      <c r="N81" s="860">
        <f t="shared" si="24"/>
        <v>0.00143469675</v>
      </c>
      <c r="O81" s="794">
        <f t="shared" si="25"/>
        <v>15</v>
      </c>
      <c r="P81" s="794" t="str">
        <f t="shared" ref="P81:P82" si="39">(K81*N81)+#REF!</f>
        <v>#REF!</v>
      </c>
      <c r="Q81" s="861">
        <v>442.12</v>
      </c>
      <c r="R81" s="882">
        <f>(G81*N81)*(1+J81)</f>
        <v>0</v>
      </c>
      <c r="S81" s="792"/>
      <c r="T81" s="787">
        <v>0.06</v>
      </c>
      <c r="U81" s="793"/>
      <c r="V81" s="787"/>
      <c r="W81" s="792"/>
      <c r="X81" s="794">
        <f t="shared" si="7"/>
        <v>442.12</v>
      </c>
      <c r="Y81" s="795"/>
      <c r="Z81" s="792" t="str">
        <f t="shared" si="8"/>
        <v/>
      </c>
      <c r="AA81" s="794">
        <f t="shared" si="9"/>
        <v>442.12</v>
      </c>
      <c r="AB81" s="795" t="s">
        <v>2003</v>
      </c>
      <c r="AC81" s="787">
        <f t="shared" si="10"/>
        <v>88.424</v>
      </c>
      <c r="AD81" s="792">
        <f t="shared" si="11"/>
        <v>353.696</v>
      </c>
      <c r="AE81" s="862"/>
      <c r="AF81" s="889" t="s">
        <v>2004</v>
      </c>
      <c r="AG81" s="810" t="b">
        <v>0</v>
      </c>
      <c r="AH81" s="780"/>
      <c r="AI81" s="780"/>
      <c r="AJ81" s="780"/>
      <c r="AK81" s="780"/>
      <c r="AL81" s="780"/>
      <c r="AM81" s="780"/>
      <c r="AN81" s="780"/>
      <c r="AO81" s="780"/>
      <c r="AP81" s="780"/>
      <c r="AQ81" s="780"/>
      <c r="AR81" s="780"/>
      <c r="AS81" s="780"/>
      <c r="AT81" s="780"/>
      <c r="AU81" s="780"/>
      <c r="AV81" s="780"/>
      <c r="AW81" s="780"/>
    </row>
    <row r="82">
      <c r="A82" s="890"/>
      <c r="B82" s="852">
        <v>46015.0</v>
      </c>
      <c r="C82" s="853" t="str">
        <f t="shared" si="1"/>
        <v>dez.</v>
      </c>
      <c r="D82" s="854"/>
      <c r="E82" s="855" t="s">
        <v>2116</v>
      </c>
      <c r="F82" s="856"/>
      <c r="G82" s="856"/>
      <c r="H82" s="856"/>
      <c r="I82" s="857">
        <v>0.00140450000000001</v>
      </c>
      <c r="J82" s="858">
        <v>0.035</v>
      </c>
      <c r="K82" s="794">
        <f t="shared" si="22"/>
        <v>1343.0677</v>
      </c>
      <c r="L82" s="859">
        <f t="shared" si="23"/>
        <v>48.7123</v>
      </c>
      <c r="M82" s="858">
        <v>0.0215</v>
      </c>
      <c r="N82" s="860">
        <f t="shared" si="24"/>
        <v>0.00143469675</v>
      </c>
      <c r="O82" s="794">
        <f t="shared" si="25"/>
        <v>43.87595555</v>
      </c>
      <c r="P82" s="794" t="str">
        <f t="shared" si="39"/>
        <v>#REF!</v>
      </c>
      <c r="Q82" s="861">
        <v>2217.49</v>
      </c>
      <c r="R82" s="861">
        <f>'Saldos e Devoluções Ju'!G508+'Saldos e Devoluções Ju'!G511</f>
        <v>1391.78</v>
      </c>
      <c r="S82" s="792"/>
      <c r="T82" s="787">
        <v>0.06</v>
      </c>
      <c r="U82" s="793"/>
      <c r="V82" s="787"/>
      <c r="W82" s="792"/>
      <c r="X82" s="794">
        <f t="shared" si="7"/>
        <v>825.71</v>
      </c>
      <c r="Y82" s="795"/>
      <c r="Z82" s="792" t="str">
        <f t="shared" si="8"/>
        <v/>
      </c>
      <c r="AA82" s="794">
        <f t="shared" si="9"/>
        <v>825.71</v>
      </c>
      <c r="AB82" s="795" t="s">
        <v>2003</v>
      </c>
      <c r="AC82" s="787">
        <f t="shared" si="10"/>
        <v>165.142</v>
      </c>
      <c r="AD82" s="792">
        <f t="shared" si="11"/>
        <v>660.568</v>
      </c>
      <c r="AE82" s="862"/>
      <c r="AF82" s="889" t="s">
        <v>2004</v>
      </c>
      <c r="AG82" s="810" t="b">
        <v>0</v>
      </c>
      <c r="AH82" s="780"/>
      <c r="AI82" s="780"/>
      <c r="AJ82" s="780"/>
      <c r="AK82" s="780"/>
      <c r="AL82" s="780"/>
      <c r="AM82" s="780"/>
      <c r="AN82" s="780"/>
      <c r="AO82" s="780"/>
      <c r="AP82" s="780"/>
      <c r="AQ82" s="780"/>
      <c r="AR82" s="780"/>
      <c r="AS82" s="780"/>
      <c r="AT82" s="780"/>
      <c r="AU82" s="780"/>
      <c r="AV82" s="780"/>
      <c r="AW82" s="780"/>
    </row>
    <row r="83">
      <c r="A83" s="890"/>
      <c r="B83" s="852">
        <v>46015.0</v>
      </c>
      <c r="C83" s="853" t="str">
        <f t="shared" si="1"/>
        <v>dez.</v>
      </c>
      <c r="D83" s="854"/>
      <c r="E83" s="855" t="s">
        <v>2117</v>
      </c>
      <c r="F83" s="856"/>
      <c r="G83" s="856"/>
      <c r="H83" s="856"/>
      <c r="I83" s="857">
        <v>0.00140450000000001</v>
      </c>
      <c r="J83" s="858">
        <v>0.035</v>
      </c>
      <c r="K83" s="794">
        <f t="shared" si="22"/>
        <v>80.1336</v>
      </c>
      <c r="L83" s="859">
        <f t="shared" si="23"/>
        <v>2.9064</v>
      </c>
      <c r="M83" s="858">
        <v>0.0215</v>
      </c>
      <c r="N83" s="860">
        <f t="shared" si="24"/>
        <v>0.00143469675</v>
      </c>
      <c r="O83" s="794">
        <f t="shared" si="25"/>
        <v>16.7228724</v>
      </c>
      <c r="P83" s="794">
        <f>(K83*N83)+M102</f>
        <v>0.1364674155</v>
      </c>
      <c r="Q83" s="861">
        <v>1792.02</v>
      </c>
      <c r="R83" s="861">
        <v>83.04</v>
      </c>
      <c r="S83" s="792"/>
      <c r="T83" s="787">
        <v>0.06</v>
      </c>
      <c r="U83" s="793"/>
      <c r="V83" s="787"/>
      <c r="W83" s="792"/>
      <c r="X83" s="794">
        <f t="shared" si="7"/>
        <v>1708.98</v>
      </c>
      <c r="Y83" s="795"/>
      <c r="Z83" s="792" t="str">
        <f t="shared" si="8"/>
        <v/>
      </c>
      <c r="AA83" s="794">
        <f t="shared" si="9"/>
        <v>1708.98</v>
      </c>
      <c r="AB83" s="795" t="s">
        <v>2003</v>
      </c>
      <c r="AC83" s="787">
        <f t="shared" si="10"/>
        <v>341.796</v>
      </c>
      <c r="AD83" s="792">
        <f t="shared" si="11"/>
        <v>1367.184</v>
      </c>
      <c r="AE83" s="862"/>
      <c r="AF83" s="889" t="s">
        <v>2004</v>
      </c>
      <c r="AG83" s="886" t="b">
        <v>0</v>
      </c>
      <c r="AH83" s="780"/>
      <c r="AI83" s="780"/>
      <c r="AJ83" s="780"/>
      <c r="AK83" s="780"/>
      <c r="AL83" s="780"/>
      <c r="AM83" s="780"/>
      <c r="AN83" s="780"/>
      <c r="AO83" s="780"/>
      <c r="AP83" s="780"/>
      <c r="AQ83" s="780"/>
      <c r="AR83" s="780"/>
      <c r="AS83" s="780"/>
      <c r="AT83" s="780"/>
      <c r="AU83" s="780"/>
      <c r="AV83" s="780"/>
      <c r="AW83" s="780"/>
    </row>
    <row r="84">
      <c r="A84" s="852">
        <v>45925.0</v>
      </c>
      <c r="B84" s="852">
        <v>46016.0</v>
      </c>
      <c r="C84" s="853" t="str">
        <f t="shared" si="1"/>
        <v>dez.</v>
      </c>
      <c r="D84" s="880"/>
      <c r="E84" s="880" t="s">
        <v>2118</v>
      </c>
      <c r="F84" s="856"/>
      <c r="G84" s="856"/>
      <c r="H84" s="856"/>
      <c r="I84" s="857">
        <v>0.0014045</v>
      </c>
      <c r="J84" s="858">
        <v>0.035</v>
      </c>
      <c r="K84" s="794">
        <f t="shared" si="22"/>
        <v>0</v>
      </c>
      <c r="L84" s="859">
        <f t="shared" si="23"/>
        <v>0</v>
      </c>
      <c r="M84" s="858">
        <v>0.0215</v>
      </c>
      <c r="N84" s="860">
        <f t="shared" si="24"/>
        <v>0.00143469675</v>
      </c>
      <c r="O84" s="794">
        <f t="shared" si="25"/>
        <v>15</v>
      </c>
      <c r="P84" s="794">
        <f t="shared" ref="P84:P86" si="40">(K84*N84)+M102</f>
        <v>0.0215</v>
      </c>
      <c r="Q84" s="861">
        <v>942.39</v>
      </c>
      <c r="R84" s="882">
        <f t="shared" ref="R84:R86" si="41">(G84*N84)*(1+J84)</f>
        <v>0</v>
      </c>
      <c r="S84" s="792"/>
      <c r="T84" s="787">
        <v>0.06</v>
      </c>
      <c r="U84" s="793"/>
      <c r="V84" s="787"/>
      <c r="W84" s="792"/>
      <c r="X84" s="794">
        <f t="shared" si="7"/>
        <v>942.39</v>
      </c>
      <c r="Y84" s="795"/>
      <c r="Z84" s="792" t="str">
        <f t="shared" si="8"/>
        <v/>
      </c>
      <c r="AA84" s="794">
        <f t="shared" si="9"/>
        <v>942.39</v>
      </c>
      <c r="AB84" s="795" t="s">
        <v>2003</v>
      </c>
      <c r="AC84" s="787">
        <f t="shared" si="10"/>
        <v>188.478</v>
      </c>
      <c r="AD84" s="792">
        <f t="shared" si="11"/>
        <v>753.912</v>
      </c>
      <c r="AE84" s="884"/>
      <c r="AF84" s="889" t="s">
        <v>2004</v>
      </c>
      <c r="AG84" s="810" t="b">
        <v>0</v>
      </c>
      <c r="AH84" s="780"/>
      <c r="AI84" s="780"/>
      <c r="AJ84" s="780"/>
      <c r="AK84" s="780"/>
      <c r="AL84" s="780"/>
      <c r="AM84" s="780"/>
      <c r="AN84" s="780"/>
      <c r="AO84" s="780"/>
      <c r="AP84" s="780"/>
      <c r="AQ84" s="780"/>
      <c r="AR84" s="780"/>
      <c r="AS84" s="780"/>
      <c r="AT84" s="780"/>
      <c r="AU84" s="780"/>
      <c r="AV84" s="780"/>
      <c r="AW84" s="780"/>
    </row>
    <row r="85">
      <c r="A85" s="852">
        <v>45973.0</v>
      </c>
      <c r="B85" s="852">
        <v>46016.0</v>
      </c>
      <c r="C85" s="853" t="str">
        <f t="shared" si="1"/>
        <v>dez.</v>
      </c>
      <c r="D85" s="854"/>
      <c r="E85" s="855" t="s">
        <v>2119</v>
      </c>
      <c r="F85" s="856"/>
      <c r="G85" s="856"/>
      <c r="H85" s="856"/>
      <c r="I85" s="857">
        <v>0.00140450000000001</v>
      </c>
      <c r="J85" s="858">
        <v>0.035</v>
      </c>
      <c r="K85" s="794">
        <f t="shared" si="22"/>
        <v>0</v>
      </c>
      <c r="L85" s="859">
        <f t="shared" si="23"/>
        <v>0</v>
      </c>
      <c r="M85" s="858">
        <v>0.0215</v>
      </c>
      <c r="N85" s="860">
        <f t="shared" si="24"/>
        <v>0.00143469675</v>
      </c>
      <c r="O85" s="794">
        <f t="shared" si="25"/>
        <v>15</v>
      </c>
      <c r="P85" s="794">
        <f t="shared" si="40"/>
        <v>0.0215</v>
      </c>
      <c r="Q85" s="861">
        <v>1645.96</v>
      </c>
      <c r="R85" s="882">
        <f t="shared" si="41"/>
        <v>0</v>
      </c>
      <c r="S85" s="792"/>
      <c r="T85" s="787">
        <v>0.06</v>
      </c>
      <c r="U85" s="793"/>
      <c r="V85" s="787"/>
      <c r="W85" s="792"/>
      <c r="X85" s="794">
        <f t="shared" si="7"/>
        <v>1645.96</v>
      </c>
      <c r="Y85" s="795"/>
      <c r="Z85" s="792" t="str">
        <f t="shared" si="8"/>
        <v/>
      </c>
      <c r="AA85" s="794">
        <f t="shared" si="9"/>
        <v>1645.96</v>
      </c>
      <c r="AB85" s="795" t="s">
        <v>2003</v>
      </c>
      <c r="AC85" s="787">
        <f t="shared" si="10"/>
        <v>329.192</v>
      </c>
      <c r="AD85" s="792">
        <f t="shared" si="11"/>
        <v>1316.768</v>
      </c>
      <c r="AE85" s="862"/>
      <c r="AF85" s="889" t="s">
        <v>2004</v>
      </c>
      <c r="AG85" s="810" t="b">
        <v>0</v>
      </c>
      <c r="AH85" s="780"/>
      <c r="AI85" s="780"/>
      <c r="AJ85" s="780"/>
      <c r="AK85" s="780"/>
      <c r="AL85" s="780"/>
      <c r="AM85" s="780"/>
      <c r="AN85" s="780"/>
      <c r="AO85" s="780"/>
      <c r="AP85" s="780"/>
      <c r="AQ85" s="780"/>
      <c r="AR85" s="780"/>
      <c r="AS85" s="780"/>
      <c r="AT85" s="780"/>
      <c r="AU85" s="780"/>
      <c r="AV85" s="780"/>
      <c r="AW85" s="780"/>
    </row>
    <row r="86">
      <c r="A86" s="852">
        <v>45935.0</v>
      </c>
      <c r="B86" s="852">
        <v>46016.0</v>
      </c>
      <c r="C86" s="853" t="str">
        <f t="shared" si="1"/>
        <v>dez.</v>
      </c>
      <c r="D86" s="880"/>
      <c r="E86" s="880" t="s">
        <v>1886</v>
      </c>
      <c r="F86" s="856"/>
      <c r="G86" s="856"/>
      <c r="H86" s="856"/>
      <c r="I86" s="857">
        <v>0.0014045</v>
      </c>
      <c r="J86" s="858">
        <v>0.035</v>
      </c>
      <c r="K86" s="794">
        <f t="shared" si="22"/>
        <v>0</v>
      </c>
      <c r="L86" s="859">
        <f t="shared" si="23"/>
        <v>0</v>
      </c>
      <c r="M86" s="858">
        <v>0.0215</v>
      </c>
      <c r="N86" s="860">
        <f t="shared" si="24"/>
        <v>0.00143469675</v>
      </c>
      <c r="O86" s="794">
        <f t="shared" si="25"/>
        <v>15</v>
      </c>
      <c r="P86" s="794">
        <f t="shared" si="40"/>
        <v>0.0215</v>
      </c>
      <c r="Q86" s="861">
        <v>1992.0</v>
      </c>
      <c r="R86" s="882">
        <f t="shared" si="41"/>
        <v>0</v>
      </c>
      <c r="S86" s="792"/>
      <c r="T86" s="787">
        <v>0.06</v>
      </c>
      <c r="U86" s="793"/>
      <c r="V86" s="787"/>
      <c r="W86" s="792"/>
      <c r="X86" s="794">
        <f t="shared" si="7"/>
        <v>1992</v>
      </c>
      <c r="Y86" s="795"/>
      <c r="Z86" s="792" t="str">
        <f t="shared" si="8"/>
        <v/>
      </c>
      <c r="AA86" s="794">
        <f t="shared" si="9"/>
        <v>1992</v>
      </c>
      <c r="AB86" s="795" t="s">
        <v>2003</v>
      </c>
      <c r="AC86" s="787">
        <f t="shared" si="10"/>
        <v>398.4</v>
      </c>
      <c r="AD86" s="792">
        <f t="shared" si="11"/>
        <v>1593.6</v>
      </c>
      <c r="AE86" s="884"/>
      <c r="AF86" s="889" t="s">
        <v>2004</v>
      </c>
      <c r="AG86" s="810" t="b">
        <v>0</v>
      </c>
      <c r="AH86" s="780"/>
      <c r="AI86" s="780"/>
      <c r="AJ86" s="780"/>
      <c r="AK86" s="780"/>
      <c r="AL86" s="780"/>
      <c r="AM86" s="780"/>
      <c r="AN86" s="780"/>
      <c r="AO86" s="780"/>
      <c r="AP86" s="780"/>
      <c r="AQ86" s="780"/>
      <c r="AR86" s="780"/>
      <c r="AS86" s="780"/>
      <c r="AT86" s="780"/>
      <c r="AU86" s="780"/>
      <c r="AV86" s="780"/>
      <c r="AW86" s="780"/>
    </row>
    <row r="87">
      <c r="A87" s="852">
        <v>45980.0</v>
      </c>
      <c r="B87" s="852">
        <v>46017.0</v>
      </c>
      <c r="C87" s="853" t="str">
        <f t="shared" si="1"/>
        <v>dez.</v>
      </c>
      <c r="D87" s="880"/>
      <c r="E87" s="881" t="s">
        <v>2120</v>
      </c>
      <c r="F87" s="856"/>
      <c r="G87" s="856"/>
      <c r="H87" s="856"/>
      <c r="I87" s="857">
        <v>0.00140450000000001</v>
      </c>
      <c r="J87" s="858">
        <v>0.035</v>
      </c>
      <c r="K87" s="794">
        <f t="shared" si="22"/>
        <v>145.5027</v>
      </c>
      <c r="L87" s="859">
        <f t="shared" si="23"/>
        <v>5.2773</v>
      </c>
      <c r="M87" s="858">
        <v>0.0215</v>
      </c>
      <c r="N87" s="860">
        <f t="shared" si="24"/>
        <v>0.00143469675</v>
      </c>
      <c r="O87" s="794">
        <f t="shared" si="25"/>
        <v>18.12830805</v>
      </c>
      <c r="P87" s="794">
        <f>(K87*N87)+M106</f>
        <v>0.2302522508</v>
      </c>
      <c r="Q87" s="861">
        <f>1462.46</f>
        <v>1462.46</v>
      </c>
      <c r="R87" s="861">
        <v>150.78</v>
      </c>
      <c r="S87" s="792"/>
      <c r="T87" s="787">
        <v>0.06</v>
      </c>
      <c r="U87" s="793"/>
      <c r="V87" s="787"/>
      <c r="W87" s="792"/>
      <c r="X87" s="794">
        <f t="shared" si="7"/>
        <v>1311.68</v>
      </c>
      <c r="Y87" s="795"/>
      <c r="Z87" s="792" t="str">
        <f t="shared" si="8"/>
        <v/>
      </c>
      <c r="AA87" s="794">
        <f t="shared" si="9"/>
        <v>1311.68</v>
      </c>
      <c r="AB87" s="795" t="s">
        <v>2003</v>
      </c>
      <c r="AC87" s="787">
        <f t="shared" si="10"/>
        <v>262.336</v>
      </c>
      <c r="AD87" s="792">
        <f t="shared" si="11"/>
        <v>1049.344</v>
      </c>
      <c r="AE87" s="884" t="s">
        <v>2114</v>
      </c>
      <c r="AF87" s="889" t="s">
        <v>2004</v>
      </c>
      <c r="AG87" s="810" t="b">
        <v>0</v>
      </c>
      <c r="AH87" s="780"/>
      <c r="AI87" s="780"/>
      <c r="AJ87" s="780"/>
      <c r="AK87" s="780"/>
      <c r="AL87" s="780"/>
      <c r="AM87" s="780"/>
      <c r="AN87" s="780"/>
      <c r="AO87" s="780"/>
      <c r="AP87" s="780"/>
      <c r="AQ87" s="780"/>
      <c r="AR87" s="780"/>
      <c r="AS87" s="780"/>
      <c r="AT87" s="780"/>
      <c r="AU87" s="780"/>
      <c r="AV87" s="780"/>
      <c r="AW87" s="780"/>
    </row>
    <row r="88">
      <c r="A88" s="852">
        <v>46005.0</v>
      </c>
      <c r="B88" s="852">
        <v>46017.0</v>
      </c>
      <c r="C88" s="853" t="str">
        <f t="shared" si="1"/>
        <v>dez.</v>
      </c>
      <c r="D88" s="880"/>
      <c r="E88" s="881" t="s">
        <v>2121</v>
      </c>
      <c r="F88" s="856"/>
      <c r="G88" s="856"/>
      <c r="H88" s="856"/>
      <c r="I88" s="857">
        <v>0.00140450000000001</v>
      </c>
      <c r="J88" s="858">
        <v>0.035</v>
      </c>
      <c r="K88" s="794">
        <f t="shared" si="22"/>
        <v>10254.7655</v>
      </c>
      <c r="L88" s="859">
        <f t="shared" si="23"/>
        <v>371.9345</v>
      </c>
      <c r="M88" s="858">
        <v>0.0215</v>
      </c>
      <c r="N88" s="860">
        <f t="shared" si="24"/>
        <v>0.00143469675</v>
      </c>
      <c r="O88" s="794">
        <f t="shared" si="25"/>
        <v>235.4774583</v>
      </c>
      <c r="P88" s="794">
        <f t="shared" ref="P88:P89" si="42">(K88*N88)+M105</f>
        <v>14.73397873</v>
      </c>
      <c r="Q88" s="861">
        <v>16168.73</v>
      </c>
      <c r="R88" s="861">
        <v>10626.7</v>
      </c>
      <c r="S88" s="792"/>
      <c r="T88" s="787">
        <v>0.06</v>
      </c>
      <c r="U88" s="793"/>
      <c r="V88" s="787"/>
      <c r="W88" s="792"/>
      <c r="X88" s="794">
        <f t="shared" si="7"/>
        <v>5542.03</v>
      </c>
      <c r="Y88" s="795"/>
      <c r="Z88" s="792" t="str">
        <f t="shared" si="8"/>
        <v/>
      </c>
      <c r="AA88" s="794">
        <f t="shared" si="9"/>
        <v>5542.03</v>
      </c>
      <c r="AB88" s="795" t="s">
        <v>2003</v>
      </c>
      <c r="AC88" s="787">
        <f t="shared" si="10"/>
        <v>1108.406</v>
      </c>
      <c r="AD88" s="792">
        <f t="shared" si="11"/>
        <v>4433.624</v>
      </c>
      <c r="AE88" s="862"/>
      <c r="AF88" s="889" t="s">
        <v>2004</v>
      </c>
      <c r="AG88" s="810" t="b">
        <v>0</v>
      </c>
      <c r="AH88" s="780"/>
      <c r="AI88" s="780"/>
      <c r="AJ88" s="780"/>
      <c r="AK88" s="780"/>
      <c r="AL88" s="780"/>
      <c r="AM88" s="780"/>
      <c r="AN88" s="780"/>
      <c r="AO88" s="780"/>
      <c r="AP88" s="780"/>
      <c r="AQ88" s="780"/>
      <c r="AR88" s="780"/>
      <c r="AS88" s="780"/>
      <c r="AT88" s="780"/>
      <c r="AU88" s="780"/>
      <c r="AV88" s="780"/>
      <c r="AW88" s="780"/>
    </row>
    <row r="89">
      <c r="A89" s="852">
        <v>45999.0</v>
      </c>
      <c r="B89" s="852">
        <v>46018.0</v>
      </c>
      <c r="C89" s="853" t="str">
        <f t="shared" si="1"/>
        <v>dez.</v>
      </c>
      <c r="D89" s="854"/>
      <c r="E89" s="855" t="s">
        <v>2122</v>
      </c>
      <c r="F89" s="856"/>
      <c r="G89" s="856"/>
      <c r="H89" s="856"/>
      <c r="I89" s="857">
        <v>0.00140450000000001</v>
      </c>
      <c r="J89" s="858">
        <v>0.035</v>
      </c>
      <c r="K89" s="794">
        <f t="shared" si="22"/>
        <v>0</v>
      </c>
      <c r="L89" s="859">
        <f t="shared" si="23"/>
        <v>0</v>
      </c>
      <c r="M89" s="858">
        <v>0.0215</v>
      </c>
      <c r="N89" s="860">
        <f t="shared" si="24"/>
        <v>0.00143469675</v>
      </c>
      <c r="O89" s="794">
        <f t="shared" si="25"/>
        <v>15</v>
      </c>
      <c r="P89" s="794">
        <f t="shared" si="42"/>
        <v>0.0215</v>
      </c>
      <c r="Q89" s="861">
        <v>417.25</v>
      </c>
      <c r="R89" s="882">
        <f t="shared" ref="R89:R90" si="43">(G89*N89)*(1+J89)</f>
        <v>0</v>
      </c>
      <c r="S89" s="792"/>
      <c r="T89" s="787">
        <v>0.06</v>
      </c>
      <c r="U89" s="793"/>
      <c r="V89" s="787"/>
      <c r="W89" s="792"/>
      <c r="X89" s="794">
        <f t="shared" si="7"/>
        <v>417.25</v>
      </c>
      <c r="Y89" s="795"/>
      <c r="Z89" s="792" t="str">
        <f t="shared" si="8"/>
        <v/>
      </c>
      <c r="AA89" s="794">
        <f t="shared" si="9"/>
        <v>417.25</v>
      </c>
      <c r="AB89" s="795" t="s">
        <v>2003</v>
      </c>
      <c r="AC89" s="787">
        <f t="shared" si="10"/>
        <v>83.45</v>
      </c>
      <c r="AD89" s="792">
        <f t="shared" si="11"/>
        <v>333.8</v>
      </c>
      <c r="AE89" s="862"/>
      <c r="AF89" s="889" t="s">
        <v>2004</v>
      </c>
      <c r="AG89" s="810" t="b">
        <v>0</v>
      </c>
      <c r="AH89" s="780"/>
      <c r="AI89" s="780"/>
      <c r="AJ89" s="780"/>
      <c r="AK89" s="780"/>
      <c r="AL89" s="780"/>
      <c r="AM89" s="780"/>
      <c r="AN89" s="780"/>
      <c r="AO89" s="780"/>
      <c r="AP89" s="780"/>
      <c r="AQ89" s="780"/>
      <c r="AR89" s="780"/>
      <c r="AS89" s="780"/>
      <c r="AT89" s="780"/>
      <c r="AU89" s="780"/>
      <c r="AV89" s="780"/>
      <c r="AW89" s="780"/>
    </row>
    <row r="90">
      <c r="A90" s="852">
        <v>46002.0</v>
      </c>
      <c r="B90" s="852">
        <v>46018.0</v>
      </c>
      <c r="C90" s="853" t="str">
        <f t="shared" si="1"/>
        <v>dez.</v>
      </c>
      <c r="D90" s="880"/>
      <c r="E90" s="881" t="s">
        <v>2123</v>
      </c>
      <c r="F90" s="856"/>
      <c r="G90" s="856"/>
      <c r="H90" s="856"/>
      <c r="I90" s="857">
        <v>0.00140450000000001</v>
      </c>
      <c r="J90" s="858">
        <v>0.035</v>
      </c>
      <c r="K90" s="794">
        <f t="shared" si="22"/>
        <v>0</v>
      </c>
      <c r="L90" s="859">
        <f t="shared" si="23"/>
        <v>0</v>
      </c>
      <c r="M90" s="858">
        <v>0.0215</v>
      </c>
      <c r="N90" s="860">
        <f t="shared" si="24"/>
        <v>0.00143469675</v>
      </c>
      <c r="O90" s="794">
        <f t="shared" si="25"/>
        <v>15</v>
      </c>
      <c r="P90" s="794">
        <f>(K90*N90)+M108</f>
        <v>0.0215</v>
      </c>
      <c r="Q90" s="861">
        <v>1151.34</v>
      </c>
      <c r="R90" s="882">
        <f t="shared" si="43"/>
        <v>0</v>
      </c>
      <c r="S90" s="792"/>
      <c r="T90" s="787">
        <v>0.06</v>
      </c>
      <c r="U90" s="793"/>
      <c r="V90" s="787"/>
      <c r="W90" s="792"/>
      <c r="X90" s="794">
        <f t="shared" si="7"/>
        <v>1151.34</v>
      </c>
      <c r="Y90" s="795"/>
      <c r="Z90" s="792" t="str">
        <f t="shared" si="8"/>
        <v/>
      </c>
      <c r="AA90" s="794">
        <f t="shared" si="9"/>
        <v>1151.34</v>
      </c>
      <c r="AB90" s="795" t="s">
        <v>2003</v>
      </c>
      <c r="AC90" s="787">
        <f t="shared" si="10"/>
        <v>230.268</v>
      </c>
      <c r="AD90" s="792">
        <f t="shared" si="11"/>
        <v>921.072</v>
      </c>
      <c r="AE90" s="862"/>
      <c r="AF90" s="889" t="s">
        <v>2004</v>
      </c>
      <c r="AG90" s="886" t="b">
        <v>0</v>
      </c>
      <c r="AH90" s="780"/>
      <c r="AI90" s="778" t="s">
        <v>2124</v>
      </c>
      <c r="AJ90" s="780"/>
      <c r="AK90" s="780"/>
      <c r="AL90" s="780"/>
      <c r="AM90" s="780"/>
      <c r="AN90" s="780"/>
      <c r="AO90" s="780"/>
      <c r="AP90" s="780"/>
      <c r="AQ90" s="780"/>
      <c r="AR90" s="780"/>
      <c r="AS90" s="780"/>
      <c r="AT90" s="780"/>
      <c r="AU90" s="780"/>
      <c r="AV90" s="780"/>
      <c r="AW90" s="780"/>
    </row>
    <row r="91">
      <c r="A91" s="891">
        <v>46002.0</v>
      </c>
      <c r="B91" s="891">
        <v>46018.0</v>
      </c>
      <c r="C91" s="892" t="str">
        <f t="shared" si="1"/>
        <v>dez.</v>
      </c>
      <c r="D91" s="893"/>
      <c r="E91" s="894" t="s">
        <v>531</v>
      </c>
      <c r="F91" s="895"/>
      <c r="G91" s="895"/>
      <c r="H91" s="895"/>
      <c r="I91" s="896">
        <v>0.00140450000000001</v>
      </c>
      <c r="J91" s="897">
        <v>0.035</v>
      </c>
      <c r="K91" s="898">
        <f t="shared" si="22"/>
        <v>853.62935</v>
      </c>
      <c r="L91" s="899">
        <f t="shared" si="23"/>
        <v>30.96065</v>
      </c>
      <c r="M91" s="897">
        <v>0.0215</v>
      </c>
      <c r="N91" s="900">
        <f t="shared" si="24"/>
        <v>0.00143469675</v>
      </c>
      <c r="O91" s="898">
        <f t="shared" si="25"/>
        <v>33.35303103</v>
      </c>
      <c r="P91" s="898">
        <f>(K91*N91)+M110</f>
        <v>1.246199254</v>
      </c>
      <c r="Q91" s="901">
        <v>1412.51</v>
      </c>
      <c r="R91" s="901">
        <v>884.59</v>
      </c>
      <c r="S91" s="792"/>
      <c r="T91" s="787">
        <v>0.06</v>
      </c>
      <c r="U91" s="793"/>
      <c r="V91" s="787"/>
      <c r="W91" s="792"/>
      <c r="X91" s="794">
        <f t="shared" si="7"/>
        <v>527.92</v>
      </c>
      <c r="Y91" s="795"/>
      <c r="Z91" s="792" t="str">
        <f t="shared" si="8"/>
        <v/>
      </c>
      <c r="AA91" s="794">
        <f t="shared" si="9"/>
        <v>527.92</v>
      </c>
      <c r="AB91" s="795" t="s">
        <v>2003</v>
      </c>
      <c r="AC91" s="787">
        <f t="shared" si="10"/>
        <v>105.584</v>
      </c>
      <c r="AD91" s="792">
        <f t="shared" si="11"/>
        <v>422.336</v>
      </c>
      <c r="AE91" s="902"/>
      <c r="AF91" s="903" t="s">
        <v>2004</v>
      </c>
      <c r="AG91" s="904" t="b">
        <v>0</v>
      </c>
      <c r="AH91" s="905"/>
      <c r="AI91" s="778">
        <v>289.29</v>
      </c>
      <c r="AJ91" s="780"/>
      <c r="AK91" s="780"/>
      <c r="AL91" s="780"/>
      <c r="AM91" s="780"/>
      <c r="AN91" s="780"/>
      <c r="AO91" s="780"/>
      <c r="AP91" s="780"/>
      <c r="AQ91" s="780"/>
      <c r="AR91" s="780"/>
      <c r="AS91" s="780"/>
      <c r="AT91" s="780"/>
      <c r="AU91" s="780"/>
      <c r="AV91" s="780"/>
      <c r="AW91" s="780"/>
    </row>
    <row r="92">
      <c r="A92" s="852">
        <v>46012.0</v>
      </c>
      <c r="B92" s="852">
        <v>46019.0</v>
      </c>
      <c r="C92" s="853" t="str">
        <f t="shared" si="1"/>
        <v>dez.</v>
      </c>
      <c r="D92" s="880"/>
      <c r="E92" s="881" t="s">
        <v>2125</v>
      </c>
      <c r="F92" s="856"/>
      <c r="G92" s="856"/>
      <c r="H92" s="856"/>
      <c r="I92" s="857">
        <v>0.00140450000000002</v>
      </c>
      <c r="J92" s="858">
        <v>0.035</v>
      </c>
      <c r="K92" s="794">
        <f t="shared" si="22"/>
        <v>9970.50545</v>
      </c>
      <c r="L92" s="859">
        <f t="shared" si="23"/>
        <v>361.62455</v>
      </c>
      <c r="M92" s="858">
        <v>0.0215</v>
      </c>
      <c r="N92" s="860">
        <f t="shared" si="24"/>
        <v>0.00143469675</v>
      </c>
      <c r="O92" s="794">
        <f t="shared" si="25"/>
        <v>229.3658672</v>
      </c>
      <c r="P92" s="794">
        <f>(K92*N92)+M110</f>
        <v>14.32615176</v>
      </c>
      <c r="Q92" s="861">
        <v>17731.02</v>
      </c>
      <c r="R92" s="861">
        <v>10332.13</v>
      </c>
      <c r="S92" s="792"/>
      <c r="T92" s="787">
        <v>0.06</v>
      </c>
      <c r="U92" s="793"/>
      <c r="V92" s="787"/>
      <c r="W92" s="792"/>
      <c r="X92" s="794">
        <f t="shared" si="7"/>
        <v>7398.89</v>
      </c>
      <c r="Y92" s="795"/>
      <c r="Z92" s="792" t="str">
        <f t="shared" si="8"/>
        <v/>
      </c>
      <c r="AA92" s="794">
        <f t="shared" si="9"/>
        <v>7398.89</v>
      </c>
      <c r="AB92" s="795" t="s">
        <v>2003</v>
      </c>
      <c r="AC92" s="787">
        <f t="shared" si="10"/>
        <v>1479.778</v>
      </c>
      <c r="AD92" s="792">
        <f t="shared" si="11"/>
        <v>5919.112</v>
      </c>
      <c r="AE92" s="862"/>
      <c r="AF92" s="889" t="s">
        <v>2004</v>
      </c>
      <c r="AG92" s="886" t="b">
        <v>0</v>
      </c>
      <c r="AH92" s="780"/>
      <c r="AI92" s="780"/>
      <c r="AJ92" s="780"/>
      <c r="AK92" s="780"/>
      <c r="AL92" s="780"/>
      <c r="AM92" s="780"/>
      <c r="AN92" s="780"/>
      <c r="AO92" s="780"/>
      <c r="AP92" s="780"/>
      <c r="AQ92" s="780"/>
      <c r="AR92" s="780"/>
      <c r="AS92" s="780"/>
      <c r="AT92" s="780"/>
      <c r="AU92" s="780"/>
      <c r="AV92" s="780"/>
      <c r="AW92" s="780"/>
    </row>
    <row r="93">
      <c r="A93" s="852">
        <v>45975.0</v>
      </c>
      <c r="B93" s="852">
        <v>46019.0</v>
      </c>
      <c r="C93" s="853" t="str">
        <f t="shared" si="1"/>
        <v>dez.</v>
      </c>
      <c r="D93" s="854"/>
      <c r="E93" s="855" t="s">
        <v>2126</v>
      </c>
      <c r="F93" s="856"/>
      <c r="G93" s="856"/>
      <c r="H93" s="856"/>
      <c r="I93" s="857">
        <v>0.00140450000000001</v>
      </c>
      <c r="J93" s="858">
        <v>0.035</v>
      </c>
      <c r="K93" s="794">
        <f t="shared" si="22"/>
        <v>0</v>
      </c>
      <c r="L93" s="859">
        <f t="shared" si="23"/>
        <v>0</v>
      </c>
      <c r="M93" s="858">
        <v>0.0215</v>
      </c>
      <c r="N93" s="860">
        <f t="shared" si="24"/>
        <v>0.00143469675</v>
      </c>
      <c r="O93" s="794">
        <f t="shared" si="25"/>
        <v>15</v>
      </c>
      <c r="P93" s="794">
        <f t="shared" ref="P93:P97" si="44">(K93*N93)+M112</f>
        <v>0.0215</v>
      </c>
      <c r="Q93" s="861">
        <v>979.3</v>
      </c>
      <c r="R93" s="882">
        <f t="shared" ref="R93:R95" si="45">(G93*N93)*(1+J93)</f>
        <v>0</v>
      </c>
      <c r="S93" s="792"/>
      <c r="T93" s="787">
        <v>0.06</v>
      </c>
      <c r="U93" s="793"/>
      <c r="V93" s="787"/>
      <c r="W93" s="792"/>
      <c r="X93" s="794">
        <f t="shared" si="7"/>
        <v>979.3</v>
      </c>
      <c r="Y93" s="795"/>
      <c r="Z93" s="792" t="str">
        <f t="shared" si="8"/>
        <v/>
      </c>
      <c r="AA93" s="794">
        <f t="shared" si="9"/>
        <v>979.3</v>
      </c>
      <c r="AB93" s="795" t="s">
        <v>2003</v>
      </c>
      <c r="AC93" s="787">
        <f t="shared" si="10"/>
        <v>195.86</v>
      </c>
      <c r="AD93" s="792">
        <f t="shared" si="11"/>
        <v>783.44</v>
      </c>
      <c r="AE93" s="862"/>
      <c r="AF93" s="889" t="s">
        <v>2004</v>
      </c>
      <c r="AG93" s="810" t="b">
        <v>0</v>
      </c>
      <c r="AH93" s="780"/>
      <c r="AI93" s="780"/>
      <c r="AJ93" s="780"/>
      <c r="AK93" s="780"/>
      <c r="AL93" s="780"/>
      <c r="AM93" s="780"/>
      <c r="AN93" s="780"/>
      <c r="AO93" s="780"/>
      <c r="AP93" s="780"/>
      <c r="AQ93" s="780"/>
      <c r="AR93" s="780"/>
      <c r="AS93" s="780"/>
      <c r="AT93" s="780"/>
      <c r="AU93" s="780"/>
      <c r="AV93" s="780"/>
      <c r="AW93" s="780"/>
    </row>
    <row r="94">
      <c r="A94" s="852">
        <v>45989.0</v>
      </c>
      <c r="B94" s="852">
        <v>46019.0</v>
      </c>
      <c r="C94" s="853" t="str">
        <f t="shared" si="1"/>
        <v>dez.</v>
      </c>
      <c r="D94" s="880"/>
      <c r="E94" s="881" t="s">
        <v>2127</v>
      </c>
      <c r="F94" s="856"/>
      <c r="G94" s="856"/>
      <c r="H94" s="856"/>
      <c r="I94" s="857">
        <v>0.00140450000000001</v>
      </c>
      <c r="J94" s="858">
        <v>0.035</v>
      </c>
      <c r="K94" s="794">
        <f t="shared" si="22"/>
        <v>0</v>
      </c>
      <c r="L94" s="859">
        <f t="shared" si="23"/>
        <v>0</v>
      </c>
      <c r="M94" s="858">
        <v>0.0215</v>
      </c>
      <c r="N94" s="860">
        <f t="shared" si="24"/>
        <v>0.00143469675</v>
      </c>
      <c r="O94" s="794">
        <f t="shared" si="25"/>
        <v>15</v>
      </c>
      <c r="P94" s="794">
        <f t="shared" si="44"/>
        <v>0.0215</v>
      </c>
      <c r="Q94" s="861">
        <v>1758.69</v>
      </c>
      <c r="R94" s="882">
        <f t="shared" si="45"/>
        <v>0</v>
      </c>
      <c r="S94" s="792"/>
      <c r="T94" s="787">
        <v>0.06</v>
      </c>
      <c r="U94" s="793"/>
      <c r="V94" s="787"/>
      <c r="W94" s="792"/>
      <c r="X94" s="794">
        <f t="shared" si="7"/>
        <v>1758.69</v>
      </c>
      <c r="Y94" s="795"/>
      <c r="Z94" s="792" t="str">
        <f t="shared" si="8"/>
        <v/>
      </c>
      <c r="AA94" s="794">
        <f t="shared" si="9"/>
        <v>1758.69</v>
      </c>
      <c r="AB94" s="795" t="s">
        <v>2003</v>
      </c>
      <c r="AC94" s="787">
        <f t="shared" si="10"/>
        <v>351.738</v>
      </c>
      <c r="AD94" s="792">
        <f t="shared" si="11"/>
        <v>1406.952</v>
      </c>
      <c r="AE94" s="862"/>
      <c r="AF94" s="889" t="s">
        <v>2004</v>
      </c>
      <c r="AG94" s="810" t="b">
        <v>0</v>
      </c>
      <c r="AH94" s="780"/>
      <c r="AI94" s="780"/>
      <c r="AJ94" s="780"/>
      <c r="AK94" s="780"/>
      <c r="AL94" s="780"/>
      <c r="AM94" s="780"/>
      <c r="AN94" s="780"/>
      <c r="AO94" s="780"/>
      <c r="AP94" s="780"/>
      <c r="AQ94" s="780"/>
      <c r="AR94" s="780"/>
      <c r="AS94" s="780"/>
      <c r="AT94" s="780"/>
      <c r="AU94" s="780"/>
      <c r="AV94" s="780"/>
      <c r="AW94" s="780"/>
    </row>
    <row r="95">
      <c r="A95" s="852">
        <v>46001.0</v>
      </c>
      <c r="B95" s="852">
        <v>46019.0</v>
      </c>
      <c r="C95" s="853" t="str">
        <f t="shared" si="1"/>
        <v>dez.</v>
      </c>
      <c r="D95" s="854"/>
      <c r="E95" s="855" t="s">
        <v>2128</v>
      </c>
      <c r="F95" s="856"/>
      <c r="G95" s="856"/>
      <c r="H95" s="856"/>
      <c r="I95" s="857">
        <v>0.00140450000000001</v>
      </c>
      <c r="J95" s="858">
        <v>0.035</v>
      </c>
      <c r="K95" s="794">
        <f t="shared" si="22"/>
        <v>0</v>
      </c>
      <c r="L95" s="859">
        <f t="shared" si="23"/>
        <v>0</v>
      </c>
      <c r="M95" s="858">
        <v>0.0215</v>
      </c>
      <c r="N95" s="860">
        <f t="shared" si="24"/>
        <v>0.00143469675</v>
      </c>
      <c r="O95" s="794">
        <f t="shared" si="25"/>
        <v>15</v>
      </c>
      <c r="P95" s="794">
        <f t="shared" si="44"/>
        <v>0.0215</v>
      </c>
      <c r="Q95" s="861">
        <v>1368.39</v>
      </c>
      <c r="R95" s="882">
        <f t="shared" si="45"/>
        <v>0</v>
      </c>
      <c r="S95" s="792"/>
      <c r="T95" s="787">
        <v>0.06</v>
      </c>
      <c r="U95" s="793"/>
      <c r="V95" s="787"/>
      <c r="W95" s="792"/>
      <c r="X95" s="794">
        <f t="shared" si="7"/>
        <v>1368.39</v>
      </c>
      <c r="Y95" s="795"/>
      <c r="Z95" s="792" t="str">
        <f t="shared" si="8"/>
        <v/>
      </c>
      <c r="AA95" s="794">
        <f t="shared" si="9"/>
        <v>1368.39</v>
      </c>
      <c r="AB95" s="795" t="s">
        <v>2003</v>
      </c>
      <c r="AC95" s="787">
        <f t="shared" si="10"/>
        <v>273.678</v>
      </c>
      <c r="AD95" s="792">
        <f t="shared" si="11"/>
        <v>1094.712</v>
      </c>
      <c r="AE95" s="862"/>
      <c r="AF95" s="889" t="s">
        <v>2004</v>
      </c>
      <c r="AG95" s="810" t="b">
        <v>0</v>
      </c>
      <c r="AH95" s="780"/>
      <c r="AI95" s="780"/>
      <c r="AJ95" s="780"/>
      <c r="AK95" s="780"/>
      <c r="AL95" s="780"/>
      <c r="AM95" s="780"/>
      <c r="AN95" s="780"/>
      <c r="AO95" s="780"/>
      <c r="AP95" s="780"/>
      <c r="AQ95" s="780"/>
      <c r="AR95" s="780"/>
      <c r="AS95" s="780"/>
      <c r="AT95" s="780"/>
      <c r="AU95" s="780"/>
      <c r="AV95" s="780"/>
      <c r="AW95" s="780"/>
    </row>
    <row r="96">
      <c r="A96" s="852">
        <v>46008.0</v>
      </c>
      <c r="B96" s="852">
        <v>46019.0</v>
      </c>
      <c r="C96" s="853" t="str">
        <f t="shared" si="1"/>
        <v>dez.</v>
      </c>
      <c r="D96" s="854"/>
      <c r="E96" s="855" t="s">
        <v>2129</v>
      </c>
      <c r="F96" s="856"/>
      <c r="G96" s="856"/>
      <c r="H96" s="856"/>
      <c r="I96" s="857">
        <v>0.00140450000000001</v>
      </c>
      <c r="J96" s="858">
        <v>0.035</v>
      </c>
      <c r="K96" s="794">
        <f t="shared" si="22"/>
        <v>4565.9361</v>
      </c>
      <c r="L96" s="859">
        <f t="shared" si="23"/>
        <v>165.6039</v>
      </c>
      <c r="M96" s="858">
        <v>0.0215</v>
      </c>
      <c r="N96" s="860">
        <f t="shared" si="24"/>
        <v>0.00143469675</v>
      </c>
      <c r="O96" s="794">
        <f t="shared" si="25"/>
        <v>113.1676262</v>
      </c>
      <c r="P96" s="794">
        <f t="shared" si="44"/>
        <v>6.572233683</v>
      </c>
      <c r="Q96" s="861">
        <f>5000+1611.04</f>
        <v>6611.04</v>
      </c>
      <c r="R96" s="861">
        <v>4731.54</v>
      </c>
      <c r="S96" s="792"/>
      <c r="T96" s="787">
        <v>0.06</v>
      </c>
      <c r="U96" s="793"/>
      <c r="V96" s="787"/>
      <c r="W96" s="792"/>
      <c r="X96" s="794">
        <f t="shared" si="7"/>
        <v>1879.5</v>
      </c>
      <c r="Y96" s="795"/>
      <c r="Z96" s="792" t="str">
        <f t="shared" si="8"/>
        <v/>
      </c>
      <c r="AA96" s="794">
        <f t="shared" si="9"/>
        <v>1879.5</v>
      </c>
      <c r="AB96" s="795" t="s">
        <v>2003</v>
      </c>
      <c r="AC96" s="787">
        <f t="shared" si="10"/>
        <v>375.9</v>
      </c>
      <c r="AD96" s="792">
        <f t="shared" si="11"/>
        <v>1503.6</v>
      </c>
      <c r="AE96" s="884" t="s">
        <v>2130</v>
      </c>
      <c r="AF96" s="889" t="s">
        <v>2004</v>
      </c>
      <c r="AG96" s="886" t="b">
        <v>0</v>
      </c>
      <c r="AH96" s="780"/>
      <c r="AI96" s="778">
        <f>5000+1611.04-73.32</f>
        <v>6537.72</v>
      </c>
      <c r="AJ96" s="780">
        <f>165.55+1358.64+1120.35+517.06</f>
        <v>3161.6</v>
      </c>
      <c r="AK96" s="780"/>
      <c r="AL96" s="780"/>
      <c r="AM96" s="780"/>
      <c r="AN96" s="780"/>
      <c r="AO96" s="780"/>
      <c r="AP96" s="780"/>
      <c r="AQ96" s="780"/>
      <c r="AR96" s="780"/>
      <c r="AS96" s="780"/>
      <c r="AT96" s="780"/>
      <c r="AU96" s="780"/>
      <c r="AV96" s="780"/>
      <c r="AW96" s="780"/>
    </row>
    <row r="97">
      <c r="A97" s="852">
        <v>45707.0</v>
      </c>
      <c r="B97" s="852">
        <v>46019.0</v>
      </c>
      <c r="C97" s="853" t="str">
        <f t="shared" si="1"/>
        <v>dez.</v>
      </c>
      <c r="D97" s="880"/>
      <c r="E97" s="881" t="s">
        <v>2131</v>
      </c>
      <c r="F97" s="856"/>
      <c r="G97" s="856"/>
      <c r="H97" s="856"/>
      <c r="I97" s="857">
        <v>0.00140450000000002</v>
      </c>
      <c r="J97" s="858">
        <v>0.035</v>
      </c>
      <c r="K97" s="794">
        <f t="shared" si="22"/>
        <v>0</v>
      </c>
      <c r="L97" s="859">
        <f t="shared" si="23"/>
        <v>0</v>
      </c>
      <c r="M97" s="858">
        <v>0.0215</v>
      </c>
      <c r="N97" s="860">
        <f t="shared" si="24"/>
        <v>0.00143469675</v>
      </c>
      <c r="O97" s="794">
        <f t="shared" si="25"/>
        <v>15</v>
      </c>
      <c r="P97" s="794">
        <f t="shared" si="44"/>
        <v>0.0215</v>
      </c>
      <c r="Q97" s="861">
        <v>425.49</v>
      </c>
      <c r="R97" s="882">
        <f>(G97*N97)*(1+J97)</f>
        <v>0</v>
      </c>
      <c r="S97" s="792"/>
      <c r="T97" s="787">
        <v>0.06</v>
      </c>
      <c r="U97" s="793"/>
      <c r="V97" s="787"/>
      <c r="W97" s="792"/>
      <c r="X97" s="794">
        <f t="shared" si="7"/>
        <v>425.49</v>
      </c>
      <c r="Y97" s="795"/>
      <c r="Z97" s="792" t="str">
        <f t="shared" si="8"/>
        <v/>
      </c>
      <c r="AA97" s="794">
        <f t="shared" si="9"/>
        <v>425.49</v>
      </c>
      <c r="AB97" s="795" t="s">
        <v>2003</v>
      </c>
      <c r="AC97" s="787">
        <f t="shared" si="10"/>
        <v>85.098</v>
      </c>
      <c r="AD97" s="792">
        <f t="shared" si="11"/>
        <v>340.392</v>
      </c>
      <c r="AE97" s="862"/>
      <c r="AF97" s="889" t="s">
        <v>2004</v>
      </c>
      <c r="AG97" s="886" t="b">
        <v>0</v>
      </c>
      <c r="AH97" s="780"/>
      <c r="AI97" s="780"/>
      <c r="AJ97" s="780"/>
      <c r="AK97" s="780"/>
      <c r="AL97" s="780"/>
      <c r="AM97" s="780"/>
      <c r="AN97" s="780"/>
      <c r="AO97" s="780"/>
      <c r="AP97" s="780"/>
      <c r="AQ97" s="780"/>
      <c r="AR97" s="780"/>
      <c r="AS97" s="780"/>
      <c r="AT97" s="780"/>
      <c r="AU97" s="780"/>
      <c r="AV97" s="780"/>
      <c r="AW97" s="780"/>
    </row>
    <row r="98">
      <c r="A98" s="852">
        <v>46019.0</v>
      </c>
      <c r="B98" s="852">
        <v>46019.0</v>
      </c>
      <c r="C98" s="853" t="str">
        <f t="shared" si="1"/>
        <v>dez.</v>
      </c>
      <c r="D98" s="880"/>
      <c r="E98" s="881" t="s">
        <v>2132</v>
      </c>
      <c r="F98" s="856"/>
      <c r="G98" s="856"/>
      <c r="H98" s="856"/>
      <c r="I98" s="857">
        <v>0.00140450000000002</v>
      </c>
      <c r="J98" s="858">
        <v>0.035</v>
      </c>
      <c r="K98" s="794">
        <f t="shared" si="22"/>
        <v>920.3591</v>
      </c>
      <c r="L98" s="859">
        <f t="shared" si="23"/>
        <v>33.3809</v>
      </c>
      <c r="M98" s="858">
        <v>0.0215</v>
      </c>
      <c r="N98" s="860">
        <f t="shared" si="24"/>
        <v>0.00143469675</v>
      </c>
      <c r="O98" s="794">
        <f t="shared" si="25"/>
        <v>34.78772065</v>
      </c>
      <c r="P98" s="794">
        <f>(K98*N98)+M116</f>
        <v>1.34193621</v>
      </c>
      <c r="Q98" s="861">
        <v>2511.38</v>
      </c>
      <c r="R98" s="861">
        <v>953.74</v>
      </c>
      <c r="S98" s="792"/>
      <c r="T98" s="787">
        <v>0.06</v>
      </c>
      <c r="U98" s="793"/>
      <c r="V98" s="787"/>
      <c r="W98" s="792"/>
      <c r="X98" s="794">
        <f t="shared" si="7"/>
        <v>1557.64</v>
      </c>
      <c r="Y98" s="795"/>
      <c r="Z98" s="792" t="str">
        <f t="shared" si="8"/>
        <v/>
      </c>
      <c r="AA98" s="794">
        <f t="shared" si="9"/>
        <v>1557.64</v>
      </c>
      <c r="AB98" s="795" t="s">
        <v>2003</v>
      </c>
      <c r="AC98" s="787">
        <f t="shared" si="10"/>
        <v>311.528</v>
      </c>
      <c r="AD98" s="792">
        <f t="shared" si="11"/>
        <v>1246.112</v>
      </c>
      <c r="AE98" s="862"/>
      <c r="AF98" s="889" t="s">
        <v>2004</v>
      </c>
      <c r="AG98" s="886" t="b">
        <v>0</v>
      </c>
      <c r="AH98" s="780"/>
      <c r="AI98" s="780"/>
      <c r="AJ98" s="780"/>
      <c r="AK98" s="780"/>
      <c r="AL98" s="780"/>
      <c r="AM98" s="780"/>
      <c r="AN98" s="780"/>
      <c r="AO98" s="780"/>
      <c r="AP98" s="780"/>
      <c r="AQ98" s="780"/>
      <c r="AR98" s="780"/>
      <c r="AS98" s="780"/>
      <c r="AT98" s="780"/>
      <c r="AU98" s="780"/>
      <c r="AV98" s="780"/>
      <c r="AW98" s="780"/>
    </row>
    <row r="99">
      <c r="A99" s="852">
        <v>46019.0</v>
      </c>
      <c r="B99" s="852">
        <v>46019.0</v>
      </c>
      <c r="C99" s="853" t="str">
        <f t="shared" si="1"/>
        <v>dez.</v>
      </c>
      <c r="D99" s="880"/>
      <c r="E99" s="881" t="s">
        <v>2133</v>
      </c>
      <c r="F99" s="856"/>
      <c r="G99" s="856"/>
      <c r="H99" s="856"/>
      <c r="I99" s="857">
        <v>0.00140450000000002</v>
      </c>
      <c r="J99" s="858">
        <v>0.035</v>
      </c>
      <c r="K99" s="794">
        <f t="shared" si="22"/>
        <v>0</v>
      </c>
      <c r="L99" s="859">
        <f t="shared" si="23"/>
        <v>0</v>
      </c>
      <c r="M99" s="858">
        <v>0.0215</v>
      </c>
      <c r="N99" s="860">
        <f t="shared" si="24"/>
        <v>0.00143469675</v>
      </c>
      <c r="O99" s="794">
        <f t="shared" si="25"/>
        <v>15</v>
      </c>
      <c r="P99" s="794">
        <f t="shared" ref="P99:P100" si="46">(K99*N99)+M118</f>
        <v>0.0215</v>
      </c>
      <c r="Q99" s="861">
        <v>2002.86</v>
      </c>
      <c r="R99" s="882">
        <f t="shared" ref="R99:R102" si="47">(G99*N99)*(1+J99)</f>
        <v>0</v>
      </c>
      <c r="S99" s="792"/>
      <c r="T99" s="787">
        <v>0.06</v>
      </c>
      <c r="U99" s="793"/>
      <c r="V99" s="787"/>
      <c r="W99" s="792"/>
      <c r="X99" s="794">
        <f t="shared" si="7"/>
        <v>2002.86</v>
      </c>
      <c r="Y99" s="795"/>
      <c r="Z99" s="792" t="str">
        <f t="shared" si="8"/>
        <v/>
      </c>
      <c r="AA99" s="794">
        <f t="shared" si="9"/>
        <v>2002.86</v>
      </c>
      <c r="AB99" s="795" t="s">
        <v>2003</v>
      </c>
      <c r="AC99" s="787">
        <f t="shared" si="10"/>
        <v>400.572</v>
      </c>
      <c r="AD99" s="792">
        <f t="shared" si="11"/>
        <v>1602.288</v>
      </c>
      <c r="AE99" s="862"/>
      <c r="AF99" s="889" t="s">
        <v>2004</v>
      </c>
      <c r="AG99" s="886" t="b">
        <v>0</v>
      </c>
      <c r="AH99" s="906"/>
      <c r="AI99" s="780"/>
      <c r="AJ99" s="780"/>
      <c r="AK99" s="780"/>
      <c r="AL99" s="780"/>
      <c r="AM99" s="780"/>
      <c r="AN99" s="780"/>
      <c r="AO99" s="780"/>
      <c r="AP99" s="780"/>
      <c r="AQ99" s="780"/>
      <c r="AR99" s="780"/>
      <c r="AS99" s="780"/>
      <c r="AT99" s="780"/>
      <c r="AU99" s="780"/>
      <c r="AV99" s="780"/>
      <c r="AW99" s="780"/>
    </row>
    <row r="100">
      <c r="A100" s="890"/>
      <c r="B100" s="852">
        <v>46019.0</v>
      </c>
      <c r="C100" s="853" t="str">
        <f t="shared" si="1"/>
        <v>dez.</v>
      </c>
      <c r="D100" s="880"/>
      <c r="E100" s="881" t="s">
        <v>2134</v>
      </c>
      <c r="F100" s="856"/>
      <c r="G100" s="856"/>
      <c r="H100" s="856"/>
      <c r="I100" s="857">
        <v>0.00140450000000002</v>
      </c>
      <c r="J100" s="858">
        <v>0.035</v>
      </c>
      <c r="K100" s="794">
        <f t="shared" si="22"/>
        <v>0</v>
      </c>
      <c r="L100" s="859">
        <f t="shared" si="23"/>
        <v>0</v>
      </c>
      <c r="M100" s="858">
        <v>0.0215</v>
      </c>
      <c r="N100" s="860">
        <f t="shared" si="24"/>
        <v>0.00143469675</v>
      </c>
      <c r="O100" s="794">
        <f t="shared" si="25"/>
        <v>15</v>
      </c>
      <c r="P100" s="794">
        <f t="shared" si="46"/>
        <v>0.0215</v>
      </c>
      <c r="Q100" s="861">
        <v>2034.64</v>
      </c>
      <c r="R100" s="882">
        <f t="shared" si="47"/>
        <v>0</v>
      </c>
      <c r="S100" s="792"/>
      <c r="T100" s="787">
        <v>0.06</v>
      </c>
      <c r="U100" s="793"/>
      <c r="V100" s="787"/>
      <c r="W100" s="792"/>
      <c r="X100" s="794">
        <f t="shared" si="7"/>
        <v>2034.64</v>
      </c>
      <c r="Y100" s="795"/>
      <c r="Z100" s="792" t="str">
        <f t="shared" si="8"/>
        <v/>
      </c>
      <c r="AA100" s="794">
        <f t="shared" si="9"/>
        <v>2034.64</v>
      </c>
      <c r="AB100" s="795" t="s">
        <v>2003</v>
      </c>
      <c r="AC100" s="787">
        <f t="shared" si="10"/>
        <v>406.928</v>
      </c>
      <c r="AD100" s="792">
        <f t="shared" si="11"/>
        <v>1627.712</v>
      </c>
      <c r="AE100" s="862"/>
      <c r="AF100" s="889" t="s">
        <v>2004</v>
      </c>
      <c r="AG100" s="886" t="b">
        <v>0</v>
      </c>
      <c r="AH100" s="906"/>
      <c r="AI100" s="780"/>
      <c r="AJ100" s="780"/>
      <c r="AK100" s="780"/>
      <c r="AL100" s="780"/>
      <c r="AM100" s="780"/>
      <c r="AN100" s="780"/>
      <c r="AO100" s="780"/>
      <c r="AP100" s="780"/>
      <c r="AQ100" s="780"/>
      <c r="AR100" s="780"/>
      <c r="AS100" s="780"/>
      <c r="AT100" s="780"/>
      <c r="AU100" s="780"/>
      <c r="AV100" s="780"/>
      <c r="AW100" s="780"/>
    </row>
    <row r="101">
      <c r="A101" s="852">
        <v>46020.0</v>
      </c>
      <c r="B101" s="852">
        <v>46019.0</v>
      </c>
      <c r="C101" s="853" t="str">
        <f t="shared" si="1"/>
        <v>dez.</v>
      </c>
      <c r="D101" s="880"/>
      <c r="E101" s="881" t="s">
        <v>2135</v>
      </c>
      <c r="F101" s="856"/>
      <c r="G101" s="856"/>
      <c r="H101" s="856"/>
      <c r="I101" s="857">
        <v>0.00140450000000002</v>
      </c>
      <c r="J101" s="858">
        <v>0.035</v>
      </c>
      <c r="K101" s="794">
        <f t="shared" si="22"/>
        <v>0</v>
      </c>
      <c r="L101" s="859">
        <f t="shared" si="23"/>
        <v>0</v>
      </c>
      <c r="M101" s="858">
        <v>0.0215</v>
      </c>
      <c r="N101" s="860">
        <f t="shared" si="24"/>
        <v>0.00143469675</v>
      </c>
      <c r="O101" s="794">
        <f t="shared" si="25"/>
        <v>15</v>
      </c>
      <c r="P101" s="794">
        <f t="shared" ref="P101:P103" si="48">(K101*N101)+M121</f>
        <v>0.0215</v>
      </c>
      <c r="Q101" s="861">
        <v>360.33</v>
      </c>
      <c r="R101" s="882">
        <f t="shared" si="47"/>
        <v>0</v>
      </c>
      <c r="S101" s="792"/>
      <c r="T101" s="787">
        <v>0.06</v>
      </c>
      <c r="U101" s="793"/>
      <c r="V101" s="787"/>
      <c r="W101" s="792"/>
      <c r="X101" s="794">
        <f t="shared" si="7"/>
        <v>360.33</v>
      </c>
      <c r="Y101" s="795"/>
      <c r="Z101" s="792" t="str">
        <f t="shared" si="8"/>
        <v/>
      </c>
      <c r="AA101" s="794">
        <f t="shared" si="9"/>
        <v>360.33</v>
      </c>
      <c r="AB101" s="795" t="s">
        <v>2003</v>
      </c>
      <c r="AC101" s="787">
        <f t="shared" si="10"/>
        <v>72.066</v>
      </c>
      <c r="AD101" s="792">
        <f t="shared" si="11"/>
        <v>288.264</v>
      </c>
      <c r="AE101" s="862"/>
      <c r="AF101" s="889" t="s">
        <v>2004</v>
      </c>
      <c r="AG101" s="886" t="b">
        <v>0</v>
      </c>
      <c r="AH101" s="906"/>
      <c r="AI101" s="780"/>
      <c r="AJ101" s="780"/>
      <c r="AK101" s="780"/>
      <c r="AL101" s="780"/>
      <c r="AM101" s="780"/>
      <c r="AN101" s="780"/>
      <c r="AO101" s="780"/>
      <c r="AP101" s="780"/>
      <c r="AQ101" s="780"/>
      <c r="AR101" s="780"/>
      <c r="AS101" s="780"/>
      <c r="AT101" s="780"/>
      <c r="AU101" s="780"/>
      <c r="AV101" s="780"/>
      <c r="AW101" s="780"/>
    </row>
    <row r="102">
      <c r="A102" s="852">
        <v>46020.0</v>
      </c>
      <c r="B102" s="852">
        <v>46019.0</v>
      </c>
      <c r="C102" s="853" t="str">
        <f t="shared" si="1"/>
        <v>dez.</v>
      </c>
      <c r="D102" s="880"/>
      <c r="E102" s="881" t="s">
        <v>2136</v>
      </c>
      <c r="F102" s="856"/>
      <c r="G102" s="856"/>
      <c r="H102" s="856"/>
      <c r="I102" s="857">
        <v>0.00140450000000002</v>
      </c>
      <c r="J102" s="858">
        <v>0.035</v>
      </c>
      <c r="K102" s="794">
        <f t="shared" si="22"/>
        <v>0</v>
      </c>
      <c r="L102" s="859">
        <f t="shared" si="23"/>
        <v>0</v>
      </c>
      <c r="M102" s="858">
        <v>0.0215</v>
      </c>
      <c r="N102" s="860">
        <f t="shared" si="24"/>
        <v>0.00143469675</v>
      </c>
      <c r="O102" s="794">
        <f t="shared" si="25"/>
        <v>15</v>
      </c>
      <c r="P102" s="794">
        <f t="shared" si="48"/>
        <v>0.0215</v>
      </c>
      <c r="Q102" s="861">
        <v>445.0</v>
      </c>
      <c r="R102" s="882">
        <f t="shared" si="47"/>
        <v>0</v>
      </c>
      <c r="S102" s="792"/>
      <c r="T102" s="787">
        <v>0.06</v>
      </c>
      <c r="U102" s="793"/>
      <c r="V102" s="787"/>
      <c r="W102" s="792"/>
      <c r="X102" s="794">
        <f t="shared" si="7"/>
        <v>445</v>
      </c>
      <c r="Y102" s="795"/>
      <c r="Z102" s="792" t="str">
        <f t="shared" si="8"/>
        <v/>
      </c>
      <c r="AA102" s="794">
        <f t="shared" si="9"/>
        <v>445</v>
      </c>
      <c r="AB102" s="795" t="s">
        <v>2003</v>
      </c>
      <c r="AC102" s="787">
        <f t="shared" si="10"/>
        <v>89</v>
      </c>
      <c r="AD102" s="792">
        <f t="shared" si="11"/>
        <v>356</v>
      </c>
      <c r="AE102" s="862"/>
      <c r="AF102" s="889" t="s">
        <v>2004</v>
      </c>
      <c r="AG102" s="886" t="b">
        <v>0</v>
      </c>
      <c r="AH102" s="906"/>
      <c r="AI102" s="780"/>
      <c r="AJ102" s="780"/>
      <c r="AK102" s="780"/>
      <c r="AL102" s="780"/>
      <c r="AM102" s="780"/>
      <c r="AN102" s="780"/>
      <c r="AO102" s="780"/>
      <c r="AP102" s="780"/>
      <c r="AQ102" s="780"/>
      <c r="AR102" s="780"/>
      <c r="AS102" s="780"/>
      <c r="AT102" s="780"/>
      <c r="AU102" s="780"/>
      <c r="AV102" s="780"/>
      <c r="AW102" s="780"/>
    </row>
    <row r="103">
      <c r="A103" s="852">
        <v>45988.0</v>
      </c>
      <c r="B103" s="852">
        <v>46020.0</v>
      </c>
      <c r="C103" s="853" t="str">
        <f t="shared" si="1"/>
        <v>dez.</v>
      </c>
      <c r="D103" s="880"/>
      <c r="E103" s="881" t="s">
        <v>2137</v>
      </c>
      <c r="F103" s="856"/>
      <c r="G103" s="856"/>
      <c r="H103" s="856"/>
      <c r="I103" s="857">
        <v>0.00140450000000001</v>
      </c>
      <c r="J103" s="858">
        <v>0.035</v>
      </c>
      <c r="K103" s="794">
        <f t="shared" si="22"/>
        <v>160.89445</v>
      </c>
      <c r="L103" s="859">
        <f t="shared" si="23"/>
        <v>5.83555</v>
      </c>
      <c r="M103" s="858">
        <v>0.0215</v>
      </c>
      <c r="N103" s="860">
        <f t="shared" si="24"/>
        <v>0.00143469675</v>
      </c>
      <c r="O103" s="794">
        <f t="shared" si="25"/>
        <v>18.45923068</v>
      </c>
      <c r="P103" s="794">
        <f t="shared" si="48"/>
        <v>0.2523347445</v>
      </c>
      <c r="Q103" s="861">
        <v>1212.2</v>
      </c>
      <c r="R103" s="861">
        <v>166.73</v>
      </c>
      <c r="S103" s="792"/>
      <c r="T103" s="787">
        <v>0.06</v>
      </c>
      <c r="U103" s="793"/>
      <c r="V103" s="787"/>
      <c r="W103" s="792"/>
      <c r="X103" s="794">
        <f t="shared" si="7"/>
        <v>1045.47</v>
      </c>
      <c r="Y103" s="795"/>
      <c r="Z103" s="792" t="str">
        <f t="shared" si="8"/>
        <v/>
      </c>
      <c r="AA103" s="794">
        <f t="shared" si="9"/>
        <v>1045.47</v>
      </c>
      <c r="AB103" s="795" t="s">
        <v>2003</v>
      </c>
      <c r="AC103" s="787">
        <f t="shared" si="10"/>
        <v>209.094</v>
      </c>
      <c r="AD103" s="792">
        <f t="shared" si="11"/>
        <v>836.376</v>
      </c>
      <c r="AE103" s="862"/>
      <c r="AF103" s="889" t="s">
        <v>2004</v>
      </c>
      <c r="AG103" s="810" t="b">
        <v>0</v>
      </c>
      <c r="AH103" s="780"/>
      <c r="AI103" s="780"/>
      <c r="AJ103" s="780"/>
      <c r="AK103" s="780"/>
      <c r="AL103" s="780"/>
      <c r="AM103" s="780"/>
      <c r="AN103" s="780"/>
      <c r="AO103" s="780"/>
      <c r="AP103" s="780"/>
      <c r="AQ103" s="780"/>
      <c r="AR103" s="780"/>
      <c r="AS103" s="780"/>
      <c r="AT103" s="780"/>
      <c r="AU103" s="780"/>
      <c r="AV103" s="780"/>
      <c r="AW103" s="780"/>
    </row>
    <row r="104">
      <c r="A104" s="852">
        <v>45973.0</v>
      </c>
      <c r="B104" s="852">
        <v>46020.0</v>
      </c>
      <c r="C104" s="853" t="str">
        <f t="shared" si="1"/>
        <v>dez.</v>
      </c>
      <c r="D104" s="880"/>
      <c r="E104" s="881" t="s">
        <v>2138</v>
      </c>
      <c r="F104" s="856"/>
      <c r="G104" s="856"/>
      <c r="H104" s="856"/>
      <c r="I104" s="857">
        <v>0.00140450000000001</v>
      </c>
      <c r="J104" s="858">
        <v>0.035</v>
      </c>
      <c r="K104" s="794">
        <f t="shared" si="22"/>
        <v>0</v>
      </c>
      <c r="L104" s="859">
        <f t="shared" si="23"/>
        <v>0</v>
      </c>
      <c r="M104" s="858">
        <v>0.0215</v>
      </c>
      <c r="N104" s="860">
        <f t="shared" si="24"/>
        <v>0.00143469675</v>
      </c>
      <c r="O104" s="794">
        <f t="shared" si="25"/>
        <v>15</v>
      </c>
      <c r="P104" s="794">
        <f>(K104*N104)+M123</f>
        <v>0.0215</v>
      </c>
      <c r="Q104" s="861">
        <v>1917.67</v>
      </c>
      <c r="R104" s="882">
        <f t="shared" ref="R104:R117" si="49">(G104*N104)*(1+J104)</f>
        <v>0</v>
      </c>
      <c r="S104" s="792"/>
      <c r="T104" s="787">
        <v>0.06</v>
      </c>
      <c r="U104" s="793"/>
      <c r="V104" s="787"/>
      <c r="W104" s="792"/>
      <c r="X104" s="794">
        <f t="shared" si="7"/>
        <v>1917.67</v>
      </c>
      <c r="Y104" s="795"/>
      <c r="Z104" s="792" t="str">
        <f t="shared" si="8"/>
        <v/>
      </c>
      <c r="AA104" s="794">
        <f t="shared" si="9"/>
        <v>1917.67</v>
      </c>
      <c r="AB104" s="795" t="s">
        <v>2003</v>
      </c>
      <c r="AC104" s="787">
        <f t="shared" si="10"/>
        <v>383.534</v>
      </c>
      <c r="AD104" s="792">
        <f t="shared" si="11"/>
        <v>1534.136</v>
      </c>
      <c r="AE104" s="862"/>
      <c r="AF104" s="889" t="s">
        <v>2004</v>
      </c>
      <c r="AG104" s="810" t="b">
        <v>0</v>
      </c>
      <c r="AH104" s="780"/>
      <c r="AI104" s="780"/>
      <c r="AJ104" s="780"/>
      <c r="AK104" s="780"/>
      <c r="AL104" s="780"/>
      <c r="AM104" s="780"/>
      <c r="AN104" s="780"/>
      <c r="AO104" s="780"/>
      <c r="AP104" s="780"/>
      <c r="AQ104" s="780"/>
      <c r="AR104" s="780"/>
      <c r="AS104" s="780"/>
      <c r="AT104" s="780"/>
      <c r="AU104" s="780"/>
      <c r="AV104" s="780"/>
      <c r="AW104" s="780"/>
    </row>
    <row r="105">
      <c r="A105" s="852">
        <v>45981.0</v>
      </c>
      <c r="B105" s="852">
        <v>46020.0</v>
      </c>
      <c r="C105" s="853" t="str">
        <f t="shared" si="1"/>
        <v>dez.</v>
      </c>
      <c r="D105" s="854"/>
      <c r="E105" s="855" t="s">
        <v>2139</v>
      </c>
      <c r="F105" s="856"/>
      <c r="G105" s="856"/>
      <c r="H105" s="856"/>
      <c r="I105" s="857">
        <v>0.00140450000000001</v>
      </c>
      <c r="J105" s="858">
        <v>0.035</v>
      </c>
      <c r="K105" s="794">
        <f t="shared" si="22"/>
        <v>0</v>
      </c>
      <c r="L105" s="859">
        <f t="shared" si="23"/>
        <v>0</v>
      </c>
      <c r="M105" s="858">
        <v>0.0215</v>
      </c>
      <c r="N105" s="860">
        <f t="shared" si="24"/>
        <v>0.00143469675</v>
      </c>
      <c r="O105" s="794">
        <f t="shared" si="25"/>
        <v>15</v>
      </c>
      <c r="P105" s="794" t="str">
        <f t="shared" ref="P105:P106" si="50">(K105*N105)+#REF!</f>
        <v>#REF!</v>
      </c>
      <c r="Q105" s="861">
        <v>4425.29</v>
      </c>
      <c r="R105" s="882">
        <f t="shared" si="49"/>
        <v>0</v>
      </c>
      <c r="S105" s="792"/>
      <c r="T105" s="787">
        <v>0.06</v>
      </c>
      <c r="U105" s="793"/>
      <c r="V105" s="787"/>
      <c r="W105" s="792"/>
      <c r="X105" s="794">
        <f t="shared" si="7"/>
        <v>4425.29</v>
      </c>
      <c r="Y105" s="795"/>
      <c r="Z105" s="792" t="str">
        <f t="shared" si="8"/>
        <v/>
      </c>
      <c r="AA105" s="794">
        <f t="shared" si="9"/>
        <v>4425.29</v>
      </c>
      <c r="AB105" s="795" t="s">
        <v>2003</v>
      </c>
      <c r="AC105" s="787">
        <f t="shared" si="10"/>
        <v>885.058</v>
      </c>
      <c r="AD105" s="792">
        <f t="shared" si="11"/>
        <v>3540.232</v>
      </c>
      <c r="AE105" s="862"/>
      <c r="AF105" s="889" t="s">
        <v>2004</v>
      </c>
      <c r="AG105" s="810" t="b">
        <v>0</v>
      </c>
      <c r="AH105" s="780"/>
      <c r="AI105" s="780"/>
      <c r="AJ105" s="780"/>
      <c r="AK105" s="780"/>
      <c r="AL105" s="780"/>
      <c r="AM105" s="780"/>
      <c r="AN105" s="780"/>
      <c r="AO105" s="780"/>
      <c r="AP105" s="780"/>
      <c r="AQ105" s="780"/>
      <c r="AR105" s="780"/>
      <c r="AS105" s="780"/>
      <c r="AT105" s="780"/>
      <c r="AU105" s="780"/>
      <c r="AV105" s="780"/>
      <c r="AW105" s="780"/>
    </row>
    <row r="106">
      <c r="A106" s="852">
        <v>45972.0</v>
      </c>
      <c r="B106" s="852">
        <v>46020.0</v>
      </c>
      <c r="C106" s="853" t="str">
        <f t="shared" si="1"/>
        <v>dez.</v>
      </c>
      <c r="D106" s="880"/>
      <c r="E106" s="881" t="s">
        <v>2140</v>
      </c>
      <c r="F106" s="856"/>
      <c r="G106" s="856"/>
      <c r="H106" s="856"/>
      <c r="I106" s="857">
        <v>0.00140450000000001</v>
      </c>
      <c r="J106" s="858">
        <v>0.035</v>
      </c>
      <c r="K106" s="794">
        <f t="shared" si="22"/>
        <v>0</v>
      </c>
      <c r="L106" s="859">
        <f t="shared" si="23"/>
        <v>0</v>
      </c>
      <c r="M106" s="858">
        <v>0.0215</v>
      </c>
      <c r="N106" s="860">
        <f t="shared" si="24"/>
        <v>0.00143469675</v>
      </c>
      <c r="O106" s="794">
        <f t="shared" si="25"/>
        <v>15</v>
      </c>
      <c r="P106" s="794" t="str">
        <f t="shared" si="50"/>
        <v>#REF!</v>
      </c>
      <c r="Q106" s="861">
        <v>1301.46</v>
      </c>
      <c r="R106" s="882">
        <f t="shared" si="49"/>
        <v>0</v>
      </c>
      <c r="S106" s="792"/>
      <c r="T106" s="787">
        <v>0.06</v>
      </c>
      <c r="U106" s="793"/>
      <c r="V106" s="787"/>
      <c r="W106" s="792"/>
      <c r="X106" s="794">
        <f t="shared" si="7"/>
        <v>1301.46</v>
      </c>
      <c r="Y106" s="795"/>
      <c r="Z106" s="792" t="str">
        <f t="shared" si="8"/>
        <v/>
      </c>
      <c r="AA106" s="794">
        <f t="shared" si="9"/>
        <v>1301.46</v>
      </c>
      <c r="AB106" s="795" t="s">
        <v>2003</v>
      </c>
      <c r="AC106" s="787">
        <f t="shared" si="10"/>
        <v>260.292</v>
      </c>
      <c r="AD106" s="792">
        <f t="shared" si="11"/>
        <v>1041.168</v>
      </c>
      <c r="AE106" s="884"/>
      <c r="AF106" s="889" t="s">
        <v>2004</v>
      </c>
      <c r="AG106" s="810" t="b">
        <v>0</v>
      </c>
      <c r="AH106" s="780"/>
      <c r="AI106" s="780"/>
      <c r="AJ106" s="780"/>
      <c r="AK106" s="780"/>
      <c r="AL106" s="780"/>
      <c r="AM106" s="780"/>
      <c r="AN106" s="780"/>
      <c r="AO106" s="780"/>
      <c r="AP106" s="780"/>
      <c r="AQ106" s="780"/>
      <c r="AR106" s="780"/>
      <c r="AS106" s="780"/>
      <c r="AT106" s="780"/>
      <c r="AU106" s="780"/>
      <c r="AV106" s="780"/>
      <c r="AW106" s="780"/>
    </row>
    <row r="107">
      <c r="A107" s="852">
        <v>46005.0</v>
      </c>
      <c r="B107" s="852">
        <v>46020.0</v>
      </c>
      <c r="C107" s="853" t="str">
        <f t="shared" si="1"/>
        <v>dez.</v>
      </c>
      <c r="D107" s="854"/>
      <c r="E107" s="855" t="s">
        <v>2141</v>
      </c>
      <c r="F107" s="856"/>
      <c r="G107" s="856"/>
      <c r="H107" s="856"/>
      <c r="I107" s="857">
        <v>0.00140450000000001</v>
      </c>
      <c r="J107" s="858">
        <v>0.035</v>
      </c>
      <c r="K107" s="794">
        <f t="shared" si="22"/>
        <v>0</v>
      </c>
      <c r="L107" s="859">
        <f t="shared" si="23"/>
        <v>0</v>
      </c>
      <c r="M107" s="858">
        <v>0.0215</v>
      </c>
      <c r="N107" s="860">
        <f t="shared" si="24"/>
        <v>0.00143469675</v>
      </c>
      <c r="O107" s="794">
        <f t="shared" si="25"/>
        <v>15</v>
      </c>
      <c r="P107" s="794">
        <f t="shared" ref="P107:P109" si="51">(K107*N107)+M127</f>
        <v>0.0215</v>
      </c>
      <c r="Q107" s="861">
        <v>694.15</v>
      </c>
      <c r="R107" s="882">
        <f t="shared" si="49"/>
        <v>0</v>
      </c>
      <c r="S107" s="792"/>
      <c r="T107" s="787">
        <v>0.06</v>
      </c>
      <c r="U107" s="793"/>
      <c r="V107" s="787"/>
      <c r="W107" s="792"/>
      <c r="X107" s="794">
        <f t="shared" si="7"/>
        <v>694.15</v>
      </c>
      <c r="Y107" s="795"/>
      <c r="Z107" s="792" t="str">
        <f t="shared" si="8"/>
        <v/>
      </c>
      <c r="AA107" s="794">
        <f t="shared" si="9"/>
        <v>694.15</v>
      </c>
      <c r="AB107" s="795" t="s">
        <v>2003</v>
      </c>
      <c r="AC107" s="787">
        <f t="shared" si="10"/>
        <v>138.83</v>
      </c>
      <c r="AD107" s="792">
        <f t="shared" si="11"/>
        <v>555.32</v>
      </c>
      <c r="AE107" s="862"/>
      <c r="AF107" s="889" t="s">
        <v>2004</v>
      </c>
      <c r="AG107" s="810" t="b">
        <v>0</v>
      </c>
      <c r="AH107" s="780"/>
      <c r="AI107" s="778" t="s">
        <v>2142</v>
      </c>
      <c r="AJ107" s="780"/>
      <c r="AK107" s="780"/>
      <c r="AL107" s="780"/>
      <c r="AM107" s="780"/>
      <c r="AN107" s="780"/>
      <c r="AO107" s="780"/>
      <c r="AP107" s="780"/>
      <c r="AQ107" s="780"/>
      <c r="AR107" s="780"/>
      <c r="AS107" s="780"/>
      <c r="AT107" s="780"/>
      <c r="AU107" s="780"/>
      <c r="AV107" s="780"/>
      <c r="AW107" s="780"/>
    </row>
    <row r="108">
      <c r="A108" s="907"/>
      <c r="B108" s="891">
        <v>46020.0</v>
      </c>
      <c r="C108" s="892" t="str">
        <f t="shared" si="1"/>
        <v>dez.</v>
      </c>
      <c r="D108" s="908"/>
      <c r="E108" s="909" t="s">
        <v>2143</v>
      </c>
      <c r="F108" s="895"/>
      <c r="G108" s="895"/>
      <c r="H108" s="895"/>
      <c r="I108" s="896">
        <v>0.00140450000000001</v>
      </c>
      <c r="J108" s="897">
        <v>0.035</v>
      </c>
      <c r="K108" s="898">
        <f t="shared" si="22"/>
        <v>0</v>
      </c>
      <c r="L108" s="899">
        <f t="shared" si="23"/>
        <v>0</v>
      </c>
      <c r="M108" s="897">
        <v>0.0215</v>
      </c>
      <c r="N108" s="900">
        <f t="shared" si="24"/>
        <v>0.00143469675</v>
      </c>
      <c r="O108" s="898">
        <f t="shared" si="25"/>
        <v>15</v>
      </c>
      <c r="P108" s="898">
        <f t="shared" si="51"/>
        <v>0.0215</v>
      </c>
      <c r="Q108" s="901">
        <v>1602.56</v>
      </c>
      <c r="R108" s="910">
        <f t="shared" si="49"/>
        <v>0</v>
      </c>
      <c r="S108" s="792"/>
      <c r="T108" s="787">
        <v>0.06</v>
      </c>
      <c r="U108" s="793"/>
      <c r="V108" s="787"/>
      <c r="W108" s="792"/>
      <c r="X108" s="794">
        <f t="shared" si="7"/>
        <v>1602.56</v>
      </c>
      <c r="Y108" s="795"/>
      <c r="Z108" s="792" t="str">
        <f t="shared" si="8"/>
        <v/>
      </c>
      <c r="AA108" s="794">
        <f t="shared" si="9"/>
        <v>1602.56</v>
      </c>
      <c r="AB108" s="795" t="s">
        <v>2003</v>
      </c>
      <c r="AC108" s="787">
        <f t="shared" si="10"/>
        <v>320.512</v>
      </c>
      <c r="AD108" s="792">
        <f t="shared" si="11"/>
        <v>1282.048</v>
      </c>
      <c r="AE108" s="902"/>
      <c r="AF108" s="903" t="s">
        <v>2004</v>
      </c>
      <c r="AG108" s="904" t="b">
        <v>0</v>
      </c>
      <c r="AH108" s="905"/>
      <c r="AI108" s="778">
        <v>947.83</v>
      </c>
      <c r="AJ108" s="780"/>
      <c r="AK108" s="780"/>
      <c r="AL108" s="780"/>
      <c r="AM108" s="780"/>
      <c r="AN108" s="780"/>
      <c r="AO108" s="780"/>
      <c r="AP108" s="780"/>
      <c r="AQ108" s="780"/>
      <c r="AR108" s="780"/>
      <c r="AS108" s="780"/>
      <c r="AT108" s="780"/>
      <c r="AU108" s="780"/>
      <c r="AV108" s="780"/>
      <c r="AW108" s="780"/>
    </row>
    <row r="109">
      <c r="A109" s="852">
        <v>46009.0</v>
      </c>
      <c r="B109" s="852">
        <v>46020.0</v>
      </c>
      <c r="C109" s="853" t="str">
        <f t="shared" si="1"/>
        <v>dez.</v>
      </c>
      <c r="D109" s="854"/>
      <c r="E109" s="855" t="s">
        <v>2144</v>
      </c>
      <c r="F109" s="883"/>
      <c r="G109" s="883"/>
      <c r="H109" s="883"/>
      <c r="I109" s="857">
        <v>0.00140450000000002</v>
      </c>
      <c r="J109" s="858">
        <v>0.035</v>
      </c>
      <c r="K109" s="794">
        <f t="shared" si="22"/>
        <v>0</v>
      </c>
      <c r="L109" s="859">
        <f t="shared" si="23"/>
        <v>0</v>
      </c>
      <c r="M109" s="858">
        <v>0.0215</v>
      </c>
      <c r="N109" s="860">
        <f t="shared" si="24"/>
        <v>0.00143469675</v>
      </c>
      <c r="O109" s="794">
        <f t="shared" si="25"/>
        <v>15</v>
      </c>
      <c r="P109" s="794">
        <f t="shared" si="51"/>
        <v>0.0215</v>
      </c>
      <c r="Q109" s="861">
        <v>1336.27</v>
      </c>
      <c r="R109" s="882">
        <f t="shared" si="49"/>
        <v>0</v>
      </c>
      <c r="S109" s="792"/>
      <c r="T109" s="787">
        <v>0.06</v>
      </c>
      <c r="U109" s="793"/>
      <c r="V109" s="787"/>
      <c r="W109" s="792"/>
      <c r="X109" s="794">
        <f t="shared" si="7"/>
        <v>1336.27</v>
      </c>
      <c r="Y109" s="795"/>
      <c r="Z109" s="792" t="str">
        <f t="shared" si="8"/>
        <v/>
      </c>
      <c r="AA109" s="794">
        <f t="shared" si="9"/>
        <v>1336.27</v>
      </c>
      <c r="AB109" s="795" t="s">
        <v>2003</v>
      </c>
      <c r="AC109" s="787">
        <f t="shared" si="10"/>
        <v>267.254</v>
      </c>
      <c r="AD109" s="792">
        <f t="shared" si="11"/>
        <v>1069.016</v>
      </c>
      <c r="AE109" s="862"/>
      <c r="AF109" s="889" t="s">
        <v>2004</v>
      </c>
      <c r="AG109" s="886" t="b">
        <v>0</v>
      </c>
      <c r="AH109" s="780"/>
      <c r="AI109" s="780"/>
      <c r="AJ109" s="780"/>
      <c r="AK109" s="780"/>
      <c r="AL109" s="780"/>
      <c r="AM109" s="780"/>
      <c r="AN109" s="780"/>
      <c r="AO109" s="780"/>
      <c r="AP109" s="780"/>
      <c r="AQ109" s="780"/>
      <c r="AR109" s="780"/>
      <c r="AS109" s="780"/>
      <c r="AT109" s="780"/>
      <c r="AU109" s="780"/>
      <c r="AV109" s="780"/>
      <c r="AW109" s="780"/>
    </row>
    <row r="110">
      <c r="A110" s="852">
        <v>45972.0</v>
      </c>
      <c r="B110" s="852">
        <v>46021.0</v>
      </c>
      <c r="C110" s="853" t="str">
        <f t="shared" si="1"/>
        <v>dez.</v>
      </c>
      <c r="D110" s="880"/>
      <c r="E110" s="881" t="s">
        <v>2137</v>
      </c>
      <c r="F110" s="856"/>
      <c r="G110" s="856"/>
      <c r="H110" s="856"/>
      <c r="I110" s="857">
        <v>0.00140450000000001</v>
      </c>
      <c r="J110" s="858">
        <v>0.035</v>
      </c>
      <c r="K110" s="794">
        <f t="shared" si="22"/>
        <v>0</v>
      </c>
      <c r="L110" s="859">
        <f t="shared" si="23"/>
        <v>0</v>
      </c>
      <c r="M110" s="858">
        <v>0.0215</v>
      </c>
      <c r="N110" s="860">
        <f t="shared" si="24"/>
        <v>0.00143469675</v>
      </c>
      <c r="O110" s="794">
        <f t="shared" si="25"/>
        <v>15</v>
      </c>
      <c r="P110" s="794">
        <f>(K110*N110)+M128</f>
        <v>0.0215</v>
      </c>
      <c r="Q110" s="861">
        <v>539.31</v>
      </c>
      <c r="R110" s="882">
        <f t="shared" si="49"/>
        <v>0</v>
      </c>
      <c r="S110" s="792"/>
      <c r="T110" s="787">
        <v>0.06</v>
      </c>
      <c r="U110" s="793"/>
      <c r="V110" s="787"/>
      <c r="W110" s="792"/>
      <c r="X110" s="794">
        <f t="shared" si="7"/>
        <v>539.31</v>
      </c>
      <c r="Y110" s="795"/>
      <c r="Z110" s="792" t="str">
        <f t="shared" si="8"/>
        <v/>
      </c>
      <c r="AA110" s="794">
        <f t="shared" si="9"/>
        <v>539.31</v>
      </c>
      <c r="AB110" s="795" t="s">
        <v>2003</v>
      </c>
      <c r="AC110" s="787">
        <f t="shared" si="10"/>
        <v>107.862</v>
      </c>
      <c r="AD110" s="792">
        <f t="shared" si="11"/>
        <v>431.448</v>
      </c>
      <c r="AE110" s="884"/>
      <c r="AF110" s="889" t="s">
        <v>2004</v>
      </c>
      <c r="AG110" s="810" t="b">
        <v>0</v>
      </c>
      <c r="AH110" s="780"/>
      <c r="AI110" s="780"/>
      <c r="AJ110" s="780"/>
      <c r="AK110" s="780"/>
      <c r="AL110" s="780"/>
      <c r="AM110" s="780"/>
      <c r="AN110" s="780"/>
      <c r="AO110" s="780"/>
      <c r="AP110" s="780"/>
      <c r="AQ110" s="780"/>
      <c r="AR110" s="780"/>
      <c r="AS110" s="780"/>
      <c r="AT110" s="780"/>
      <c r="AU110" s="780"/>
      <c r="AV110" s="780"/>
      <c r="AW110" s="780"/>
    </row>
    <row r="111">
      <c r="A111" s="852">
        <v>45995.0</v>
      </c>
      <c r="B111" s="852">
        <v>46021.0</v>
      </c>
      <c r="C111" s="853" t="str">
        <f t="shared" si="1"/>
        <v>dez.</v>
      </c>
      <c r="D111" s="854"/>
      <c r="E111" s="855" t="s">
        <v>2145</v>
      </c>
      <c r="F111" s="856"/>
      <c r="G111" s="856"/>
      <c r="H111" s="856"/>
      <c r="I111" s="857">
        <v>0.00140450000000001</v>
      </c>
      <c r="J111" s="858">
        <v>0.035</v>
      </c>
      <c r="K111" s="794">
        <f t="shared" si="22"/>
        <v>0</v>
      </c>
      <c r="L111" s="859">
        <f t="shared" si="23"/>
        <v>0</v>
      </c>
      <c r="M111" s="858">
        <v>0.0215</v>
      </c>
      <c r="N111" s="860">
        <f t="shared" si="24"/>
        <v>0.00143469675</v>
      </c>
      <c r="O111" s="794">
        <f t="shared" si="25"/>
        <v>15</v>
      </c>
      <c r="P111" s="794" t="str">
        <f>(K111*N111)+#REF!</f>
        <v>#REF!</v>
      </c>
      <c r="Q111" s="861">
        <v>2890.51</v>
      </c>
      <c r="R111" s="882">
        <f t="shared" si="49"/>
        <v>0</v>
      </c>
      <c r="S111" s="792"/>
      <c r="T111" s="787">
        <v>0.06</v>
      </c>
      <c r="U111" s="793"/>
      <c r="V111" s="787"/>
      <c r="W111" s="792"/>
      <c r="X111" s="794">
        <f t="shared" si="7"/>
        <v>2890.51</v>
      </c>
      <c r="Y111" s="795"/>
      <c r="Z111" s="792" t="str">
        <f t="shared" si="8"/>
        <v/>
      </c>
      <c r="AA111" s="794">
        <f t="shared" si="9"/>
        <v>2890.51</v>
      </c>
      <c r="AB111" s="795" t="s">
        <v>2003</v>
      </c>
      <c r="AC111" s="787">
        <f t="shared" si="10"/>
        <v>578.102</v>
      </c>
      <c r="AD111" s="792">
        <f t="shared" si="11"/>
        <v>2312.408</v>
      </c>
      <c r="AE111" s="862"/>
      <c r="AF111" s="889" t="s">
        <v>2004</v>
      </c>
      <c r="AG111" s="810" t="b">
        <v>0</v>
      </c>
      <c r="AH111" s="780"/>
      <c r="AI111" s="780"/>
      <c r="AJ111" s="780"/>
      <c r="AK111" s="780"/>
      <c r="AL111" s="780"/>
      <c r="AM111" s="780"/>
      <c r="AN111" s="780"/>
      <c r="AO111" s="780"/>
      <c r="AP111" s="780"/>
      <c r="AQ111" s="780"/>
      <c r="AR111" s="780"/>
      <c r="AS111" s="780"/>
      <c r="AT111" s="780"/>
      <c r="AU111" s="780"/>
      <c r="AV111" s="780"/>
      <c r="AW111" s="780"/>
    </row>
    <row r="112">
      <c r="A112" s="852">
        <v>45659.0</v>
      </c>
      <c r="B112" s="852">
        <v>46021.0</v>
      </c>
      <c r="C112" s="853" t="str">
        <f t="shared" si="1"/>
        <v>dez.</v>
      </c>
      <c r="D112" s="880"/>
      <c r="E112" s="881" t="s">
        <v>2146</v>
      </c>
      <c r="F112" s="856"/>
      <c r="G112" s="856"/>
      <c r="H112" s="856"/>
      <c r="I112" s="857">
        <v>0.00140450000000001</v>
      </c>
      <c r="J112" s="858">
        <v>0.035</v>
      </c>
      <c r="K112" s="794">
        <f t="shared" si="22"/>
        <v>0</v>
      </c>
      <c r="L112" s="859">
        <f t="shared" si="23"/>
        <v>0</v>
      </c>
      <c r="M112" s="858">
        <v>0.0215</v>
      </c>
      <c r="N112" s="860">
        <f t="shared" si="24"/>
        <v>0.00143469675</v>
      </c>
      <c r="O112" s="794">
        <f t="shared" si="25"/>
        <v>15</v>
      </c>
      <c r="P112" s="794">
        <f>(K112*N112)+M128</f>
        <v>0.0215</v>
      </c>
      <c r="Q112" s="861">
        <v>1570.4</v>
      </c>
      <c r="R112" s="882">
        <f t="shared" si="49"/>
        <v>0</v>
      </c>
      <c r="S112" s="792"/>
      <c r="T112" s="787">
        <v>0.06</v>
      </c>
      <c r="U112" s="793"/>
      <c r="V112" s="787"/>
      <c r="W112" s="792"/>
      <c r="X112" s="794">
        <f t="shared" si="7"/>
        <v>1570.4</v>
      </c>
      <c r="Y112" s="795"/>
      <c r="Z112" s="792" t="str">
        <f t="shared" si="8"/>
        <v/>
      </c>
      <c r="AA112" s="794">
        <f t="shared" si="9"/>
        <v>1570.4</v>
      </c>
      <c r="AB112" s="795" t="s">
        <v>2003</v>
      </c>
      <c r="AC112" s="787">
        <f t="shared" si="10"/>
        <v>314.08</v>
      </c>
      <c r="AD112" s="792">
        <f t="shared" si="11"/>
        <v>1256.32</v>
      </c>
      <c r="AE112" s="862"/>
      <c r="AF112" s="889" t="s">
        <v>2004</v>
      </c>
      <c r="AG112" s="810" t="b">
        <v>0</v>
      </c>
      <c r="AH112" s="780"/>
      <c r="AI112" s="780"/>
      <c r="AJ112" s="780"/>
      <c r="AK112" s="780"/>
      <c r="AL112" s="780"/>
      <c r="AM112" s="780"/>
      <c r="AN112" s="780"/>
      <c r="AO112" s="780"/>
      <c r="AP112" s="780"/>
      <c r="AQ112" s="780"/>
      <c r="AR112" s="780"/>
      <c r="AS112" s="780"/>
      <c r="AT112" s="780"/>
      <c r="AU112" s="780"/>
      <c r="AV112" s="780"/>
      <c r="AW112" s="780"/>
    </row>
    <row r="113">
      <c r="A113" s="852">
        <v>45999.0</v>
      </c>
      <c r="B113" s="852">
        <v>46021.0</v>
      </c>
      <c r="C113" s="853" t="str">
        <f t="shared" si="1"/>
        <v>dez.</v>
      </c>
      <c r="D113" s="880"/>
      <c r="E113" s="881" t="s">
        <v>2147</v>
      </c>
      <c r="F113" s="856"/>
      <c r="G113" s="856"/>
      <c r="H113" s="856"/>
      <c r="I113" s="857">
        <v>0.00140450000000001</v>
      </c>
      <c r="J113" s="858">
        <v>0.035</v>
      </c>
      <c r="K113" s="794">
        <f t="shared" si="22"/>
        <v>0</v>
      </c>
      <c r="L113" s="859">
        <f t="shared" si="23"/>
        <v>0</v>
      </c>
      <c r="M113" s="858">
        <v>0.0215</v>
      </c>
      <c r="N113" s="860">
        <f t="shared" si="24"/>
        <v>0.00143469675</v>
      </c>
      <c r="O113" s="794">
        <f t="shared" si="25"/>
        <v>15</v>
      </c>
      <c r="P113" s="794">
        <f>(K113*N113)+M131</f>
        <v>0.0215</v>
      </c>
      <c r="Q113" s="861">
        <v>434.1</v>
      </c>
      <c r="R113" s="882">
        <f t="shared" si="49"/>
        <v>0</v>
      </c>
      <c r="S113" s="792"/>
      <c r="T113" s="787">
        <v>0.06</v>
      </c>
      <c r="U113" s="793"/>
      <c r="V113" s="787"/>
      <c r="W113" s="792"/>
      <c r="X113" s="794">
        <f t="shared" si="7"/>
        <v>434.1</v>
      </c>
      <c r="Y113" s="795"/>
      <c r="Z113" s="792" t="str">
        <f t="shared" si="8"/>
        <v/>
      </c>
      <c r="AA113" s="794">
        <f t="shared" si="9"/>
        <v>434.1</v>
      </c>
      <c r="AB113" s="795" t="s">
        <v>2003</v>
      </c>
      <c r="AC113" s="787">
        <f t="shared" si="10"/>
        <v>86.82</v>
      </c>
      <c r="AD113" s="792">
        <f t="shared" si="11"/>
        <v>347.28</v>
      </c>
      <c r="AE113" s="862"/>
      <c r="AF113" s="889" t="s">
        <v>2004</v>
      </c>
      <c r="AG113" s="810" t="b">
        <v>0</v>
      </c>
      <c r="AH113" s="780"/>
      <c r="AI113" s="780"/>
      <c r="AJ113" s="780"/>
      <c r="AK113" s="780"/>
      <c r="AL113" s="780"/>
      <c r="AM113" s="780"/>
      <c r="AN113" s="780"/>
      <c r="AO113" s="780"/>
      <c r="AP113" s="780"/>
      <c r="AQ113" s="780"/>
      <c r="AR113" s="780"/>
      <c r="AS113" s="780"/>
      <c r="AT113" s="780"/>
      <c r="AU113" s="780"/>
      <c r="AV113" s="780"/>
      <c r="AW113" s="780"/>
    </row>
    <row r="114">
      <c r="A114" s="852">
        <v>46005.0</v>
      </c>
      <c r="B114" s="852">
        <v>46021.0</v>
      </c>
      <c r="C114" s="853" t="str">
        <f t="shared" si="1"/>
        <v>dez.</v>
      </c>
      <c r="D114" s="880"/>
      <c r="E114" s="881" t="s">
        <v>2148</v>
      </c>
      <c r="F114" s="856"/>
      <c r="G114" s="856"/>
      <c r="H114" s="856"/>
      <c r="I114" s="857">
        <v>0.00140450000000001</v>
      </c>
      <c r="J114" s="858">
        <v>0.035</v>
      </c>
      <c r="K114" s="794">
        <f t="shared" si="22"/>
        <v>0</v>
      </c>
      <c r="L114" s="859">
        <f t="shared" si="23"/>
        <v>0</v>
      </c>
      <c r="M114" s="858">
        <v>0.0215</v>
      </c>
      <c r="N114" s="860">
        <f t="shared" si="24"/>
        <v>0.00143469675</v>
      </c>
      <c r="O114" s="794">
        <f t="shared" si="25"/>
        <v>15</v>
      </c>
      <c r="P114" s="794">
        <f>(K114*N114)+M133</f>
        <v>0.0215</v>
      </c>
      <c r="Q114" s="861">
        <v>814.91</v>
      </c>
      <c r="R114" s="882">
        <f t="shared" si="49"/>
        <v>0</v>
      </c>
      <c r="S114" s="792"/>
      <c r="T114" s="787">
        <v>0.06</v>
      </c>
      <c r="U114" s="793"/>
      <c r="V114" s="787"/>
      <c r="W114" s="792"/>
      <c r="X114" s="794">
        <f t="shared" si="7"/>
        <v>814.91</v>
      </c>
      <c r="Y114" s="795"/>
      <c r="Z114" s="792" t="str">
        <f t="shared" si="8"/>
        <v/>
      </c>
      <c r="AA114" s="794">
        <f t="shared" si="9"/>
        <v>814.91</v>
      </c>
      <c r="AB114" s="795" t="s">
        <v>2003</v>
      </c>
      <c r="AC114" s="787">
        <f t="shared" si="10"/>
        <v>162.982</v>
      </c>
      <c r="AD114" s="792">
        <f t="shared" si="11"/>
        <v>651.928</v>
      </c>
      <c r="AE114" s="862"/>
      <c r="AF114" s="889" t="s">
        <v>2004</v>
      </c>
      <c r="AG114" s="810" t="b">
        <v>0</v>
      </c>
      <c r="AH114" s="780"/>
      <c r="AI114" s="780"/>
      <c r="AJ114" s="780"/>
      <c r="AK114" s="780"/>
      <c r="AL114" s="780"/>
      <c r="AM114" s="780"/>
      <c r="AN114" s="780"/>
      <c r="AO114" s="780"/>
      <c r="AP114" s="780"/>
      <c r="AQ114" s="780"/>
      <c r="AR114" s="780"/>
      <c r="AS114" s="780"/>
      <c r="AT114" s="780"/>
      <c r="AU114" s="780"/>
      <c r="AV114" s="780"/>
      <c r="AW114" s="780"/>
    </row>
    <row r="115">
      <c r="A115" s="852">
        <v>45986.0</v>
      </c>
      <c r="B115" s="852">
        <v>46022.0</v>
      </c>
      <c r="C115" s="853" t="str">
        <f t="shared" si="1"/>
        <v>dez.</v>
      </c>
      <c r="D115" s="911"/>
      <c r="E115" s="855" t="s">
        <v>2149</v>
      </c>
      <c r="F115" s="856"/>
      <c r="G115" s="856"/>
      <c r="H115" s="856"/>
      <c r="I115" s="857">
        <v>0.00140450000000001</v>
      </c>
      <c r="J115" s="858">
        <v>0.035</v>
      </c>
      <c r="K115" s="794">
        <f t="shared" si="22"/>
        <v>0</v>
      </c>
      <c r="L115" s="859">
        <f t="shared" si="23"/>
        <v>0</v>
      </c>
      <c r="M115" s="858">
        <v>0.0215</v>
      </c>
      <c r="N115" s="860">
        <f t="shared" si="24"/>
        <v>0.00143469675</v>
      </c>
      <c r="O115" s="794">
        <f t="shared" si="25"/>
        <v>15</v>
      </c>
      <c r="P115" s="794" t="str">
        <f t="shared" ref="P115:P116" si="52">(K115*N115)+#REF!</f>
        <v>#REF!</v>
      </c>
      <c r="Q115" s="861">
        <v>962.92</v>
      </c>
      <c r="R115" s="882">
        <f t="shared" si="49"/>
        <v>0</v>
      </c>
      <c r="S115" s="792"/>
      <c r="T115" s="787">
        <v>0.06</v>
      </c>
      <c r="U115" s="793"/>
      <c r="V115" s="787"/>
      <c r="W115" s="792"/>
      <c r="X115" s="794">
        <f t="shared" si="7"/>
        <v>962.92</v>
      </c>
      <c r="Y115" s="795"/>
      <c r="Z115" s="792" t="str">
        <f t="shared" si="8"/>
        <v/>
      </c>
      <c r="AA115" s="794">
        <f t="shared" si="9"/>
        <v>962.92</v>
      </c>
      <c r="AB115" s="795" t="s">
        <v>2003</v>
      </c>
      <c r="AC115" s="787">
        <f t="shared" si="10"/>
        <v>192.584</v>
      </c>
      <c r="AD115" s="792">
        <f t="shared" si="11"/>
        <v>770.336</v>
      </c>
      <c r="AE115" s="862"/>
      <c r="AF115" s="889" t="s">
        <v>2004</v>
      </c>
      <c r="AG115" s="810" t="b">
        <v>0</v>
      </c>
      <c r="AH115" s="780"/>
      <c r="AI115" s="780"/>
      <c r="AJ115" s="780"/>
      <c r="AK115" s="780"/>
      <c r="AL115" s="780"/>
      <c r="AM115" s="780"/>
      <c r="AN115" s="780"/>
      <c r="AO115" s="780"/>
      <c r="AP115" s="780"/>
      <c r="AQ115" s="780"/>
      <c r="AR115" s="780"/>
      <c r="AS115" s="780"/>
      <c r="AT115" s="780"/>
      <c r="AU115" s="780"/>
      <c r="AV115" s="780"/>
      <c r="AW115" s="780"/>
    </row>
    <row r="116">
      <c r="A116" s="852">
        <v>45961.0</v>
      </c>
      <c r="B116" s="852">
        <v>46022.0</v>
      </c>
      <c r="C116" s="853" t="str">
        <f t="shared" si="1"/>
        <v>dez.</v>
      </c>
      <c r="D116" s="880"/>
      <c r="E116" s="880" t="s">
        <v>2150</v>
      </c>
      <c r="F116" s="856"/>
      <c r="G116" s="856"/>
      <c r="H116" s="856"/>
      <c r="I116" s="857">
        <v>0.0014045</v>
      </c>
      <c r="J116" s="858">
        <v>0.035</v>
      </c>
      <c r="K116" s="794">
        <f t="shared" si="22"/>
        <v>0</v>
      </c>
      <c r="L116" s="859">
        <f t="shared" si="23"/>
        <v>0</v>
      </c>
      <c r="M116" s="858">
        <v>0.0215</v>
      </c>
      <c r="N116" s="860">
        <f t="shared" si="24"/>
        <v>0.00143469675</v>
      </c>
      <c r="O116" s="794">
        <f t="shared" si="25"/>
        <v>15</v>
      </c>
      <c r="P116" s="794" t="str">
        <f t="shared" si="52"/>
        <v>#REF!</v>
      </c>
      <c r="Q116" s="861">
        <v>913.87</v>
      </c>
      <c r="R116" s="882">
        <f t="shared" si="49"/>
        <v>0</v>
      </c>
      <c r="S116" s="792"/>
      <c r="T116" s="787">
        <v>0.06</v>
      </c>
      <c r="U116" s="793"/>
      <c r="V116" s="787"/>
      <c r="W116" s="792"/>
      <c r="X116" s="794">
        <f t="shared" si="7"/>
        <v>913.87</v>
      </c>
      <c r="Y116" s="795"/>
      <c r="Z116" s="792" t="str">
        <f t="shared" si="8"/>
        <v/>
      </c>
      <c r="AA116" s="794">
        <f t="shared" si="9"/>
        <v>913.87</v>
      </c>
      <c r="AB116" s="795" t="s">
        <v>2003</v>
      </c>
      <c r="AC116" s="787">
        <f t="shared" si="10"/>
        <v>182.774</v>
      </c>
      <c r="AD116" s="792">
        <f t="shared" si="11"/>
        <v>731.096</v>
      </c>
      <c r="AE116" s="884"/>
      <c r="AF116" s="889" t="s">
        <v>2004</v>
      </c>
      <c r="AG116" s="810" t="b">
        <v>0</v>
      </c>
      <c r="AH116" s="780"/>
      <c r="AI116" s="780"/>
      <c r="AJ116" s="780"/>
      <c r="AK116" s="780"/>
      <c r="AL116" s="780"/>
      <c r="AM116" s="780"/>
      <c r="AN116" s="780"/>
      <c r="AO116" s="780"/>
      <c r="AP116" s="780"/>
      <c r="AQ116" s="780"/>
      <c r="AR116" s="780"/>
      <c r="AS116" s="780"/>
      <c r="AT116" s="780"/>
      <c r="AU116" s="780"/>
      <c r="AV116" s="780"/>
      <c r="AW116" s="780"/>
    </row>
    <row r="117">
      <c r="A117" s="852">
        <v>45995.0</v>
      </c>
      <c r="B117" s="852">
        <v>46022.0</v>
      </c>
      <c r="C117" s="853" t="str">
        <f t="shared" si="1"/>
        <v>dez.</v>
      </c>
      <c r="D117" s="854"/>
      <c r="E117" s="855" t="s">
        <v>2151</v>
      </c>
      <c r="F117" s="856"/>
      <c r="G117" s="856"/>
      <c r="H117" s="856"/>
      <c r="I117" s="857">
        <v>0.00140450000000001</v>
      </c>
      <c r="J117" s="858">
        <v>0.035</v>
      </c>
      <c r="K117" s="794">
        <f t="shared" si="22"/>
        <v>0</v>
      </c>
      <c r="L117" s="859">
        <f t="shared" si="23"/>
        <v>0</v>
      </c>
      <c r="M117" s="858">
        <v>0.0215</v>
      </c>
      <c r="N117" s="860">
        <f t="shared" si="24"/>
        <v>0.00143469675</v>
      </c>
      <c r="O117" s="794">
        <f t="shared" si="25"/>
        <v>15</v>
      </c>
      <c r="P117" s="794">
        <f>(K117*N117)+M135</f>
        <v>0.0215</v>
      </c>
      <c r="Q117" s="861">
        <v>868.47</v>
      </c>
      <c r="R117" s="882">
        <f t="shared" si="49"/>
        <v>0</v>
      </c>
      <c r="S117" s="792"/>
      <c r="T117" s="787">
        <v>0.06</v>
      </c>
      <c r="U117" s="793"/>
      <c r="V117" s="787"/>
      <c r="W117" s="792"/>
      <c r="X117" s="794">
        <f t="shared" si="7"/>
        <v>868.47</v>
      </c>
      <c r="Y117" s="795"/>
      <c r="Z117" s="792" t="str">
        <f t="shared" si="8"/>
        <v/>
      </c>
      <c r="AA117" s="794">
        <f t="shared" si="9"/>
        <v>868.47</v>
      </c>
      <c r="AB117" s="795" t="s">
        <v>2003</v>
      </c>
      <c r="AC117" s="787">
        <f t="shared" si="10"/>
        <v>173.694</v>
      </c>
      <c r="AD117" s="792">
        <f t="shared" si="11"/>
        <v>694.776</v>
      </c>
      <c r="AE117" s="862"/>
      <c r="AF117" s="889" t="s">
        <v>2004</v>
      </c>
      <c r="AG117" s="810" t="b">
        <v>0</v>
      </c>
      <c r="AH117" s="780"/>
      <c r="AI117" s="780"/>
      <c r="AJ117" s="780"/>
      <c r="AK117" s="780"/>
      <c r="AL117" s="780"/>
      <c r="AM117" s="780"/>
      <c r="AN117" s="780"/>
      <c r="AO117" s="780"/>
      <c r="AP117" s="780"/>
      <c r="AQ117" s="780"/>
      <c r="AR117" s="780"/>
      <c r="AS117" s="780"/>
      <c r="AT117" s="780"/>
      <c r="AU117" s="780"/>
      <c r="AV117" s="780"/>
      <c r="AW117" s="780"/>
    </row>
    <row r="118">
      <c r="A118" s="852">
        <v>46017.0</v>
      </c>
      <c r="B118" s="852">
        <v>46022.0</v>
      </c>
      <c r="C118" s="853" t="str">
        <f t="shared" si="1"/>
        <v>dez.</v>
      </c>
      <c r="D118" s="880"/>
      <c r="E118" s="881" t="s">
        <v>1886</v>
      </c>
      <c r="F118" s="856"/>
      <c r="G118" s="856"/>
      <c r="H118" s="856"/>
      <c r="I118" s="857">
        <v>0.00140450000000002</v>
      </c>
      <c r="J118" s="858">
        <v>0.035</v>
      </c>
      <c r="K118" s="794">
        <f t="shared" si="22"/>
        <v>84.56295</v>
      </c>
      <c r="L118" s="859">
        <f t="shared" si="23"/>
        <v>3.06705</v>
      </c>
      <c r="M118" s="858">
        <v>0.0215</v>
      </c>
      <c r="N118" s="860">
        <f t="shared" si="24"/>
        <v>0.00143469675</v>
      </c>
      <c r="O118" s="794">
        <f t="shared" si="25"/>
        <v>16.81810343</v>
      </c>
      <c r="P118" s="794">
        <f>(K118*N118)+M137</f>
        <v>0.1428221895</v>
      </c>
      <c r="Q118" s="861">
        <v>220.0</v>
      </c>
      <c r="R118" s="861">
        <v>87.63</v>
      </c>
      <c r="S118" s="792"/>
      <c r="T118" s="787">
        <v>0.06</v>
      </c>
      <c r="U118" s="793"/>
      <c r="V118" s="787"/>
      <c r="W118" s="792"/>
      <c r="X118" s="794">
        <f t="shared" si="7"/>
        <v>132.37</v>
      </c>
      <c r="Y118" s="795"/>
      <c r="Z118" s="792" t="str">
        <f t="shared" si="8"/>
        <v/>
      </c>
      <c r="AA118" s="794">
        <f t="shared" si="9"/>
        <v>132.37</v>
      </c>
      <c r="AB118" s="795" t="s">
        <v>2003</v>
      </c>
      <c r="AC118" s="787">
        <f t="shared" si="10"/>
        <v>26.474</v>
      </c>
      <c r="AD118" s="792">
        <f t="shared" si="11"/>
        <v>105.896</v>
      </c>
      <c r="AE118" s="862"/>
      <c r="AF118" s="889" t="s">
        <v>2004</v>
      </c>
      <c r="AG118" s="886" t="b">
        <v>0</v>
      </c>
      <c r="AH118" s="780"/>
      <c r="AI118" s="780"/>
      <c r="AJ118" s="780"/>
      <c r="AK118" s="780"/>
      <c r="AL118" s="780"/>
      <c r="AM118" s="780"/>
      <c r="AN118" s="780"/>
      <c r="AO118" s="780"/>
      <c r="AP118" s="780"/>
      <c r="AQ118" s="780"/>
      <c r="AR118" s="780"/>
      <c r="AS118" s="780"/>
      <c r="AT118" s="780"/>
      <c r="AU118" s="780"/>
      <c r="AV118" s="780"/>
      <c r="AW118" s="780"/>
    </row>
    <row r="119">
      <c r="A119" s="852">
        <v>46023.0</v>
      </c>
      <c r="B119" s="852">
        <v>46023.0</v>
      </c>
      <c r="C119" s="853" t="str">
        <f t="shared" si="1"/>
        <v>jan.</v>
      </c>
      <c r="D119" s="880"/>
      <c r="E119" s="881" t="s">
        <v>2152</v>
      </c>
      <c r="F119" s="856"/>
      <c r="G119" s="856"/>
      <c r="H119" s="856"/>
      <c r="I119" s="912">
        <v>0.00138428</v>
      </c>
      <c r="J119" s="858">
        <v>0.035</v>
      </c>
      <c r="K119" s="794">
        <f t="shared" si="22"/>
        <v>0</v>
      </c>
      <c r="L119" s="859">
        <f t="shared" si="23"/>
        <v>0</v>
      </c>
      <c r="M119" s="858">
        <v>0.0215</v>
      </c>
      <c r="N119" s="860">
        <f t="shared" si="24"/>
        <v>0.00141404202</v>
      </c>
      <c r="O119" s="794">
        <f t="shared" si="25"/>
        <v>15</v>
      </c>
      <c r="P119" s="794">
        <f t="shared" ref="P119:P121" si="53">(K119*N119)+M139</f>
        <v>0.0215</v>
      </c>
      <c r="Q119" s="861">
        <v>350.0</v>
      </c>
      <c r="R119" s="882">
        <f>(G119*N119)*(1+J119)</f>
        <v>0</v>
      </c>
      <c r="S119" s="913"/>
      <c r="T119" s="794">
        <v>0.06</v>
      </c>
      <c r="U119" s="914"/>
      <c r="V119" s="794"/>
      <c r="W119" s="913"/>
      <c r="X119" s="794">
        <f t="shared" si="7"/>
        <v>350</v>
      </c>
      <c r="Y119" s="795" t="s">
        <v>2003</v>
      </c>
      <c r="Z119" s="792">
        <f t="shared" si="8"/>
        <v>35</v>
      </c>
      <c r="AA119" s="794">
        <f t="shared" si="9"/>
        <v>315</v>
      </c>
      <c r="AB119" s="795" t="s">
        <v>2003</v>
      </c>
      <c r="AC119" s="787">
        <f t="shared" si="10"/>
        <v>63</v>
      </c>
      <c r="AD119" s="792">
        <f t="shared" si="11"/>
        <v>252</v>
      </c>
      <c r="AE119" s="862"/>
      <c r="AF119" s="889" t="s">
        <v>2004</v>
      </c>
      <c r="AG119" s="886" t="b">
        <v>0</v>
      </c>
      <c r="AH119" s="780"/>
      <c r="AI119" s="780"/>
      <c r="AJ119" s="780"/>
      <c r="AK119" s="780"/>
      <c r="AL119" s="780"/>
      <c r="AM119" s="780"/>
      <c r="AN119" s="780"/>
      <c r="AO119" s="780"/>
      <c r="AP119" s="780"/>
      <c r="AQ119" s="780"/>
      <c r="AR119" s="780"/>
      <c r="AS119" s="780"/>
      <c r="AT119" s="780"/>
      <c r="AU119" s="780"/>
      <c r="AV119" s="780"/>
      <c r="AW119" s="780"/>
    </row>
    <row r="120">
      <c r="A120" s="852">
        <v>46023.0</v>
      </c>
      <c r="B120" s="852">
        <v>46024.0</v>
      </c>
      <c r="C120" s="853" t="str">
        <f t="shared" si="1"/>
        <v>jan.</v>
      </c>
      <c r="D120" s="880"/>
      <c r="E120" s="881" t="s">
        <v>2153</v>
      </c>
      <c r="F120" s="856"/>
      <c r="G120" s="856"/>
      <c r="H120" s="856"/>
      <c r="I120" s="912">
        <v>0.00138428</v>
      </c>
      <c r="J120" s="858">
        <v>0.035</v>
      </c>
      <c r="K120" s="794">
        <f t="shared" si="22"/>
        <v>412.055</v>
      </c>
      <c r="L120" s="859">
        <f t="shared" si="23"/>
        <v>14.945</v>
      </c>
      <c r="M120" s="858">
        <v>0.0215</v>
      </c>
      <c r="N120" s="860">
        <f t="shared" si="24"/>
        <v>0.00141404202</v>
      </c>
      <c r="O120" s="794">
        <f t="shared" si="25"/>
        <v>23.8591825</v>
      </c>
      <c r="P120" s="794">
        <f t="shared" si="53"/>
        <v>0.6041630846</v>
      </c>
      <c r="Q120" s="861">
        <v>913.45</v>
      </c>
      <c r="R120" s="861">
        <v>427.0</v>
      </c>
      <c r="S120" s="913"/>
      <c r="T120" s="794">
        <v>0.06</v>
      </c>
      <c r="U120" s="914"/>
      <c r="V120" s="794"/>
      <c r="W120" s="913"/>
      <c r="X120" s="794">
        <f t="shared" si="7"/>
        <v>486.45</v>
      </c>
      <c r="Y120" s="795"/>
      <c r="Z120" s="792" t="str">
        <f t="shared" si="8"/>
        <v/>
      </c>
      <c r="AA120" s="794">
        <f t="shared" si="9"/>
        <v>486.45</v>
      </c>
      <c r="AB120" s="795" t="s">
        <v>2003</v>
      </c>
      <c r="AC120" s="787">
        <f t="shared" si="10"/>
        <v>97.29</v>
      </c>
      <c r="AD120" s="792">
        <f t="shared" si="11"/>
        <v>389.16</v>
      </c>
      <c r="AE120" s="884" t="s">
        <v>2154</v>
      </c>
      <c r="AF120" s="889" t="s">
        <v>2155</v>
      </c>
      <c r="AG120" s="886" t="b">
        <v>0</v>
      </c>
      <c r="AH120" s="780"/>
      <c r="AI120" s="780"/>
      <c r="AJ120" s="780"/>
      <c r="AK120" s="780"/>
      <c r="AL120" s="780"/>
      <c r="AM120" s="780"/>
      <c r="AN120" s="780"/>
      <c r="AO120" s="780"/>
      <c r="AP120" s="780"/>
      <c r="AQ120" s="780"/>
      <c r="AR120" s="780"/>
      <c r="AS120" s="780"/>
      <c r="AT120" s="780"/>
      <c r="AU120" s="780"/>
      <c r="AV120" s="780"/>
      <c r="AW120" s="780"/>
    </row>
    <row r="121">
      <c r="A121" s="852">
        <v>46024.0</v>
      </c>
      <c r="B121" s="852">
        <v>46024.0</v>
      </c>
      <c r="C121" s="853" t="str">
        <f t="shared" si="1"/>
        <v>jan.</v>
      </c>
      <c r="D121" s="854"/>
      <c r="E121" s="855" t="s">
        <v>2156</v>
      </c>
      <c r="F121" s="856"/>
      <c r="G121" s="856"/>
      <c r="H121" s="856"/>
      <c r="I121" s="912">
        <v>0.00138428</v>
      </c>
      <c r="J121" s="858">
        <v>0.035</v>
      </c>
      <c r="K121" s="794">
        <f t="shared" si="22"/>
        <v>117.43085</v>
      </c>
      <c r="L121" s="859">
        <f t="shared" si="23"/>
        <v>4.25915</v>
      </c>
      <c r="M121" s="858">
        <v>0.0215</v>
      </c>
      <c r="N121" s="860">
        <f t="shared" si="24"/>
        <v>0.00141404202</v>
      </c>
      <c r="O121" s="794">
        <f t="shared" si="25"/>
        <v>17.52476328</v>
      </c>
      <c r="P121" s="794">
        <f t="shared" si="53"/>
        <v>0.1875521563</v>
      </c>
      <c r="Q121" s="861">
        <v>304.23</v>
      </c>
      <c r="R121" s="861">
        <v>121.69</v>
      </c>
      <c r="S121" s="913"/>
      <c r="T121" s="794">
        <v>0.06</v>
      </c>
      <c r="U121" s="914"/>
      <c r="V121" s="794"/>
      <c r="W121" s="913"/>
      <c r="X121" s="794">
        <f t="shared" si="7"/>
        <v>182.54</v>
      </c>
      <c r="Y121" s="795"/>
      <c r="Z121" s="792" t="str">
        <f t="shared" si="8"/>
        <v/>
      </c>
      <c r="AA121" s="794">
        <f t="shared" si="9"/>
        <v>182.54</v>
      </c>
      <c r="AB121" s="795" t="s">
        <v>2003</v>
      </c>
      <c r="AC121" s="787">
        <f t="shared" si="10"/>
        <v>36.508</v>
      </c>
      <c r="AD121" s="792">
        <f t="shared" si="11"/>
        <v>146.032</v>
      </c>
      <c r="AE121" s="862"/>
      <c r="AF121" s="889" t="s">
        <v>2155</v>
      </c>
      <c r="AG121" s="886" t="b">
        <v>0</v>
      </c>
      <c r="AH121" s="780"/>
      <c r="AI121" s="780"/>
      <c r="AJ121" s="780"/>
      <c r="AK121" s="780"/>
      <c r="AL121" s="780"/>
      <c r="AM121" s="780"/>
      <c r="AN121" s="780"/>
      <c r="AO121" s="780"/>
      <c r="AP121" s="780"/>
      <c r="AQ121" s="780"/>
      <c r="AR121" s="780"/>
      <c r="AS121" s="780"/>
      <c r="AT121" s="780"/>
      <c r="AU121" s="780"/>
      <c r="AV121" s="780"/>
      <c r="AW121" s="780"/>
    </row>
    <row r="122">
      <c r="A122" s="852">
        <v>46014.0</v>
      </c>
      <c r="B122" s="852">
        <v>46025.0</v>
      </c>
      <c r="C122" s="853" t="str">
        <f t="shared" si="1"/>
        <v>jan.</v>
      </c>
      <c r="D122" s="854"/>
      <c r="E122" s="855" t="s">
        <v>2157</v>
      </c>
      <c r="F122" s="856"/>
      <c r="G122" s="856"/>
      <c r="H122" s="856"/>
      <c r="I122" s="857">
        <v>0.00140450000000001</v>
      </c>
      <c r="J122" s="858">
        <v>0.035</v>
      </c>
      <c r="K122" s="794">
        <f t="shared" si="22"/>
        <v>0</v>
      </c>
      <c r="L122" s="859">
        <f t="shared" si="23"/>
        <v>0</v>
      </c>
      <c r="M122" s="858">
        <v>0.0215</v>
      </c>
      <c r="N122" s="860">
        <f t="shared" si="24"/>
        <v>0.00143469675</v>
      </c>
      <c r="O122" s="794">
        <f t="shared" si="25"/>
        <v>15</v>
      </c>
      <c r="P122" s="794">
        <f>(K122*N122)+M140</f>
        <v>0.0215</v>
      </c>
      <c r="Q122" s="861">
        <v>4500.42</v>
      </c>
      <c r="R122" s="882">
        <f>(G122*N122)*(1+J122)</f>
        <v>0</v>
      </c>
      <c r="S122" s="913"/>
      <c r="T122" s="794">
        <v>0.06</v>
      </c>
      <c r="U122" s="914"/>
      <c r="V122" s="794"/>
      <c r="W122" s="913"/>
      <c r="X122" s="794">
        <f t="shared" si="7"/>
        <v>4500.42</v>
      </c>
      <c r="Y122" s="795"/>
      <c r="Z122" s="792" t="str">
        <f t="shared" si="8"/>
        <v/>
      </c>
      <c r="AA122" s="794">
        <f t="shared" si="9"/>
        <v>4500.42</v>
      </c>
      <c r="AB122" s="795" t="s">
        <v>2003</v>
      </c>
      <c r="AC122" s="787">
        <f t="shared" si="10"/>
        <v>900.084</v>
      </c>
      <c r="AD122" s="792">
        <f t="shared" si="11"/>
        <v>3600.336</v>
      </c>
      <c r="AE122" s="884" t="s">
        <v>2158</v>
      </c>
      <c r="AF122" s="889" t="s">
        <v>2004</v>
      </c>
      <c r="AG122" s="886" t="b">
        <v>0</v>
      </c>
      <c r="AH122" s="780"/>
      <c r="AI122" s="780"/>
      <c r="AJ122" s="780"/>
      <c r="AK122" s="780"/>
      <c r="AL122" s="780"/>
      <c r="AM122" s="780"/>
      <c r="AN122" s="780"/>
      <c r="AO122" s="780"/>
      <c r="AP122" s="780"/>
      <c r="AQ122" s="780"/>
      <c r="AR122" s="780"/>
      <c r="AS122" s="780"/>
      <c r="AT122" s="780"/>
      <c r="AU122" s="780"/>
      <c r="AV122" s="780"/>
      <c r="AW122" s="780"/>
    </row>
    <row r="123">
      <c r="A123" s="852">
        <v>46017.0</v>
      </c>
      <c r="B123" s="852">
        <v>46025.0</v>
      </c>
      <c r="C123" s="853" t="str">
        <f t="shared" si="1"/>
        <v>jan.</v>
      </c>
      <c r="D123" s="880"/>
      <c r="E123" s="881" t="s">
        <v>2159</v>
      </c>
      <c r="F123" s="856"/>
      <c r="G123" s="856"/>
      <c r="H123" s="856"/>
      <c r="I123" s="857">
        <v>0.00140450000000002</v>
      </c>
      <c r="J123" s="858">
        <v>0.035</v>
      </c>
      <c r="K123" s="794">
        <f t="shared" si="22"/>
        <v>2331.3049</v>
      </c>
      <c r="L123" s="859">
        <f t="shared" si="23"/>
        <v>84.5551</v>
      </c>
      <c r="M123" s="858">
        <v>0.0215</v>
      </c>
      <c r="N123" s="860">
        <f t="shared" si="24"/>
        <v>0.00143469675</v>
      </c>
      <c r="O123" s="794">
        <f t="shared" si="25"/>
        <v>65.12305535</v>
      </c>
      <c r="P123" s="794">
        <f>(K123*N123)+M142</f>
        <v>3.366215563</v>
      </c>
      <c r="Q123" s="861">
        <v>3460.0</v>
      </c>
      <c r="R123" s="861">
        <v>2415.86</v>
      </c>
      <c r="S123" s="913"/>
      <c r="T123" s="794">
        <v>0.06</v>
      </c>
      <c r="U123" s="914"/>
      <c r="V123" s="794"/>
      <c r="W123" s="913"/>
      <c r="X123" s="794">
        <f t="shared" si="7"/>
        <v>1044.14</v>
      </c>
      <c r="Y123" s="795"/>
      <c r="Z123" s="792" t="str">
        <f t="shared" si="8"/>
        <v/>
      </c>
      <c r="AA123" s="794">
        <f t="shared" si="9"/>
        <v>1044.14</v>
      </c>
      <c r="AB123" s="795" t="s">
        <v>2003</v>
      </c>
      <c r="AC123" s="787">
        <f t="shared" si="10"/>
        <v>208.828</v>
      </c>
      <c r="AD123" s="792">
        <f t="shared" si="11"/>
        <v>835.312</v>
      </c>
      <c r="AE123" s="862"/>
      <c r="AF123" s="889" t="s">
        <v>2004</v>
      </c>
      <c r="AG123" s="886" t="b">
        <v>0</v>
      </c>
      <c r="AH123" s="780"/>
      <c r="AI123" s="780"/>
      <c r="AJ123" s="780"/>
      <c r="AK123" s="780"/>
      <c r="AL123" s="780"/>
      <c r="AM123" s="780"/>
      <c r="AN123" s="780"/>
      <c r="AO123" s="780"/>
      <c r="AP123" s="780"/>
      <c r="AQ123" s="780"/>
      <c r="AR123" s="780"/>
      <c r="AS123" s="780"/>
      <c r="AT123" s="780"/>
      <c r="AU123" s="780"/>
      <c r="AV123" s="780"/>
      <c r="AW123" s="780"/>
    </row>
    <row r="124">
      <c r="A124" s="852">
        <v>46025.0</v>
      </c>
      <c r="B124" s="852">
        <v>46025.0</v>
      </c>
      <c r="C124" s="853" t="str">
        <f t="shared" si="1"/>
        <v>jan.</v>
      </c>
      <c r="D124" s="880"/>
      <c r="E124" s="881" t="s">
        <v>2160</v>
      </c>
      <c r="F124" s="856"/>
      <c r="G124" s="856"/>
      <c r="H124" s="856"/>
      <c r="I124" s="912">
        <v>0.00138428</v>
      </c>
      <c r="J124" s="858">
        <v>0.035</v>
      </c>
      <c r="K124" s="794">
        <f t="shared" si="22"/>
        <v>0</v>
      </c>
      <c r="L124" s="859">
        <f t="shared" si="23"/>
        <v>0</v>
      </c>
      <c r="M124" s="858">
        <v>0.0215</v>
      </c>
      <c r="N124" s="860">
        <f t="shared" si="24"/>
        <v>0.00141404202</v>
      </c>
      <c r="O124" s="794">
        <f t="shared" si="25"/>
        <v>15</v>
      </c>
      <c r="P124" s="794">
        <f t="shared" ref="P124:P125" si="54">(K124*N124)+M144</f>
        <v>0.0215</v>
      </c>
      <c r="Q124" s="861">
        <v>809.94</v>
      </c>
      <c r="R124" s="882">
        <f>(G124*N124)*(1+J124)</f>
        <v>0</v>
      </c>
      <c r="S124" s="913"/>
      <c r="T124" s="794">
        <v>0.06</v>
      </c>
      <c r="U124" s="914"/>
      <c r="V124" s="794"/>
      <c r="W124" s="913"/>
      <c r="X124" s="794">
        <f t="shared" si="7"/>
        <v>809.94</v>
      </c>
      <c r="Y124" s="795"/>
      <c r="Z124" s="792" t="str">
        <f t="shared" si="8"/>
        <v/>
      </c>
      <c r="AA124" s="794">
        <f t="shared" si="9"/>
        <v>809.94</v>
      </c>
      <c r="AB124" s="795" t="s">
        <v>2003</v>
      </c>
      <c r="AC124" s="787">
        <f t="shared" si="10"/>
        <v>161.988</v>
      </c>
      <c r="AD124" s="792">
        <f t="shared" si="11"/>
        <v>647.952</v>
      </c>
      <c r="AE124" s="884" t="s">
        <v>2154</v>
      </c>
      <c r="AF124" s="889" t="s">
        <v>2155</v>
      </c>
      <c r="AG124" s="886" t="b">
        <v>0</v>
      </c>
      <c r="AH124" s="780"/>
      <c r="AI124" s="780"/>
      <c r="AJ124" s="780"/>
      <c r="AK124" s="780"/>
      <c r="AL124" s="780"/>
      <c r="AM124" s="780"/>
      <c r="AN124" s="780"/>
      <c r="AO124" s="780"/>
      <c r="AP124" s="780"/>
      <c r="AQ124" s="780"/>
      <c r="AR124" s="780"/>
      <c r="AS124" s="780"/>
      <c r="AT124" s="780"/>
      <c r="AU124" s="780"/>
      <c r="AV124" s="780"/>
      <c r="AW124" s="780"/>
    </row>
    <row r="125">
      <c r="A125" s="852">
        <v>45662.0</v>
      </c>
      <c r="B125" s="852">
        <v>46025.0</v>
      </c>
      <c r="C125" s="853" t="str">
        <f t="shared" si="1"/>
        <v>jan.</v>
      </c>
      <c r="D125" s="854"/>
      <c r="E125" s="855" t="s">
        <v>2161</v>
      </c>
      <c r="F125" s="856"/>
      <c r="G125" s="856"/>
      <c r="H125" s="856"/>
      <c r="I125" s="912">
        <v>0.00138428</v>
      </c>
      <c r="J125" s="858">
        <v>0.035</v>
      </c>
      <c r="K125" s="794">
        <f t="shared" si="22"/>
        <v>766.9627</v>
      </c>
      <c r="L125" s="859">
        <f t="shared" si="23"/>
        <v>27.8173</v>
      </c>
      <c r="M125" s="858">
        <v>0.0215</v>
      </c>
      <c r="N125" s="860">
        <f t="shared" si="24"/>
        <v>0.00141404202</v>
      </c>
      <c r="O125" s="794">
        <f t="shared" si="25"/>
        <v>31.48969805</v>
      </c>
      <c r="P125" s="794">
        <f t="shared" si="54"/>
        <v>1.106017486</v>
      </c>
      <c r="Q125" s="861">
        <v>1520.66</v>
      </c>
      <c r="R125" s="861">
        <v>794.78</v>
      </c>
      <c r="S125" s="913"/>
      <c r="T125" s="794">
        <v>0.06</v>
      </c>
      <c r="U125" s="914"/>
      <c r="V125" s="794"/>
      <c r="W125" s="913"/>
      <c r="X125" s="794">
        <f t="shared" si="7"/>
        <v>725.88</v>
      </c>
      <c r="Y125" s="795"/>
      <c r="Z125" s="792" t="str">
        <f t="shared" si="8"/>
        <v/>
      </c>
      <c r="AA125" s="794">
        <f t="shared" si="9"/>
        <v>725.88</v>
      </c>
      <c r="AB125" s="795" t="s">
        <v>2003</v>
      </c>
      <c r="AC125" s="787">
        <f t="shared" si="10"/>
        <v>145.176</v>
      </c>
      <c r="AD125" s="792">
        <f t="shared" si="11"/>
        <v>580.704</v>
      </c>
      <c r="AE125" s="862"/>
      <c r="AF125" s="889" t="s">
        <v>2155</v>
      </c>
      <c r="AG125" s="886" t="b">
        <v>0</v>
      </c>
      <c r="AH125" s="780"/>
      <c r="AI125" s="780"/>
      <c r="AJ125" s="780"/>
      <c r="AK125" s="780"/>
      <c r="AL125" s="780"/>
      <c r="AM125" s="780"/>
      <c r="AN125" s="780"/>
      <c r="AO125" s="780"/>
      <c r="AP125" s="780"/>
      <c r="AQ125" s="780"/>
      <c r="AR125" s="780"/>
      <c r="AS125" s="780"/>
      <c r="AT125" s="780"/>
      <c r="AU125" s="780"/>
      <c r="AV125" s="780"/>
      <c r="AW125" s="780"/>
    </row>
    <row r="126">
      <c r="A126" s="852">
        <v>45958.0</v>
      </c>
      <c r="B126" s="852">
        <v>46027.0</v>
      </c>
      <c r="C126" s="853" t="str">
        <f t="shared" si="1"/>
        <v>jan.</v>
      </c>
      <c r="D126" s="880"/>
      <c r="E126" s="880" t="s">
        <v>2162</v>
      </c>
      <c r="F126" s="856"/>
      <c r="G126" s="856"/>
      <c r="H126" s="856"/>
      <c r="I126" s="857">
        <v>0.00140450000000001</v>
      </c>
      <c r="J126" s="858">
        <v>0.035</v>
      </c>
      <c r="K126" s="794">
        <f t="shared" si="22"/>
        <v>0</v>
      </c>
      <c r="L126" s="859">
        <f t="shared" si="23"/>
        <v>0</v>
      </c>
      <c r="M126" s="858">
        <v>0.0215</v>
      </c>
      <c r="N126" s="860">
        <f t="shared" si="24"/>
        <v>0.00143469675</v>
      </c>
      <c r="O126" s="794">
        <f t="shared" si="25"/>
        <v>15</v>
      </c>
      <c r="P126" s="794">
        <f>(K126*N126)+M143</f>
        <v>0.0215</v>
      </c>
      <c r="Q126" s="861">
        <v>474.06</v>
      </c>
      <c r="R126" s="882">
        <f>(G126*N126)*(1+J126)</f>
        <v>0</v>
      </c>
      <c r="S126" s="913"/>
      <c r="T126" s="794">
        <v>0.06</v>
      </c>
      <c r="U126" s="914"/>
      <c r="V126" s="794"/>
      <c r="W126" s="913"/>
      <c r="X126" s="794">
        <f t="shared" si="7"/>
        <v>474.06</v>
      </c>
      <c r="Y126" s="795"/>
      <c r="Z126" s="792" t="str">
        <f t="shared" si="8"/>
        <v/>
      </c>
      <c r="AA126" s="794">
        <f t="shared" si="9"/>
        <v>474.06</v>
      </c>
      <c r="AB126" s="795" t="s">
        <v>2003</v>
      </c>
      <c r="AC126" s="787">
        <f t="shared" si="10"/>
        <v>94.812</v>
      </c>
      <c r="AD126" s="792">
        <f t="shared" si="11"/>
        <v>379.248</v>
      </c>
      <c r="AE126" s="884"/>
      <c r="AF126" s="889" t="s">
        <v>2004</v>
      </c>
      <c r="AG126" s="810" t="b">
        <v>0</v>
      </c>
      <c r="AH126" s="780"/>
      <c r="AI126" s="780"/>
      <c r="AJ126" s="780"/>
      <c r="AK126" s="780"/>
      <c r="AL126" s="780"/>
      <c r="AM126" s="780"/>
      <c r="AN126" s="780"/>
      <c r="AO126" s="780"/>
      <c r="AP126" s="780"/>
      <c r="AQ126" s="780"/>
      <c r="AR126" s="780"/>
      <c r="AS126" s="780"/>
      <c r="AT126" s="780"/>
      <c r="AU126" s="780"/>
      <c r="AV126" s="780"/>
      <c r="AW126" s="780"/>
    </row>
    <row r="127">
      <c r="A127" s="852">
        <v>46020.0</v>
      </c>
      <c r="B127" s="852">
        <v>46027.0</v>
      </c>
      <c r="C127" s="853" t="str">
        <f t="shared" si="1"/>
        <v>jan.</v>
      </c>
      <c r="D127" s="880"/>
      <c r="E127" s="881" t="s">
        <v>596</v>
      </c>
      <c r="F127" s="856"/>
      <c r="G127" s="856"/>
      <c r="H127" s="856"/>
      <c r="I127" s="912">
        <v>0.00138428</v>
      </c>
      <c r="J127" s="858">
        <v>0.035</v>
      </c>
      <c r="K127" s="794">
        <f t="shared" si="22"/>
        <v>1676.73575</v>
      </c>
      <c r="L127" s="859">
        <f t="shared" si="23"/>
        <v>60.81425</v>
      </c>
      <c r="M127" s="858">
        <v>0.0215</v>
      </c>
      <c r="N127" s="860">
        <f t="shared" si="24"/>
        <v>0.00141404202</v>
      </c>
      <c r="O127" s="794">
        <f t="shared" si="25"/>
        <v>51.04981863</v>
      </c>
      <c r="P127" s="794">
        <f>(K127*N127)+M146</f>
        <v>2.392474807</v>
      </c>
      <c r="Q127" s="861">
        <v>2988.03</v>
      </c>
      <c r="R127" s="861">
        <v>1737.55</v>
      </c>
      <c r="S127" s="913"/>
      <c r="T127" s="794">
        <v>0.06</v>
      </c>
      <c r="U127" s="914"/>
      <c r="V127" s="794"/>
      <c r="W127" s="913"/>
      <c r="X127" s="794">
        <f t="shared" si="7"/>
        <v>1250.48</v>
      </c>
      <c r="Y127" s="795"/>
      <c r="Z127" s="792" t="str">
        <f t="shared" si="8"/>
        <v/>
      </c>
      <c r="AA127" s="794">
        <f t="shared" si="9"/>
        <v>1250.48</v>
      </c>
      <c r="AB127" s="795" t="s">
        <v>2003</v>
      </c>
      <c r="AC127" s="787">
        <f t="shared" si="10"/>
        <v>250.096</v>
      </c>
      <c r="AD127" s="792">
        <f t="shared" si="11"/>
        <v>1000.384</v>
      </c>
      <c r="AE127" s="884" t="s">
        <v>2163</v>
      </c>
      <c r="AF127" s="889" t="s">
        <v>2155</v>
      </c>
      <c r="AG127" s="886" t="b">
        <v>0</v>
      </c>
      <c r="AH127" s="780"/>
      <c r="AI127" s="780"/>
      <c r="AJ127" s="780"/>
      <c r="AK127" s="780"/>
      <c r="AL127" s="780"/>
      <c r="AM127" s="780"/>
      <c r="AN127" s="780"/>
      <c r="AO127" s="780"/>
      <c r="AP127" s="780"/>
      <c r="AQ127" s="780"/>
      <c r="AR127" s="780"/>
      <c r="AS127" s="780"/>
      <c r="AT127" s="780"/>
      <c r="AU127" s="780"/>
      <c r="AV127" s="780"/>
      <c r="AW127" s="780"/>
    </row>
    <row r="128">
      <c r="A128" s="852">
        <v>45908.0</v>
      </c>
      <c r="B128" s="852">
        <v>46028.0</v>
      </c>
      <c r="C128" s="853" t="str">
        <f t="shared" si="1"/>
        <v>jan.</v>
      </c>
      <c r="D128" s="854"/>
      <c r="E128" s="854" t="s">
        <v>2164</v>
      </c>
      <c r="F128" s="856"/>
      <c r="G128" s="856"/>
      <c r="H128" s="856"/>
      <c r="I128" s="857">
        <v>0.0014045</v>
      </c>
      <c r="J128" s="858">
        <v>0.035</v>
      </c>
      <c r="K128" s="794">
        <f t="shared" si="22"/>
        <v>0</v>
      </c>
      <c r="L128" s="859">
        <f t="shared" si="23"/>
        <v>0</v>
      </c>
      <c r="M128" s="858">
        <v>0.0215</v>
      </c>
      <c r="N128" s="860">
        <f t="shared" si="24"/>
        <v>0.00143469675</v>
      </c>
      <c r="O128" s="794">
        <f t="shared" si="25"/>
        <v>15</v>
      </c>
      <c r="P128" s="794" t="str">
        <f>(K128*N128)+#REF!</f>
        <v>#REF!</v>
      </c>
      <c r="Q128" s="861">
        <v>807.74</v>
      </c>
      <c r="R128" s="882">
        <f t="shared" ref="R128:R129" si="55">(G128*N128)*(1+J128)</f>
        <v>0</v>
      </c>
      <c r="S128" s="913"/>
      <c r="T128" s="794">
        <v>0.06</v>
      </c>
      <c r="U128" s="914"/>
      <c r="V128" s="794"/>
      <c r="W128" s="913"/>
      <c r="X128" s="794">
        <f t="shared" si="7"/>
        <v>807.74</v>
      </c>
      <c r="Y128" s="795"/>
      <c r="Z128" s="792" t="str">
        <f t="shared" si="8"/>
        <v/>
      </c>
      <c r="AA128" s="794">
        <f t="shared" si="9"/>
        <v>807.74</v>
      </c>
      <c r="AB128" s="795" t="s">
        <v>2003</v>
      </c>
      <c r="AC128" s="787">
        <f t="shared" si="10"/>
        <v>161.548</v>
      </c>
      <c r="AD128" s="792">
        <f t="shared" si="11"/>
        <v>646.192</v>
      </c>
      <c r="AE128" s="884"/>
      <c r="AF128" s="889" t="s">
        <v>2004</v>
      </c>
      <c r="AG128" s="810" t="b">
        <v>0</v>
      </c>
      <c r="AH128" s="780"/>
      <c r="AI128" s="780"/>
      <c r="AJ128" s="780"/>
      <c r="AK128" s="780"/>
      <c r="AL128" s="780"/>
      <c r="AM128" s="780"/>
      <c r="AN128" s="780"/>
      <c r="AO128" s="780"/>
      <c r="AP128" s="780"/>
      <c r="AQ128" s="780"/>
      <c r="AR128" s="780"/>
      <c r="AS128" s="780"/>
      <c r="AT128" s="780"/>
      <c r="AU128" s="780"/>
      <c r="AV128" s="780"/>
      <c r="AW128" s="780"/>
    </row>
    <row r="129">
      <c r="A129" s="852">
        <v>46017.0</v>
      </c>
      <c r="B129" s="852">
        <v>46028.0</v>
      </c>
      <c r="C129" s="853" t="str">
        <f t="shared" si="1"/>
        <v>jan.</v>
      </c>
      <c r="D129" s="911"/>
      <c r="E129" s="855" t="s">
        <v>2165</v>
      </c>
      <c r="F129" s="856"/>
      <c r="G129" s="856"/>
      <c r="H129" s="856"/>
      <c r="I129" s="857">
        <v>0.00140450000000002</v>
      </c>
      <c r="J129" s="858">
        <v>0.035</v>
      </c>
      <c r="K129" s="794">
        <f t="shared" si="22"/>
        <v>0</v>
      </c>
      <c r="L129" s="859">
        <f t="shared" si="23"/>
        <v>0</v>
      </c>
      <c r="M129" s="858">
        <v>0.0215</v>
      </c>
      <c r="N129" s="860">
        <f t="shared" si="24"/>
        <v>0.00143469675</v>
      </c>
      <c r="O129" s="794">
        <f t="shared" si="25"/>
        <v>15</v>
      </c>
      <c r="P129" s="794">
        <f>(K129*N129)+M147</f>
        <v>0.0215</v>
      </c>
      <c r="Q129" s="861">
        <v>622.5</v>
      </c>
      <c r="R129" s="882">
        <f t="shared" si="55"/>
        <v>0</v>
      </c>
      <c r="S129" s="913"/>
      <c r="T129" s="794">
        <v>0.06</v>
      </c>
      <c r="U129" s="914"/>
      <c r="V129" s="794"/>
      <c r="W129" s="913"/>
      <c r="X129" s="794">
        <f t="shared" si="7"/>
        <v>622.5</v>
      </c>
      <c r="Y129" s="795"/>
      <c r="Z129" s="792" t="str">
        <f t="shared" si="8"/>
        <v/>
      </c>
      <c r="AA129" s="794">
        <f t="shared" si="9"/>
        <v>622.5</v>
      </c>
      <c r="AB129" s="795" t="s">
        <v>2003</v>
      </c>
      <c r="AC129" s="787">
        <f t="shared" si="10"/>
        <v>124.5</v>
      </c>
      <c r="AD129" s="792">
        <f t="shared" si="11"/>
        <v>498</v>
      </c>
      <c r="AE129" s="862"/>
      <c r="AF129" s="889" t="s">
        <v>2004</v>
      </c>
      <c r="AG129" s="886" t="b">
        <v>0</v>
      </c>
      <c r="AH129" s="780"/>
      <c r="AI129" s="780"/>
      <c r="AJ129" s="780"/>
      <c r="AK129" s="780"/>
      <c r="AL129" s="780"/>
      <c r="AM129" s="780"/>
      <c r="AN129" s="780"/>
      <c r="AO129" s="780"/>
      <c r="AP129" s="780"/>
      <c r="AQ129" s="780"/>
      <c r="AR129" s="780"/>
      <c r="AS129" s="780"/>
      <c r="AT129" s="780"/>
      <c r="AU129" s="780"/>
      <c r="AV129" s="780"/>
      <c r="AW129" s="780"/>
    </row>
    <row r="130">
      <c r="A130" s="852">
        <v>46028.0</v>
      </c>
      <c r="B130" s="852">
        <v>46028.0</v>
      </c>
      <c r="C130" s="853" t="str">
        <f t="shared" si="1"/>
        <v>jan.</v>
      </c>
      <c r="D130" s="854"/>
      <c r="E130" s="855" t="s">
        <v>2166</v>
      </c>
      <c r="F130" s="856"/>
      <c r="G130" s="856"/>
      <c r="H130" s="856"/>
      <c r="I130" s="912">
        <v>0.00138428</v>
      </c>
      <c r="J130" s="858">
        <v>0.035</v>
      </c>
      <c r="K130" s="794">
        <f t="shared" si="22"/>
        <v>1098.70075</v>
      </c>
      <c r="L130" s="859">
        <f t="shared" si="23"/>
        <v>39.84925</v>
      </c>
      <c r="M130" s="858">
        <v>0.0215</v>
      </c>
      <c r="N130" s="860">
        <f t="shared" si="24"/>
        <v>0.00141404202</v>
      </c>
      <c r="O130" s="794">
        <f t="shared" si="25"/>
        <v>38.62206613</v>
      </c>
      <c r="P130" s="794">
        <f>(K130*N130)+M149</f>
        <v>1.575109028</v>
      </c>
      <c r="Q130" s="861">
        <v>2025.63</v>
      </c>
      <c r="R130" s="861">
        <v>1138.55</v>
      </c>
      <c r="S130" s="913"/>
      <c r="T130" s="794">
        <v>0.06</v>
      </c>
      <c r="U130" s="914"/>
      <c r="V130" s="794"/>
      <c r="W130" s="913"/>
      <c r="X130" s="794">
        <f t="shared" si="7"/>
        <v>887.08</v>
      </c>
      <c r="Y130" s="795"/>
      <c r="Z130" s="792" t="str">
        <f t="shared" si="8"/>
        <v/>
      </c>
      <c r="AA130" s="794">
        <f t="shared" si="9"/>
        <v>887.08</v>
      </c>
      <c r="AB130" s="795" t="s">
        <v>2003</v>
      </c>
      <c r="AC130" s="787">
        <f t="shared" si="10"/>
        <v>177.416</v>
      </c>
      <c r="AD130" s="792">
        <f t="shared" si="11"/>
        <v>709.664</v>
      </c>
      <c r="AE130" s="862"/>
      <c r="AF130" s="889" t="s">
        <v>2004</v>
      </c>
      <c r="AG130" s="886" t="b">
        <v>0</v>
      </c>
      <c r="AH130" s="780"/>
      <c r="AI130" s="780"/>
      <c r="AJ130" s="780"/>
      <c r="AK130" s="780"/>
      <c r="AL130" s="780"/>
      <c r="AM130" s="780"/>
      <c r="AN130" s="780"/>
      <c r="AO130" s="780"/>
      <c r="AP130" s="780"/>
      <c r="AQ130" s="780"/>
      <c r="AR130" s="780"/>
      <c r="AS130" s="780"/>
      <c r="AT130" s="780"/>
      <c r="AU130" s="780"/>
      <c r="AV130" s="780"/>
      <c r="AW130" s="780"/>
    </row>
    <row r="131">
      <c r="A131" s="852">
        <v>45919.0</v>
      </c>
      <c r="B131" s="852">
        <v>46029.0</v>
      </c>
      <c r="C131" s="853" t="str">
        <f t="shared" si="1"/>
        <v>jan.</v>
      </c>
      <c r="D131" s="880"/>
      <c r="E131" s="880" t="s">
        <v>2167</v>
      </c>
      <c r="F131" s="856"/>
      <c r="G131" s="856"/>
      <c r="H131" s="856"/>
      <c r="I131" s="857">
        <v>0.0014045</v>
      </c>
      <c r="J131" s="858">
        <v>0.035</v>
      </c>
      <c r="K131" s="794">
        <f t="shared" si="22"/>
        <v>0</v>
      </c>
      <c r="L131" s="859">
        <f t="shared" si="23"/>
        <v>0</v>
      </c>
      <c r="M131" s="858">
        <v>0.0215</v>
      </c>
      <c r="N131" s="860">
        <f t="shared" si="24"/>
        <v>0.00143469675</v>
      </c>
      <c r="O131" s="794">
        <f t="shared" si="25"/>
        <v>15</v>
      </c>
      <c r="P131" s="794" t="str">
        <f>(K131*N131)+#REF!</f>
        <v>#REF!</v>
      </c>
      <c r="Q131" s="861">
        <v>522.17</v>
      </c>
      <c r="R131" s="882">
        <f t="shared" ref="R131:R133" si="56">(G131*N131)*(1+J131)</f>
        <v>0</v>
      </c>
      <c r="S131" s="913"/>
      <c r="T131" s="794">
        <v>0.06</v>
      </c>
      <c r="U131" s="914"/>
      <c r="V131" s="794"/>
      <c r="W131" s="913"/>
      <c r="X131" s="794">
        <f t="shared" si="7"/>
        <v>522.17</v>
      </c>
      <c r="Y131" s="795"/>
      <c r="Z131" s="792" t="str">
        <f t="shared" si="8"/>
        <v/>
      </c>
      <c r="AA131" s="794">
        <f t="shared" si="9"/>
        <v>522.17</v>
      </c>
      <c r="AB131" s="795" t="s">
        <v>2003</v>
      </c>
      <c r="AC131" s="787">
        <f t="shared" si="10"/>
        <v>104.434</v>
      </c>
      <c r="AD131" s="792">
        <f t="shared" si="11"/>
        <v>417.736</v>
      </c>
      <c r="AE131" s="884"/>
      <c r="AF131" s="889" t="s">
        <v>2004</v>
      </c>
      <c r="AG131" s="810" t="b">
        <v>0</v>
      </c>
      <c r="AH131" s="780"/>
      <c r="AI131" s="780"/>
      <c r="AJ131" s="780"/>
      <c r="AK131" s="780"/>
      <c r="AL131" s="780"/>
      <c r="AM131" s="780"/>
      <c r="AN131" s="780"/>
      <c r="AO131" s="780"/>
      <c r="AP131" s="780"/>
      <c r="AQ131" s="780"/>
      <c r="AR131" s="780"/>
      <c r="AS131" s="780"/>
      <c r="AT131" s="780"/>
      <c r="AU131" s="780"/>
      <c r="AV131" s="780"/>
      <c r="AW131" s="780"/>
    </row>
    <row r="132">
      <c r="A132" s="852">
        <v>46025.0</v>
      </c>
      <c r="B132" s="852">
        <v>46030.0</v>
      </c>
      <c r="C132" s="853" t="str">
        <f t="shared" si="1"/>
        <v>jan.</v>
      </c>
      <c r="D132" s="854"/>
      <c r="E132" s="855" t="s">
        <v>2168</v>
      </c>
      <c r="F132" s="856"/>
      <c r="G132" s="856"/>
      <c r="H132" s="856"/>
      <c r="I132" s="912">
        <v>0.00138428</v>
      </c>
      <c r="J132" s="858">
        <v>0.035</v>
      </c>
      <c r="K132" s="794">
        <f t="shared" si="22"/>
        <v>0</v>
      </c>
      <c r="L132" s="859">
        <f t="shared" si="23"/>
        <v>0</v>
      </c>
      <c r="M132" s="858">
        <v>0.0215</v>
      </c>
      <c r="N132" s="860">
        <f t="shared" si="24"/>
        <v>0.00141404202</v>
      </c>
      <c r="O132" s="794">
        <f t="shared" si="25"/>
        <v>15</v>
      </c>
      <c r="P132" s="794">
        <f>(K132*N132)+M151</f>
        <v>0.0215</v>
      </c>
      <c r="Q132" s="861">
        <v>1004.79</v>
      </c>
      <c r="R132" s="882">
        <f t="shared" si="56"/>
        <v>0</v>
      </c>
      <c r="S132" s="913"/>
      <c r="T132" s="794">
        <v>0.06</v>
      </c>
      <c r="U132" s="914"/>
      <c r="V132" s="794"/>
      <c r="W132" s="913"/>
      <c r="X132" s="794">
        <f t="shared" si="7"/>
        <v>1004.79</v>
      </c>
      <c r="Y132" s="795"/>
      <c r="Z132" s="792" t="str">
        <f t="shared" si="8"/>
        <v/>
      </c>
      <c r="AA132" s="794">
        <f t="shared" si="9"/>
        <v>1004.79</v>
      </c>
      <c r="AB132" s="795" t="s">
        <v>2003</v>
      </c>
      <c r="AC132" s="787">
        <f t="shared" si="10"/>
        <v>200.958</v>
      </c>
      <c r="AD132" s="792">
        <f t="shared" si="11"/>
        <v>803.832</v>
      </c>
      <c r="AE132" s="862"/>
      <c r="AF132" s="889" t="s">
        <v>2004</v>
      </c>
      <c r="AG132" s="886" t="b">
        <v>0</v>
      </c>
      <c r="AH132" s="780"/>
      <c r="AI132" s="780"/>
      <c r="AJ132" s="780"/>
      <c r="AK132" s="780"/>
      <c r="AL132" s="780"/>
      <c r="AM132" s="780"/>
      <c r="AN132" s="780"/>
      <c r="AO132" s="780"/>
      <c r="AP132" s="780"/>
      <c r="AQ132" s="780"/>
      <c r="AR132" s="780"/>
      <c r="AS132" s="780"/>
      <c r="AT132" s="780"/>
      <c r="AU132" s="780"/>
      <c r="AV132" s="780"/>
      <c r="AW132" s="780"/>
    </row>
    <row r="133">
      <c r="A133" s="852">
        <v>45961.0</v>
      </c>
      <c r="B133" s="852">
        <v>46031.0</v>
      </c>
      <c r="C133" s="853" t="str">
        <f t="shared" si="1"/>
        <v>jan.</v>
      </c>
      <c r="D133" s="854"/>
      <c r="E133" s="855" t="s">
        <v>2169</v>
      </c>
      <c r="F133" s="856"/>
      <c r="G133" s="856"/>
      <c r="H133" s="856"/>
      <c r="I133" s="857">
        <v>0.00140450000000001</v>
      </c>
      <c r="J133" s="858">
        <v>0.035</v>
      </c>
      <c r="K133" s="794">
        <f t="shared" si="22"/>
        <v>0</v>
      </c>
      <c r="L133" s="859">
        <f t="shared" si="23"/>
        <v>0</v>
      </c>
      <c r="M133" s="858">
        <v>0.0215</v>
      </c>
      <c r="N133" s="860">
        <f t="shared" si="24"/>
        <v>0.00143469675</v>
      </c>
      <c r="O133" s="794">
        <f t="shared" si="25"/>
        <v>15</v>
      </c>
      <c r="P133" s="794" t="str">
        <f>(K133*N133)+#REF!</f>
        <v>#REF!</v>
      </c>
      <c r="Q133" s="861">
        <v>4222.59</v>
      </c>
      <c r="R133" s="882">
        <f t="shared" si="56"/>
        <v>0</v>
      </c>
      <c r="S133" s="913"/>
      <c r="T133" s="794">
        <v>0.06</v>
      </c>
      <c r="U133" s="914"/>
      <c r="V133" s="794"/>
      <c r="W133" s="913"/>
      <c r="X133" s="794">
        <f t="shared" si="7"/>
        <v>4222.59</v>
      </c>
      <c r="Y133" s="795"/>
      <c r="Z133" s="792" t="str">
        <f t="shared" si="8"/>
        <v/>
      </c>
      <c r="AA133" s="794">
        <f t="shared" si="9"/>
        <v>4222.59</v>
      </c>
      <c r="AB133" s="795" t="s">
        <v>2003</v>
      </c>
      <c r="AC133" s="787">
        <f t="shared" si="10"/>
        <v>844.518</v>
      </c>
      <c r="AD133" s="792">
        <f t="shared" si="11"/>
        <v>3378.072</v>
      </c>
      <c r="AE133" s="884"/>
      <c r="AF133" s="889" t="s">
        <v>2004</v>
      </c>
      <c r="AG133" s="810" t="b">
        <v>0</v>
      </c>
      <c r="AH133" s="780"/>
      <c r="AI133" s="778">
        <v>1092.31</v>
      </c>
      <c r="AJ133" s="780"/>
      <c r="AK133" s="780"/>
      <c r="AL133" s="780"/>
      <c r="AM133" s="780"/>
      <c r="AN133" s="780"/>
      <c r="AO133" s="780"/>
      <c r="AP133" s="780"/>
      <c r="AQ133" s="780"/>
      <c r="AR133" s="780"/>
      <c r="AS133" s="780"/>
      <c r="AT133" s="780"/>
      <c r="AU133" s="780"/>
      <c r="AV133" s="780"/>
      <c r="AW133" s="780"/>
    </row>
    <row r="134">
      <c r="A134" s="887">
        <v>45700.0</v>
      </c>
      <c r="B134" s="852">
        <v>46034.0</v>
      </c>
      <c r="C134" s="853" t="str">
        <f t="shared" si="1"/>
        <v>jan.</v>
      </c>
      <c r="D134" s="880"/>
      <c r="E134" s="881" t="s">
        <v>2170</v>
      </c>
      <c r="F134" s="856"/>
      <c r="G134" s="856"/>
      <c r="H134" s="856"/>
      <c r="I134" s="857">
        <v>0.00140450000000001</v>
      </c>
      <c r="J134" s="858">
        <v>0.035</v>
      </c>
      <c r="K134" s="794">
        <f t="shared" si="22"/>
        <v>604.04175</v>
      </c>
      <c r="L134" s="859">
        <f t="shared" si="23"/>
        <v>21.90825</v>
      </c>
      <c r="M134" s="858">
        <v>0.0215</v>
      </c>
      <c r="N134" s="860">
        <f t="shared" si="24"/>
        <v>0.00143469675</v>
      </c>
      <c r="O134" s="794">
        <f t="shared" si="25"/>
        <v>27.98689763</v>
      </c>
      <c r="P134" s="794">
        <f>(K134*N134)+M148</f>
        <v>0.8881167356</v>
      </c>
      <c r="Q134" s="885">
        <v>962.65</v>
      </c>
      <c r="R134" s="861">
        <v>625.95</v>
      </c>
      <c r="S134" s="913"/>
      <c r="T134" s="794">
        <v>0.06</v>
      </c>
      <c r="U134" s="914"/>
      <c r="V134" s="794"/>
      <c r="W134" s="913"/>
      <c r="X134" s="794">
        <f t="shared" si="7"/>
        <v>336.7</v>
      </c>
      <c r="Y134" s="795"/>
      <c r="Z134" s="792" t="str">
        <f t="shared" si="8"/>
        <v/>
      </c>
      <c r="AA134" s="794">
        <f t="shared" si="9"/>
        <v>336.7</v>
      </c>
      <c r="AB134" s="795" t="s">
        <v>2003</v>
      </c>
      <c r="AC134" s="787">
        <f t="shared" si="10"/>
        <v>67.34</v>
      </c>
      <c r="AD134" s="792">
        <f t="shared" si="11"/>
        <v>269.36</v>
      </c>
      <c r="AE134" s="862"/>
      <c r="AF134" s="889" t="s">
        <v>2004</v>
      </c>
      <c r="AG134" s="810" t="b">
        <v>0</v>
      </c>
      <c r="AH134" s="780"/>
      <c r="AI134" s="780"/>
      <c r="AJ134" s="780"/>
      <c r="AK134" s="780"/>
      <c r="AL134" s="780"/>
      <c r="AM134" s="780"/>
      <c r="AN134" s="780"/>
      <c r="AO134" s="780"/>
      <c r="AP134" s="780"/>
      <c r="AQ134" s="780"/>
      <c r="AR134" s="780"/>
      <c r="AS134" s="780"/>
      <c r="AT134" s="780"/>
      <c r="AU134" s="780"/>
      <c r="AV134" s="780"/>
      <c r="AW134" s="780"/>
    </row>
    <row r="135">
      <c r="A135" s="852">
        <v>46025.0</v>
      </c>
      <c r="B135" s="852">
        <v>46034.0</v>
      </c>
      <c r="C135" s="853" t="str">
        <f t="shared" si="1"/>
        <v>jan.</v>
      </c>
      <c r="D135" s="880"/>
      <c r="E135" s="881" t="s">
        <v>2171</v>
      </c>
      <c r="F135" s="856"/>
      <c r="G135" s="856"/>
      <c r="H135" s="856"/>
      <c r="I135" s="912">
        <v>0.00138428</v>
      </c>
      <c r="J135" s="858">
        <v>0.035</v>
      </c>
      <c r="K135" s="794">
        <f t="shared" si="22"/>
        <v>625.8604</v>
      </c>
      <c r="L135" s="859">
        <f t="shared" si="23"/>
        <v>22.6996</v>
      </c>
      <c r="M135" s="858">
        <v>0.0215</v>
      </c>
      <c r="N135" s="860">
        <f t="shared" si="24"/>
        <v>0.00141404202</v>
      </c>
      <c r="O135" s="794">
        <f t="shared" si="25"/>
        <v>28.4559986</v>
      </c>
      <c r="P135" s="794">
        <f>(K135*N135)+M154</f>
        <v>0.9064929043</v>
      </c>
      <c r="Q135" s="861">
        <v>1507.2</v>
      </c>
      <c r="R135" s="861">
        <v>648.56</v>
      </c>
      <c r="S135" s="913"/>
      <c r="T135" s="794">
        <v>0.06</v>
      </c>
      <c r="U135" s="914"/>
      <c r="V135" s="794"/>
      <c r="W135" s="913"/>
      <c r="X135" s="794">
        <f t="shared" si="7"/>
        <v>858.64</v>
      </c>
      <c r="Y135" s="795"/>
      <c r="Z135" s="792" t="str">
        <f t="shared" si="8"/>
        <v/>
      </c>
      <c r="AA135" s="794">
        <f t="shared" si="9"/>
        <v>858.64</v>
      </c>
      <c r="AB135" s="795" t="s">
        <v>2003</v>
      </c>
      <c r="AC135" s="787">
        <f t="shared" si="10"/>
        <v>171.728</v>
      </c>
      <c r="AD135" s="792">
        <f t="shared" si="11"/>
        <v>686.912</v>
      </c>
      <c r="AE135" s="862"/>
      <c r="AF135" s="889" t="s">
        <v>2004</v>
      </c>
      <c r="AG135" s="886" t="b">
        <v>0</v>
      </c>
      <c r="AH135" s="780"/>
      <c r="AI135" s="780"/>
      <c r="AJ135" s="780"/>
      <c r="AK135" s="780"/>
      <c r="AL135" s="780"/>
      <c r="AM135" s="780"/>
      <c r="AN135" s="780"/>
      <c r="AO135" s="780"/>
      <c r="AP135" s="780"/>
      <c r="AQ135" s="780"/>
      <c r="AR135" s="780"/>
      <c r="AS135" s="780"/>
      <c r="AT135" s="780"/>
      <c r="AU135" s="780"/>
      <c r="AV135" s="780"/>
      <c r="AW135" s="780"/>
    </row>
    <row r="136">
      <c r="A136" s="852">
        <v>45923.0</v>
      </c>
      <c r="B136" s="852">
        <v>46035.0</v>
      </c>
      <c r="C136" s="853" t="str">
        <f t="shared" si="1"/>
        <v>jan.</v>
      </c>
      <c r="D136" s="854"/>
      <c r="E136" s="854" t="s">
        <v>2172</v>
      </c>
      <c r="F136" s="856"/>
      <c r="G136" s="856"/>
      <c r="H136" s="856"/>
      <c r="I136" s="857">
        <v>0.00140450000000001</v>
      </c>
      <c r="J136" s="858">
        <v>0.035</v>
      </c>
      <c r="K136" s="794">
        <f t="shared" si="22"/>
        <v>0</v>
      </c>
      <c r="L136" s="859">
        <f t="shared" si="23"/>
        <v>0</v>
      </c>
      <c r="M136" s="858">
        <v>0.0215</v>
      </c>
      <c r="N136" s="860">
        <f t="shared" si="24"/>
        <v>0.00143469675</v>
      </c>
      <c r="O136" s="794">
        <f t="shared" si="25"/>
        <v>15</v>
      </c>
      <c r="P136" s="794">
        <f>(K136*N136)+M149</f>
        <v>0.0215</v>
      </c>
      <c r="Q136" s="861">
        <v>1789.29</v>
      </c>
      <c r="R136" s="882">
        <f t="shared" ref="R136:R140" si="57">(G136*N136)*(1+J136)</f>
        <v>0</v>
      </c>
      <c r="S136" s="913"/>
      <c r="T136" s="794">
        <v>0.06</v>
      </c>
      <c r="U136" s="914"/>
      <c r="V136" s="794"/>
      <c r="W136" s="913"/>
      <c r="X136" s="794">
        <f t="shared" si="7"/>
        <v>1789.29</v>
      </c>
      <c r="Y136" s="795"/>
      <c r="Z136" s="792" t="str">
        <f t="shared" si="8"/>
        <v/>
      </c>
      <c r="AA136" s="794">
        <f t="shared" si="9"/>
        <v>1789.29</v>
      </c>
      <c r="AB136" s="795" t="s">
        <v>2003</v>
      </c>
      <c r="AC136" s="787">
        <f t="shared" si="10"/>
        <v>357.858</v>
      </c>
      <c r="AD136" s="792">
        <f t="shared" si="11"/>
        <v>1431.432</v>
      </c>
      <c r="AE136" s="884"/>
      <c r="AF136" s="889" t="s">
        <v>2004</v>
      </c>
      <c r="AG136" s="810" t="b">
        <v>0</v>
      </c>
      <c r="AH136" s="780"/>
      <c r="AI136" s="780"/>
      <c r="AJ136" s="780"/>
      <c r="AK136" s="780"/>
      <c r="AL136" s="780"/>
      <c r="AM136" s="780"/>
      <c r="AN136" s="780"/>
      <c r="AO136" s="780"/>
      <c r="AP136" s="780"/>
      <c r="AQ136" s="780"/>
      <c r="AR136" s="780"/>
      <c r="AS136" s="780"/>
      <c r="AT136" s="780"/>
      <c r="AU136" s="780"/>
      <c r="AV136" s="780"/>
      <c r="AW136" s="780"/>
    </row>
    <row r="137">
      <c r="A137" s="852">
        <v>45910.0</v>
      </c>
      <c r="B137" s="852">
        <v>46036.0</v>
      </c>
      <c r="C137" s="853" t="str">
        <f t="shared" si="1"/>
        <v>jan.</v>
      </c>
      <c r="D137" s="880"/>
      <c r="E137" s="881" t="s">
        <v>2173</v>
      </c>
      <c r="F137" s="856"/>
      <c r="G137" s="856"/>
      <c r="H137" s="856"/>
      <c r="I137" s="857">
        <v>0.00140450000000001</v>
      </c>
      <c r="J137" s="858">
        <v>0.035</v>
      </c>
      <c r="K137" s="794">
        <f t="shared" si="22"/>
        <v>0</v>
      </c>
      <c r="L137" s="859">
        <f t="shared" si="23"/>
        <v>0</v>
      </c>
      <c r="M137" s="858">
        <v>0.0215</v>
      </c>
      <c r="N137" s="860">
        <f t="shared" si="24"/>
        <v>0.00143469675</v>
      </c>
      <c r="O137" s="794">
        <f t="shared" si="25"/>
        <v>15</v>
      </c>
      <c r="P137" s="794">
        <f>(K137*N137)+M149</f>
        <v>0.0215</v>
      </c>
      <c r="Q137" s="861">
        <v>2086.72</v>
      </c>
      <c r="R137" s="882">
        <f t="shared" si="57"/>
        <v>0</v>
      </c>
      <c r="S137" s="913"/>
      <c r="T137" s="794">
        <v>0.06</v>
      </c>
      <c r="U137" s="914"/>
      <c r="V137" s="794"/>
      <c r="W137" s="913"/>
      <c r="X137" s="794">
        <f t="shared" si="7"/>
        <v>2086.72</v>
      </c>
      <c r="Y137" s="795"/>
      <c r="Z137" s="792" t="str">
        <f t="shared" si="8"/>
        <v/>
      </c>
      <c r="AA137" s="794">
        <f t="shared" si="9"/>
        <v>2086.72</v>
      </c>
      <c r="AB137" s="795" t="s">
        <v>2003</v>
      </c>
      <c r="AC137" s="787">
        <f t="shared" si="10"/>
        <v>417.344</v>
      </c>
      <c r="AD137" s="792">
        <f t="shared" si="11"/>
        <v>1669.376</v>
      </c>
      <c r="AE137" s="884" t="s">
        <v>2174</v>
      </c>
      <c r="AF137" s="889" t="s">
        <v>2155</v>
      </c>
      <c r="AG137" s="810" t="b">
        <v>0</v>
      </c>
      <c r="AH137" s="780"/>
      <c r="AI137" s="780"/>
      <c r="AJ137" s="780"/>
      <c r="AK137" s="780"/>
      <c r="AL137" s="780"/>
      <c r="AM137" s="780"/>
      <c r="AN137" s="780"/>
      <c r="AO137" s="780"/>
      <c r="AP137" s="780"/>
      <c r="AQ137" s="780"/>
      <c r="AR137" s="780"/>
      <c r="AS137" s="780"/>
      <c r="AT137" s="780"/>
      <c r="AU137" s="780"/>
      <c r="AV137" s="780"/>
      <c r="AW137" s="780"/>
    </row>
    <row r="138">
      <c r="A138" s="852">
        <v>45980.0</v>
      </c>
      <c r="B138" s="852">
        <v>46038.0</v>
      </c>
      <c r="C138" s="853" t="str">
        <f t="shared" si="1"/>
        <v>jan.</v>
      </c>
      <c r="D138" s="880"/>
      <c r="E138" s="881" t="s">
        <v>2175</v>
      </c>
      <c r="F138" s="856"/>
      <c r="G138" s="856"/>
      <c r="H138" s="856"/>
      <c r="I138" s="857">
        <v>0.00140450000000001</v>
      </c>
      <c r="J138" s="858">
        <v>0.035</v>
      </c>
      <c r="K138" s="794">
        <f t="shared" si="22"/>
        <v>0</v>
      </c>
      <c r="L138" s="859">
        <f t="shared" si="23"/>
        <v>0</v>
      </c>
      <c r="M138" s="858">
        <v>0.0215</v>
      </c>
      <c r="N138" s="860">
        <f t="shared" si="24"/>
        <v>0.00143469675</v>
      </c>
      <c r="O138" s="794">
        <f t="shared" si="25"/>
        <v>15</v>
      </c>
      <c r="P138" s="794" t="str">
        <f t="shared" ref="P138:P139" si="58">(K138*N138)+#REF!</f>
        <v>#REF!</v>
      </c>
      <c r="Q138" s="885">
        <v>3482.59</v>
      </c>
      <c r="R138" s="882">
        <f t="shared" si="57"/>
        <v>0</v>
      </c>
      <c r="S138" s="913"/>
      <c r="T138" s="794">
        <v>0.06</v>
      </c>
      <c r="U138" s="914"/>
      <c r="V138" s="794"/>
      <c r="W138" s="913"/>
      <c r="X138" s="794">
        <f t="shared" si="7"/>
        <v>3482.59</v>
      </c>
      <c r="Y138" s="795"/>
      <c r="Z138" s="792" t="str">
        <f t="shared" si="8"/>
        <v/>
      </c>
      <c r="AA138" s="794">
        <f t="shared" si="9"/>
        <v>3482.59</v>
      </c>
      <c r="AB138" s="795" t="s">
        <v>2003</v>
      </c>
      <c r="AC138" s="787">
        <f t="shared" si="10"/>
        <v>696.518</v>
      </c>
      <c r="AD138" s="792">
        <f t="shared" si="11"/>
        <v>2786.072</v>
      </c>
      <c r="AE138" s="862"/>
      <c r="AF138" s="889" t="s">
        <v>2004</v>
      </c>
      <c r="AG138" s="810" t="b">
        <v>0</v>
      </c>
      <c r="AH138" s="780"/>
      <c r="AI138" s="780"/>
      <c r="AJ138" s="780"/>
      <c r="AK138" s="780"/>
      <c r="AL138" s="780"/>
      <c r="AM138" s="780"/>
      <c r="AN138" s="780"/>
      <c r="AO138" s="780"/>
      <c r="AP138" s="780"/>
      <c r="AQ138" s="780"/>
      <c r="AR138" s="780"/>
      <c r="AS138" s="780"/>
      <c r="AT138" s="780"/>
      <c r="AU138" s="780"/>
      <c r="AV138" s="780"/>
      <c r="AW138" s="780"/>
    </row>
    <row r="139">
      <c r="A139" s="915"/>
      <c r="B139" s="852">
        <v>46039.0</v>
      </c>
      <c r="C139" s="916" t="str">
        <f t="shared" si="1"/>
        <v>jan.</v>
      </c>
      <c r="D139" s="917"/>
      <c r="E139" s="918" t="s">
        <v>2176</v>
      </c>
      <c r="F139" s="919"/>
      <c r="G139" s="919"/>
      <c r="H139" s="919"/>
      <c r="I139" s="920">
        <v>0.00140450000000001</v>
      </c>
      <c r="J139" s="921">
        <v>0.035</v>
      </c>
      <c r="K139" s="922">
        <f t="shared" si="22"/>
        <v>0</v>
      </c>
      <c r="L139" s="923">
        <f t="shared" si="23"/>
        <v>0</v>
      </c>
      <c r="M139" s="921">
        <v>0.0215</v>
      </c>
      <c r="N139" s="924">
        <f t="shared" si="24"/>
        <v>0.00143469675</v>
      </c>
      <c r="O139" s="922">
        <f t="shared" si="25"/>
        <v>15</v>
      </c>
      <c r="P139" s="922" t="str">
        <f t="shared" si="58"/>
        <v>#REF!</v>
      </c>
      <c r="Q139" s="925">
        <f>(H139*N139)*(1+J139)</f>
        <v>0</v>
      </c>
      <c r="R139" s="925">
        <f t="shared" si="57"/>
        <v>0</v>
      </c>
      <c r="S139" s="926"/>
      <c r="T139" s="922">
        <v>0.06</v>
      </c>
      <c r="U139" s="927"/>
      <c r="V139" s="922"/>
      <c r="W139" s="926"/>
      <c r="X139" s="794">
        <f t="shared" si="7"/>
        <v>0</v>
      </c>
      <c r="Y139" s="795"/>
      <c r="Z139" s="792" t="str">
        <f t="shared" si="8"/>
        <v/>
      </c>
      <c r="AA139" s="794">
        <f t="shared" si="9"/>
        <v>0</v>
      </c>
      <c r="AB139" s="795" t="s">
        <v>2003</v>
      </c>
      <c r="AC139" s="787">
        <f t="shared" si="10"/>
        <v>0</v>
      </c>
      <c r="AD139" s="792">
        <f t="shared" si="11"/>
        <v>0</v>
      </c>
      <c r="AE139" s="928"/>
      <c r="AF139" s="929" t="s">
        <v>2155</v>
      </c>
      <c r="AG139" s="930" t="b">
        <v>0</v>
      </c>
      <c r="AH139" s="780"/>
      <c r="AI139" s="780"/>
      <c r="AJ139" s="780"/>
      <c r="AK139" s="780"/>
      <c r="AL139" s="780"/>
      <c r="AM139" s="780"/>
      <c r="AN139" s="780"/>
      <c r="AO139" s="780"/>
      <c r="AP139" s="780"/>
      <c r="AQ139" s="780"/>
      <c r="AR139" s="780"/>
      <c r="AS139" s="780"/>
      <c r="AT139" s="780"/>
      <c r="AU139" s="780"/>
      <c r="AV139" s="780"/>
      <c r="AW139" s="780"/>
    </row>
    <row r="140">
      <c r="A140" s="852">
        <v>46002.0</v>
      </c>
      <c r="B140" s="931">
        <v>46039.0</v>
      </c>
      <c r="C140" s="853" t="str">
        <f t="shared" si="1"/>
        <v>jan.</v>
      </c>
      <c r="D140" s="880"/>
      <c r="E140" s="881" t="s">
        <v>2177</v>
      </c>
      <c r="F140" s="856"/>
      <c r="G140" s="856"/>
      <c r="H140" s="856"/>
      <c r="I140" s="857">
        <v>0.00140450000000001</v>
      </c>
      <c r="J140" s="858">
        <v>0.035</v>
      </c>
      <c r="K140" s="794">
        <f t="shared" si="22"/>
        <v>0</v>
      </c>
      <c r="L140" s="859">
        <f t="shared" si="23"/>
        <v>0</v>
      </c>
      <c r="M140" s="858">
        <v>0.0215</v>
      </c>
      <c r="N140" s="860">
        <f t="shared" si="24"/>
        <v>0.00143469675</v>
      </c>
      <c r="O140" s="794">
        <f t="shared" si="25"/>
        <v>15</v>
      </c>
      <c r="P140" s="794">
        <f>(K140*N140)+M156</f>
        <v>0.0215</v>
      </c>
      <c r="Q140" s="861">
        <v>1375.96</v>
      </c>
      <c r="R140" s="882">
        <f t="shared" si="57"/>
        <v>0</v>
      </c>
      <c r="S140" s="913"/>
      <c r="T140" s="794">
        <v>0.06</v>
      </c>
      <c r="U140" s="914"/>
      <c r="V140" s="794"/>
      <c r="W140" s="913"/>
      <c r="X140" s="794">
        <f t="shared" si="7"/>
        <v>1375.96</v>
      </c>
      <c r="Y140" s="795"/>
      <c r="Z140" s="792" t="str">
        <f t="shared" si="8"/>
        <v/>
      </c>
      <c r="AA140" s="794">
        <f t="shared" si="9"/>
        <v>1375.96</v>
      </c>
      <c r="AB140" s="795" t="s">
        <v>2003</v>
      </c>
      <c r="AC140" s="787">
        <f t="shared" si="10"/>
        <v>275.192</v>
      </c>
      <c r="AD140" s="792">
        <f t="shared" si="11"/>
        <v>1100.768</v>
      </c>
      <c r="AE140" s="862"/>
      <c r="AF140" s="889" t="s">
        <v>2004</v>
      </c>
      <c r="AG140" s="886" t="b">
        <v>0</v>
      </c>
      <c r="AH140" s="780"/>
      <c r="AI140" s="780"/>
      <c r="AJ140" s="780"/>
      <c r="AK140" s="780"/>
      <c r="AL140" s="780"/>
      <c r="AM140" s="780"/>
      <c r="AN140" s="780"/>
      <c r="AO140" s="780"/>
      <c r="AP140" s="780"/>
      <c r="AQ140" s="780"/>
      <c r="AR140" s="780"/>
      <c r="AS140" s="780"/>
      <c r="AT140" s="780"/>
      <c r="AU140" s="780"/>
      <c r="AV140" s="780"/>
      <c r="AW140" s="780"/>
    </row>
    <row r="141">
      <c r="A141" s="852">
        <v>45992.0</v>
      </c>
      <c r="B141" s="852">
        <v>46039.0</v>
      </c>
      <c r="C141" s="853" t="str">
        <f t="shared" si="1"/>
        <v>jan.</v>
      </c>
      <c r="D141" s="880"/>
      <c r="E141" s="881" t="s">
        <v>2178</v>
      </c>
      <c r="F141" s="856"/>
      <c r="G141" s="856"/>
      <c r="H141" s="856"/>
      <c r="I141" s="857">
        <v>0.00140450000000001</v>
      </c>
      <c r="J141" s="858">
        <v>0.035</v>
      </c>
      <c r="K141" s="794">
        <f t="shared" si="22"/>
        <v>503.0159</v>
      </c>
      <c r="L141" s="859">
        <f t="shared" si="23"/>
        <v>18.2441</v>
      </c>
      <c r="M141" s="858">
        <v>0.0215</v>
      </c>
      <c r="N141" s="860">
        <f t="shared" si="24"/>
        <v>0.00143469675</v>
      </c>
      <c r="O141" s="794">
        <f t="shared" si="25"/>
        <v>25.81484185</v>
      </c>
      <c r="P141" s="794" t="str">
        <f>(K141*N141)+#REF!</f>
        <v>#REF!</v>
      </c>
      <c r="Q141" s="861">
        <v>867.41</v>
      </c>
      <c r="R141" s="861">
        <v>521.26</v>
      </c>
      <c r="S141" s="913"/>
      <c r="T141" s="794">
        <v>0.06</v>
      </c>
      <c r="U141" s="914"/>
      <c r="V141" s="794"/>
      <c r="W141" s="913"/>
      <c r="X141" s="794">
        <f t="shared" si="7"/>
        <v>346.15</v>
      </c>
      <c r="Y141" s="795"/>
      <c r="Z141" s="792" t="str">
        <f t="shared" si="8"/>
        <v/>
      </c>
      <c r="AA141" s="794">
        <f t="shared" si="9"/>
        <v>346.15</v>
      </c>
      <c r="AB141" s="795" t="s">
        <v>2003</v>
      </c>
      <c r="AC141" s="787">
        <f t="shared" si="10"/>
        <v>69.23</v>
      </c>
      <c r="AD141" s="792">
        <f t="shared" si="11"/>
        <v>276.92</v>
      </c>
      <c r="AE141" s="862"/>
      <c r="AF141" s="889" t="s">
        <v>2004</v>
      </c>
      <c r="AG141" s="810" t="b">
        <v>0</v>
      </c>
      <c r="AH141" s="780"/>
      <c r="AI141" s="780"/>
      <c r="AJ141" s="780"/>
      <c r="AK141" s="780"/>
      <c r="AL141" s="780"/>
      <c r="AM141" s="780"/>
      <c r="AN141" s="780"/>
      <c r="AO141" s="780"/>
      <c r="AP141" s="780"/>
      <c r="AQ141" s="780"/>
      <c r="AR141" s="780"/>
      <c r="AS141" s="780"/>
      <c r="AT141" s="780"/>
      <c r="AU141" s="780"/>
      <c r="AV141" s="780"/>
      <c r="AW141" s="780"/>
    </row>
    <row r="142">
      <c r="A142" s="852">
        <v>45999.0</v>
      </c>
      <c r="B142" s="852">
        <v>46040.0</v>
      </c>
      <c r="C142" s="853" t="str">
        <f t="shared" si="1"/>
        <v>jan.</v>
      </c>
      <c r="D142" s="880"/>
      <c r="E142" s="881" t="s">
        <v>2179</v>
      </c>
      <c r="F142" s="856"/>
      <c r="G142" s="856"/>
      <c r="H142" s="856"/>
      <c r="I142" s="857">
        <v>0.00140450000000001</v>
      </c>
      <c r="J142" s="858">
        <v>0.035</v>
      </c>
      <c r="K142" s="794">
        <f t="shared" si="22"/>
        <v>580.158</v>
      </c>
      <c r="L142" s="859">
        <f t="shared" si="23"/>
        <v>21.042</v>
      </c>
      <c r="M142" s="858">
        <v>0.0215</v>
      </c>
      <c r="N142" s="860">
        <f t="shared" si="24"/>
        <v>0.00143469675</v>
      </c>
      <c r="O142" s="794">
        <f t="shared" si="25"/>
        <v>27.473397</v>
      </c>
      <c r="P142" s="794">
        <f>(K142*N142)+M156</f>
        <v>0.8538507971</v>
      </c>
      <c r="Q142" s="861">
        <v>1160.34</v>
      </c>
      <c r="R142" s="861">
        <v>601.2</v>
      </c>
      <c r="S142" s="913"/>
      <c r="T142" s="794">
        <v>0.06</v>
      </c>
      <c r="U142" s="914"/>
      <c r="V142" s="794"/>
      <c r="W142" s="913"/>
      <c r="X142" s="794">
        <f t="shared" si="7"/>
        <v>559.14</v>
      </c>
      <c r="Y142" s="795"/>
      <c r="Z142" s="792" t="str">
        <f t="shared" si="8"/>
        <v/>
      </c>
      <c r="AA142" s="794">
        <f t="shared" si="9"/>
        <v>559.14</v>
      </c>
      <c r="AB142" s="795" t="s">
        <v>2003</v>
      </c>
      <c r="AC142" s="787">
        <f t="shared" si="10"/>
        <v>111.828</v>
      </c>
      <c r="AD142" s="792">
        <f t="shared" si="11"/>
        <v>447.312</v>
      </c>
      <c r="AE142" s="862"/>
      <c r="AF142" s="889" t="s">
        <v>2004</v>
      </c>
      <c r="AG142" s="810" t="b">
        <v>0</v>
      </c>
      <c r="AH142" s="780"/>
      <c r="AI142" s="780"/>
      <c r="AJ142" s="780"/>
      <c r="AK142" s="780"/>
      <c r="AL142" s="780"/>
      <c r="AM142" s="780"/>
      <c r="AN142" s="780"/>
      <c r="AO142" s="780"/>
      <c r="AP142" s="780"/>
      <c r="AQ142" s="780"/>
      <c r="AR142" s="780"/>
      <c r="AS142" s="780"/>
      <c r="AT142" s="780"/>
      <c r="AU142" s="780"/>
      <c r="AV142" s="780"/>
      <c r="AW142" s="780"/>
    </row>
    <row r="143">
      <c r="A143" s="852">
        <v>46020.0</v>
      </c>
      <c r="B143" s="852">
        <v>46041.0</v>
      </c>
      <c r="C143" s="853" t="str">
        <f t="shared" si="1"/>
        <v>jan.</v>
      </c>
      <c r="D143" s="911"/>
      <c r="E143" s="855" t="s">
        <v>2180</v>
      </c>
      <c r="F143" s="856"/>
      <c r="G143" s="856"/>
      <c r="H143" s="856"/>
      <c r="I143" s="857">
        <v>0.00140450000000002</v>
      </c>
      <c r="J143" s="858">
        <v>0.035</v>
      </c>
      <c r="K143" s="794">
        <f t="shared" si="22"/>
        <v>0</v>
      </c>
      <c r="L143" s="859">
        <f t="shared" si="23"/>
        <v>0</v>
      </c>
      <c r="M143" s="858">
        <v>0.0215</v>
      </c>
      <c r="N143" s="860">
        <f t="shared" si="24"/>
        <v>0.00143469675</v>
      </c>
      <c r="O143" s="794">
        <f t="shared" si="25"/>
        <v>15</v>
      </c>
      <c r="P143" s="794" t="str">
        <f>(K143*N143)+#REF!</f>
        <v>#REF!</v>
      </c>
      <c r="Q143" s="861">
        <v>510.22</v>
      </c>
      <c r="R143" s="882">
        <f t="shared" ref="R143:R144" si="59">(G143*N143)*(1+J143)</f>
        <v>0</v>
      </c>
      <c r="S143" s="913"/>
      <c r="T143" s="794">
        <v>0.06</v>
      </c>
      <c r="U143" s="914"/>
      <c r="V143" s="794"/>
      <c r="W143" s="913"/>
      <c r="X143" s="794">
        <f t="shared" si="7"/>
        <v>510.22</v>
      </c>
      <c r="Y143" s="795"/>
      <c r="Z143" s="792" t="str">
        <f t="shared" si="8"/>
        <v/>
      </c>
      <c r="AA143" s="794">
        <f t="shared" si="9"/>
        <v>510.22</v>
      </c>
      <c r="AB143" s="795" t="s">
        <v>2003</v>
      </c>
      <c r="AC143" s="787">
        <f t="shared" si="10"/>
        <v>102.044</v>
      </c>
      <c r="AD143" s="792">
        <f t="shared" si="11"/>
        <v>408.176</v>
      </c>
      <c r="AE143" s="862"/>
      <c r="AF143" s="889" t="s">
        <v>2004</v>
      </c>
      <c r="AG143" s="886" t="b">
        <v>0</v>
      </c>
      <c r="AH143" s="780"/>
      <c r="AI143" s="780"/>
      <c r="AJ143" s="780"/>
      <c r="AK143" s="780"/>
      <c r="AL143" s="780"/>
      <c r="AM143" s="780"/>
      <c r="AN143" s="780"/>
      <c r="AO143" s="780"/>
      <c r="AP143" s="780"/>
      <c r="AQ143" s="780"/>
      <c r="AR143" s="780"/>
      <c r="AS143" s="780"/>
      <c r="AT143" s="780"/>
      <c r="AU143" s="780"/>
      <c r="AV143" s="780"/>
      <c r="AW143" s="780"/>
    </row>
    <row r="144">
      <c r="A144" s="852">
        <v>45905.0</v>
      </c>
      <c r="B144" s="852">
        <v>46041.0</v>
      </c>
      <c r="C144" s="853" t="str">
        <f t="shared" si="1"/>
        <v>jan.</v>
      </c>
      <c r="D144" s="880"/>
      <c r="E144" s="880" t="s">
        <v>1937</v>
      </c>
      <c r="F144" s="856"/>
      <c r="G144" s="856"/>
      <c r="H144" s="856"/>
      <c r="I144" s="857">
        <v>0.00140450000000001</v>
      </c>
      <c r="J144" s="858">
        <v>0.035</v>
      </c>
      <c r="K144" s="794">
        <f t="shared" si="22"/>
        <v>0</v>
      </c>
      <c r="L144" s="859">
        <f t="shared" si="23"/>
        <v>0</v>
      </c>
      <c r="M144" s="858">
        <v>0.0215</v>
      </c>
      <c r="N144" s="860">
        <f t="shared" si="24"/>
        <v>0.00143469675</v>
      </c>
      <c r="O144" s="794">
        <f t="shared" si="25"/>
        <v>15</v>
      </c>
      <c r="P144" s="794">
        <f>(K144*N144)+M154</f>
        <v>0.0215</v>
      </c>
      <c r="Q144" s="861">
        <v>620.48</v>
      </c>
      <c r="R144" s="882">
        <f t="shared" si="59"/>
        <v>0</v>
      </c>
      <c r="S144" s="913"/>
      <c r="T144" s="794">
        <v>0.06</v>
      </c>
      <c r="U144" s="914"/>
      <c r="V144" s="794"/>
      <c r="W144" s="913"/>
      <c r="X144" s="794">
        <f t="shared" si="7"/>
        <v>620.48</v>
      </c>
      <c r="Y144" s="881"/>
      <c r="Z144" s="913" t="str">
        <f t="shared" si="8"/>
        <v/>
      </c>
      <c r="AA144" s="794">
        <f t="shared" si="9"/>
        <v>620.48</v>
      </c>
      <c r="AB144" s="881" t="s">
        <v>2003</v>
      </c>
      <c r="AC144" s="794">
        <f t="shared" si="10"/>
        <v>124.096</v>
      </c>
      <c r="AD144" s="913">
        <f t="shared" si="11"/>
        <v>496.384</v>
      </c>
      <c r="AE144" s="884"/>
      <c r="AF144" s="889" t="s">
        <v>2181</v>
      </c>
      <c r="AG144" s="810" t="b">
        <v>0</v>
      </c>
      <c r="AH144" s="780"/>
      <c r="AI144" s="780"/>
      <c r="AJ144" s="780"/>
      <c r="AK144" s="780"/>
      <c r="AL144" s="780"/>
      <c r="AM144" s="780"/>
      <c r="AN144" s="780"/>
      <c r="AO144" s="780"/>
      <c r="AP144" s="780"/>
      <c r="AQ144" s="780"/>
      <c r="AR144" s="780"/>
      <c r="AS144" s="780"/>
      <c r="AT144" s="780"/>
      <c r="AU144" s="780"/>
      <c r="AV144" s="780"/>
      <c r="AW144" s="780"/>
    </row>
    <row r="145">
      <c r="A145" s="852">
        <v>46028.0</v>
      </c>
      <c r="B145" s="852">
        <v>46043.0</v>
      </c>
      <c r="C145" s="853" t="str">
        <f t="shared" si="1"/>
        <v>jan.</v>
      </c>
      <c r="D145" s="854"/>
      <c r="E145" s="855" t="s">
        <v>2182</v>
      </c>
      <c r="F145" s="856"/>
      <c r="G145" s="856"/>
      <c r="H145" s="856"/>
      <c r="I145" s="912">
        <v>0.00138428</v>
      </c>
      <c r="J145" s="858">
        <v>0.035</v>
      </c>
      <c r="K145" s="794">
        <f t="shared" si="22"/>
        <v>1218.4476</v>
      </c>
      <c r="L145" s="859">
        <f t="shared" si="23"/>
        <v>44.1924</v>
      </c>
      <c r="M145" s="858">
        <v>0.0215</v>
      </c>
      <c r="N145" s="860">
        <f t="shared" si="24"/>
        <v>0.00141404202</v>
      </c>
      <c r="O145" s="794">
        <f t="shared" si="25"/>
        <v>41.1966234</v>
      </c>
      <c r="P145" s="794">
        <f>(K145*N145)+M162</f>
        <v>1.744436106</v>
      </c>
      <c r="Q145" s="861">
        <v>4448.41</v>
      </c>
      <c r="R145" s="861">
        <v>1262.64</v>
      </c>
      <c r="S145" s="913">
        <v>520.05</v>
      </c>
      <c r="T145" s="794">
        <v>0.06</v>
      </c>
      <c r="U145" s="914"/>
      <c r="V145" s="794"/>
      <c r="W145" s="913"/>
      <c r="X145" s="794">
        <f t="shared" si="7"/>
        <v>2665.72</v>
      </c>
      <c r="Y145" s="881"/>
      <c r="Z145" s="913" t="str">
        <f t="shared" si="8"/>
        <v/>
      </c>
      <c r="AA145" s="794">
        <f t="shared" si="9"/>
        <v>2665.72</v>
      </c>
      <c r="AB145" s="881" t="s">
        <v>2003</v>
      </c>
      <c r="AC145" s="794">
        <f t="shared" si="10"/>
        <v>533.144</v>
      </c>
      <c r="AD145" s="913">
        <f t="shared" si="11"/>
        <v>2132.576</v>
      </c>
      <c r="AE145" s="862"/>
      <c r="AF145" s="889" t="s">
        <v>2181</v>
      </c>
      <c r="AG145" s="886" t="b">
        <v>0</v>
      </c>
      <c r="AH145" s="780"/>
      <c r="AI145" s="780"/>
      <c r="AJ145" s="780"/>
      <c r="AK145" s="780"/>
      <c r="AL145" s="780"/>
      <c r="AM145" s="780"/>
      <c r="AN145" s="780"/>
      <c r="AO145" s="780"/>
      <c r="AP145" s="780"/>
      <c r="AQ145" s="780"/>
      <c r="AR145" s="780"/>
      <c r="AS145" s="780"/>
      <c r="AT145" s="780"/>
      <c r="AU145" s="780"/>
      <c r="AV145" s="780"/>
      <c r="AW145" s="780"/>
    </row>
    <row r="146">
      <c r="A146" s="852">
        <v>46025.0</v>
      </c>
      <c r="B146" s="852">
        <v>46044.0</v>
      </c>
      <c r="C146" s="853" t="str">
        <f t="shared" si="1"/>
        <v>jan.</v>
      </c>
      <c r="D146" s="880"/>
      <c r="E146" s="881" t="s">
        <v>2183</v>
      </c>
      <c r="F146" s="856"/>
      <c r="G146" s="856"/>
      <c r="H146" s="856"/>
      <c r="I146" s="912">
        <v>0.00138428</v>
      </c>
      <c r="J146" s="858">
        <v>0.035</v>
      </c>
      <c r="K146" s="794">
        <f t="shared" si="22"/>
        <v>619.9739</v>
      </c>
      <c r="L146" s="859">
        <f t="shared" si="23"/>
        <v>22.4861</v>
      </c>
      <c r="M146" s="858">
        <v>0.0215</v>
      </c>
      <c r="N146" s="860">
        <f t="shared" si="24"/>
        <v>0.00141404202</v>
      </c>
      <c r="O146" s="794">
        <f t="shared" si="25"/>
        <v>28.32943885</v>
      </c>
      <c r="P146" s="794" t="str">
        <f>(K146*N146)+#REF!</f>
        <v>#REF!</v>
      </c>
      <c r="Q146" s="861">
        <v>890.62</v>
      </c>
      <c r="R146" s="861">
        <v>642.46</v>
      </c>
      <c r="S146" s="913"/>
      <c r="T146" s="794">
        <v>0.06</v>
      </c>
      <c r="U146" s="914"/>
      <c r="V146" s="794"/>
      <c r="W146" s="913"/>
      <c r="X146" s="794">
        <f t="shared" si="7"/>
        <v>248.16</v>
      </c>
      <c r="Y146" s="881" t="s">
        <v>2003</v>
      </c>
      <c r="Z146" s="913">
        <f t="shared" si="8"/>
        <v>24.816</v>
      </c>
      <c r="AA146" s="794">
        <f t="shared" si="9"/>
        <v>223.344</v>
      </c>
      <c r="AB146" s="881" t="s">
        <v>2003</v>
      </c>
      <c r="AC146" s="794">
        <f t="shared" si="10"/>
        <v>44.6688</v>
      </c>
      <c r="AD146" s="913">
        <f t="shared" si="11"/>
        <v>178.6752</v>
      </c>
      <c r="AE146" s="862"/>
      <c r="AF146" s="889" t="s">
        <v>2181</v>
      </c>
      <c r="AG146" s="886" t="b">
        <v>0</v>
      </c>
      <c r="AH146" s="780"/>
      <c r="AI146" s="780"/>
      <c r="AJ146" s="780"/>
      <c r="AK146" s="780"/>
      <c r="AL146" s="780"/>
      <c r="AM146" s="780"/>
      <c r="AN146" s="780"/>
      <c r="AO146" s="780"/>
      <c r="AP146" s="780"/>
      <c r="AQ146" s="780"/>
      <c r="AR146" s="780"/>
      <c r="AS146" s="780"/>
      <c r="AT146" s="780"/>
      <c r="AU146" s="780"/>
      <c r="AV146" s="780"/>
      <c r="AW146" s="780"/>
    </row>
    <row r="147">
      <c r="A147" s="852">
        <v>46009.0</v>
      </c>
      <c r="B147" s="852">
        <v>46046.0</v>
      </c>
      <c r="C147" s="853" t="str">
        <f t="shared" si="1"/>
        <v>jan.</v>
      </c>
      <c r="D147" s="854"/>
      <c r="E147" s="855" t="s">
        <v>2184</v>
      </c>
      <c r="F147" s="856"/>
      <c r="G147" s="856"/>
      <c r="H147" s="856"/>
      <c r="I147" s="857">
        <v>0.00140450000000002</v>
      </c>
      <c r="J147" s="858">
        <v>0.035</v>
      </c>
      <c r="K147" s="794">
        <f t="shared" si="22"/>
        <v>0</v>
      </c>
      <c r="L147" s="859">
        <f t="shared" si="23"/>
        <v>0</v>
      </c>
      <c r="M147" s="858">
        <v>0.0215</v>
      </c>
      <c r="N147" s="860">
        <f t="shared" si="24"/>
        <v>0.00143469675</v>
      </c>
      <c r="O147" s="794">
        <f t="shared" si="25"/>
        <v>15</v>
      </c>
      <c r="P147" s="794">
        <f>(K147*N147)+M161</f>
        <v>0.0215</v>
      </c>
      <c r="Q147" s="861">
        <v>974.19</v>
      </c>
      <c r="R147" s="882">
        <f t="shared" ref="R147:R152" si="60">(G147*N147)*(1+J147)</f>
        <v>0</v>
      </c>
      <c r="S147" s="913"/>
      <c r="T147" s="794">
        <v>0.06</v>
      </c>
      <c r="U147" s="914"/>
      <c r="V147" s="794"/>
      <c r="W147" s="913"/>
      <c r="X147" s="794">
        <f t="shared" si="7"/>
        <v>974.19</v>
      </c>
      <c r="Y147" s="881"/>
      <c r="Z147" s="913" t="str">
        <f t="shared" si="8"/>
        <v/>
      </c>
      <c r="AA147" s="794">
        <f t="shared" si="9"/>
        <v>974.19</v>
      </c>
      <c r="AB147" s="881" t="s">
        <v>2003</v>
      </c>
      <c r="AC147" s="794">
        <f t="shared" si="10"/>
        <v>194.838</v>
      </c>
      <c r="AD147" s="913">
        <f t="shared" si="11"/>
        <v>779.352</v>
      </c>
      <c r="AE147" s="862"/>
      <c r="AF147" s="889" t="s">
        <v>2181</v>
      </c>
      <c r="AG147" s="886" t="b">
        <v>0</v>
      </c>
      <c r="AH147" s="780"/>
      <c r="AI147" s="780"/>
      <c r="AJ147" s="780"/>
      <c r="AK147" s="780"/>
      <c r="AL147" s="780"/>
      <c r="AM147" s="780"/>
      <c r="AN147" s="780"/>
      <c r="AO147" s="780"/>
      <c r="AP147" s="780"/>
      <c r="AQ147" s="780"/>
      <c r="AR147" s="780"/>
      <c r="AS147" s="780"/>
      <c r="AT147" s="780"/>
      <c r="AU147" s="780"/>
      <c r="AV147" s="780"/>
      <c r="AW147" s="780"/>
    </row>
    <row r="148">
      <c r="A148" s="890"/>
      <c r="B148" s="852">
        <v>46049.0</v>
      </c>
      <c r="C148" s="853" t="str">
        <f t="shared" si="1"/>
        <v>jan.</v>
      </c>
      <c r="D148" s="855" t="s">
        <v>2185</v>
      </c>
      <c r="E148" s="854" t="s">
        <v>1944</v>
      </c>
      <c r="F148" s="856"/>
      <c r="G148" s="856"/>
      <c r="H148" s="856"/>
      <c r="I148" s="857">
        <v>0.00140450000000001</v>
      </c>
      <c r="J148" s="858">
        <v>0.035</v>
      </c>
      <c r="K148" s="794">
        <f t="shared" si="22"/>
        <v>0</v>
      </c>
      <c r="L148" s="859">
        <f t="shared" si="23"/>
        <v>0</v>
      </c>
      <c r="M148" s="858">
        <v>0.0215</v>
      </c>
      <c r="N148" s="860">
        <f t="shared" si="24"/>
        <v>0.00143469675</v>
      </c>
      <c r="O148" s="794">
        <f t="shared" si="25"/>
        <v>15</v>
      </c>
      <c r="P148" s="794" t="str">
        <f>(K148*N148)+#REF!</f>
        <v>#REF!</v>
      </c>
      <c r="Q148" s="861">
        <v>845.51</v>
      </c>
      <c r="R148" s="882">
        <f t="shared" si="60"/>
        <v>0</v>
      </c>
      <c r="S148" s="913"/>
      <c r="T148" s="794">
        <v>0.06</v>
      </c>
      <c r="U148" s="914"/>
      <c r="V148" s="794"/>
      <c r="W148" s="913"/>
      <c r="X148" s="794">
        <f t="shared" si="7"/>
        <v>845.51</v>
      </c>
      <c r="Y148" s="881"/>
      <c r="Z148" s="913" t="str">
        <f t="shared" si="8"/>
        <v/>
      </c>
      <c r="AA148" s="794">
        <f t="shared" si="9"/>
        <v>845.51</v>
      </c>
      <c r="AB148" s="881" t="s">
        <v>2003</v>
      </c>
      <c r="AC148" s="794">
        <f t="shared" si="10"/>
        <v>169.102</v>
      </c>
      <c r="AD148" s="913">
        <f t="shared" si="11"/>
        <v>676.408</v>
      </c>
      <c r="AE148" s="884"/>
      <c r="AF148" s="889" t="s">
        <v>2181</v>
      </c>
      <c r="AG148" s="810" t="b">
        <v>0</v>
      </c>
      <c r="AH148" s="780"/>
      <c r="AI148" s="780"/>
      <c r="AJ148" s="780"/>
      <c r="AK148" s="780"/>
      <c r="AL148" s="780"/>
      <c r="AM148" s="780"/>
      <c r="AN148" s="780"/>
      <c r="AO148" s="780"/>
      <c r="AP148" s="780"/>
      <c r="AQ148" s="780"/>
      <c r="AR148" s="780"/>
      <c r="AS148" s="780"/>
      <c r="AT148" s="780"/>
      <c r="AU148" s="780"/>
      <c r="AV148" s="780"/>
      <c r="AW148" s="780"/>
    </row>
    <row r="149">
      <c r="A149" s="852">
        <v>46029.0</v>
      </c>
      <c r="B149" s="852">
        <v>46051.0</v>
      </c>
      <c r="C149" s="853" t="str">
        <f t="shared" si="1"/>
        <v>jan.</v>
      </c>
      <c r="D149" s="880"/>
      <c r="E149" s="881" t="s">
        <v>2186</v>
      </c>
      <c r="F149" s="856"/>
      <c r="G149" s="856"/>
      <c r="H149" s="856"/>
      <c r="I149" s="857">
        <v>0.00140450000000002</v>
      </c>
      <c r="J149" s="858">
        <v>0.035</v>
      </c>
      <c r="K149" s="794">
        <f t="shared" si="22"/>
        <v>0</v>
      </c>
      <c r="L149" s="859">
        <f t="shared" si="23"/>
        <v>0</v>
      </c>
      <c r="M149" s="858">
        <v>0.0215</v>
      </c>
      <c r="N149" s="860">
        <f t="shared" si="24"/>
        <v>0.00143469675</v>
      </c>
      <c r="O149" s="794">
        <f t="shared" si="25"/>
        <v>15</v>
      </c>
      <c r="P149" s="794">
        <f>(K149*N149)+M165</f>
        <v>0.0215</v>
      </c>
      <c r="Q149" s="861">
        <v>1297.0</v>
      </c>
      <c r="R149" s="882">
        <f t="shared" si="60"/>
        <v>0</v>
      </c>
      <c r="S149" s="913"/>
      <c r="T149" s="794">
        <v>0.06</v>
      </c>
      <c r="U149" s="914"/>
      <c r="V149" s="794"/>
      <c r="W149" s="913"/>
      <c r="X149" s="794">
        <f t="shared" si="7"/>
        <v>1297</v>
      </c>
      <c r="Y149" s="881"/>
      <c r="Z149" s="913" t="str">
        <f t="shared" si="8"/>
        <v/>
      </c>
      <c r="AA149" s="794">
        <f t="shared" si="9"/>
        <v>1297</v>
      </c>
      <c r="AB149" s="881" t="s">
        <v>2003</v>
      </c>
      <c r="AC149" s="794">
        <f t="shared" si="10"/>
        <v>259.4</v>
      </c>
      <c r="AD149" s="913">
        <f t="shared" si="11"/>
        <v>1037.6</v>
      </c>
      <c r="AE149" s="862"/>
      <c r="AF149" s="889" t="s">
        <v>2181</v>
      </c>
      <c r="AG149" s="886" t="b">
        <v>0</v>
      </c>
      <c r="AH149" s="780"/>
      <c r="AI149" s="780"/>
      <c r="AJ149" s="780"/>
      <c r="AK149" s="780"/>
      <c r="AL149" s="780"/>
      <c r="AM149" s="780"/>
      <c r="AN149" s="780"/>
      <c r="AO149" s="780"/>
      <c r="AP149" s="780"/>
      <c r="AQ149" s="780"/>
      <c r="AR149" s="780"/>
      <c r="AS149" s="780"/>
      <c r="AT149" s="780"/>
      <c r="AU149" s="780"/>
      <c r="AV149" s="780"/>
      <c r="AW149" s="780"/>
    </row>
    <row r="150">
      <c r="A150" s="852">
        <v>45969.0</v>
      </c>
      <c r="B150" s="852">
        <v>46052.0</v>
      </c>
      <c r="C150" s="853" t="str">
        <f t="shared" si="1"/>
        <v>jan.</v>
      </c>
      <c r="D150" s="880"/>
      <c r="E150" s="881" t="s">
        <v>2187</v>
      </c>
      <c r="F150" s="856"/>
      <c r="G150" s="856"/>
      <c r="H150" s="856"/>
      <c r="I150" s="857">
        <v>0.0014045</v>
      </c>
      <c r="J150" s="858">
        <v>0.035</v>
      </c>
      <c r="K150" s="794">
        <f t="shared" si="22"/>
        <v>0</v>
      </c>
      <c r="L150" s="859">
        <f t="shared" si="23"/>
        <v>0</v>
      </c>
      <c r="M150" s="858">
        <v>0.0215</v>
      </c>
      <c r="N150" s="860">
        <f t="shared" si="24"/>
        <v>0.00143469675</v>
      </c>
      <c r="O150" s="794">
        <f t="shared" si="25"/>
        <v>15</v>
      </c>
      <c r="P150" s="794" t="str">
        <f>(K150*N150)+#REF!</f>
        <v>#REF!</v>
      </c>
      <c r="Q150" s="861">
        <v>666.84</v>
      </c>
      <c r="R150" s="882">
        <f t="shared" si="60"/>
        <v>0</v>
      </c>
      <c r="S150" s="913"/>
      <c r="T150" s="794">
        <v>0.06</v>
      </c>
      <c r="U150" s="914"/>
      <c r="V150" s="794"/>
      <c r="W150" s="913"/>
      <c r="X150" s="794">
        <f t="shared" si="7"/>
        <v>666.84</v>
      </c>
      <c r="Y150" s="881"/>
      <c r="Z150" s="913" t="str">
        <f t="shared" si="8"/>
        <v/>
      </c>
      <c r="AA150" s="794">
        <f t="shared" si="9"/>
        <v>666.84</v>
      </c>
      <c r="AB150" s="881" t="s">
        <v>2003</v>
      </c>
      <c r="AC150" s="794">
        <f t="shared" si="10"/>
        <v>133.368</v>
      </c>
      <c r="AD150" s="913">
        <f t="shared" si="11"/>
        <v>533.472</v>
      </c>
      <c r="AE150" s="884"/>
      <c r="AF150" s="889" t="s">
        <v>2181</v>
      </c>
      <c r="AG150" s="810" t="b">
        <v>0</v>
      </c>
      <c r="AH150" s="780"/>
      <c r="AI150" s="780"/>
      <c r="AJ150" s="780"/>
      <c r="AK150" s="780"/>
      <c r="AL150" s="780"/>
      <c r="AM150" s="780"/>
      <c r="AN150" s="780"/>
      <c r="AO150" s="780"/>
      <c r="AP150" s="780"/>
      <c r="AQ150" s="780"/>
      <c r="AR150" s="780"/>
      <c r="AS150" s="780"/>
      <c r="AT150" s="780"/>
      <c r="AU150" s="780"/>
      <c r="AV150" s="780"/>
      <c r="AW150" s="780"/>
    </row>
    <row r="151">
      <c r="A151" s="852">
        <v>46014.0</v>
      </c>
      <c r="B151" s="852">
        <v>46054.0</v>
      </c>
      <c r="C151" s="853" t="str">
        <f t="shared" si="1"/>
        <v>fev.</v>
      </c>
      <c r="D151" s="880"/>
      <c r="E151" s="881" t="s">
        <v>2188</v>
      </c>
      <c r="F151" s="856"/>
      <c r="G151" s="856"/>
      <c r="H151" s="856"/>
      <c r="I151" s="857">
        <v>0.00140450000000002</v>
      </c>
      <c r="J151" s="858">
        <v>0.035</v>
      </c>
      <c r="K151" s="794">
        <f t="shared" si="22"/>
        <v>0</v>
      </c>
      <c r="L151" s="859">
        <f t="shared" si="23"/>
        <v>0</v>
      </c>
      <c r="M151" s="858">
        <v>0.0215</v>
      </c>
      <c r="N151" s="860">
        <f t="shared" si="24"/>
        <v>0.00143469675</v>
      </c>
      <c r="O151" s="794">
        <f t="shared" si="25"/>
        <v>15</v>
      </c>
      <c r="P151" s="794">
        <f>(K151*N151)+M167</f>
        <v>0.0215</v>
      </c>
      <c r="Q151" s="861">
        <v>3503.56</v>
      </c>
      <c r="R151" s="882">
        <f t="shared" si="60"/>
        <v>0</v>
      </c>
      <c r="S151" s="913"/>
      <c r="T151" s="794">
        <v>0.06</v>
      </c>
      <c r="U151" s="914"/>
      <c r="V151" s="794"/>
      <c r="W151" s="913"/>
      <c r="X151" s="794">
        <f t="shared" si="7"/>
        <v>3503.56</v>
      </c>
      <c r="Y151" s="881"/>
      <c r="Z151" s="913" t="str">
        <f t="shared" si="8"/>
        <v/>
      </c>
      <c r="AA151" s="794">
        <f t="shared" si="9"/>
        <v>3503.56</v>
      </c>
      <c r="AB151" s="881" t="s">
        <v>2003</v>
      </c>
      <c r="AC151" s="794">
        <f t="shared" si="10"/>
        <v>700.712</v>
      </c>
      <c r="AD151" s="913">
        <f t="shared" si="11"/>
        <v>2802.848</v>
      </c>
      <c r="AE151" s="862"/>
      <c r="AF151" s="889" t="s">
        <v>2181</v>
      </c>
      <c r="AG151" s="886" t="b">
        <v>0</v>
      </c>
      <c r="AH151" s="780"/>
      <c r="AI151" s="780"/>
      <c r="AJ151" s="780"/>
      <c r="AK151" s="780"/>
      <c r="AL151" s="780"/>
      <c r="AM151" s="780"/>
      <c r="AN151" s="780"/>
      <c r="AO151" s="780"/>
      <c r="AP151" s="780"/>
      <c r="AQ151" s="780"/>
      <c r="AR151" s="780"/>
      <c r="AS151" s="780"/>
      <c r="AT151" s="780"/>
      <c r="AU151" s="780"/>
      <c r="AV151" s="780"/>
      <c r="AW151" s="780"/>
    </row>
    <row r="152">
      <c r="A152" s="852">
        <v>45995.0</v>
      </c>
      <c r="B152" s="852">
        <v>46054.0</v>
      </c>
      <c r="C152" s="853" t="str">
        <f t="shared" si="1"/>
        <v>fev.</v>
      </c>
      <c r="D152" s="880"/>
      <c r="E152" s="881" t="s">
        <v>2189</v>
      </c>
      <c r="F152" s="856"/>
      <c r="G152" s="856"/>
      <c r="H152" s="856"/>
      <c r="I152" s="857">
        <v>0.00140450000000001</v>
      </c>
      <c r="J152" s="858">
        <v>0.035</v>
      </c>
      <c r="K152" s="794">
        <f t="shared" si="22"/>
        <v>0</v>
      </c>
      <c r="L152" s="859">
        <f t="shared" si="23"/>
        <v>0</v>
      </c>
      <c r="M152" s="858">
        <v>0.0215</v>
      </c>
      <c r="N152" s="860">
        <f t="shared" si="24"/>
        <v>0.00143469675</v>
      </c>
      <c r="O152" s="794">
        <f t="shared" si="25"/>
        <v>15</v>
      </c>
      <c r="P152" s="794">
        <f>(K152*N152)+M164</f>
        <v>0.0215</v>
      </c>
      <c r="Q152" s="861">
        <v>537.65</v>
      </c>
      <c r="R152" s="932">
        <f t="shared" si="60"/>
        <v>0</v>
      </c>
      <c r="S152" s="913"/>
      <c r="T152" s="794">
        <v>0.06</v>
      </c>
      <c r="U152" s="914"/>
      <c r="V152" s="794"/>
      <c r="W152" s="913"/>
      <c r="X152" s="794">
        <f t="shared" si="7"/>
        <v>537.65</v>
      </c>
      <c r="Y152" s="881"/>
      <c r="Z152" s="913" t="str">
        <f t="shared" si="8"/>
        <v/>
      </c>
      <c r="AA152" s="794">
        <f t="shared" si="9"/>
        <v>537.65</v>
      </c>
      <c r="AB152" s="881" t="s">
        <v>2003</v>
      </c>
      <c r="AC152" s="794">
        <f t="shared" si="10"/>
        <v>107.53</v>
      </c>
      <c r="AD152" s="913">
        <f t="shared" si="11"/>
        <v>430.12</v>
      </c>
      <c r="AE152" s="862"/>
      <c r="AF152" s="889" t="s">
        <v>2181</v>
      </c>
      <c r="AG152" s="810" t="b">
        <v>0</v>
      </c>
      <c r="AH152" s="780"/>
      <c r="AI152" s="780"/>
      <c r="AJ152" s="780"/>
      <c r="AK152" s="780"/>
      <c r="AL152" s="780"/>
      <c r="AM152" s="780"/>
      <c r="AN152" s="780"/>
      <c r="AO152" s="780"/>
      <c r="AP152" s="780"/>
      <c r="AQ152" s="780"/>
      <c r="AR152" s="780"/>
      <c r="AS152" s="780"/>
      <c r="AT152" s="780"/>
      <c r="AU152" s="780"/>
      <c r="AV152" s="780"/>
      <c r="AW152" s="780"/>
    </row>
    <row r="153">
      <c r="A153" s="852">
        <v>45972.0</v>
      </c>
      <c r="B153" s="852">
        <v>46056.0</v>
      </c>
      <c r="C153" s="853" t="str">
        <f t="shared" si="1"/>
        <v>fev.</v>
      </c>
      <c r="D153" s="880"/>
      <c r="E153" s="881" t="s">
        <v>2190</v>
      </c>
      <c r="F153" s="933"/>
      <c r="G153" s="933"/>
      <c r="H153" s="933"/>
      <c r="I153" s="857">
        <v>0.00140450000000001</v>
      </c>
      <c r="J153" s="858">
        <v>0.035</v>
      </c>
      <c r="K153" s="794">
        <f t="shared" si="22"/>
        <v>512.11585</v>
      </c>
      <c r="L153" s="859">
        <f t="shared" si="23"/>
        <v>18.57415</v>
      </c>
      <c r="M153" s="858">
        <v>0.0215</v>
      </c>
      <c r="N153" s="860">
        <f t="shared" si="24"/>
        <v>0.00143469675</v>
      </c>
      <c r="O153" s="794">
        <f t="shared" si="25"/>
        <v>26.01049078</v>
      </c>
      <c r="P153" s="794">
        <f>(K153*N153)+M162</f>
        <v>0.7562309456</v>
      </c>
      <c r="Q153" s="861">
        <v>2795.12</v>
      </c>
      <c r="R153" s="861">
        <v>530.69</v>
      </c>
      <c r="S153" s="913"/>
      <c r="T153" s="794">
        <v>0.06</v>
      </c>
      <c r="U153" s="914"/>
      <c r="V153" s="794"/>
      <c r="W153" s="913"/>
      <c r="X153" s="794">
        <f t="shared" si="7"/>
        <v>2264.43</v>
      </c>
      <c r="Y153" s="881"/>
      <c r="Z153" s="913" t="str">
        <f t="shared" si="8"/>
        <v/>
      </c>
      <c r="AA153" s="794">
        <f t="shared" si="9"/>
        <v>2264.43</v>
      </c>
      <c r="AB153" s="881" t="s">
        <v>2003</v>
      </c>
      <c r="AC153" s="794">
        <f t="shared" si="10"/>
        <v>452.886</v>
      </c>
      <c r="AD153" s="913">
        <f t="shared" si="11"/>
        <v>1811.544</v>
      </c>
      <c r="AE153" s="884"/>
      <c r="AF153" s="889" t="s">
        <v>2181</v>
      </c>
      <c r="AG153" s="810" t="b">
        <v>0</v>
      </c>
      <c r="AH153" s="780"/>
      <c r="AI153" s="780"/>
      <c r="AJ153" s="780"/>
      <c r="AK153" s="780"/>
      <c r="AL153" s="780"/>
      <c r="AM153" s="780"/>
      <c r="AN153" s="780"/>
      <c r="AO153" s="780"/>
      <c r="AP153" s="780"/>
      <c r="AQ153" s="780"/>
      <c r="AR153" s="780"/>
      <c r="AS153" s="780"/>
      <c r="AT153" s="780"/>
      <c r="AU153" s="780"/>
      <c r="AV153" s="780"/>
      <c r="AW153" s="780"/>
    </row>
    <row r="154">
      <c r="A154" s="852">
        <v>45945.0</v>
      </c>
      <c r="B154" s="852">
        <v>46056.0</v>
      </c>
      <c r="C154" s="853" t="str">
        <f t="shared" si="1"/>
        <v>fev.</v>
      </c>
      <c r="D154" s="880"/>
      <c r="E154" s="880" t="s">
        <v>2191</v>
      </c>
      <c r="F154" s="856"/>
      <c r="G154" s="856"/>
      <c r="H154" s="856"/>
      <c r="I154" s="857">
        <v>0.00140450000000001</v>
      </c>
      <c r="J154" s="858">
        <v>0.035</v>
      </c>
      <c r="K154" s="794">
        <f t="shared" si="22"/>
        <v>0</v>
      </c>
      <c r="L154" s="859">
        <f t="shared" si="23"/>
        <v>0</v>
      </c>
      <c r="M154" s="858">
        <v>0.0215</v>
      </c>
      <c r="N154" s="860">
        <f t="shared" si="24"/>
        <v>0.00143469675</v>
      </c>
      <c r="O154" s="794">
        <f t="shared" si="25"/>
        <v>15</v>
      </c>
      <c r="P154" s="794" t="str">
        <f t="shared" ref="P154:P155" si="61">(K154*N154)+#REF!</f>
        <v>#REF!</v>
      </c>
      <c r="Q154" s="861">
        <v>949.68</v>
      </c>
      <c r="R154" s="882">
        <f t="shared" ref="R154:R157" si="62">(G154*N154)*(1+J154)</f>
        <v>0</v>
      </c>
      <c r="S154" s="913"/>
      <c r="T154" s="794">
        <v>0.06</v>
      </c>
      <c r="U154" s="914"/>
      <c r="V154" s="794"/>
      <c r="W154" s="913"/>
      <c r="X154" s="794">
        <f t="shared" si="7"/>
        <v>949.68</v>
      </c>
      <c r="Y154" s="881"/>
      <c r="Z154" s="913" t="str">
        <f t="shared" si="8"/>
        <v/>
      </c>
      <c r="AA154" s="794">
        <f t="shared" si="9"/>
        <v>949.68</v>
      </c>
      <c r="AB154" s="881" t="s">
        <v>2003</v>
      </c>
      <c r="AC154" s="794">
        <f t="shared" si="10"/>
        <v>189.936</v>
      </c>
      <c r="AD154" s="913">
        <f t="shared" si="11"/>
        <v>759.744</v>
      </c>
      <c r="AE154" s="884"/>
      <c r="AF154" s="889" t="s">
        <v>2181</v>
      </c>
      <c r="AG154" s="810" t="b">
        <v>0</v>
      </c>
      <c r="AH154" s="780"/>
      <c r="AI154" s="780"/>
      <c r="AJ154" s="780"/>
      <c r="AK154" s="780"/>
      <c r="AL154" s="780"/>
      <c r="AM154" s="780"/>
      <c r="AN154" s="780"/>
      <c r="AO154" s="780"/>
      <c r="AP154" s="780"/>
      <c r="AQ154" s="780"/>
      <c r="AR154" s="780"/>
      <c r="AS154" s="780"/>
      <c r="AT154" s="780"/>
      <c r="AU154" s="780"/>
      <c r="AV154" s="780"/>
      <c r="AW154" s="780"/>
    </row>
    <row r="155">
      <c r="A155" s="852">
        <v>46005.0</v>
      </c>
      <c r="B155" s="852">
        <v>46056.0</v>
      </c>
      <c r="C155" s="853" t="str">
        <f t="shared" si="1"/>
        <v>fev.</v>
      </c>
      <c r="D155" s="880"/>
      <c r="E155" s="881" t="s">
        <v>500</v>
      </c>
      <c r="F155" s="856"/>
      <c r="G155" s="856"/>
      <c r="H155" s="856"/>
      <c r="I155" s="857">
        <v>0.00140450000000001</v>
      </c>
      <c r="J155" s="858">
        <v>0.035</v>
      </c>
      <c r="K155" s="794">
        <f t="shared" si="22"/>
        <v>0</v>
      </c>
      <c r="L155" s="859">
        <f t="shared" si="23"/>
        <v>0</v>
      </c>
      <c r="M155" s="858">
        <v>0.0215</v>
      </c>
      <c r="N155" s="860">
        <f t="shared" si="24"/>
        <v>0.00143469675</v>
      </c>
      <c r="O155" s="794">
        <f t="shared" si="25"/>
        <v>15</v>
      </c>
      <c r="P155" s="794" t="str">
        <f t="shared" si="61"/>
        <v>#REF!</v>
      </c>
      <c r="Q155" s="861">
        <v>1816.95</v>
      </c>
      <c r="R155" s="882">
        <f t="shared" si="62"/>
        <v>0</v>
      </c>
      <c r="S155" s="913"/>
      <c r="T155" s="794">
        <v>0.06</v>
      </c>
      <c r="U155" s="914"/>
      <c r="V155" s="794"/>
      <c r="W155" s="913"/>
      <c r="X155" s="794">
        <f t="shared" si="7"/>
        <v>1816.95</v>
      </c>
      <c r="Y155" s="881"/>
      <c r="Z155" s="913" t="str">
        <f t="shared" si="8"/>
        <v/>
      </c>
      <c r="AA155" s="794">
        <f t="shared" si="9"/>
        <v>1816.95</v>
      </c>
      <c r="AB155" s="881" t="s">
        <v>2003</v>
      </c>
      <c r="AC155" s="794">
        <f t="shared" si="10"/>
        <v>363.39</v>
      </c>
      <c r="AD155" s="913">
        <f t="shared" si="11"/>
        <v>1453.56</v>
      </c>
      <c r="AE155" s="862"/>
      <c r="AF155" s="889" t="s">
        <v>2181</v>
      </c>
      <c r="AG155" s="810" t="b">
        <v>0</v>
      </c>
      <c r="AH155" s="780"/>
      <c r="AI155" s="780"/>
      <c r="AJ155" s="780"/>
      <c r="AK155" s="780"/>
      <c r="AL155" s="780"/>
      <c r="AM155" s="780"/>
      <c r="AN155" s="780"/>
      <c r="AO155" s="780"/>
      <c r="AP155" s="780"/>
      <c r="AQ155" s="780"/>
      <c r="AR155" s="780"/>
      <c r="AS155" s="780"/>
      <c r="AT155" s="780"/>
      <c r="AU155" s="780"/>
      <c r="AV155" s="780"/>
      <c r="AW155" s="780"/>
    </row>
    <row r="156">
      <c r="A156" s="852">
        <v>46020.0</v>
      </c>
      <c r="B156" s="852">
        <v>46057.0</v>
      </c>
      <c r="C156" s="853" t="str">
        <f t="shared" si="1"/>
        <v>fev.</v>
      </c>
      <c r="D156" s="880"/>
      <c r="E156" s="881" t="s">
        <v>2192</v>
      </c>
      <c r="F156" s="856"/>
      <c r="G156" s="856"/>
      <c r="H156" s="856"/>
      <c r="I156" s="912">
        <v>0.00138428</v>
      </c>
      <c r="J156" s="858">
        <v>0.035</v>
      </c>
      <c r="K156" s="794">
        <f t="shared" si="22"/>
        <v>0</v>
      </c>
      <c r="L156" s="859">
        <f t="shared" si="23"/>
        <v>0</v>
      </c>
      <c r="M156" s="858">
        <v>0.0215</v>
      </c>
      <c r="N156" s="860">
        <f t="shared" si="24"/>
        <v>0.00141404202</v>
      </c>
      <c r="O156" s="794">
        <f t="shared" si="25"/>
        <v>15</v>
      </c>
      <c r="P156" s="794">
        <f>(K156*N156)+M172</f>
        <v>0.0215</v>
      </c>
      <c r="Q156" s="861">
        <v>701.1</v>
      </c>
      <c r="R156" s="882">
        <f t="shared" si="62"/>
        <v>0</v>
      </c>
      <c r="S156" s="913"/>
      <c r="T156" s="794">
        <v>0.06</v>
      </c>
      <c r="U156" s="914"/>
      <c r="V156" s="794"/>
      <c r="W156" s="913"/>
      <c r="X156" s="794">
        <f t="shared" si="7"/>
        <v>701.1</v>
      </c>
      <c r="Y156" s="881"/>
      <c r="Z156" s="913" t="str">
        <f t="shared" si="8"/>
        <v/>
      </c>
      <c r="AA156" s="794">
        <f t="shared" si="9"/>
        <v>701.1</v>
      </c>
      <c r="AB156" s="881" t="s">
        <v>2003</v>
      </c>
      <c r="AC156" s="794">
        <f t="shared" si="10"/>
        <v>140.22</v>
      </c>
      <c r="AD156" s="913">
        <f t="shared" si="11"/>
        <v>560.88</v>
      </c>
      <c r="AE156" s="862"/>
      <c r="AF156" s="889" t="s">
        <v>2181</v>
      </c>
      <c r="AG156" s="886" t="b">
        <v>0</v>
      </c>
      <c r="AH156" s="780"/>
      <c r="AI156" s="780"/>
      <c r="AJ156" s="780"/>
      <c r="AK156" s="780"/>
      <c r="AL156" s="780"/>
      <c r="AM156" s="780"/>
      <c r="AN156" s="780"/>
      <c r="AO156" s="780"/>
      <c r="AP156" s="780"/>
      <c r="AQ156" s="780"/>
      <c r="AR156" s="780"/>
      <c r="AS156" s="780"/>
      <c r="AT156" s="780"/>
      <c r="AU156" s="780"/>
      <c r="AV156" s="780"/>
      <c r="AW156" s="780"/>
    </row>
    <row r="157">
      <c r="A157" s="852">
        <v>45971.0</v>
      </c>
      <c r="B157" s="852">
        <v>46057.0</v>
      </c>
      <c r="C157" s="853" t="str">
        <f t="shared" si="1"/>
        <v>fev.</v>
      </c>
      <c r="D157" s="854"/>
      <c r="E157" s="855" t="s">
        <v>2193</v>
      </c>
      <c r="F157" s="856"/>
      <c r="G157" s="856"/>
      <c r="H157" s="856"/>
      <c r="I157" s="857">
        <v>0.00140450000000001</v>
      </c>
      <c r="J157" s="858">
        <v>0.035</v>
      </c>
      <c r="K157" s="794">
        <f t="shared" si="22"/>
        <v>0</v>
      </c>
      <c r="L157" s="859">
        <f t="shared" si="23"/>
        <v>0</v>
      </c>
      <c r="M157" s="858">
        <v>0.0215</v>
      </c>
      <c r="N157" s="860">
        <f t="shared" si="24"/>
        <v>0.00143469675</v>
      </c>
      <c r="O157" s="794">
        <f t="shared" si="25"/>
        <v>15</v>
      </c>
      <c r="P157" s="794">
        <f>(K157*N157)+M164</f>
        <v>0.0215</v>
      </c>
      <c r="Q157" s="861">
        <v>898.78</v>
      </c>
      <c r="R157" s="882">
        <f t="shared" si="62"/>
        <v>0</v>
      </c>
      <c r="S157" s="913"/>
      <c r="T157" s="794">
        <v>0.06</v>
      </c>
      <c r="U157" s="914"/>
      <c r="V157" s="794"/>
      <c r="W157" s="913"/>
      <c r="X157" s="794">
        <f t="shared" si="7"/>
        <v>898.78</v>
      </c>
      <c r="Y157" s="881"/>
      <c r="Z157" s="913" t="str">
        <f t="shared" si="8"/>
        <v/>
      </c>
      <c r="AA157" s="794">
        <f t="shared" si="9"/>
        <v>898.78</v>
      </c>
      <c r="AB157" s="881" t="s">
        <v>2003</v>
      </c>
      <c r="AC157" s="794">
        <f t="shared" si="10"/>
        <v>179.756</v>
      </c>
      <c r="AD157" s="913">
        <f t="shared" si="11"/>
        <v>719.024</v>
      </c>
      <c r="AE157" s="884"/>
      <c r="AF157" s="889" t="s">
        <v>2181</v>
      </c>
      <c r="AG157" s="810" t="b">
        <v>0</v>
      </c>
      <c r="AH157" s="780"/>
      <c r="AI157" s="780"/>
      <c r="AJ157" s="780"/>
      <c r="AK157" s="780"/>
      <c r="AL157" s="780"/>
      <c r="AM157" s="780"/>
      <c r="AN157" s="780"/>
      <c r="AO157" s="780"/>
      <c r="AP157" s="780"/>
      <c r="AQ157" s="780"/>
      <c r="AR157" s="780"/>
      <c r="AS157" s="780"/>
      <c r="AT157" s="780"/>
      <c r="AU157" s="780"/>
      <c r="AV157" s="780"/>
      <c r="AW157" s="780"/>
    </row>
    <row r="158">
      <c r="A158" s="852">
        <v>46028.0</v>
      </c>
      <c r="B158" s="852">
        <v>46057.0</v>
      </c>
      <c r="C158" s="853" t="str">
        <f t="shared" si="1"/>
        <v>fev.</v>
      </c>
      <c r="D158" s="880"/>
      <c r="E158" s="881" t="s">
        <v>2194</v>
      </c>
      <c r="F158" s="856"/>
      <c r="G158" s="856"/>
      <c r="H158" s="856"/>
      <c r="I158" s="912">
        <v>0.00138428</v>
      </c>
      <c r="J158" s="858">
        <v>0.035</v>
      </c>
      <c r="K158" s="794">
        <f t="shared" si="22"/>
        <v>652.5909</v>
      </c>
      <c r="L158" s="859">
        <f t="shared" si="23"/>
        <v>23.6691</v>
      </c>
      <c r="M158" s="858">
        <v>0.0215</v>
      </c>
      <c r="N158" s="860">
        <f t="shared" si="24"/>
        <v>0.00141404202</v>
      </c>
      <c r="O158" s="794">
        <f t="shared" si="25"/>
        <v>29.03070435</v>
      </c>
      <c r="P158" s="794">
        <f>(K158*N158)+M174</f>
        <v>0.9442909545</v>
      </c>
      <c r="Q158" s="861">
        <v>1462.01</v>
      </c>
      <c r="R158" s="861">
        <v>676.26</v>
      </c>
      <c r="S158" s="913"/>
      <c r="T158" s="794">
        <v>0.06</v>
      </c>
      <c r="U158" s="914"/>
      <c r="V158" s="794"/>
      <c r="W158" s="913"/>
      <c r="X158" s="794">
        <f t="shared" si="7"/>
        <v>785.75</v>
      </c>
      <c r="Y158" s="795"/>
      <c r="Z158" s="792" t="str">
        <f t="shared" si="8"/>
        <v/>
      </c>
      <c r="AA158" s="794">
        <f t="shared" si="9"/>
        <v>785.75</v>
      </c>
      <c r="AB158" s="795" t="s">
        <v>2003</v>
      </c>
      <c r="AC158" s="787">
        <f t="shared" si="10"/>
        <v>157.15</v>
      </c>
      <c r="AD158" s="792">
        <f t="shared" si="11"/>
        <v>628.6</v>
      </c>
      <c r="AE158" s="884" t="s">
        <v>2195</v>
      </c>
      <c r="AF158" s="889" t="s">
        <v>2155</v>
      </c>
      <c r="AG158" s="886" t="b">
        <v>0</v>
      </c>
      <c r="AH158" s="780"/>
      <c r="AI158" s="780"/>
      <c r="AJ158" s="780"/>
      <c r="AK158" s="780"/>
      <c r="AL158" s="780"/>
      <c r="AM158" s="780"/>
      <c r="AN158" s="780"/>
      <c r="AO158" s="780"/>
      <c r="AP158" s="780"/>
      <c r="AQ158" s="780"/>
      <c r="AR158" s="780"/>
      <c r="AS158" s="780"/>
      <c r="AT158" s="780"/>
      <c r="AU158" s="780"/>
      <c r="AV158" s="780"/>
      <c r="AW158" s="780"/>
    </row>
    <row r="159">
      <c r="A159" s="852">
        <v>46030.0</v>
      </c>
      <c r="B159" s="934">
        <v>46057.0</v>
      </c>
      <c r="C159" s="853" t="str">
        <f t="shared" si="1"/>
        <v>fev.</v>
      </c>
      <c r="D159" s="880"/>
      <c r="E159" s="881" t="s">
        <v>639</v>
      </c>
      <c r="F159" s="856"/>
      <c r="G159" s="856"/>
      <c r="H159" s="856"/>
      <c r="I159" s="912">
        <v>0.00138428</v>
      </c>
      <c r="J159" s="858">
        <v>0.035</v>
      </c>
      <c r="K159" s="794">
        <f t="shared" si="22"/>
        <v>626.60345</v>
      </c>
      <c r="L159" s="859">
        <f t="shared" si="23"/>
        <v>22.72655</v>
      </c>
      <c r="M159" s="858">
        <v>0.0215</v>
      </c>
      <c r="N159" s="860">
        <f t="shared" si="24"/>
        <v>0.00141404202</v>
      </c>
      <c r="O159" s="794">
        <f t="shared" si="25"/>
        <v>28.47197418</v>
      </c>
      <c r="P159" s="794">
        <f t="shared" ref="P159:P160" si="63">(K159*N159)+M176</f>
        <v>0.9075436082</v>
      </c>
      <c r="Q159" s="861">
        <v>2356.38</v>
      </c>
      <c r="R159" s="861">
        <v>649.33</v>
      </c>
      <c r="S159" s="913"/>
      <c r="T159" s="794">
        <v>0.06</v>
      </c>
      <c r="U159" s="914"/>
      <c r="V159" s="794"/>
      <c r="W159" s="913"/>
      <c r="X159" s="794">
        <f t="shared" si="7"/>
        <v>1707.05</v>
      </c>
      <c r="Y159" s="795"/>
      <c r="Z159" s="792" t="str">
        <f t="shared" si="8"/>
        <v/>
      </c>
      <c r="AA159" s="794">
        <f t="shared" si="9"/>
        <v>1707.05</v>
      </c>
      <c r="AB159" s="795" t="s">
        <v>2003</v>
      </c>
      <c r="AC159" s="787">
        <f t="shared" si="10"/>
        <v>341.41</v>
      </c>
      <c r="AD159" s="792">
        <f t="shared" si="11"/>
        <v>1365.64</v>
      </c>
      <c r="AE159" s="862"/>
      <c r="AF159" s="797" t="s">
        <v>2181</v>
      </c>
      <c r="AG159" s="886" t="b">
        <v>0</v>
      </c>
      <c r="AH159" s="780"/>
      <c r="AI159" s="780"/>
      <c r="AJ159" s="780"/>
      <c r="AK159" s="780"/>
      <c r="AL159" s="780"/>
      <c r="AM159" s="780"/>
      <c r="AN159" s="780"/>
      <c r="AO159" s="780"/>
      <c r="AP159" s="780"/>
      <c r="AQ159" s="780"/>
      <c r="AR159" s="780"/>
      <c r="AS159" s="780"/>
      <c r="AT159" s="780"/>
      <c r="AU159" s="780"/>
      <c r="AV159" s="780"/>
      <c r="AW159" s="780"/>
    </row>
    <row r="160">
      <c r="A160" s="852">
        <v>46031.0</v>
      </c>
      <c r="B160" s="934">
        <v>46057.0</v>
      </c>
      <c r="C160" s="853" t="str">
        <f t="shared" si="1"/>
        <v>fev.</v>
      </c>
      <c r="D160" s="880"/>
      <c r="E160" s="881" t="s">
        <v>2196</v>
      </c>
      <c r="F160" s="856"/>
      <c r="G160" s="856"/>
      <c r="H160" s="856"/>
      <c r="I160" s="912">
        <v>0.00138428</v>
      </c>
      <c r="J160" s="858">
        <v>0.035</v>
      </c>
      <c r="K160" s="794">
        <f t="shared" si="22"/>
        <v>0</v>
      </c>
      <c r="L160" s="859">
        <f t="shared" si="23"/>
        <v>0</v>
      </c>
      <c r="M160" s="858">
        <v>0.0215</v>
      </c>
      <c r="N160" s="860">
        <f t="shared" si="24"/>
        <v>0.00141404202</v>
      </c>
      <c r="O160" s="794">
        <f t="shared" si="25"/>
        <v>15</v>
      </c>
      <c r="P160" s="794">
        <f t="shared" si="63"/>
        <v>0.0215</v>
      </c>
      <c r="Q160" s="861">
        <v>2155.92</v>
      </c>
      <c r="R160" s="882">
        <f>(G160*N160)*(1+J160)</f>
        <v>0</v>
      </c>
      <c r="S160" s="913"/>
      <c r="T160" s="794">
        <v>0.06</v>
      </c>
      <c r="U160" s="914"/>
      <c r="V160" s="794"/>
      <c r="W160" s="913"/>
      <c r="X160" s="794">
        <f t="shared" si="7"/>
        <v>2155.92</v>
      </c>
      <c r="Y160" s="795"/>
      <c r="Z160" s="792" t="str">
        <f t="shared" si="8"/>
        <v/>
      </c>
      <c r="AA160" s="794">
        <f t="shared" si="9"/>
        <v>2155.92</v>
      </c>
      <c r="AB160" s="795" t="s">
        <v>2003</v>
      </c>
      <c r="AC160" s="787">
        <f t="shared" si="10"/>
        <v>431.184</v>
      </c>
      <c r="AD160" s="792">
        <f t="shared" si="11"/>
        <v>1724.736</v>
      </c>
      <c r="AE160" s="862"/>
      <c r="AF160" s="797" t="s">
        <v>2181</v>
      </c>
      <c r="AG160" s="886" t="b">
        <v>0</v>
      </c>
      <c r="AH160" s="780"/>
      <c r="AI160" s="780"/>
      <c r="AJ160" s="780"/>
      <c r="AK160" s="780"/>
      <c r="AL160" s="780"/>
      <c r="AM160" s="780"/>
      <c r="AN160" s="780"/>
      <c r="AO160" s="780"/>
      <c r="AP160" s="780"/>
      <c r="AQ160" s="780"/>
      <c r="AR160" s="780"/>
      <c r="AS160" s="780"/>
      <c r="AT160" s="780"/>
      <c r="AU160" s="780"/>
      <c r="AV160" s="780"/>
      <c r="AW160" s="780"/>
    </row>
    <row r="161">
      <c r="A161" s="852">
        <v>46030.0</v>
      </c>
      <c r="B161" s="934">
        <v>46057.0</v>
      </c>
      <c r="C161" s="853" t="str">
        <f t="shared" si="1"/>
        <v>fev.</v>
      </c>
      <c r="D161" s="854"/>
      <c r="E161" s="855" t="s">
        <v>2197</v>
      </c>
      <c r="F161" s="856"/>
      <c r="G161" s="856"/>
      <c r="H161" s="856"/>
      <c r="I161" s="912">
        <v>0.00138428</v>
      </c>
      <c r="J161" s="858">
        <v>0.035</v>
      </c>
      <c r="K161" s="794">
        <f t="shared" si="22"/>
        <v>1240.5654</v>
      </c>
      <c r="L161" s="859">
        <f t="shared" si="23"/>
        <v>44.9946</v>
      </c>
      <c r="M161" s="858">
        <v>0.0215</v>
      </c>
      <c r="N161" s="860">
        <f t="shared" si="24"/>
        <v>0.00141404202</v>
      </c>
      <c r="O161" s="794">
        <f t="shared" si="25"/>
        <v>41.6721561</v>
      </c>
      <c r="P161" s="794">
        <f t="shared" ref="P161:P163" si="64">(K161*N161)+M179</f>
        <v>1.775711604</v>
      </c>
      <c r="Q161" s="861">
        <v>2923.92</v>
      </c>
      <c r="R161" s="861">
        <v>1285.56</v>
      </c>
      <c r="S161" s="935"/>
      <c r="T161" s="936">
        <v>0.06</v>
      </c>
      <c r="U161" s="937"/>
      <c r="V161" s="936"/>
      <c r="W161" s="935"/>
      <c r="X161" s="794">
        <f t="shared" si="7"/>
        <v>1638.36</v>
      </c>
      <c r="Y161" s="795"/>
      <c r="Z161" s="792" t="str">
        <f t="shared" si="8"/>
        <v/>
      </c>
      <c r="AA161" s="794">
        <f t="shared" si="9"/>
        <v>1638.36</v>
      </c>
      <c r="AB161" s="795" t="s">
        <v>2003</v>
      </c>
      <c r="AC161" s="787">
        <f t="shared" si="10"/>
        <v>327.672</v>
      </c>
      <c r="AD161" s="792">
        <f t="shared" si="11"/>
        <v>1310.688</v>
      </c>
      <c r="AE161" s="938"/>
      <c r="AF161" s="939" t="s">
        <v>2181</v>
      </c>
      <c r="AG161" s="940" t="b">
        <v>0</v>
      </c>
      <c r="AH161" s="780"/>
      <c r="AI161" s="780"/>
      <c r="AJ161" s="780"/>
      <c r="AK161" s="780"/>
      <c r="AL161" s="780"/>
      <c r="AM161" s="780"/>
      <c r="AN161" s="780"/>
      <c r="AO161" s="780"/>
      <c r="AP161" s="780"/>
      <c r="AQ161" s="780"/>
      <c r="AR161" s="780"/>
      <c r="AS161" s="780"/>
      <c r="AT161" s="780"/>
      <c r="AU161" s="780"/>
      <c r="AV161" s="780"/>
      <c r="AW161" s="780"/>
    </row>
    <row r="162">
      <c r="A162" s="934">
        <v>46035.0</v>
      </c>
      <c r="B162" s="852">
        <v>46058.0</v>
      </c>
      <c r="C162" s="853" t="str">
        <f t="shared" si="1"/>
        <v>fev.</v>
      </c>
      <c r="D162" s="880"/>
      <c r="E162" s="881" t="s">
        <v>662</v>
      </c>
      <c r="F162" s="856"/>
      <c r="G162" s="856"/>
      <c r="H162" s="856"/>
      <c r="I162" s="912">
        <v>0.00138428</v>
      </c>
      <c r="J162" s="858">
        <v>0.035</v>
      </c>
      <c r="K162" s="794">
        <f t="shared" si="22"/>
        <v>1088.5007</v>
      </c>
      <c r="L162" s="859">
        <f t="shared" si="23"/>
        <v>39.4793</v>
      </c>
      <c r="M162" s="858">
        <v>0.0215</v>
      </c>
      <c r="N162" s="860">
        <f t="shared" si="24"/>
        <v>0.00141404202</v>
      </c>
      <c r="O162" s="794">
        <f t="shared" si="25"/>
        <v>38.40276505</v>
      </c>
      <c r="P162" s="794">
        <f t="shared" si="64"/>
        <v>1.560685729</v>
      </c>
      <c r="Q162" s="861">
        <v>1535.73</v>
      </c>
      <c r="R162" s="882">
        <f>753.55+374.43</f>
        <v>1127.98</v>
      </c>
      <c r="S162" s="913"/>
      <c r="T162" s="794">
        <v>0.06</v>
      </c>
      <c r="U162" s="914"/>
      <c r="V162" s="794"/>
      <c r="W162" s="913"/>
      <c r="X162" s="794">
        <f t="shared" si="7"/>
        <v>407.75</v>
      </c>
      <c r="Y162" s="795"/>
      <c r="Z162" s="792" t="str">
        <f t="shared" si="8"/>
        <v/>
      </c>
      <c r="AA162" s="794">
        <f t="shared" si="9"/>
        <v>407.75</v>
      </c>
      <c r="AB162" s="795" t="s">
        <v>2003</v>
      </c>
      <c r="AC162" s="787">
        <f t="shared" si="10"/>
        <v>81.55</v>
      </c>
      <c r="AD162" s="792">
        <f t="shared" si="11"/>
        <v>326.2</v>
      </c>
      <c r="AE162" s="862"/>
      <c r="AF162" s="797" t="s">
        <v>2004</v>
      </c>
      <c r="AG162" s="886" t="b">
        <v>0</v>
      </c>
      <c r="AH162" s="780"/>
      <c r="AI162" s="780"/>
      <c r="AJ162" s="780"/>
      <c r="AK162" s="780"/>
      <c r="AL162" s="780"/>
      <c r="AM162" s="780"/>
      <c r="AN162" s="780"/>
      <c r="AO162" s="780"/>
      <c r="AP162" s="780"/>
      <c r="AQ162" s="780"/>
      <c r="AR162" s="780"/>
      <c r="AS162" s="780"/>
      <c r="AT162" s="780"/>
      <c r="AU162" s="780"/>
      <c r="AV162" s="780"/>
      <c r="AW162" s="780"/>
    </row>
    <row r="163">
      <c r="A163" s="941"/>
      <c r="B163" s="942">
        <v>46058.0</v>
      </c>
      <c r="C163" s="943"/>
      <c r="D163" s="944"/>
      <c r="E163" s="945" t="s">
        <v>2198</v>
      </c>
      <c r="F163" s="946"/>
      <c r="G163" s="946"/>
      <c r="H163" s="946"/>
      <c r="I163" s="947">
        <v>0.00138428</v>
      </c>
      <c r="J163" s="948">
        <v>0.035</v>
      </c>
      <c r="K163" s="949">
        <f t="shared" si="22"/>
        <v>0</v>
      </c>
      <c r="L163" s="950">
        <f t="shared" si="23"/>
        <v>0</v>
      </c>
      <c r="M163" s="948">
        <v>0.0215</v>
      </c>
      <c r="N163" s="951">
        <f t="shared" si="24"/>
        <v>0.00141404202</v>
      </c>
      <c r="O163" s="949">
        <f t="shared" si="25"/>
        <v>15</v>
      </c>
      <c r="P163" s="949">
        <f t="shared" si="64"/>
        <v>0.0215</v>
      </c>
      <c r="Q163" s="952">
        <f>(H163*N163)*(1+J163)</f>
        <v>0</v>
      </c>
      <c r="R163" s="952">
        <f>(G163*N163)*(1+J163)</f>
        <v>0</v>
      </c>
      <c r="S163" s="953"/>
      <c r="T163" s="949">
        <v>0.06</v>
      </c>
      <c r="U163" s="954"/>
      <c r="V163" s="949"/>
      <c r="W163" s="953"/>
      <c r="X163" s="949">
        <f t="shared" si="7"/>
        <v>0</v>
      </c>
      <c r="Y163" s="955"/>
      <c r="Z163" s="953" t="str">
        <f t="shared" si="8"/>
        <v/>
      </c>
      <c r="AA163" s="949">
        <f t="shared" si="9"/>
        <v>0</v>
      </c>
      <c r="AB163" s="955" t="s">
        <v>2003</v>
      </c>
      <c r="AC163" s="949">
        <f t="shared" si="10"/>
        <v>0</v>
      </c>
      <c r="AD163" s="953">
        <f t="shared" si="11"/>
        <v>0</v>
      </c>
      <c r="AE163" s="956"/>
      <c r="AF163" s="889" t="s">
        <v>2181</v>
      </c>
      <c r="AG163" s="810" t="b">
        <v>0</v>
      </c>
      <c r="AH163" s="780"/>
      <c r="AI163" s="780"/>
      <c r="AJ163" s="780"/>
      <c r="AK163" s="780"/>
      <c r="AL163" s="780"/>
      <c r="AM163" s="780"/>
      <c r="AN163" s="780"/>
      <c r="AO163" s="780"/>
      <c r="AP163" s="780"/>
      <c r="AQ163" s="780"/>
      <c r="AR163" s="780"/>
      <c r="AS163" s="780"/>
      <c r="AT163" s="780"/>
      <c r="AU163" s="780"/>
      <c r="AV163" s="780"/>
      <c r="AW163" s="780"/>
    </row>
    <row r="164">
      <c r="A164" s="852">
        <v>46029.0</v>
      </c>
      <c r="B164" s="852">
        <v>46059.0</v>
      </c>
      <c r="C164" s="957" t="s">
        <v>2038</v>
      </c>
      <c r="D164" s="854"/>
      <c r="E164" s="855" t="s">
        <v>617</v>
      </c>
      <c r="F164" s="856"/>
      <c r="G164" s="856"/>
      <c r="H164" s="856"/>
      <c r="I164" s="912">
        <v>0.00138428</v>
      </c>
      <c r="J164" s="858">
        <v>0.035</v>
      </c>
      <c r="K164" s="794">
        <f t="shared" si="22"/>
        <v>3544.6573</v>
      </c>
      <c r="L164" s="859">
        <f t="shared" si="23"/>
        <v>128.5627</v>
      </c>
      <c r="M164" s="858">
        <v>0.0215</v>
      </c>
      <c r="N164" s="860">
        <f t="shared" si="24"/>
        <v>0.00141404202</v>
      </c>
      <c r="O164" s="794">
        <f t="shared" si="25"/>
        <v>91.21013195</v>
      </c>
      <c r="P164" s="794">
        <f t="shared" ref="P164:P168" si="65">(K164*N164)+M183</f>
        <v>5.033794369</v>
      </c>
      <c r="Q164" s="861">
        <v>4825.28</v>
      </c>
      <c r="R164" s="861">
        <f>2785.96+887.26</f>
        <v>3673.22</v>
      </c>
      <c r="S164" s="913"/>
      <c r="T164" s="794">
        <v>0.06</v>
      </c>
      <c r="U164" s="914"/>
      <c r="V164" s="794"/>
      <c r="W164" s="913"/>
      <c r="X164" s="794">
        <f t="shared" si="7"/>
        <v>1152.06</v>
      </c>
      <c r="Y164" s="795"/>
      <c r="Z164" s="792" t="str">
        <f t="shared" si="8"/>
        <v/>
      </c>
      <c r="AA164" s="794">
        <f t="shared" si="9"/>
        <v>1152.06</v>
      </c>
      <c r="AB164" s="795" t="s">
        <v>2003</v>
      </c>
      <c r="AC164" s="787">
        <f t="shared" si="10"/>
        <v>230.412</v>
      </c>
      <c r="AD164" s="792">
        <f t="shared" si="11"/>
        <v>921.648</v>
      </c>
      <c r="AE164" s="862"/>
      <c r="AF164" s="797" t="s">
        <v>2004</v>
      </c>
      <c r="AG164" s="886" t="b">
        <v>0</v>
      </c>
      <c r="AH164" s="780"/>
      <c r="AI164" s="780"/>
      <c r="AJ164" s="780"/>
      <c r="AK164" s="780"/>
      <c r="AL164" s="780"/>
      <c r="AM164" s="780"/>
      <c r="AN164" s="780"/>
      <c r="AO164" s="780"/>
      <c r="AP164" s="780"/>
      <c r="AQ164" s="780"/>
      <c r="AR164" s="780"/>
      <c r="AS164" s="780"/>
      <c r="AT164" s="780"/>
      <c r="AU164" s="780"/>
      <c r="AV164" s="780"/>
      <c r="AW164" s="780"/>
    </row>
    <row r="165">
      <c r="A165" s="852">
        <v>46040.0</v>
      </c>
      <c r="B165" s="852">
        <v>46060.0</v>
      </c>
      <c r="C165" s="853" t="str">
        <f t="shared" ref="C165:C217" si="66">TEXT(B165,"mmm")</f>
        <v>fev.</v>
      </c>
      <c r="D165" s="880"/>
      <c r="E165" s="881" t="s">
        <v>2199</v>
      </c>
      <c r="F165" s="856"/>
      <c r="G165" s="856"/>
      <c r="H165" s="856"/>
      <c r="I165" s="912">
        <v>0.00138428</v>
      </c>
      <c r="J165" s="858">
        <v>0.035</v>
      </c>
      <c r="K165" s="794">
        <f t="shared" si="22"/>
        <v>0</v>
      </c>
      <c r="L165" s="859">
        <f t="shared" si="23"/>
        <v>0</v>
      </c>
      <c r="M165" s="858">
        <v>0.0215</v>
      </c>
      <c r="N165" s="860">
        <f t="shared" si="24"/>
        <v>0.00141404202</v>
      </c>
      <c r="O165" s="794">
        <f t="shared" si="25"/>
        <v>15</v>
      </c>
      <c r="P165" s="794">
        <f t="shared" si="65"/>
        <v>0.0215</v>
      </c>
      <c r="Q165" s="861">
        <v>431.54</v>
      </c>
      <c r="R165" s="882">
        <f>(G165*N165)*(1+J165)</f>
        <v>0</v>
      </c>
      <c r="S165" s="913"/>
      <c r="T165" s="794">
        <v>0.06</v>
      </c>
      <c r="U165" s="914"/>
      <c r="V165" s="794"/>
      <c r="W165" s="913"/>
      <c r="X165" s="794">
        <f t="shared" si="7"/>
        <v>431.54</v>
      </c>
      <c r="Y165" s="795"/>
      <c r="Z165" s="792" t="str">
        <f t="shared" si="8"/>
        <v/>
      </c>
      <c r="AA165" s="794">
        <f t="shared" si="9"/>
        <v>431.54</v>
      </c>
      <c r="AB165" s="795" t="s">
        <v>2003</v>
      </c>
      <c r="AC165" s="787">
        <f t="shared" si="10"/>
        <v>86.308</v>
      </c>
      <c r="AD165" s="792">
        <f t="shared" si="11"/>
        <v>345.232</v>
      </c>
      <c r="AE165" s="862"/>
      <c r="AF165" s="797" t="s">
        <v>2181</v>
      </c>
      <c r="AG165" s="886" t="b">
        <v>0</v>
      </c>
      <c r="AH165" s="780"/>
      <c r="AI165" s="780"/>
      <c r="AJ165" s="780"/>
      <c r="AK165" s="780"/>
      <c r="AL165" s="780"/>
      <c r="AM165" s="780"/>
      <c r="AN165" s="780"/>
      <c r="AO165" s="780"/>
      <c r="AP165" s="780"/>
      <c r="AQ165" s="780"/>
      <c r="AR165" s="780"/>
      <c r="AS165" s="780"/>
      <c r="AT165" s="780"/>
      <c r="AU165" s="780"/>
      <c r="AV165" s="780"/>
      <c r="AW165" s="780"/>
    </row>
    <row r="166">
      <c r="A166" s="890"/>
      <c r="B166" s="852">
        <v>46062.0</v>
      </c>
      <c r="C166" s="853" t="str">
        <f t="shared" si="66"/>
        <v>fev.</v>
      </c>
      <c r="D166" s="854"/>
      <c r="E166" s="855" t="s">
        <v>2200</v>
      </c>
      <c r="F166" s="856"/>
      <c r="G166" s="856"/>
      <c r="H166" s="856"/>
      <c r="I166" s="912">
        <v>0.00138428</v>
      </c>
      <c r="J166" s="858">
        <v>0.035</v>
      </c>
      <c r="K166" s="794">
        <f t="shared" si="22"/>
        <v>1140.85195</v>
      </c>
      <c r="L166" s="859">
        <f t="shared" si="23"/>
        <v>41.37805</v>
      </c>
      <c r="M166" s="858">
        <v>0.0215</v>
      </c>
      <c r="N166" s="860">
        <f t="shared" si="24"/>
        <v>0.00141404202</v>
      </c>
      <c r="O166" s="794">
        <f t="shared" si="25"/>
        <v>39.52831693</v>
      </c>
      <c r="P166" s="794">
        <f t="shared" si="65"/>
        <v>1.634712596</v>
      </c>
      <c r="Q166" s="861">
        <v>1711.12</v>
      </c>
      <c r="R166" s="861">
        <v>1182.23</v>
      </c>
      <c r="S166" s="913"/>
      <c r="T166" s="794">
        <v>0.06</v>
      </c>
      <c r="U166" s="914"/>
      <c r="V166" s="794"/>
      <c r="W166" s="913"/>
      <c r="X166" s="794">
        <f t="shared" si="7"/>
        <v>528.89</v>
      </c>
      <c r="Y166" s="795"/>
      <c r="Z166" s="792" t="str">
        <f t="shared" si="8"/>
        <v/>
      </c>
      <c r="AA166" s="794">
        <f t="shared" si="9"/>
        <v>528.89</v>
      </c>
      <c r="AB166" s="795" t="s">
        <v>2003</v>
      </c>
      <c r="AC166" s="787">
        <f t="shared" si="10"/>
        <v>105.778</v>
      </c>
      <c r="AD166" s="792">
        <f t="shared" si="11"/>
        <v>423.112</v>
      </c>
      <c r="AE166" s="862"/>
      <c r="AF166" s="797" t="s">
        <v>2004</v>
      </c>
      <c r="AG166" s="886" t="b">
        <v>0</v>
      </c>
      <c r="AH166" s="780"/>
      <c r="AI166" s="780"/>
      <c r="AJ166" s="780"/>
      <c r="AK166" s="780"/>
      <c r="AL166" s="780"/>
      <c r="AM166" s="780"/>
      <c r="AN166" s="780"/>
      <c r="AO166" s="780"/>
      <c r="AP166" s="780"/>
      <c r="AQ166" s="780"/>
      <c r="AR166" s="780"/>
      <c r="AS166" s="780"/>
      <c r="AT166" s="780"/>
      <c r="AU166" s="780"/>
      <c r="AV166" s="780"/>
      <c r="AW166" s="780"/>
    </row>
    <row r="167">
      <c r="A167" s="852">
        <v>46045.0</v>
      </c>
      <c r="B167" s="852">
        <v>46064.0</v>
      </c>
      <c r="C167" s="853" t="str">
        <f t="shared" si="66"/>
        <v>fev.</v>
      </c>
      <c r="D167" s="880"/>
      <c r="E167" s="881" t="s">
        <v>2201</v>
      </c>
      <c r="F167" s="856"/>
      <c r="G167" s="856"/>
      <c r="H167" s="856"/>
      <c r="I167" s="912">
        <v>0.00138428</v>
      </c>
      <c r="J167" s="858">
        <v>0.035</v>
      </c>
      <c r="K167" s="794">
        <f t="shared" si="22"/>
        <v>0</v>
      </c>
      <c r="L167" s="859">
        <f t="shared" si="23"/>
        <v>0</v>
      </c>
      <c r="M167" s="858">
        <v>0.0215</v>
      </c>
      <c r="N167" s="860">
        <f t="shared" si="24"/>
        <v>0.00141404202</v>
      </c>
      <c r="O167" s="794">
        <f t="shared" si="25"/>
        <v>15</v>
      </c>
      <c r="P167" s="794">
        <f t="shared" si="65"/>
        <v>0.0215</v>
      </c>
      <c r="Q167" s="861">
        <v>571.79</v>
      </c>
      <c r="R167" s="882">
        <f>(G167*N167)*(1+J167)</f>
        <v>0</v>
      </c>
      <c r="S167" s="913">
        <v>455.43</v>
      </c>
      <c r="T167" s="794">
        <v>0.06</v>
      </c>
      <c r="U167" s="914"/>
      <c r="V167" s="794"/>
      <c r="W167" s="913"/>
      <c r="X167" s="794">
        <f t="shared" si="7"/>
        <v>116.36</v>
      </c>
      <c r="Y167" s="795"/>
      <c r="Z167" s="792" t="str">
        <f t="shared" si="8"/>
        <v/>
      </c>
      <c r="AA167" s="794">
        <f t="shared" si="9"/>
        <v>116.36</v>
      </c>
      <c r="AB167" s="795" t="s">
        <v>2003</v>
      </c>
      <c r="AC167" s="787">
        <f t="shared" si="10"/>
        <v>23.272</v>
      </c>
      <c r="AD167" s="792">
        <f t="shared" si="11"/>
        <v>93.088</v>
      </c>
      <c r="AE167" s="862"/>
      <c r="AF167" s="797" t="s">
        <v>2181</v>
      </c>
      <c r="AG167" s="886" t="b">
        <v>0</v>
      </c>
      <c r="AH167" s="780"/>
      <c r="AI167" s="780"/>
      <c r="AJ167" s="780"/>
      <c r="AK167" s="780"/>
      <c r="AL167" s="780"/>
      <c r="AM167" s="780"/>
      <c r="AN167" s="780"/>
      <c r="AO167" s="780"/>
      <c r="AP167" s="780"/>
      <c r="AQ167" s="780"/>
      <c r="AR167" s="780"/>
      <c r="AS167" s="780"/>
      <c r="AT167" s="780"/>
      <c r="AU167" s="780"/>
      <c r="AV167" s="780"/>
      <c r="AW167" s="780"/>
    </row>
    <row r="168">
      <c r="A168" s="852">
        <v>45673.0</v>
      </c>
      <c r="B168" s="852">
        <v>46065.0</v>
      </c>
      <c r="C168" s="853" t="str">
        <f t="shared" si="66"/>
        <v>fev.</v>
      </c>
      <c r="D168" s="854"/>
      <c r="E168" s="855" t="s">
        <v>2202</v>
      </c>
      <c r="F168" s="856"/>
      <c r="G168" s="856"/>
      <c r="H168" s="856"/>
      <c r="I168" s="912">
        <v>0.00138428</v>
      </c>
      <c r="J168" s="858">
        <v>0.035</v>
      </c>
      <c r="K168" s="794">
        <f t="shared" si="22"/>
        <v>1159.45715</v>
      </c>
      <c r="L168" s="859">
        <f t="shared" si="23"/>
        <v>42.05285</v>
      </c>
      <c r="M168" s="858">
        <v>0.0215</v>
      </c>
      <c r="N168" s="860">
        <f t="shared" si="24"/>
        <v>0.00141404202</v>
      </c>
      <c r="O168" s="794">
        <f t="shared" si="25"/>
        <v>39.92832873</v>
      </c>
      <c r="P168" s="794">
        <f t="shared" si="65"/>
        <v>1.66102113</v>
      </c>
      <c r="Q168" s="861">
        <v>1604.0</v>
      </c>
      <c r="R168" s="861">
        <v>1201.51</v>
      </c>
      <c r="S168" s="913">
        <f>1604+564.14</f>
        <v>2168.14</v>
      </c>
      <c r="T168" s="794">
        <v>0.06</v>
      </c>
      <c r="U168" s="914"/>
      <c r="V168" s="794"/>
      <c r="W168" s="913"/>
      <c r="X168" s="794">
        <f t="shared" si="7"/>
        <v>-1765.65</v>
      </c>
      <c r="Y168" s="795"/>
      <c r="Z168" s="792" t="str">
        <f t="shared" si="8"/>
        <v/>
      </c>
      <c r="AA168" s="794">
        <f t="shared" si="9"/>
        <v>-1765.65</v>
      </c>
      <c r="AB168" s="795" t="s">
        <v>2003</v>
      </c>
      <c r="AC168" s="787">
        <f t="shared" si="10"/>
        <v>-353.13</v>
      </c>
      <c r="AD168" s="792">
        <f t="shared" si="11"/>
        <v>-1412.52</v>
      </c>
      <c r="AE168" s="884" t="s">
        <v>2203</v>
      </c>
      <c r="AF168" s="797" t="s">
        <v>2155</v>
      </c>
      <c r="AG168" s="886" t="b">
        <v>0</v>
      </c>
      <c r="AH168" s="780"/>
      <c r="AI168" s="780"/>
      <c r="AJ168" s="780"/>
      <c r="AK168" s="780"/>
      <c r="AL168" s="780"/>
      <c r="AM168" s="780"/>
      <c r="AN168" s="780"/>
      <c r="AO168" s="780"/>
      <c r="AP168" s="780"/>
      <c r="AQ168" s="780"/>
      <c r="AR168" s="780"/>
      <c r="AS168" s="780"/>
      <c r="AT168" s="780"/>
      <c r="AU168" s="780"/>
      <c r="AV168" s="780"/>
      <c r="AW168" s="780"/>
    </row>
    <row r="169">
      <c r="A169" s="852">
        <v>46038.0</v>
      </c>
      <c r="B169" s="852">
        <v>46067.0</v>
      </c>
      <c r="C169" s="853" t="str">
        <f t="shared" si="66"/>
        <v>fev.</v>
      </c>
      <c r="D169" s="854"/>
      <c r="E169" s="855" t="s">
        <v>2204</v>
      </c>
      <c r="F169" s="856"/>
      <c r="G169" s="856"/>
      <c r="H169" s="856"/>
      <c r="I169" s="912">
        <v>0.00138428</v>
      </c>
      <c r="J169" s="858">
        <v>0.035</v>
      </c>
      <c r="K169" s="794">
        <f t="shared" si="22"/>
        <v>0</v>
      </c>
      <c r="L169" s="859">
        <f t="shared" si="23"/>
        <v>0</v>
      </c>
      <c r="M169" s="858">
        <v>0.0215</v>
      </c>
      <c r="N169" s="860">
        <f t="shared" si="24"/>
        <v>0.00141404202</v>
      </c>
      <c r="O169" s="794">
        <f t="shared" si="25"/>
        <v>15</v>
      </c>
      <c r="P169" s="794">
        <f t="shared" ref="P169:P187" si="67">(K169*N169)+M189</f>
        <v>0.0215</v>
      </c>
      <c r="Q169" s="861">
        <v>1684.34</v>
      </c>
      <c r="R169" s="882">
        <f>(G169*N169)*(1+J169)</f>
        <v>0</v>
      </c>
      <c r="S169" s="913"/>
      <c r="T169" s="794">
        <v>0.06</v>
      </c>
      <c r="U169" s="914"/>
      <c r="V169" s="794"/>
      <c r="W169" s="913"/>
      <c r="X169" s="794">
        <f t="shared" si="7"/>
        <v>1684.34</v>
      </c>
      <c r="Y169" s="795"/>
      <c r="Z169" s="792" t="str">
        <f t="shared" si="8"/>
        <v/>
      </c>
      <c r="AA169" s="794">
        <f t="shared" si="9"/>
        <v>1684.34</v>
      </c>
      <c r="AB169" s="795" t="s">
        <v>2003</v>
      </c>
      <c r="AC169" s="787">
        <f t="shared" si="10"/>
        <v>336.868</v>
      </c>
      <c r="AD169" s="792">
        <f t="shared" si="11"/>
        <v>1347.472</v>
      </c>
      <c r="AE169" s="862"/>
      <c r="AF169" s="797" t="s">
        <v>2181</v>
      </c>
      <c r="AG169" s="886" t="b">
        <v>0</v>
      </c>
      <c r="AH169" s="780"/>
      <c r="AI169" s="780"/>
      <c r="AJ169" s="780"/>
      <c r="AK169" s="780"/>
      <c r="AL169" s="780"/>
      <c r="AM169" s="780"/>
      <c r="AN169" s="780"/>
      <c r="AO169" s="780"/>
      <c r="AP169" s="780"/>
      <c r="AQ169" s="780"/>
      <c r="AR169" s="780"/>
      <c r="AS169" s="780"/>
      <c r="AT169" s="780"/>
      <c r="AU169" s="780"/>
      <c r="AV169" s="780"/>
      <c r="AW169" s="780"/>
    </row>
    <row r="170">
      <c r="A170" s="852">
        <v>46037.0</v>
      </c>
      <c r="B170" s="852">
        <v>46068.0</v>
      </c>
      <c r="C170" s="853" t="str">
        <f t="shared" si="66"/>
        <v>fev.</v>
      </c>
      <c r="D170" s="880"/>
      <c r="E170" s="881" t="s">
        <v>684</v>
      </c>
      <c r="F170" s="856"/>
      <c r="G170" s="856"/>
      <c r="H170" s="856"/>
      <c r="I170" s="912">
        <v>0.00138428</v>
      </c>
      <c r="J170" s="858">
        <v>0.035</v>
      </c>
      <c r="K170" s="794">
        <f t="shared" si="22"/>
        <v>1998.3027</v>
      </c>
      <c r="L170" s="859">
        <f t="shared" si="23"/>
        <v>72.4773</v>
      </c>
      <c r="M170" s="858">
        <v>0.0215</v>
      </c>
      <c r="N170" s="860">
        <f t="shared" si="24"/>
        <v>0.00141404202</v>
      </c>
      <c r="O170" s="794">
        <f t="shared" si="25"/>
        <v>57.96350805</v>
      </c>
      <c r="P170" s="794">
        <f t="shared" si="67"/>
        <v>2.847183986</v>
      </c>
      <c r="Q170" s="861">
        <v>3218.76</v>
      </c>
      <c r="R170" s="882">
        <f>1199.11+685.65+186.02</f>
        <v>2070.78</v>
      </c>
      <c r="S170" s="913"/>
      <c r="T170" s="794">
        <v>0.06</v>
      </c>
      <c r="U170" s="914"/>
      <c r="V170" s="794"/>
      <c r="W170" s="913"/>
      <c r="X170" s="794">
        <f t="shared" si="7"/>
        <v>1147.98</v>
      </c>
      <c r="Y170" s="795"/>
      <c r="Z170" s="792" t="str">
        <f t="shared" si="8"/>
        <v/>
      </c>
      <c r="AA170" s="794">
        <f t="shared" si="9"/>
        <v>1147.98</v>
      </c>
      <c r="AB170" s="795" t="s">
        <v>2003</v>
      </c>
      <c r="AC170" s="787">
        <f t="shared" si="10"/>
        <v>229.596</v>
      </c>
      <c r="AD170" s="792">
        <f t="shared" si="11"/>
        <v>918.384</v>
      </c>
      <c r="AE170" s="862"/>
      <c r="AF170" s="797" t="s">
        <v>2004</v>
      </c>
      <c r="AG170" s="886" t="b">
        <v>0</v>
      </c>
      <c r="AH170" s="780"/>
      <c r="AI170" s="780"/>
      <c r="AJ170" s="780"/>
      <c r="AK170" s="780"/>
      <c r="AL170" s="780"/>
      <c r="AM170" s="780"/>
      <c r="AN170" s="780"/>
      <c r="AO170" s="780"/>
      <c r="AP170" s="780"/>
      <c r="AQ170" s="780"/>
      <c r="AR170" s="780"/>
      <c r="AS170" s="780"/>
      <c r="AT170" s="780"/>
      <c r="AU170" s="780"/>
      <c r="AV170" s="780"/>
      <c r="AW170" s="780"/>
    </row>
    <row r="171">
      <c r="A171" s="852">
        <v>46038.0</v>
      </c>
      <c r="B171" s="852">
        <v>46068.0</v>
      </c>
      <c r="C171" s="853" t="str">
        <f t="shared" si="66"/>
        <v>fev.</v>
      </c>
      <c r="D171" s="854"/>
      <c r="E171" s="855" t="s">
        <v>2205</v>
      </c>
      <c r="F171" s="856"/>
      <c r="G171" s="856"/>
      <c r="H171" s="856"/>
      <c r="I171" s="912">
        <v>0.00138428</v>
      </c>
      <c r="J171" s="858">
        <v>0.035</v>
      </c>
      <c r="K171" s="794">
        <f t="shared" si="22"/>
        <v>0</v>
      </c>
      <c r="L171" s="859">
        <f t="shared" si="23"/>
        <v>0</v>
      </c>
      <c r="M171" s="858">
        <v>0.0215</v>
      </c>
      <c r="N171" s="860">
        <f t="shared" si="24"/>
        <v>0.00141404202</v>
      </c>
      <c r="O171" s="794">
        <f t="shared" si="25"/>
        <v>15</v>
      </c>
      <c r="P171" s="794">
        <f t="shared" si="67"/>
        <v>0.0215</v>
      </c>
      <c r="Q171" s="861">
        <v>233.88</v>
      </c>
      <c r="R171" s="882">
        <f t="shared" ref="R171:R176" si="68">(G171*N171)*(1+J171)</f>
        <v>0</v>
      </c>
      <c r="S171" s="913"/>
      <c r="T171" s="794">
        <v>0.06</v>
      </c>
      <c r="U171" s="914"/>
      <c r="V171" s="794"/>
      <c r="W171" s="913"/>
      <c r="X171" s="794">
        <f t="shared" si="7"/>
        <v>233.88</v>
      </c>
      <c r="Y171" s="795"/>
      <c r="Z171" s="792" t="str">
        <f t="shared" si="8"/>
        <v/>
      </c>
      <c r="AA171" s="794">
        <f t="shared" si="9"/>
        <v>233.88</v>
      </c>
      <c r="AB171" s="795" t="s">
        <v>2003</v>
      </c>
      <c r="AC171" s="787">
        <f t="shared" si="10"/>
        <v>46.776</v>
      </c>
      <c r="AD171" s="792">
        <f t="shared" si="11"/>
        <v>187.104</v>
      </c>
      <c r="AE171" s="884" t="s">
        <v>2206</v>
      </c>
      <c r="AF171" s="797" t="s">
        <v>2004</v>
      </c>
      <c r="AG171" s="886" t="b">
        <v>0</v>
      </c>
      <c r="AH171" s="780"/>
      <c r="AI171" s="780"/>
      <c r="AJ171" s="780"/>
      <c r="AK171" s="780"/>
      <c r="AL171" s="780"/>
      <c r="AM171" s="780"/>
      <c r="AN171" s="780"/>
      <c r="AO171" s="780"/>
      <c r="AP171" s="780"/>
      <c r="AQ171" s="780"/>
      <c r="AR171" s="780"/>
      <c r="AS171" s="780"/>
      <c r="AT171" s="780"/>
      <c r="AU171" s="780"/>
      <c r="AV171" s="780"/>
      <c r="AW171" s="780"/>
    </row>
    <row r="172">
      <c r="A172" s="890"/>
      <c r="B172" s="852">
        <v>46068.0</v>
      </c>
      <c r="C172" s="853" t="str">
        <f t="shared" si="66"/>
        <v>fev.</v>
      </c>
      <c r="D172" s="880"/>
      <c r="E172" s="881" t="s">
        <v>2207</v>
      </c>
      <c r="F172" s="856"/>
      <c r="G172" s="856"/>
      <c r="H172" s="856"/>
      <c r="I172" s="912">
        <v>0.00138428</v>
      </c>
      <c r="J172" s="858">
        <v>0.035</v>
      </c>
      <c r="K172" s="794">
        <f t="shared" si="22"/>
        <v>0</v>
      </c>
      <c r="L172" s="859">
        <f t="shared" si="23"/>
        <v>0</v>
      </c>
      <c r="M172" s="858">
        <v>0.0215</v>
      </c>
      <c r="N172" s="860">
        <f t="shared" si="24"/>
        <v>0.00141404202</v>
      </c>
      <c r="O172" s="794">
        <f t="shared" si="25"/>
        <v>15</v>
      </c>
      <c r="P172" s="794">
        <f t="shared" si="67"/>
        <v>0.0215</v>
      </c>
      <c r="Q172" s="882">
        <f>(H172*N172)*(1+J172)</f>
        <v>0</v>
      </c>
      <c r="R172" s="882">
        <f t="shared" si="68"/>
        <v>0</v>
      </c>
      <c r="S172" s="913"/>
      <c r="T172" s="794">
        <v>0.06</v>
      </c>
      <c r="U172" s="914"/>
      <c r="V172" s="794"/>
      <c r="W172" s="913"/>
      <c r="X172" s="794">
        <f t="shared" si="7"/>
        <v>0</v>
      </c>
      <c r="Y172" s="795"/>
      <c r="Z172" s="792" t="str">
        <f t="shared" si="8"/>
        <v/>
      </c>
      <c r="AA172" s="794">
        <f t="shared" si="9"/>
        <v>0</v>
      </c>
      <c r="AB172" s="795" t="s">
        <v>2003</v>
      </c>
      <c r="AC172" s="787">
        <f t="shared" si="10"/>
        <v>0</v>
      </c>
      <c r="AD172" s="792">
        <f t="shared" si="11"/>
        <v>0</v>
      </c>
      <c r="AE172" s="958"/>
      <c r="AF172" s="959" t="s">
        <v>2181</v>
      </c>
      <c r="AG172" s="960" t="b">
        <v>0</v>
      </c>
      <c r="AH172" s="780"/>
      <c r="AI172" s="780"/>
      <c r="AJ172" s="780"/>
      <c r="AK172" s="780"/>
      <c r="AL172" s="780"/>
      <c r="AM172" s="780"/>
      <c r="AN172" s="780"/>
      <c r="AO172" s="780"/>
      <c r="AP172" s="780"/>
      <c r="AQ172" s="780"/>
      <c r="AR172" s="780"/>
      <c r="AS172" s="780"/>
      <c r="AT172" s="780"/>
      <c r="AU172" s="780"/>
      <c r="AV172" s="780"/>
      <c r="AW172" s="780"/>
    </row>
    <row r="173">
      <c r="A173" s="852">
        <v>46036.0</v>
      </c>
      <c r="B173" s="852">
        <v>46068.0</v>
      </c>
      <c r="C173" s="853" t="str">
        <f t="shared" si="66"/>
        <v>fev.</v>
      </c>
      <c r="D173" s="854"/>
      <c r="E173" s="855" t="s">
        <v>2208</v>
      </c>
      <c r="F173" s="856"/>
      <c r="G173" s="856"/>
      <c r="H173" s="856"/>
      <c r="I173" s="912">
        <v>0.00138428</v>
      </c>
      <c r="J173" s="858">
        <v>0.035</v>
      </c>
      <c r="K173" s="794">
        <f t="shared" si="22"/>
        <v>0</v>
      </c>
      <c r="L173" s="859">
        <f t="shared" si="23"/>
        <v>0</v>
      </c>
      <c r="M173" s="858">
        <v>0.0215</v>
      </c>
      <c r="N173" s="860">
        <f t="shared" si="24"/>
        <v>0.00141404202</v>
      </c>
      <c r="O173" s="794">
        <f t="shared" si="25"/>
        <v>15</v>
      </c>
      <c r="P173" s="794">
        <f t="shared" si="67"/>
        <v>0.0215</v>
      </c>
      <c r="Q173" s="861">
        <v>1182.6</v>
      </c>
      <c r="R173" s="882">
        <f t="shared" si="68"/>
        <v>0</v>
      </c>
      <c r="S173" s="913"/>
      <c r="T173" s="794">
        <v>0.06</v>
      </c>
      <c r="U173" s="914"/>
      <c r="V173" s="794"/>
      <c r="W173" s="913"/>
      <c r="X173" s="794">
        <f t="shared" si="7"/>
        <v>1182.6</v>
      </c>
      <c r="Y173" s="795"/>
      <c r="Z173" s="792" t="str">
        <f t="shared" si="8"/>
        <v/>
      </c>
      <c r="AA173" s="794">
        <f t="shared" si="9"/>
        <v>1182.6</v>
      </c>
      <c r="AB173" s="795" t="s">
        <v>2003</v>
      </c>
      <c r="AC173" s="787">
        <f t="shared" si="10"/>
        <v>236.52</v>
      </c>
      <c r="AD173" s="792">
        <f t="shared" si="11"/>
        <v>946.08</v>
      </c>
      <c r="AE173" s="862"/>
      <c r="AF173" s="797" t="s">
        <v>2181</v>
      </c>
      <c r="AG173" s="886" t="b">
        <v>0</v>
      </c>
      <c r="AH173" s="780"/>
      <c r="AI173" s="780"/>
      <c r="AJ173" s="780"/>
      <c r="AK173" s="780"/>
      <c r="AL173" s="780"/>
      <c r="AM173" s="780"/>
      <c r="AN173" s="780"/>
      <c r="AO173" s="780"/>
      <c r="AP173" s="780"/>
      <c r="AQ173" s="780"/>
      <c r="AR173" s="780"/>
      <c r="AS173" s="780"/>
      <c r="AT173" s="780"/>
      <c r="AU173" s="780"/>
      <c r="AV173" s="780"/>
      <c r="AW173" s="780"/>
    </row>
    <row r="174">
      <c r="A174" s="961">
        <v>46039.0</v>
      </c>
      <c r="B174" s="852">
        <v>46068.0</v>
      </c>
      <c r="C174" s="962" t="str">
        <f t="shared" si="66"/>
        <v>fev.</v>
      </c>
      <c r="D174" s="963"/>
      <c r="E174" s="964" t="s">
        <v>2209</v>
      </c>
      <c r="F174" s="965"/>
      <c r="G174" s="965"/>
      <c r="H174" s="965"/>
      <c r="I174" s="966">
        <v>0.00138428</v>
      </c>
      <c r="J174" s="967">
        <v>0.035</v>
      </c>
      <c r="K174" s="936">
        <f t="shared" si="22"/>
        <v>0</v>
      </c>
      <c r="L174" s="968">
        <f t="shared" si="23"/>
        <v>0</v>
      </c>
      <c r="M174" s="967">
        <v>0.0215</v>
      </c>
      <c r="N174" s="969">
        <f t="shared" si="24"/>
        <v>0.00141404202</v>
      </c>
      <c r="O174" s="936">
        <f t="shared" si="25"/>
        <v>15</v>
      </c>
      <c r="P174" s="936">
        <f t="shared" si="67"/>
        <v>0.0215</v>
      </c>
      <c r="Q174" s="970">
        <v>2219.56</v>
      </c>
      <c r="R174" s="932">
        <f t="shared" si="68"/>
        <v>0</v>
      </c>
      <c r="S174" s="935"/>
      <c r="T174" s="936">
        <v>0.06</v>
      </c>
      <c r="U174" s="937"/>
      <c r="V174" s="936"/>
      <c r="W174" s="935"/>
      <c r="X174" s="794">
        <f t="shared" si="7"/>
        <v>2219.56</v>
      </c>
      <c r="Y174" s="795"/>
      <c r="Z174" s="792" t="str">
        <f t="shared" si="8"/>
        <v/>
      </c>
      <c r="AA174" s="794">
        <f t="shared" si="9"/>
        <v>2219.56</v>
      </c>
      <c r="AB174" s="795" t="s">
        <v>2003</v>
      </c>
      <c r="AC174" s="787">
        <f t="shared" si="10"/>
        <v>443.912</v>
      </c>
      <c r="AD174" s="792">
        <f t="shared" si="11"/>
        <v>1775.648</v>
      </c>
      <c r="AE174" s="938"/>
      <c r="AF174" s="939" t="s">
        <v>2004</v>
      </c>
      <c r="AG174" s="940" t="b">
        <v>0</v>
      </c>
      <c r="AH174" s="780"/>
      <c r="AI174" s="780"/>
      <c r="AJ174" s="780"/>
      <c r="AK174" s="780"/>
      <c r="AL174" s="780"/>
      <c r="AM174" s="780"/>
      <c r="AN174" s="780"/>
      <c r="AO174" s="780"/>
      <c r="AP174" s="780"/>
      <c r="AQ174" s="780"/>
      <c r="AR174" s="780"/>
      <c r="AS174" s="780"/>
      <c r="AT174" s="780"/>
      <c r="AU174" s="780"/>
      <c r="AV174" s="780"/>
      <c r="AW174" s="780"/>
    </row>
    <row r="175">
      <c r="A175" s="852">
        <v>46042.0</v>
      </c>
      <c r="B175" s="852">
        <v>46069.0</v>
      </c>
      <c r="C175" s="853" t="str">
        <f t="shared" si="66"/>
        <v>fev.</v>
      </c>
      <c r="D175" s="854"/>
      <c r="E175" s="855" t="s">
        <v>2210</v>
      </c>
      <c r="F175" s="856"/>
      <c r="G175" s="856"/>
      <c r="H175" s="856"/>
      <c r="I175" s="912">
        <v>0.00138428</v>
      </c>
      <c r="J175" s="858">
        <v>0.035</v>
      </c>
      <c r="K175" s="794">
        <f t="shared" si="22"/>
        <v>0</v>
      </c>
      <c r="L175" s="859">
        <f t="shared" si="23"/>
        <v>0</v>
      </c>
      <c r="M175" s="858">
        <v>0.0215</v>
      </c>
      <c r="N175" s="860">
        <f t="shared" si="24"/>
        <v>0.00141404202</v>
      </c>
      <c r="O175" s="794">
        <f t="shared" si="25"/>
        <v>15</v>
      </c>
      <c r="P175" s="794">
        <f t="shared" si="67"/>
        <v>0.0215</v>
      </c>
      <c r="Q175" s="861">
        <v>494.71</v>
      </c>
      <c r="R175" s="882">
        <f t="shared" si="68"/>
        <v>0</v>
      </c>
      <c r="S175" s="913"/>
      <c r="T175" s="794">
        <v>0.06</v>
      </c>
      <c r="U175" s="914"/>
      <c r="V175" s="794"/>
      <c r="W175" s="913"/>
      <c r="X175" s="794">
        <f t="shared" si="7"/>
        <v>494.71</v>
      </c>
      <c r="Y175" s="795"/>
      <c r="Z175" s="792" t="str">
        <f t="shared" si="8"/>
        <v/>
      </c>
      <c r="AA175" s="794">
        <f t="shared" si="9"/>
        <v>494.71</v>
      </c>
      <c r="AB175" s="795" t="s">
        <v>2003</v>
      </c>
      <c r="AC175" s="787">
        <f t="shared" si="10"/>
        <v>98.942</v>
      </c>
      <c r="AD175" s="792">
        <f t="shared" si="11"/>
        <v>395.768</v>
      </c>
      <c r="AE175" s="862"/>
      <c r="AF175" s="797" t="s">
        <v>2181</v>
      </c>
      <c r="AG175" s="886" t="b">
        <v>0</v>
      </c>
      <c r="AH175" s="780"/>
      <c r="AI175" s="780"/>
      <c r="AJ175" s="780"/>
      <c r="AK175" s="780"/>
      <c r="AL175" s="780"/>
      <c r="AM175" s="780"/>
      <c r="AN175" s="780"/>
      <c r="AO175" s="780"/>
      <c r="AP175" s="780"/>
      <c r="AQ175" s="780"/>
      <c r="AR175" s="780"/>
      <c r="AS175" s="780"/>
      <c r="AT175" s="780"/>
      <c r="AU175" s="780"/>
      <c r="AV175" s="780"/>
      <c r="AW175" s="780"/>
    </row>
    <row r="176">
      <c r="A176" s="852">
        <v>46044.0</v>
      </c>
      <c r="B176" s="852">
        <v>46070.0</v>
      </c>
      <c r="C176" s="853" t="str">
        <f t="shared" si="66"/>
        <v>fev.</v>
      </c>
      <c r="D176" s="880"/>
      <c r="E176" s="881" t="s">
        <v>697</v>
      </c>
      <c r="F176" s="856"/>
      <c r="G176" s="856"/>
      <c r="H176" s="856"/>
      <c r="I176" s="912">
        <v>0.00138428</v>
      </c>
      <c r="J176" s="858">
        <v>0.035</v>
      </c>
      <c r="K176" s="794">
        <f t="shared" si="22"/>
        <v>0</v>
      </c>
      <c r="L176" s="859">
        <f t="shared" si="23"/>
        <v>0</v>
      </c>
      <c r="M176" s="858">
        <v>0.0215</v>
      </c>
      <c r="N176" s="860">
        <f t="shared" si="24"/>
        <v>0.00141404202</v>
      </c>
      <c r="O176" s="794">
        <f t="shared" si="25"/>
        <v>15</v>
      </c>
      <c r="P176" s="794">
        <f t="shared" si="67"/>
        <v>0.0215</v>
      </c>
      <c r="Q176" s="861">
        <v>2099.55</v>
      </c>
      <c r="R176" s="882">
        <f t="shared" si="68"/>
        <v>0</v>
      </c>
      <c r="S176" s="913"/>
      <c r="T176" s="794">
        <v>0.06</v>
      </c>
      <c r="U176" s="914"/>
      <c r="V176" s="794"/>
      <c r="W176" s="913"/>
      <c r="X176" s="794">
        <f t="shared" si="7"/>
        <v>2099.55</v>
      </c>
      <c r="Y176" s="795"/>
      <c r="Z176" s="792" t="str">
        <f t="shared" si="8"/>
        <v/>
      </c>
      <c r="AA176" s="794">
        <f t="shared" si="9"/>
        <v>2099.55</v>
      </c>
      <c r="AB176" s="795" t="s">
        <v>2003</v>
      </c>
      <c r="AC176" s="787">
        <f t="shared" si="10"/>
        <v>419.91</v>
      </c>
      <c r="AD176" s="792">
        <f t="shared" si="11"/>
        <v>1679.64</v>
      </c>
      <c r="AE176" s="862"/>
      <c r="AF176" s="797" t="s">
        <v>2181</v>
      </c>
      <c r="AG176" s="886" t="b">
        <v>0</v>
      </c>
      <c r="AH176" s="780"/>
      <c r="AI176" s="780"/>
      <c r="AJ176" s="780"/>
      <c r="AK176" s="780"/>
      <c r="AL176" s="780"/>
      <c r="AM176" s="780"/>
      <c r="AN176" s="780"/>
      <c r="AO176" s="780"/>
      <c r="AP176" s="780"/>
      <c r="AQ176" s="780"/>
      <c r="AR176" s="780"/>
      <c r="AS176" s="780"/>
      <c r="AT176" s="780"/>
      <c r="AU176" s="780"/>
      <c r="AV176" s="780"/>
      <c r="AW176" s="780"/>
    </row>
    <row r="177">
      <c r="A177" s="833">
        <v>46044.0</v>
      </c>
      <c r="B177" s="833">
        <v>46070.0</v>
      </c>
      <c r="C177" s="834" t="str">
        <f t="shared" si="66"/>
        <v>fev.</v>
      </c>
      <c r="D177" s="971"/>
      <c r="E177" s="972" t="s">
        <v>702</v>
      </c>
      <c r="F177" s="973">
        <v>1510000.0</v>
      </c>
      <c r="G177" s="837">
        <f>446000+230000</f>
        <v>676000</v>
      </c>
      <c r="H177" s="837">
        <f>F177-G177</f>
        <v>834000</v>
      </c>
      <c r="I177" s="974">
        <v>0.00138428</v>
      </c>
      <c r="J177" s="839">
        <v>0.035</v>
      </c>
      <c r="K177" s="840">
        <f t="shared" si="22"/>
        <v>1061.91495</v>
      </c>
      <c r="L177" s="841">
        <f t="shared" si="23"/>
        <v>38.51505</v>
      </c>
      <c r="M177" s="839">
        <v>0.0215</v>
      </c>
      <c r="N177" s="842">
        <f t="shared" si="24"/>
        <v>0.00141404202</v>
      </c>
      <c r="O177" s="840">
        <f t="shared" si="25"/>
        <v>37.83117143</v>
      </c>
      <c r="P177" s="840">
        <f t="shared" si="67"/>
        <v>1.523092361</v>
      </c>
      <c r="Q177" s="843">
        <v>2357.52</v>
      </c>
      <c r="R177" s="844">
        <f>687.18+413.25</f>
        <v>1100.43</v>
      </c>
      <c r="S177" s="845"/>
      <c r="T177" s="840">
        <v>0.06</v>
      </c>
      <c r="U177" s="846"/>
      <c r="V177" s="840"/>
      <c r="W177" s="845"/>
      <c r="X177" s="840">
        <f t="shared" si="7"/>
        <v>1257.09</v>
      </c>
      <c r="Y177" s="836"/>
      <c r="Z177" s="845" t="str">
        <f t="shared" si="8"/>
        <v/>
      </c>
      <c r="AA177" s="840">
        <f t="shared" si="9"/>
        <v>1257.09</v>
      </c>
      <c r="AB177" s="836" t="s">
        <v>2003</v>
      </c>
      <c r="AC177" s="840">
        <f t="shared" si="10"/>
        <v>251.418</v>
      </c>
      <c r="AD177" s="845">
        <f t="shared" si="11"/>
        <v>1005.672</v>
      </c>
      <c r="AE177" s="847"/>
      <c r="AF177" s="975" t="s">
        <v>2181</v>
      </c>
      <c r="AG177" s="848" t="b">
        <v>0</v>
      </c>
      <c r="AH177" s="780"/>
      <c r="AI177" s="780"/>
      <c r="AJ177" s="780"/>
      <c r="AK177" s="780"/>
      <c r="AL177" s="780"/>
      <c r="AM177" s="780"/>
      <c r="AN177" s="780"/>
      <c r="AO177" s="780"/>
      <c r="AP177" s="780"/>
      <c r="AQ177" s="780"/>
      <c r="AR177" s="780"/>
      <c r="AS177" s="780"/>
      <c r="AT177" s="780"/>
      <c r="AU177" s="780"/>
      <c r="AV177" s="780"/>
      <c r="AW177" s="780"/>
    </row>
    <row r="178">
      <c r="A178" s="852">
        <v>46044.0</v>
      </c>
      <c r="B178" s="852">
        <v>46071.0</v>
      </c>
      <c r="C178" s="853" t="str">
        <f t="shared" si="66"/>
        <v>fev.</v>
      </c>
      <c r="D178" s="880"/>
      <c r="E178" s="881" t="s">
        <v>2211</v>
      </c>
      <c r="F178" s="856"/>
      <c r="G178" s="856"/>
      <c r="H178" s="856"/>
      <c r="I178" s="912">
        <v>0.00138428</v>
      </c>
      <c r="J178" s="858">
        <v>0.035</v>
      </c>
      <c r="K178" s="794">
        <f t="shared" si="22"/>
        <v>0</v>
      </c>
      <c r="L178" s="859">
        <f t="shared" si="23"/>
        <v>0</v>
      </c>
      <c r="M178" s="858">
        <v>0.0215</v>
      </c>
      <c r="N178" s="860">
        <f t="shared" si="24"/>
        <v>0.00141404202</v>
      </c>
      <c r="O178" s="794">
        <f t="shared" si="25"/>
        <v>15</v>
      </c>
      <c r="P178" s="794">
        <f t="shared" si="67"/>
        <v>0.0215</v>
      </c>
      <c r="Q178" s="861">
        <v>932.86</v>
      </c>
      <c r="R178" s="882">
        <f>(G178*N178)*(1+J178)</f>
        <v>0</v>
      </c>
      <c r="S178" s="913"/>
      <c r="T178" s="794">
        <v>0.06</v>
      </c>
      <c r="U178" s="914"/>
      <c r="V178" s="794"/>
      <c r="W178" s="913"/>
      <c r="X178" s="794">
        <f t="shared" si="7"/>
        <v>932.86</v>
      </c>
      <c r="Y178" s="795"/>
      <c r="Z178" s="792" t="str">
        <f t="shared" si="8"/>
        <v/>
      </c>
      <c r="AA178" s="794">
        <f t="shared" si="9"/>
        <v>932.86</v>
      </c>
      <c r="AB178" s="795" t="s">
        <v>2003</v>
      </c>
      <c r="AC178" s="787">
        <f t="shared" si="10"/>
        <v>186.572</v>
      </c>
      <c r="AD178" s="792">
        <f t="shared" si="11"/>
        <v>746.288</v>
      </c>
      <c r="AE178" s="884" t="s">
        <v>2206</v>
      </c>
      <c r="AF178" s="797" t="s">
        <v>2004</v>
      </c>
      <c r="AG178" s="886" t="b">
        <v>0</v>
      </c>
      <c r="AH178" s="780"/>
      <c r="AI178" s="780"/>
      <c r="AJ178" s="780"/>
      <c r="AK178" s="780"/>
      <c r="AL178" s="780"/>
      <c r="AM178" s="780"/>
      <c r="AN178" s="780"/>
      <c r="AO178" s="780"/>
      <c r="AP178" s="780"/>
      <c r="AQ178" s="780"/>
      <c r="AR178" s="780"/>
      <c r="AS178" s="780"/>
      <c r="AT178" s="780"/>
      <c r="AU178" s="780"/>
      <c r="AV178" s="780"/>
      <c r="AW178" s="780"/>
    </row>
    <row r="179">
      <c r="A179" s="852">
        <v>46049.0</v>
      </c>
      <c r="B179" s="852">
        <v>46071.0</v>
      </c>
      <c r="C179" s="853" t="str">
        <f t="shared" si="66"/>
        <v>fev.</v>
      </c>
      <c r="D179" s="854"/>
      <c r="E179" s="855" t="s">
        <v>2212</v>
      </c>
      <c r="F179" s="933">
        <v>900000.0</v>
      </c>
      <c r="G179" s="933">
        <v>580000.0</v>
      </c>
      <c r="H179" s="856">
        <f t="shared" ref="H179:H180" si="69">F179-G179</f>
        <v>320000</v>
      </c>
      <c r="I179" s="912">
        <v>0.00138428</v>
      </c>
      <c r="J179" s="858">
        <v>0.035</v>
      </c>
      <c r="K179" s="794">
        <f t="shared" si="22"/>
        <v>845.87075</v>
      </c>
      <c r="L179" s="859">
        <f t="shared" si="23"/>
        <v>30.67925</v>
      </c>
      <c r="M179" s="858">
        <v>0.0215</v>
      </c>
      <c r="N179" s="860">
        <f t="shared" si="24"/>
        <v>0.00141404202</v>
      </c>
      <c r="O179" s="794">
        <f t="shared" si="25"/>
        <v>33.18622113</v>
      </c>
      <c r="P179" s="794">
        <f t="shared" si="67"/>
        <v>1.217596784</v>
      </c>
      <c r="Q179" s="861">
        <v>1359.03</v>
      </c>
      <c r="R179" s="861">
        <v>876.55</v>
      </c>
      <c r="S179" s="913"/>
      <c r="T179" s="794">
        <v>0.06</v>
      </c>
      <c r="U179" s="914"/>
      <c r="V179" s="794"/>
      <c r="W179" s="913"/>
      <c r="X179" s="794">
        <f t="shared" si="7"/>
        <v>482.48</v>
      </c>
      <c r="Y179" s="881"/>
      <c r="Z179" s="913" t="str">
        <f t="shared" si="8"/>
        <v/>
      </c>
      <c r="AA179" s="794">
        <f t="shared" si="9"/>
        <v>482.48</v>
      </c>
      <c r="AB179" s="881" t="s">
        <v>2003</v>
      </c>
      <c r="AC179" s="794">
        <f t="shared" si="10"/>
        <v>96.496</v>
      </c>
      <c r="AD179" s="913">
        <f t="shared" si="11"/>
        <v>385.984</v>
      </c>
      <c r="AE179" s="862"/>
      <c r="AF179" s="797" t="s">
        <v>2181</v>
      </c>
      <c r="AG179" s="886" t="b">
        <v>0</v>
      </c>
      <c r="AH179" s="780"/>
      <c r="AI179" s="780"/>
      <c r="AJ179" s="780"/>
      <c r="AK179" s="780"/>
      <c r="AL179" s="780"/>
      <c r="AM179" s="780"/>
      <c r="AN179" s="780"/>
      <c r="AO179" s="780"/>
      <c r="AP179" s="780"/>
      <c r="AQ179" s="780"/>
      <c r="AR179" s="780"/>
      <c r="AS179" s="780"/>
      <c r="AT179" s="780"/>
      <c r="AU179" s="780"/>
      <c r="AV179" s="780"/>
      <c r="AW179" s="780"/>
    </row>
    <row r="180">
      <c r="A180" s="852">
        <v>46050.0</v>
      </c>
      <c r="B180" s="852">
        <v>46072.0</v>
      </c>
      <c r="C180" s="853" t="str">
        <f t="shared" si="66"/>
        <v>fev.</v>
      </c>
      <c r="D180" s="880"/>
      <c r="E180" s="881" t="s">
        <v>2213</v>
      </c>
      <c r="F180" s="933">
        <v>630000.0</v>
      </c>
      <c r="G180" s="933">
        <v>398000.0</v>
      </c>
      <c r="H180" s="856">
        <f t="shared" si="69"/>
        <v>232000</v>
      </c>
      <c r="I180" s="912">
        <v>0.00138428</v>
      </c>
      <c r="J180" s="858">
        <v>0.035</v>
      </c>
      <c r="K180" s="794">
        <f t="shared" si="22"/>
        <v>578.5175</v>
      </c>
      <c r="L180" s="859">
        <f t="shared" si="23"/>
        <v>20.9825</v>
      </c>
      <c r="M180" s="858">
        <v>0.0215</v>
      </c>
      <c r="N180" s="860">
        <f t="shared" si="24"/>
        <v>0.00141404202</v>
      </c>
      <c r="O180" s="794">
        <f t="shared" si="25"/>
        <v>27.43812625</v>
      </c>
      <c r="P180" s="794">
        <f t="shared" si="67"/>
        <v>0.8395480543</v>
      </c>
      <c r="Q180" s="861">
        <v>952.52</v>
      </c>
      <c r="R180" s="861">
        <v>599.5</v>
      </c>
      <c r="S180" s="913"/>
      <c r="T180" s="794">
        <v>0.06</v>
      </c>
      <c r="U180" s="914"/>
      <c r="V180" s="794"/>
      <c r="W180" s="913"/>
      <c r="X180" s="794">
        <f t="shared" si="7"/>
        <v>353.02</v>
      </c>
      <c r="Y180" s="881"/>
      <c r="Z180" s="913" t="str">
        <f t="shared" si="8"/>
        <v/>
      </c>
      <c r="AA180" s="794">
        <f t="shared" si="9"/>
        <v>353.02</v>
      </c>
      <c r="AB180" s="881" t="s">
        <v>2003</v>
      </c>
      <c r="AC180" s="794">
        <f t="shared" si="10"/>
        <v>70.604</v>
      </c>
      <c r="AD180" s="913">
        <f t="shared" si="11"/>
        <v>282.416</v>
      </c>
      <c r="AE180" s="862"/>
      <c r="AF180" s="797" t="s">
        <v>2181</v>
      </c>
      <c r="AG180" s="886" t="b">
        <v>0</v>
      </c>
      <c r="AH180" s="780"/>
      <c r="AI180" s="780"/>
      <c r="AJ180" s="780"/>
      <c r="AK180" s="780"/>
      <c r="AL180" s="780"/>
      <c r="AM180" s="780"/>
      <c r="AN180" s="780"/>
      <c r="AO180" s="780"/>
      <c r="AP180" s="780"/>
      <c r="AQ180" s="780"/>
      <c r="AR180" s="780"/>
      <c r="AS180" s="780"/>
      <c r="AT180" s="780"/>
      <c r="AU180" s="780"/>
      <c r="AV180" s="780"/>
      <c r="AW180" s="780"/>
    </row>
    <row r="181">
      <c r="A181" s="976"/>
      <c r="B181" s="977">
        <v>46078.0</v>
      </c>
      <c r="C181" s="978" t="str">
        <f t="shared" si="66"/>
        <v>fev.</v>
      </c>
      <c r="D181" s="979"/>
      <c r="E181" s="980" t="s">
        <v>2214</v>
      </c>
      <c r="F181" s="981"/>
      <c r="G181" s="981"/>
      <c r="H181" s="981"/>
      <c r="I181" s="982">
        <v>0.00138428</v>
      </c>
      <c r="J181" s="983">
        <v>0.035</v>
      </c>
      <c r="K181" s="984">
        <f t="shared" si="22"/>
        <v>0</v>
      </c>
      <c r="L181" s="985">
        <f t="shared" si="23"/>
        <v>0</v>
      </c>
      <c r="M181" s="983">
        <v>0.0215</v>
      </c>
      <c r="N181" s="986">
        <f t="shared" si="24"/>
        <v>0.00141404202</v>
      </c>
      <c r="O181" s="984">
        <f t="shared" si="25"/>
        <v>15</v>
      </c>
      <c r="P181" s="984">
        <f t="shared" si="67"/>
        <v>0.0215</v>
      </c>
      <c r="Q181" s="987">
        <v>1153.6</v>
      </c>
      <c r="R181" s="988">
        <f>(G181*N181)*(1+J181)</f>
        <v>0</v>
      </c>
      <c r="S181" s="989"/>
      <c r="T181" s="984">
        <v>0.06</v>
      </c>
      <c r="U181" s="990"/>
      <c r="V181" s="984"/>
      <c r="W181" s="989"/>
      <c r="X181" s="984">
        <f t="shared" si="7"/>
        <v>1153.6</v>
      </c>
      <c r="Y181" s="991"/>
      <c r="Z181" s="989" t="str">
        <f t="shared" si="8"/>
        <v/>
      </c>
      <c r="AA181" s="984">
        <f t="shared" si="9"/>
        <v>1153.6</v>
      </c>
      <c r="AB181" s="991" t="s">
        <v>2003</v>
      </c>
      <c r="AC181" s="984">
        <f t="shared" si="10"/>
        <v>230.72</v>
      </c>
      <c r="AD181" s="989">
        <f t="shared" si="11"/>
        <v>922.88</v>
      </c>
      <c r="AE181" s="992"/>
      <c r="AF181" s="993" t="s">
        <v>2181</v>
      </c>
      <c r="AG181" s="994" t="b">
        <v>0</v>
      </c>
      <c r="AH181" s="780"/>
      <c r="AI181" s="780"/>
      <c r="AJ181" s="780"/>
      <c r="AK181" s="780"/>
      <c r="AL181" s="780"/>
      <c r="AM181" s="780"/>
      <c r="AN181" s="780"/>
      <c r="AO181" s="780"/>
      <c r="AP181" s="780"/>
      <c r="AQ181" s="780"/>
      <c r="AR181" s="780"/>
      <c r="AS181" s="780"/>
      <c r="AT181" s="780"/>
      <c r="AU181" s="780"/>
      <c r="AV181" s="780"/>
      <c r="AW181" s="780"/>
    </row>
    <row r="182">
      <c r="A182" s="852">
        <v>46048.0</v>
      </c>
      <c r="B182" s="852">
        <v>46079.0</v>
      </c>
      <c r="C182" s="853" t="str">
        <f t="shared" si="66"/>
        <v>fev.</v>
      </c>
      <c r="D182" s="880"/>
      <c r="E182" s="881" t="s">
        <v>2215</v>
      </c>
      <c r="F182" s="856"/>
      <c r="G182" s="856"/>
      <c r="H182" s="856"/>
      <c r="I182" s="912">
        <v>0.00138428</v>
      </c>
      <c r="J182" s="858">
        <v>0.035</v>
      </c>
      <c r="K182" s="794">
        <f t="shared" si="22"/>
        <v>623.03295</v>
      </c>
      <c r="L182" s="859">
        <f t="shared" si="23"/>
        <v>22.59705</v>
      </c>
      <c r="M182" s="858">
        <v>0.0215</v>
      </c>
      <c r="N182" s="860">
        <f t="shared" si="24"/>
        <v>0.00141404202</v>
      </c>
      <c r="O182" s="794">
        <f t="shared" si="25"/>
        <v>28.39520843</v>
      </c>
      <c r="P182" s="794">
        <f t="shared" si="67"/>
        <v>0.9024947711</v>
      </c>
      <c r="Q182" s="861">
        <v>991.71</v>
      </c>
      <c r="R182" s="861">
        <v>645.63</v>
      </c>
      <c r="S182" s="913"/>
      <c r="T182" s="794">
        <v>0.06</v>
      </c>
      <c r="U182" s="914"/>
      <c r="V182" s="794"/>
      <c r="W182" s="913"/>
      <c r="X182" s="794">
        <f t="shared" si="7"/>
        <v>346.08</v>
      </c>
      <c r="Y182" s="881"/>
      <c r="Z182" s="913" t="str">
        <f t="shared" si="8"/>
        <v/>
      </c>
      <c r="AA182" s="794">
        <f t="shared" si="9"/>
        <v>346.08</v>
      </c>
      <c r="AB182" s="881" t="s">
        <v>2003</v>
      </c>
      <c r="AC182" s="794">
        <f t="shared" si="10"/>
        <v>69.216</v>
      </c>
      <c r="AD182" s="913">
        <f t="shared" si="11"/>
        <v>276.864</v>
      </c>
      <c r="AE182" s="862"/>
      <c r="AF182" s="797" t="s">
        <v>2181</v>
      </c>
      <c r="AG182" s="886" t="b">
        <v>0</v>
      </c>
      <c r="AH182" s="780"/>
      <c r="AI182" s="780"/>
      <c r="AJ182" s="780"/>
      <c r="AK182" s="780"/>
      <c r="AL182" s="780"/>
      <c r="AM182" s="780"/>
      <c r="AN182" s="780"/>
      <c r="AO182" s="780"/>
      <c r="AP182" s="780"/>
      <c r="AQ182" s="780"/>
      <c r="AR182" s="780"/>
      <c r="AS182" s="780"/>
      <c r="AT182" s="780"/>
      <c r="AU182" s="780"/>
      <c r="AV182" s="780"/>
      <c r="AW182" s="780"/>
    </row>
    <row r="183">
      <c r="A183" s="852">
        <v>46058.0</v>
      </c>
      <c r="B183" s="852">
        <v>46080.0</v>
      </c>
      <c r="C183" s="853" t="str">
        <f t="shared" si="66"/>
        <v>fev.</v>
      </c>
      <c r="D183" s="854"/>
      <c r="E183" s="855" t="s">
        <v>2216</v>
      </c>
      <c r="F183" s="856"/>
      <c r="G183" s="856"/>
      <c r="H183" s="856"/>
      <c r="I183" s="912">
        <v>0.00138428</v>
      </c>
      <c r="J183" s="858">
        <v>0.035</v>
      </c>
      <c r="K183" s="794">
        <f t="shared" si="22"/>
        <v>0</v>
      </c>
      <c r="L183" s="859">
        <f t="shared" si="23"/>
        <v>0</v>
      </c>
      <c r="M183" s="858">
        <v>0.0215</v>
      </c>
      <c r="N183" s="860">
        <f t="shared" si="24"/>
        <v>0.00141404202</v>
      </c>
      <c r="O183" s="794">
        <f t="shared" si="25"/>
        <v>15</v>
      </c>
      <c r="P183" s="794">
        <f t="shared" si="67"/>
        <v>0.0215</v>
      </c>
      <c r="Q183" s="861">
        <v>2830.47</v>
      </c>
      <c r="R183" s="882">
        <f>(G183*N183)*(1+J183)</f>
        <v>0</v>
      </c>
      <c r="S183" s="913"/>
      <c r="T183" s="794">
        <v>0.06</v>
      </c>
      <c r="U183" s="914"/>
      <c r="V183" s="794"/>
      <c r="W183" s="913"/>
      <c r="X183" s="794">
        <f t="shared" si="7"/>
        <v>2830.47</v>
      </c>
      <c r="Y183" s="881"/>
      <c r="Z183" s="913" t="str">
        <f t="shared" si="8"/>
        <v/>
      </c>
      <c r="AA183" s="794">
        <f t="shared" si="9"/>
        <v>2830.47</v>
      </c>
      <c r="AB183" s="881" t="s">
        <v>2003</v>
      </c>
      <c r="AC183" s="794">
        <f t="shared" si="10"/>
        <v>566.094</v>
      </c>
      <c r="AD183" s="913">
        <f t="shared" si="11"/>
        <v>2264.376</v>
      </c>
      <c r="AE183" s="862"/>
      <c r="AF183" s="797" t="s">
        <v>2181</v>
      </c>
      <c r="AG183" s="886" t="b">
        <v>0</v>
      </c>
      <c r="AH183" s="780"/>
      <c r="AI183" s="780"/>
      <c r="AJ183" s="780"/>
      <c r="AK183" s="780"/>
      <c r="AL183" s="780"/>
      <c r="AM183" s="780"/>
      <c r="AN183" s="780"/>
      <c r="AO183" s="780"/>
      <c r="AP183" s="780"/>
      <c r="AQ183" s="780"/>
      <c r="AR183" s="780"/>
      <c r="AS183" s="780"/>
      <c r="AT183" s="780"/>
      <c r="AU183" s="780"/>
      <c r="AV183" s="780"/>
      <c r="AW183" s="780"/>
    </row>
    <row r="184">
      <c r="A184" s="852">
        <v>46052.0</v>
      </c>
      <c r="B184" s="852">
        <v>46080.0</v>
      </c>
      <c r="C184" s="853" t="str">
        <f t="shared" si="66"/>
        <v>fev.</v>
      </c>
      <c r="D184" s="880"/>
      <c r="E184" s="881" t="s">
        <v>2217</v>
      </c>
      <c r="F184" s="856"/>
      <c r="G184" s="856"/>
      <c r="H184" s="856"/>
      <c r="I184" s="912">
        <v>0.00138428</v>
      </c>
      <c r="J184" s="858">
        <v>0.035</v>
      </c>
      <c r="K184" s="794">
        <f t="shared" si="22"/>
        <v>622.5408</v>
      </c>
      <c r="L184" s="859">
        <f t="shared" si="23"/>
        <v>22.5792</v>
      </c>
      <c r="M184" s="858">
        <v>0.0215</v>
      </c>
      <c r="N184" s="860">
        <f t="shared" si="24"/>
        <v>0.00141404202</v>
      </c>
      <c r="O184" s="794">
        <f t="shared" si="25"/>
        <v>28.3846272</v>
      </c>
      <c r="P184" s="794">
        <f t="shared" si="67"/>
        <v>0.9017988504</v>
      </c>
      <c r="Q184" s="861">
        <v>2086.61</v>
      </c>
      <c r="R184" s="861">
        <v>645.12</v>
      </c>
      <c r="S184" s="913"/>
      <c r="T184" s="794">
        <v>0.06</v>
      </c>
      <c r="U184" s="914"/>
      <c r="V184" s="794"/>
      <c r="W184" s="913"/>
      <c r="X184" s="794">
        <f t="shared" si="7"/>
        <v>1441.49</v>
      </c>
      <c r="Y184" s="881"/>
      <c r="Z184" s="913" t="str">
        <f t="shared" si="8"/>
        <v/>
      </c>
      <c r="AA184" s="794">
        <f t="shared" si="9"/>
        <v>1441.49</v>
      </c>
      <c r="AB184" s="881" t="s">
        <v>2003</v>
      </c>
      <c r="AC184" s="794">
        <f t="shared" si="10"/>
        <v>288.298</v>
      </c>
      <c r="AD184" s="913">
        <f t="shared" si="11"/>
        <v>1153.192</v>
      </c>
      <c r="AE184" s="862"/>
      <c r="AF184" s="797" t="s">
        <v>2181</v>
      </c>
      <c r="AG184" s="886" t="b">
        <v>0</v>
      </c>
      <c r="AH184" s="780"/>
      <c r="AI184" s="780"/>
      <c r="AJ184" s="780"/>
      <c r="AK184" s="780"/>
      <c r="AL184" s="780"/>
      <c r="AM184" s="780"/>
      <c r="AN184" s="780"/>
      <c r="AO184" s="780"/>
      <c r="AP184" s="780"/>
      <c r="AQ184" s="780"/>
      <c r="AR184" s="780"/>
      <c r="AS184" s="780"/>
      <c r="AT184" s="780"/>
      <c r="AU184" s="780"/>
      <c r="AV184" s="780"/>
      <c r="AW184" s="780"/>
    </row>
    <row r="185">
      <c r="A185" s="852">
        <v>46051.0</v>
      </c>
      <c r="B185" s="852">
        <v>46081.0</v>
      </c>
      <c r="C185" s="853" t="str">
        <f t="shared" si="66"/>
        <v>fev.</v>
      </c>
      <c r="D185" s="854"/>
      <c r="E185" s="855" t="s">
        <v>727</v>
      </c>
      <c r="F185" s="883"/>
      <c r="G185" s="883"/>
      <c r="H185" s="883"/>
      <c r="I185" s="912">
        <v>0.00138428</v>
      </c>
      <c r="J185" s="858">
        <v>0.035</v>
      </c>
      <c r="K185" s="794">
        <f t="shared" si="22"/>
        <v>1914.2319</v>
      </c>
      <c r="L185" s="859">
        <f t="shared" si="23"/>
        <v>69.4281</v>
      </c>
      <c r="M185" s="858">
        <v>0.0215</v>
      </c>
      <c r="N185" s="860">
        <f t="shared" si="24"/>
        <v>0.00141404202</v>
      </c>
      <c r="O185" s="794">
        <f t="shared" si="25"/>
        <v>56.15598585</v>
      </c>
      <c r="P185" s="794">
        <f t="shared" si="67"/>
        <v>2.728304343</v>
      </c>
      <c r="Q185" s="861">
        <v>6303.63</v>
      </c>
      <c r="R185" s="882">
        <f>1334.79+648.87</f>
        <v>1983.66</v>
      </c>
      <c r="S185" s="913"/>
      <c r="T185" s="794">
        <v>0.06</v>
      </c>
      <c r="U185" s="914"/>
      <c r="V185" s="794"/>
      <c r="W185" s="913"/>
      <c r="X185" s="794">
        <f t="shared" si="7"/>
        <v>4319.97</v>
      </c>
      <c r="Y185" s="881"/>
      <c r="Z185" s="913" t="str">
        <f t="shared" si="8"/>
        <v/>
      </c>
      <c r="AA185" s="794">
        <f t="shared" si="9"/>
        <v>4319.97</v>
      </c>
      <c r="AB185" s="881" t="s">
        <v>2003</v>
      </c>
      <c r="AC185" s="794">
        <f t="shared" si="10"/>
        <v>863.994</v>
      </c>
      <c r="AD185" s="913">
        <f t="shared" si="11"/>
        <v>3455.976</v>
      </c>
      <c r="AE185" s="862"/>
      <c r="AF185" s="797" t="s">
        <v>2181</v>
      </c>
      <c r="AG185" s="886" t="b">
        <v>0</v>
      </c>
      <c r="AH185" s="780"/>
      <c r="AI185" s="780"/>
      <c r="AJ185" s="780"/>
      <c r="AK185" s="780"/>
      <c r="AL185" s="780"/>
      <c r="AM185" s="780"/>
      <c r="AN185" s="780"/>
      <c r="AO185" s="780"/>
      <c r="AP185" s="780"/>
      <c r="AQ185" s="780"/>
      <c r="AR185" s="780"/>
      <c r="AS185" s="780"/>
      <c r="AT185" s="780"/>
      <c r="AU185" s="780"/>
      <c r="AV185" s="780"/>
      <c r="AW185" s="780"/>
    </row>
    <row r="186">
      <c r="A186" s="852">
        <v>46052.0</v>
      </c>
      <c r="B186" s="852">
        <v>46082.0</v>
      </c>
      <c r="C186" s="853" t="str">
        <f t="shared" si="66"/>
        <v>mar.</v>
      </c>
      <c r="D186" s="880"/>
      <c r="E186" s="881" t="s">
        <v>2218</v>
      </c>
      <c r="F186" s="856"/>
      <c r="G186" s="856"/>
      <c r="H186" s="856"/>
      <c r="I186" s="912">
        <v>0.00138428</v>
      </c>
      <c r="J186" s="858">
        <v>0.035</v>
      </c>
      <c r="K186" s="794">
        <f t="shared" si="22"/>
        <v>0</v>
      </c>
      <c r="L186" s="859">
        <f t="shared" si="23"/>
        <v>0</v>
      </c>
      <c r="M186" s="858">
        <v>0.0215</v>
      </c>
      <c r="N186" s="860">
        <f t="shared" si="24"/>
        <v>0.00141404202</v>
      </c>
      <c r="O186" s="794">
        <f t="shared" si="25"/>
        <v>15</v>
      </c>
      <c r="P186" s="794">
        <f t="shared" si="67"/>
        <v>0.0215</v>
      </c>
      <c r="Q186" s="861">
        <v>2101.21</v>
      </c>
      <c r="R186" s="882">
        <f>(G186*N186)*(1+J186)</f>
        <v>0</v>
      </c>
      <c r="S186" s="913"/>
      <c r="T186" s="794">
        <v>0.06</v>
      </c>
      <c r="U186" s="914"/>
      <c r="V186" s="794"/>
      <c r="W186" s="913"/>
      <c r="X186" s="794">
        <f t="shared" si="7"/>
        <v>2101.21</v>
      </c>
      <c r="Y186" s="881"/>
      <c r="Z186" s="913" t="str">
        <f t="shared" si="8"/>
        <v/>
      </c>
      <c r="AA186" s="794">
        <f t="shared" si="9"/>
        <v>2101.21</v>
      </c>
      <c r="AB186" s="881" t="s">
        <v>2003</v>
      </c>
      <c r="AC186" s="794">
        <f t="shared" si="10"/>
        <v>420.242</v>
      </c>
      <c r="AD186" s="913">
        <f t="shared" si="11"/>
        <v>1680.968</v>
      </c>
      <c r="AE186" s="862"/>
      <c r="AF186" s="797" t="s">
        <v>2181</v>
      </c>
      <c r="AG186" s="886" t="b">
        <v>0</v>
      </c>
      <c r="AH186" s="780"/>
      <c r="AI186" s="780"/>
      <c r="AJ186" s="780"/>
      <c r="AK186" s="780"/>
      <c r="AL186" s="780"/>
      <c r="AM186" s="780"/>
      <c r="AN186" s="780"/>
      <c r="AO186" s="780"/>
      <c r="AP186" s="780"/>
      <c r="AQ186" s="780"/>
      <c r="AR186" s="780"/>
      <c r="AS186" s="780"/>
      <c r="AT186" s="780"/>
      <c r="AU186" s="780"/>
      <c r="AV186" s="780"/>
      <c r="AW186" s="780"/>
    </row>
    <row r="187">
      <c r="A187" s="852">
        <v>46052.0</v>
      </c>
      <c r="B187" s="852">
        <v>46082.0</v>
      </c>
      <c r="C187" s="853" t="str">
        <f t="shared" si="66"/>
        <v>mar.</v>
      </c>
      <c r="D187" s="880"/>
      <c r="E187" s="881" t="s">
        <v>1964</v>
      </c>
      <c r="F187" s="856"/>
      <c r="G187" s="856"/>
      <c r="H187" s="856"/>
      <c r="I187" s="912">
        <v>0.00138428</v>
      </c>
      <c r="J187" s="858">
        <v>0.035</v>
      </c>
      <c r="K187" s="794">
        <f t="shared" si="22"/>
        <v>467.26265</v>
      </c>
      <c r="L187" s="859">
        <f t="shared" si="23"/>
        <v>16.94735</v>
      </c>
      <c r="M187" s="858">
        <v>0.0215</v>
      </c>
      <c r="N187" s="860">
        <f t="shared" si="24"/>
        <v>0.00141404202</v>
      </c>
      <c r="O187" s="794">
        <f t="shared" si="25"/>
        <v>25.04614698</v>
      </c>
      <c r="P187" s="794">
        <f t="shared" si="67"/>
        <v>0.6822290215</v>
      </c>
      <c r="Q187" s="861">
        <f>800.43+404.42</f>
        <v>1204.85</v>
      </c>
      <c r="R187" s="861">
        <v>484.21</v>
      </c>
      <c r="S187" s="913"/>
      <c r="T187" s="794">
        <v>0.06</v>
      </c>
      <c r="U187" s="914"/>
      <c r="V187" s="794"/>
      <c r="W187" s="913"/>
      <c r="X187" s="794">
        <f t="shared" si="7"/>
        <v>720.64</v>
      </c>
      <c r="Y187" s="881"/>
      <c r="Z187" s="913" t="str">
        <f t="shared" si="8"/>
        <v/>
      </c>
      <c r="AA187" s="794">
        <f t="shared" si="9"/>
        <v>720.64</v>
      </c>
      <c r="AB187" s="881" t="s">
        <v>2003</v>
      </c>
      <c r="AC187" s="794">
        <f t="shared" si="10"/>
        <v>144.128</v>
      </c>
      <c r="AD187" s="913">
        <f t="shared" si="11"/>
        <v>576.512</v>
      </c>
      <c r="AE187" s="862"/>
      <c r="AF187" s="797" t="s">
        <v>2181</v>
      </c>
      <c r="AG187" s="886" t="b">
        <v>0</v>
      </c>
      <c r="AH187" s="780"/>
      <c r="AI187" s="780"/>
      <c r="AJ187" s="780"/>
      <c r="AK187" s="780"/>
      <c r="AL187" s="780"/>
      <c r="AM187" s="780"/>
      <c r="AN187" s="780"/>
      <c r="AO187" s="780"/>
      <c r="AP187" s="780"/>
      <c r="AQ187" s="780"/>
      <c r="AR187" s="780"/>
      <c r="AS187" s="780"/>
      <c r="AT187" s="780"/>
      <c r="AU187" s="780"/>
      <c r="AV187" s="780"/>
      <c r="AW187" s="780"/>
    </row>
    <row r="188">
      <c r="A188" s="852">
        <v>46055.0</v>
      </c>
      <c r="B188" s="852">
        <v>46087.0</v>
      </c>
      <c r="C188" s="853" t="str">
        <f t="shared" si="66"/>
        <v>mar.</v>
      </c>
      <c r="D188" s="880"/>
      <c r="E188" s="881" t="s">
        <v>2219</v>
      </c>
      <c r="F188" s="856"/>
      <c r="G188" s="856"/>
      <c r="H188" s="856"/>
      <c r="I188" s="912">
        <v>0.00138428</v>
      </c>
      <c r="J188" s="858">
        <v>0.035</v>
      </c>
      <c r="K188" s="794">
        <f t="shared" si="22"/>
        <v>0</v>
      </c>
      <c r="L188" s="859">
        <f t="shared" si="23"/>
        <v>0</v>
      </c>
      <c r="M188" s="858">
        <v>0.0215</v>
      </c>
      <c r="N188" s="860">
        <f t="shared" si="24"/>
        <v>0.00141404202</v>
      </c>
      <c r="O188" s="794">
        <f t="shared" si="25"/>
        <v>15</v>
      </c>
      <c r="P188" s="794" t="str">
        <f>(K188*N188)+#REF!</f>
        <v>#REF!</v>
      </c>
      <c r="Q188" s="861">
        <v>6125.74</v>
      </c>
      <c r="R188" s="882">
        <f t="shared" ref="R188:R191" si="70">(G188*N188)*(1+J188)</f>
        <v>0</v>
      </c>
      <c r="S188" s="913"/>
      <c r="T188" s="794">
        <v>0.06</v>
      </c>
      <c r="U188" s="914"/>
      <c r="V188" s="794"/>
      <c r="W188" s="913"/>
      <c r="X188" s="794">
        <f t="shared" si="7"/>
        <v>6125.74</v>
      </c>
      <c r="Y188" s="881"/>
      <c r="Z188" s="913" t="str">
        <f t="shared" si="8"/>
        <v/>
      </c>
      <c r="AA188" s="794">
        <f t="shared" si="9"/>
        <v>6125.74</v>
      </c>
      <c r="AB188" s="881" t="s">
        <v>2003</v>
      </c>
      <c r="AC188" s="794">
        <f t="shared" si="10"/>
        <v>1225.148</v>
      </c>
      <c r="AD188" s="913">
        <f t="shared" si="11"/>
        <v>4900.592</v>
      </c>
      <c r="AE188" s="862"/>
      <c r="AF188" s="797" t="s">
        <v>2181</v>
      </c>
      <c r="AG188" s="886" t="b">
        <v>0</v>
      </c>
      <c r="AH188" s="906"/>
      <c r="AI188" s="906"/>
      <c r="AJ188" s="906"/>
      <c r="AK188" s="906"/>
      <c r="AL188" s="906"/>
      <c r="AM188" s="906"/>
      <c r="AN188" s="906"/>
      <c r="AO188" s="906"/>
      <c r="AP188" s="906"/>
      <c r="AQ188" s="906"/>
      <c r="AR188" s="906"/>
      <c r="AS188" s="906"/>
      <c r="AT188" s="906"/>
      <c r="AU188" s="906"/>
      <c r="AV188" s="906"/>
      <c r="AW188" s="906"/>
    </row>
    <row r="189">
      <c r="A189" s="852">
        <v>46052.0</v>
      </c>
      <c r="B189" s="852">
        <v>46092.0</v>
      </c>
      <c r="C189" s="853" t="str">
        <f t="shared" si="66"/>
        <v>mar.</v>
      </c>
      <c r="D189" s="911"/>
      <c r="E189" s="855" t="s">
        <v>2220</v>
      </c>
      <c r="F189" s="856"/>
      <c r="G189" s="856"/>
      <c r="H189" s="856"/>
      <c r="I189" s="912">
        <v>0.00138428</v>
      </c>
      <c r="J189" s="858">
        <v>0.035</v>
      </c>
      <c r="K189" s="794">
        <f t="shared" si="22"/>
        <v>0</v>
      </c>
      <c r="L189" s="859">
        <f t="shared" si="23"/>
        <v>0</v>
      </c>
      <c r="M189" s="858">
        <v>0.0215</v>
      </c>
      <c r="N189" s="860">
        <f t="shared" si="24"/>
        <v>0.00141404202</v>
      </c>
      <c r="O189" s="794">
        <f t="shared" si="25"/>
        <v>15</v>
      </c>
      <c r="P189" s="794">
        <f t="shared" ref="P189:P192" si="71">(K189*N189)+M208</f>
        <v>0.0215</v>
      </c>
      <c r="Q189" s="861">
        <v>904.15</v>
      </c>
      <c r="R189" s="882">
        <f t="shared" si="70"/>
        <v>0</v>
      </c>
      <c r="S189" s="913"/>
      <c r="T189" s="794">
        <v>0.06</v>
      </c>
      <c r="U189" s="914"/>
      <c r="V189" s="794"/>
      <c r="W189" s="913"/>
      <c r="X189" s="794">
        <f t="shared" si="7"/>
        <v>904.15</v>
      </c>
      <c r="Y189" s="881" t="s">
        <v>2003</v>
      </c>
      <c r="Z189" s="913">
        <f t="shared" si="8"/>
        <v>90.415</v>
      </c>
      <c r="AA189" s="794">
        <f t="shared" si="9"/>
        <v>813.735</v>
      </c>
      <c r="AB189" s="881" t="s">
        <v>2003</v>
      </c>
      <c r="AC189" s="794">
        <f t="shared" si="10"/>
        <v>162.747</v>
      </c>
      <c r="AD189" s="913">
        <f t="shared" si="11"/>
        <v>650.988</v>
      </c>
      <c r="AE189" s="862"/>
      <c r="AF189" s="797" t="s">
        <v>2181</v>
      </c>
      <c r="AG189" s="886" t="b">
        <v>0</v>
      </c>
      <c r="AH189" s="780"/>
      <c r="AI189" s="780"/>
      <c r="AJ189" s="780"/>
      <c r="AK189" s="780"/>
      <c r="AL189" s="780"/>
      <c r="AM189" s="780"/>
      <c r="AN189" s="780"/>
      <c r="AO189" s="780"/>
      <c r="AP189" s="780"/>
      <c r="AQ189" s="780"/>
      <c r="AR189" s="780"/>
      <c r="AS189" s="780"/>
      <c r="AT189" s="780"/>
      <c r="AU189" s="780"/>
      <c r="AV189" s="780"/>
      <c r="AW189" s="780"/>
    </row>
    <row r="190">
      <c r="A190" s="852">
        <v>46063.0</v>
      </c>
      <c r="B190" s="852">
        <v>46099.0</v>
      </c>
      <c r="C190" s="853" t="str">
        <f t="shared" si="66"/>
        <v>mar.</v>
      </c>
      <c r="D190" s="880"/>
      <c r="E190" s="881" t="s">
        <v>2221</v>
      </c>
      <c r="F190" s="856"/>
      <c r="G190" s="856"/>
      <c r="H190" s="856"/>
      <c r="I190" s="912">
        <v>0.00138428</v>
      </c>
      <c r="J190" s="858">
        <v>0.035</v>
      </c>
      <c r="K190" s="794">
        <f t="shared" si="22"/>
        <v>0</v>
      </c>
      <c r="L190" s="859">
        <f t="shared" si="23"/>
        <v>0</v>
      </c>
      <c r="M190" s="858">
        <v>0.0215</v>
      </c>
      <c r="N190" s="860">
        <f t="shared" si="24"/>
        <v>0.00141404202</v>
      </c>
      <c r="O190" s="794">
        <f t="shared" si="25"/>
        <v>15</v>
      </c>
      <c r="P190" s="794">
        <f t="shared" si="71"/>
        <v>0.0215</v>
      </c>
      <c r="Q190" s="861">
        <v>1353.42</v>
      </c>
      <c r="R190" s="882">
        <f t="shared" si="70"/>
        <v>0</v>
      </c>
      <c r="S190" s="913"/>
      <c r="T190" s="794">
        <v>0.06</v>
      </c>
      <c r="U190" s="914"/>
      <c r="V190" s="794"/>
      <c r="W190" s="913"/>
      <c r="X190" s="794">
        <f t="shared" si="7"/>
        <v>1353.42</v>
      </c>
      <c r="Y190" s="881"/>
      <c r="Z190" s="913" t="str">
        <f t="shared" si="8"/>
        <v/>
      </c>
      <c r="AA190" s="794">
        <f t="shared" si="9"/>
        <v>1353.42</v>
      </c>
      <c r="AB190" s="881" t="s">
        <v>2003</v>
      </c>
      <c r="AC190" s="794">
        <f t="shared" si="10"/>
        <v>270.684</v>
      </c>
      <c r="AD190" s="913">
        <f t="shared" si="11"/>
        <v>1082.736</v>
      </c>
      <c r="AE190" s="862"/>
      <c r="AF190" s="797" t="s">
        <v>2181</v>
      </c>
      <c r="AG190" s="886" t="b">
        <v>0</v>
      </c>
      <c r="AH190" s="906"/>
      <c r="AI190" s="906"/>
      <c r="AJ190" s="906"/>
      <c r="AK190" s="906"/>
      <c r="AL190" s="906"/>
      <c r="AM190" s="906"/>
      <c r="AN190" s="906"/>
      <c r="AO190" s="906"/>
      <c r="AP190" s="906"/>
      <c r="AQ190" s="906"/>
      <c r="AR190" s="906"/>
      <c r="AS190" s="906"/>
      <c r="AT190" s="906"/>
      <c r="AU190" s="906"/>
      <c r="AV190" s="906"/>
      <c r="AW190" s="906"/>
    </row>
    <row r="191">
      <c r="A191" s="852">
        <v>46053.0</v>
      </c>
      <c r="B191" s="852">
        <v>46103.0</v>
      </c>
      <c r="C191" s="853" t="str">
        <f t="shared" si="66"/>
        <v>mar.</v>
      </c>
      <c r="D191" s="880"/>
      <c r="E191" s="881" t="s">
        <v>2222</v>
      </c>
      <c r="F191" s="856"/>
      <c r="G191" s="856"/>
      <c r="H191" s="856"/>
      <c r="I191" s="912">
        <v>0.00138428</v>
      </c>
      <c r="J191" s="858">
        <v>0.035</v>
      </c>
      <c r="K191" s="794">
        <f t="shared" si="22"/>
        <v>0</v>
      </c>
      <c r="L191" s="859">
        <f t="shared" si="23"/>
        <v>0</v>
      </c>
      <c r="M191" s="858">
        <v>0.0215</v>
      </c>
      <c r="N191" s="860">
        <f t="shared" si="24"/>
        <v>0.00141404202</v>
      </c>
      <c r="O191" s="794">
        <f t="shared" si="25"/>
        <v>15</v>
      </c>
      <c r="P191" s="794">
        <f t="shared" si="71"/>
        <v>0.0215</v>
      </c>
      <c r="Q191" s="861">
        <v>408.88</v>
      </c>
      <c r="R191" s="882">
        <f t="shared" si="70"/>
        <v>0</v>
      </c>
      <c r="S191" s="913"/>
      <c r="T191" s="794">
        <v>0.06</v>
      </c>
      <c r="U191" s="914"/>
      <c r="V191" s="794"/>
      <c r="W191" s="913"/>
      <c r="X191" s="794">
        <f t="shared" si="7"/>
        <v>408.88</v>
      </c>
      <c r="Y191" s="881"/>
      <c r="Z191" s="913" t="str">
        <f t="shared" si="8"/>
        <v/>
      </c>
      <c r="AA191" s="794">
        <f t="shared" si="9"/>
        <v>408.88</v>
      </c>
      <c r="AB191" s="881" t="s">
        <v>2003</v>
      </c>
      <c r="AC191" s="794">
        <f t="shared" si="10"/>
        <v>81.776</v>
      </c>
      <c r="AD191" s="913">
        <f t="shared" si="11"/>
        <v>327.104</v>
      </c>
      <c r="AE191" s="862"/>
      <c r="AF191" s="797" t="s">
        <v>2181</v>
      </c>
      <c r="AG191" s="886" t="b">
        <v>0</v>
      </c>
      <c r="AH191" s="780"/>
      <c r="AI191" s="780"/>
      <c r="AJ191" s="780"/>
      <c r="AK191" s="780"/>
      <c r="AL191" s="780"/>
      <c r="AM191" s="780"/>
      <c r="AN191" s="780"/>
      <c r="AO191" s="780"/>
      <c r="AP191" s="780"/>
      <c r="AQ191" s="780"/>
      <c r="AR191" s="780"/>
      <c r="AS191" s="780"/>
      <c r="AT191" s="780"/>
      <c r="AU191" s="780"/>
      <c r="AV191" s="780"/>
      <c r="AW191" s="780"/>
    </row>
    <row r="192">
      <c r="A192" s="852">
        <v>46055.0</v>
      </c>
      <c r="B192" s="852">
        <v>46069.0</v>
      </c>
      <c r="C192" s="853" t="str">
        <f t="shared" si="66"/>
        <v>fev.</v>
      </c>
      <c r="D192" s="880"/>
      <c r="E192" s="881" t="s">
        <v>2223</v>
      </c>
      <c r="F192" s="856"/>
      <c r="G192" s="856"/>
      <c r="H192" s="856"/>
      <c r="I192" s="912">
        <v>0.00138428</v>
      </c>
      <c r="J192" s="858">
        <v>0.035</v>
      </c>
      <c r="K192" s="794">
        <f t="shared" si="22"/>
        <v>1062.0211</v>
      </c>
      <c r="L192" s="859">
        <f t="shared" si="23"/>
        <v>38.5189</v>
      </c>
      <c r="M192" s="858">
        <v>0.0215</v>
      </c>
      <c r="N192" s="860">
        <f t="shared" si="24"/>
        <v>0.00141404202</v>
      </c>
      <c r="O192" s="794">
        <f t="shared" si="25"/>
        <v>37.83345365</v>
      </c>
      <c r="P192" s="794">
        <f t="shared" si="71"/>
        <v>1.523242462</v>
      </c>
      <c r="Q192" s="861">
        <v>1541.74</v>
      </c>
      <c r="R192" s="861">
        <v>1100.54</v>
      </c>
      <c r="S192" s="913"/>
      <c r="T192" s="794">
        <v>0.06</v>
      </c>
      <c r="U192" s="914"/>
      <c r="V192" s="794"/>
      <c r="W192" s="913"/>
      <c r="X192" s="794">
        <f t="shared" si="7"/>
        <v>441.2</v>
      </c>
      <c r="Y192" s="881"/>
      <c r="Z192" s="913" t="str">
        <f t="shared" si="8"/>
        <v/>
      </c>
      <c r="AA192" s="794">
        <f t="shared" si="9"/>
        <v>441.2</v>
      </c>
      <c r="AB192" s="881" t="s">
        <v>2003</v>
      </c>
      <c r="AC192" s="794">
        <f t="shared" si="10"/>
        <v>88.24</v>
      </c>
      <c r="AD192" s="913">
        <f t="shared" si="11"/>
        <v>352.96</v>
      </c>
      <c r="AE192" s="862"/>
      <c r="AF192" s="797" t="s">
        <v>2181</v>
      </c>
      <c r="AG192" s="886" t="b">
        <v>0</v>
      </c>
      <c r="AH192" s="780"/>
      <c r="AI192" s="780"/>
      <c r="AJ192" s="780"/>
      <c r="AK192" s="780"/>
      <c r="AL192" s="780"/>
      <c r="AM192" s="780"/>
      <c r="AN192" s="780"/>
      <c r="AO192" s="780"/>
      <c r="AP192" s="780"/>
      <c r="AQ192" s="780"/>
      <c r="AR192" s="780"/>
      <c r="AS192" s="780"/>
      <c r="AT192" s="780"/>
      <c r="AU192" s="780"/>
      <c r="AV192" s="780"/>
      <c r="AW192" s="780"/>
    </row>
    <row r="193">
      <c r="A193" s="852">
        <v>46056.0</v>
      </c>
      <c r="B193" s="852">
        <v>46131.0</v>
      </c>
      <c r="C193" s="853" t="str">
        <f t="shared" si="66"/>
        <v>abr.</v>
      </c>
      <c r="D193" s="880"/>
      <c r="E193" s="881" t="s">
        <v>2224</v>
      </c>
      <c r="F193" s="856"/>
      <c r="G193" s="856"/>
      <c r="H193" s="856"/>
      <c r="I193" s="912">
        <v>0.00138428</v>
      </c>
      <c r="J193" s="858">
        <v>0.035</v>
      </c>
      <c r="K193" s="794">
        <f t="shared" si="22"/>
        <v>0</v>
      </c>
      <c r="L193" s="859">
        <f t="shared" si="23"/>
        <v>0</v>
      </c>
      <c r="M193" s="858">
        <v>0.0215</v>
      </c>
      <c r="N193" s="860">
        <f t="shared" si="24"/>
        <v>0.00141404202</v>
      </c>
      <c r="O193" s="794">
        <f t="shared" si="25"/>
        <v>15</v>
      </c>
      <c r="P193" s="794" t="str">
        <f>(K193*N193)+#REF!</f>
        <v>#REF!</v>
      </c>
      <c r="Q193" s="861">
        <v>854.81</v>
      </c>
      <c r="R193" s="882">
        <f t="shared" ref="R193:R201" si="72">(G193*N193)*(1+J193)</f>
        <v>0</v>
      </c>
      <c r="S193" s="913"/>
      <c r="T193" s="794">
        <v>0.06</v>
      </c>
      <c r="U193" s="914"/>
      <c r="V193" s="794"/>
      <c r="W193" s="913"/>
      <c r="X193" s="794">
        <f t="shared" si="7"/>
        <v>854.81</v>
      </c>
      <c r="Y193" s="881" t="s">
        <v>2225</v>
      </c>
      <c r="Z193" s="913">
        <f t="shared" si="8"/>
        <v>85.481</v>
      </c>
      <c r="AA193" s="794">
        <f t="shared" si="9"/>
        <v>769.329</v>
      </c>
      <c r="AB193" s="881" t="s">
        <v>2003</v>
      </c>
      <c r="AC193" s="794">
        <f t="shared" si="10"/>
        <v>153.8658</v>
      </c>
      <c r="AD193" s="913">
        <f t="shared" si="11"/>
        <v>615.4632</v>
      </c>
      <c r="AE193" s="884" t="s">
        <v>2226</v>
      </c>
      <c r="AF193" s="797" t="s">
        <v>2181</v>
      </c>
      <c r="AG193" s="886" t="b">
        <v>0</v>
      </c>
      <c r="AH193" s="780"/>
      <c r="AI193" s="780"/>
      <c r="AJ193" s="780"/>
      <c r="AK193" s="780"/>
      <c r="AL193" s="780"/>
      <c r="AM193" s="780"/>
      <c r="AN193" s="780"/>
      <c r="AO193" s="780"/>
      <c r="AP193" s="780"/>
      <c r="AQ193" s="780"/>
      <c r="AR193" s="780"/>
      <c r="AS193" s="780"/>
      <c r="AT193" s="780"/>
      <c r="AU193" s="780"/>
      <c r="AV193" s="780"/>
      <c r="AW193" s="780"/>
    </row>
    <row r="194">
      <c r="A194" s="934">
        <v>46057.0</v>
      </c>
      <c r="B194" s="852">
        <v>46061.0</v>
      </c>
      <c r="C194" s="853" t="str">
        <f t="shared" si="66"/>
        <v>fev.</v>
      </c>
      <c r="D194" s="880"/>
      <c r="E194" s="881" t="s">
        <v>753</v>
      </c>
      <c r="F194" s="856"/>
      <c r="G194" s="856"/>
      <c r="H194" s="856"/>
      <c r="I194" s="912">
        <v>0.00138428</v>
      </c>
      <c r="J194" s="858">
        <v>0.035</v>
      </c>
      <c r="K194" s="794">
        <f t="shared" si="22"/>
        <v>0</v>
      </c>
      <c r="L194" s="859">
        <f t="shared" si="23"/>
        <v>0</v>
      </c>
      <c r="M194" s="858">
        <v>0.0215</v>
      </c>
      <c r="N194" s="860">
        <f t="shared" si="24"/>
        <v>0.00141404202</v>
      </c>
      <c r="O194" s="794">
        <f t="shared" si="25"/>
        <v>15</v>
      </c>
      <c r="P194" s="794">
        <f t="shared" ref="P194:P207" si="73">(K194*N194)+M212</f>
        <v>0.0215</v>
      </c>
      <c r="Q194" s="861">
        <v>1239.15</v>
      </c>
      <c r="R194" s="882">
        <f t="shared" si="72"/>
        <v>0</v>
      </c>
      <c r="S194" s="913">
        <v>688.42</v>
      </c>
      <c r="T194" s="794">
        <v>0.06</v>
      </c>
      <c r="U194" s="914"/>
      <c r="V194" s="794"/>
      <c r="W194" s="913"/>
      <c r="X194" s="794">
        <f t="shared" si="7"/>
        <v>550.73</v>
      </c>
      <c r="Y194" s="881"/>
      <c r="Z194" s="913" t="str">
        <f t="shared" si="8"/>
        <v/>
      </c>
      <c r="AA194" s="794">
        <f t="shared" si="9"/>
        <v>550.73</v>
      </c>
      <c r="AB194" s="881" t="s">
        <v>2003</v>
      </c>
      <c r="AC194" s="794">
        <f t="shared" si="10"/>
        <v>110.146</v>
      </c>
      <c r="AD194" s="913">
        <f t="shared" si="11"/>
        <v>440.584</v>
      </c>
      <c r="AE194" s="862"/>
      <c r="AF194" s="797" t="s">
        <v>2181</v>
      </c>
      <c r="AG194" s="886" t="b">
        <v>0</v>
      </c>
      <c r="AH194" s="780"/>
      <c r="AI194" s="780"/>
      <c r="AJ194" s="780"/>
      <c r="AK194" s="780"/>
      <c r="AL194" s="780"/>
      <c r="AM194" s="780"/>
      <c r="AN194" s="780"/>
      <c r="AO194" s="780"/>
      <c r="AP194" s="780"/>
      <c r="AQ194" s="780"/>
      <c r="AR194" s="780"/>
      <c r="AS194" s="780"/>
      <c r="AT194" s="780"/>
      <c r="AU194" s="780"/>
      <c r="AV194" s="780"/>
      <c r="AW194" s="780"/>
    </row>
    <row r="195">
      <c r="A195" s="852">
        <v>46056.0</v>
      </c>
      <c r="B195" s="852">
        <v>46066.0</v>
      </c>
      <c r="C195" s="853" t="str">
        <f t="shared" si="66"/>
        <v>fev.</v>
      </c>
      <c r="D195" s="880"/>
      <c r="E195" s="881" t="s">
        <v>751</v>
      </c>
      <c r="F195" s="856"/>
      <c r="G195" s="856"/>
      <c r="H195" s="856"/>
      <c r="I195" s="912">
        <v>0.00138428</v>
      </c>
      <c r="J195" s="858">
        <v>0.035</v>
      </c>
      <c r="K195" s="794">
        <f t="shared" si="22"/>
        <v>0</v>
      </c>
      <c r="L195" s="859">
        <f t="shared" si="23"/>
        <v>0</v>
      </c>
      <c r="M195" s="858">
        <v>0.0215</v>
      </c>
      <c r="N195" s="860">
        <f t="shared" si="24"/>
        <v>0.00141404202</v>
      </c>
      <c r="O195" s="794">
        <f t="shared" si="25"/>
        <v>15</v>
      </c>
      <c r="P195" s="794">
        <f t="shared" si="73"/>
        <v>0.0215</v>
      </c>
      <c r="Q195" s="861">
        <v>730.81</v>
      </c>
      <c r="R195" s="882">
        <f t="shared" si="72"/>
        <v>0</v>
      </c>
      <c r="S195" s="913"/>
      <c r="T195" s="794">
        <v>0.06</v>
      </c>
      <c r="U195" s="914"/>
      <c r="V195" s="794"/>
      <c r="W195" s="913"/>
      <c r="X195" s="794">
        <f t="shared" si="7"/>
        <v>730.81</v>
      </c>
      <c r="Y195" s="881"/>
      <c r="Z195" s="913" t="str">
        <f t="shared" si="8"/>
        <v/>
      </c>
      <c r="AA195" s="794">
        <f t="shared" si="9"/>
        <v>730.81</v>
      </c>
      <c r="AB195" s="881" t="s">
        <v>2003</v>
      </c>
      <c r="AC195" s="794">
        <f t="shared" si="10"/>
        <v>146.162</v>
      </c>
      <c r="AD195" s="913">
        <f t="shared" si="11"/>
        <v>584.648</v>
      </c>
      <c r="AE195" s="862"/>
      <c r="AF195" s="797" t="s">
        <v>2181</v>
      </c>
      <c r="AG195" s="886" t="b">
        <v>0</v>
      </c>
      <c r="AH195" s="780"/>
      <c r="AI195" s="780"/>
      <c r="AJ195" s="780"/>
      <c r="AK195" s="780"/>
      <c r="AL195" s="780"/>
      <c r="AM195" s="780"/>
      <c r="AN195" s="780"/>
      <c r="AO195" s="780"/>
      <c r="AP195" s="780"/>
      <c r="AQ195" s="780"/>
      <c r="AR195" s="780"/>
      <c r="AS195" s="780"/>
      <c r="AT195" s="780"/>
      <c r="AU195" s="780"/>
      <c r="AV195" s="780"/>
      <c r="AW195" s="780"/>
    </row>
    <row r="196">
      <c r="A196" s="852">
        <v>46056.0</v>
      </c>
      <c r="B196" s="852">
        <v>46080.0</v>
      </c>
      <c r="C196" s="853" t="str">
        <f t="shared" si="66"/>
        <v>fev.</v>
      </c>
      <c r="D196" s="880"/>
      <c r="E196" s="881" t="s">
        <v>1970</v>
      </c>
      <c r="F196" s="856"/>
      <c r="G196" s="856"/>
      <c r="H196" s="856"/>
      <c r="I196" s="912">
        <v>0.00138428</v>
      </c>
      <c r="J196" s="858">
        <v>0.035</v>
      </c>
      <c r="K196" s="794">
        <f t="shared" si="22"/>
        <v>0</v>
      </c>
      <c r="L196" s="859">
        <f t="shared" si="23"/>
        <v>0</v>
      </c>
      <c r="M196" s="858">
        <v>0.0215</v>
      </c>
      <c r="N196" s="860">
        <f t="shared" si="24"/>
        <v>0.00141404202</v>
      </c>
      <c r="O196" s="794">
        <f t="shared" si="25"/>
        <v>15</v>
      </c>
      <c r="P196" s="794">
        <f t="shared" si="73"/>
        <v>0.0215</v>
      </c>
      <c r="Q196" s="861">
        <v>334.0</v>
      </c>
      <c r="R196" s="882">
        <f t="shared" si="72"/>
        <v>0</v>
      </c>
      <c r="S196" s="913"/>
      <c r="T196" s="794">
        <v>0.06</v>
      </c>
      <c r="U196" s="914"/>
      <c r="V196" s="794"/>
      <c r="W196" s="913"/>
      <c r="X196" s="794">
        <f t="shared" si="7"/>
        <v>334</v>
      </c>
      <c r="Y196" s="881" t="s">
        <v>2003</v>
      </c>
      <c r="Z196" s="913">
        <f t="shared" si="8"/>
        <v>33.4</v>
      </c>
      <c r="AA196" s="794">
        <f t="shared" si="9"/>
        <v>300.6</v>
      </c>
      <c r="AB196" s="881" t="s">
        <v>2003</v>
      </c>
      <c r="AC196" s="794">
        <f t="shared" si="10"/>
        <v>60.12</v>
      </c>
      <c r="AD196" s="913">
        <f t="shared" si="11"/>
        <v>240.48</v>
      </c>
      <c r="AE196" s="862"/>
      <c r="AF196" s="797" t="s">
        <v>2181</v>
      </c>
      <c r="AG196" s="886" t="b">
        <v>0</v>
      </c>
      <c r="AH196" s="780"/>
      <c r="AI196" s="780"/>
      <c r="AJ196" s="780"/>
      <c r="AK196" s="780"/>
      <c r="AL196" s="780"/>
      <c r="AM196" s="780"/>
      <c r="AN196" s="780"/>
      <c r="AO196" s="780"/>
      <c r="AP196" s="780"/>
      <c r="AQ196" s="780"/>
      <c r="AR196" s="780"/>
      <c r="AS196" s="780"/>
      <c r="AT196" s="780"/>
      <c r="AU196" s="780"/>
      <c r="AV196" s="780"/>
      <c r="AW196" s="780"/>
    </row>
    <row r="197">
      <c r="A197" s="852">
        <v>46056.0</v>
      </c>
      <c r="B197" s="852">
        <v>46087.0</v>
      </c>
      <c r="C197" s="853" t="str">
        <f t="shared" si="66"/>
        <v>mar.</v>
      </c>
      <c r="D197" s="880"/>
      <c r="E197" s="881" t="s">
        <v>2227</v>
      </c>
      <c r="F197" s="856"/>
      <c r="G197" s="856"/>
      <c r="H197" s="856"/>
      <c r="I197" s="912">
        <v>0.00138428</v>
      </c>
      <c r="J197" s="858">
        <v>0.035</v>
      </c>
      <c r="K197" s="794">
        <f t="shared" si="22"/>
        <v>0</v>
      </c>
      <c r="L197" s="859">
        <f t="shared" si="23"/>
        <v>0</v>
      </c>
      <c r="M197" s="858">
        <v>0.0215</v>
      </c>
      <c r="N197" s="860">
        <f t="shared" si="24"/>
        <v>0.00141404202</v>
      </c>
      <c r="O197" s="794">
        <f t="shared" si="25"/>
        <v>15</v>
      </c>
      <c r="P197" s="794">
        <f t="shared" si="73"/>
        <v>0.0215</v>
      </c>
      <c r="Q197" s="861">
        <v>1376.66</v>
      </c>
      <c r="R197" s="882">
        <f t="shared" si="72"/>
        <v>0</v>
      </c>
      <c r="S197" s="913"/>
      <c r="T197" s="794">
        <v>0.06</v>
      </c>
      <c r="U197" s="914"/>
      <c r="V197" s="794"/>
      <c r="W197" s="913"/>
      <c r="X197" s="794">
        <f t="shared" si="7"/>
        <v>1376.66</v>
      </c>
      <c r="Y197" s="881"/>
      <c r="Z197" s="913" t="str">
        <f t="shared" si="8"/>
        <v/>
      </c>
      <c r="AA197" s="794">
        <f t="shared" si="9"/>
        <v>1376.66</v>
      </c>
      <c r="AB197" s="881" t="s">
        <v>2003</v>
      </c>
      <c r="AC197" s="794">
        <f t="shared" si="10"/>
        <v>275.332</v>
      </c>
      <c r="AD197" s="913">
        <f t="shared" si="11"/>
        <v>1101.328</v>
      </c>
      <c r="AE197" s="862"/>
      <c r="AF197" s="797" t="s">
        <v>2181</v>
      </c>
      <c r="AG197" s="886" t="b">
        <v>0</v>
      </c>
      <c r="AH197" s="780"/>
      <c r="AI197" s="780"/>
      <c r="AJ197" s="780"/>
      <c r="AK197" s="780"/>
      <c r="AL197" s="780"/>
      <c r="AM197" s="780"/>
      <c r="AN197" s="780"/>
      <c r="AO197" s="780"/>
      <c r="AP197" s="780"/>
      <c r="AQ197" s="780"/>
      <c r="AR197" s="780"/>
      <c r="AS197" s="780"/>
      <c r="AT197" s="780"/>
      <c r="AU197" s="780"/>
      <c r="AV197" s="780"/>
      <c r="AW197" s="780"/>
    </row>
    <row r="198">
      <c r="A198" s="934">
        <v>46057.0</v>
      </c>
      <c r="B198" s="934">
        <v>46057.0</v>
      </c>
      <c r="C198" s="853" t="str">
        <f t="shared" si="66"/>
        <v>fev.</v>
      </c>
      <c r="D198" s="880"/>
      <c r="E198" s="881" t="s">
        <v>2228</v>
      </c>
      <c r="F198" s="856"/>
      <c r="G198" s="856"/>
      <c r="H198" s="856"/>
      <c r="I198" s="912">
        <v>0.00138428</v>
      </c>
      <c r="J198" s="858">
        <v>0.035</v>
      </c>
      <c r="K198" s="794">
        <f t="shared" si="22"/>
        <v>0</v>
      </c>
      <c r="L198" s="859">
        <f t="shared" si="23"/>
        <v>0</v>
      </c>
      <c r="M198" s="858">
        <v>0.0215</v>
      </c>
      <c r="N198" s="860">
        <f t="shared" si="24"/>
        <v>0.00141404202</v>
      </c>
      <c r="O198" s="794">
        <f t="shared" si="25"/>
        <v>15</v>
      </c>
      <c r="P198" s="794">
        <f t="shared" si="73"/>
        <v>0.0215</v>
      </c>
      <c r="Q198" s="861">
        <v>485.14</v>
      </c>
      <c r="R198" s="882">
        <f t="shared" si="72"/>
        <v>0</v>
      </c>
      <c r="S198" s="913"/>
      <c r="T198" s="794">
        <v>0.06</v>
      </c>
      <c r="U198" s="914"/>
      <c r="V198" s="794"/>
      <c r="W198" s="913"/>
      <c r="X198" s="794">
        <f t="shared" si="7"/>
        <v>485.14</v>
      </c>
      <c r="Y198" s="881"/>
      <c r="Z198" s="913" t="str">
        <f t="shared" si="8"/>
        <v/>
      </c>
      <c r="AA198" s="794">
        <f t="shared" si="9"/>
        <v>485.14</v>
      </c>
      <c r="AB198" s="881" t="s">
        <v>2003</v>
      </c>
      <c r="AC198" s="794">
        <f t="shared" si="10"/>
        <v>97.028</v>
      </c>
      <c r="AD198" s="913">
        <f t="shared" si="11"/>
        <v>388.112</v>
      </c>
      <c r="AE198" s="862"/>
      <c r="AF198" s="797" t="s">
        <v>2181</v>
      </c>
      <c r="AG198" s="886" t="b">
        <v>0</v>
      </c>
      <c r="AH198" s="780"/>
      <c r="AI198" s="780"/>
      <c r="AJ198" s="780"/>
      <c r="AK198" s="780"/>
      <c r="AL198" s="780"/>
      <c r="AM198" s="780"/>
      <c r="AN198" s="780"/>
      <c r="AO198" s="780"/>
      <c r="AP198" s="780"/>
      <c r="AQ198" s="780"/>
      <c r="AR198" s="780"/>
      <c r="AS198" s="780"/>
      <c r="AT198" s="780"/>
      <c r="AU198" s="780"/>
      <c r="AV198" s="780"/>
      <c r="AW198" s="780"/>
    </row>
    <row r="199">
      <c r="A199" s="934">
        <v>46057.0</v>
      </c>
      <c r="B199" s="934">
        <v>46057.0</v>
      </c>
      <c r="C199" s="853" t="str">
        <f t="shared" si="66"/>
        <v>fev.</v>
      </c>
      <c r="D199" s="880"/>
      <c r="E199" s="881" t="s">
        <v>2229</v>
      </c>
      <c r="F199" s="856"/>
      <c r="G199" s="856"/>
      <c r="H199" s="856"/>
      <c r="I199" s="912">
        <v>0.00138428</v>
      </c>
      <c r="J199" s="858">
        <v>0.035</v>
      </c>
      <c r="K199" s="794">
        <f t="shared" si="22"/>
        <v>0</v>
      </c>
      <c r="L199" s="859">
        <f t="shared" si="23"/>
        <v>0</v>
      </c>
      <c r="M199" s="858">
        <v>0.0215</v>
      </c>
      <c r="N199" s="860">
        <f t="shared" si="24"/>
        <v>0.00141404202</v>
      </c>
      <c r="O199" s="794">
        <f t="shared" si="25"/>
        <v>15</v>
      </c>
      <c r="P199" s="794">
        <f t="shared" si="73"/>
        <v>0.0215</v>
      </c>
      <c r="Q199" s="861">
        <v>457.03</v>
      </c>
      <c r="R199" s="882">
        <f t="shared" si="72"/>
        <v>0</v>
      </c>
      <c r="S199" s="913"/>
      <c r="T199" s="794">
        <v>0.06</v>
      </c>
      <c r="U199" s="914"/>
      <c r="V199" s="794"/>
      <c r="W199" s="913"/>
      <c r="X199" s="794">
        <f t="shared" si="7"/>
        <v>457.03</v>
      </c>
      <c r="Y199" s="881"/>
      <c r="Z199" s="913" t="str">
        <f t="shared" si="8"/>
        <v/>
      </c>
      <c r="AA199" s="794">
        <f t="shared" si="9"/>
        <v>457.03</v>
      </c>
      <c r="AB199" s="881" t="s">
        <v>2003</v>
      </c>
      <c r="AC199" s="794">
        <f t="shared" si="10"/>
        <v>91.406</v>
      </c>
      <c r="AD199" s="913">
        <f t="shared" si="11"/>
        <v>365.624</v>
      </c>
      <c r="AE199" s="862"/>
      <c r="AF199" s="797" t="s">
        <v>2181</v>
      </c>
      <c r="AG199" s="886" t="b">
        <v>0</v>
      </c>
      <c r="AH199" s="780"/>
      <c r="AI199" s="780"/>
      <c r="AJ199" s="780"/>
      <c r="AK199" s="780"/>
      <c r="AL199" s="780"/>
      <c r="AM199" s="780"/>
      <c r="AN199" s="780"/>
      <c r="AO199" s="780"/>
      <c r="AP199" s="780"/>
      <c r="AQ199" s="780"/>
      <c r="AR199" s="780"/>
      <c r="AS199" s="780"/>
      <c r="AT199" s="780"/>
      <c r="AU199" s="780"/>
      <c r="AV199" s="780"/>
      <c r="AW199" s="780"/>
    </row>
    <row r="200">
      <c r="A200" s="934">
        <v>46057.0</v>
      </c>
      <c r="B200" s="934">
        <v>46057.0</v>
      </c>
      <c r="C200" s="853" t="str">
        <f t="shared" si="66"/>
        <v>fev.</v>
      </c>
      <c r="D200" s="911"/>
      <c r="E200" s="855" t="s">
        <v>2230</v>
      </c>
      <c r="F200" s="856"/>
      <c r="G200" s="856"/>
      <c r="H200" s="856"/>
      <c r="I200" s="912">
        <v>0.00138428</v>
      </c>
      <c r="J200" s="858">
        <v>0.035</v>
      </c>
      <c r="K200" s="794">
        <f t="shared" si="22"/>
        <v>0</v>
      </c>
      <c r="L200" s="859">
        <f t="shared" si="23"/>
        <v>0</v>
      </c>
      <c r="M200" s="858">
        <v>0.0215</v>
      </c>
      <c r="N200" s="860">
        <f t="shared" si="24"/>
        <v>0.00141404202</v>
      </c>
      <c r="O200" s="794">
        <f t="shared" si="25"/>
        <v>15</v>
      </c>
      <c r="P200" s="794">
        <f t="shared" si="73"/>
        <v>0.0215</v>
      </c>
      <c r="Q200" s="861">
        <v>457.03</v>
      </c>
      <c r="R200" s="882">
        <f t="shared" si="72"/>
        <v>0</v>
      </c>
      <c r="S200" s="913"/>
      <c r="T200" s="794">
        <v>0.06</v>
      </c>
      <c r="U200" s="914"/>
      <c r="V200" s="794"/>
      <c r="W200" s="913"/>
      <c r="X200" s="794">
        <f t="shared" si="7"/>
        <v>457.03</v>
      </c>
      <c r="Y200" s="881"/>
      <c r="Z200" s="913" t="str">
        <f t="shared" si="8"/>
        <v/>
      </c>
      <c r="AA200" s="794">
        <f t="shared" si="9"/>
        <v>457.03</v>
      </c>
      <c r="AB200" s="881" t="s">
        <v>2225</v>
      </c>
      <c r="AC200" s="794">
        <f t="shared" si="10"/>
        <v>91.406</v>
      </c>
      <c r="AD200" s="913">
        <f t="shared" si="11"/>
        <v>365.624</v>
      </c>
      <c r="AE200" s="862"/>
      <c r="AF200" s="797" t="s">
        <v>2181</v>
      </c>
      <c r="AG200" s="886" t="b">
        <v>0</v>
      </c>
      <c r="AH200" s="780"/>
      <c r="AI200" s="780"/>
      <c r="AJ200" s="780"/>
      <c r="AK200" s="780"/>
      <c r="AL200" s="780"/>
      <c r="AM200" s="780"/>
      <c r="AN200" s="780"/>
      <c r="AO200" s="780"/>
      <c r="AP200" s="780"/>
      <c r="AQ200" s="780"/>
      <c r="AR200" s="780"/>
      <c r="AS200" s="780"/>
      <c r="AT200" s="780"/>
      <c r="AU200" s="780"/>
      <c r="AV200" s="780"/>
      <c r="AW200" s="780"/>
    </row>
    <row r="201">
      <c r="A201" s="852">
        <v>46058.0</v>
      </c>
      <c r="B201" s="852">
        <v>46058.0</v>
      </c>
      <c r="C201" s="853" t="str">
        <f t="shared" si="66"/>
        <v>fev.</v>
      </c>
      <c r="D201" s="880"/>
      <c r="E201" s="881" t="s">
        <v>2231</v>
      </c>
      <c r="F201" s="856"/>
      <c r="G201" s="856"/>
      <c r="H201" s="856"/>
      <c r="I201" s="912">
        <v>0.00138428</v>
      </c>
      <c r="J201" s="858">
        <v>0.035</v>
      </c>
      <c r="K201" s="794">
        <f t="shared" si="22"/>
        <v>0</v>
      </c>
      <c r="L201" s="859">
        <f t="shared" si="23"/>
        <v>0</v>
      </c>
      <c r="M201" s="858">
        <v>0.0215</v>
      </c>
      <c r="N201" s="860">
        <f t="shared" si="24"/>
        <v>0.00141404202</v>
      </c>
      <c r="O201" s="794">
        <f t="shared" si="25"/>
        <v>15</v>
      </c>
      <c r="P201" s="794">
        <f t="shared" si="73"/>
        <v>0.0215</v>
      </c>
      <c r="Q201" s="861">
        <v>467.26</v>
      </c>
      <c r="R201" s="882">
        <f t="shared" si="72"/>
        <v>0</v>
      </c>
      <c r="S201" s="913"/>
      <c r="T201" s="794">
        <v>0.06</v>
      </c>
      <c r="U201" s="914"/>
      <c r="V201" s="794"/>
      <c r="W201" s="913"/>
      <c r="X201" s="794">
        <f t="shared" si="7"/>
        <v>467.26</v>
      </c>
      <c r="Y201" s="881"/>
      <c r="Z201" s="913" t="str">
        <f t="shared" si="8"/>
        <v/>
      </c>
      <c r="AA201" s="794">
        <f t="shared" si="9"/>
        <v>467.26</v>
      </c>
      <c r="AB201" s="881" t="s">
        <v>2003</v>
      </c>
      <c r="AC201" s="794">
        <f t="shared" si="10"/>
        <v>93.452</v>
      </c>
      <c r="AD201" s="913">
        <f t="shared" si="11"/>
        <v>373.808</v>
      </c>
      <c r="AE201" s="862"/>
      <c r="AF201" s="797" t="s">
        <v>2181</v>
      </c>
      <c r="AG201" s="886" t="b">
        <v>0</v>
      </c>
      <c r="AH201" s="780"/>
      <c r="AI201" s="780"/>
      <c r="AJ201" s="780"/>
      <c r="AK201" s="780"/>
      <c r="AL201" s="780"/>
      <c r="AM201" s="780"/>
      <c r="AN201" s="780"/>
      <c r="AO201" s="780"/>
      <c r="AP201" s="780"/>
      <c r="AQ201" s="780"/>
      <c r="AR201" s="780"/>
      <c r="AS201" s="780"/>
      <c r="AT201" s="780"/>
      <c r="AU201" s="780"/>
      <c r="AV201" s="780"/>
      <c r="AW201" s="780"/>
    </row>
    <row r="202">
      <c r="A202" s="852">
        <v>46058.0</v>
      </c>
      <c r="B202" s="852">
        <v>46082.0</v>
      </c>
      <c r="C202" s="853" t="str">
        <f t="shared" si="66"/>
        <v>mar.</v>
      </c>
      <c r="D202" s="880"/>
      <c r="E202" s="881" t="s">
        <v>2232</v>
      </c>
      <c r="F202" s="856"/>
      <c r="G202" s="856"/>
      <c r="H202" s="856"/>
      <c r="I202" s="912">
        <v>0.00138428</v>
      </c>
      <c r="J202" s="858">
        <v>0.035</v>
      </c>
      <c r="K202" s="794">
        <f t="shared" si="22"/>
        <v>3353.88645</v>
      </c>
      <c r="L202" s="859">
        <f t="shared" si="23"/>
        <v>121.64355</v>
      </c>
      <c r="M202" s="858">
        <v>0.0215</v>
      </c>
      <c r="N202" s="860">
        <f t="shared" si="24"/>
        <v>0.00141404202</v>
      </c>
      <c r="O202" s="794">
        <f t="shared" si="25"/>
        <v>87.10855868</v>
      </c>
      <c r="P202" s="794">
        <f t="shared" si="73"/>
        <v>4.764036371</v>
      </c>
      <c r="Q202" s="861">
        <v>8068.0</v>
      </c>
      <c r="R202" s="882">
        <f>1760.34+1715.19</f>
        <v>3475.53</v>
      </c>
      <c r="S202" s="913"/>
      <c r="T202" s="794">
        <v>0.06</v>
      </c>
      <c r="U202" s="914"/>
      <c r="V202" s="794"/>
      <c r="W202" s="913"/>
      <c r="X202" s="794">
        <f t="shared" si="7"/>
        <v>4592.47</v>
      </c>
      <c r="Y202" s="881"/>
      <c r="Z202" s="913" t="str">
        <f t="shared" si="8"/>
        <v/>
      </c>
      <c r="AA202" s="794">
        <f t="shared" si="9"/>
        <v>4592.47</v>
      </c>
      <c r="AB202" s="881" t="s">
        <v>2003</v>
      </c>
      <c r="AC202" s="794">
        <f t="shared" si="10"/>
        <v>918.494</v>
      </c>
      <c r="AD202" s="913">
        <f t="shared" si="11"/>
        <v>3673.976</v>
      </c>
      <c r="AE202" s="862"/>
      <c r="AF202" s="797" t="s">
        <v>2181</v>
      </c>
      <c r="AG202" s="886" t="b">
        <v>0</v>
      </c>
      <c r="AH202" s="906"/>
      <c r="AI202" s="906"/>
      <c r="AJ202" s="906"/>
      <c r="AK202" s="906"/>
      <c r="AL202" s="906"/>
      <c r="AM202" s="906"/>
      <c r="AN202" s="906"/>
      <c r="AO202" s="906"/>
      <c r="AP202" s="906"/>
      <c r="AQ202" s="906"/>
      <c r="AR202" s="906"/>
      <c r="AS202" s="906"/>
      <c r="AT202" s="906"/>
      <c r="AU202" s="906"/>
      <c r="AV202" s="906"/>
      <c r="AW202" s="906"/>
    </row>
    <row r="203">
      <c r="A203" s="852">
        <v>46058.0</v>
      </c>
      <c r="B203" s="852">
        <v>46058.0</v>
      </c>
      <c r="C203" s="853" t="str">
        <f t="shared" si="66"/>
        <v>fev.</v>
      </c>
      <c r="D203" s="880"/>
      <c r="E203" s="881" t="s">
        <v>2233</v>
      </c>
      <c r="F203" s="856"/>
      <c r="G203" s="856"/>
      <c r="H203" s="856"/>
      <c r="I203" s="912">
        <v>0.00138428</v>
      </c>
      <c r="J203" s="858">
        <v>0.035</v>
      </c>
      <c r="K203" s="794">
        <f t="shared" si="22"/>
        <v>0</v>
      </c>
      <c r="L203" s="859">
        <f t="shared" si="23"/>
        <v>0</v>
      </c>
      <c r="M203" s="858">
        <v>0.0215</v>
      </c>
      <c r="N203" s="860">
        <f t="shared" si="24"/>
        <v>0.00141404202</v>
      </c>
      <c r="O203" s="794">
        <f t="shared" si="25"/>
        <v>15</v>
      </c>
      <c r="P203" s="794">
        <f t="shared" si="73"/>
        <v>0.0215</v>
      </c>
      <c r="Q203" s="861">
        <v>452.68</v>
      </c>
      <c r="R203" s="882">
        <f>(G203*N203)*(1+J203)</f>
        <v>0</v>
      </c>
      <c r="S203" s="913"/>
      <c r="T203" s="794">
        <v>0.06</v>
      </c>
      <c r="U203" s="914"/>
      <c r="V203" s="794"/>
      <c r="W203" s="913"/>
      <c r="X203" s="794">
        <f t="shared" si="7"/>
        <v>452.68</v>
      </c>
      <c r="Y203" s="881"/>
      <c r="Z203" s="913" t="str">
        <f t="shared" si="8"/>
        <v/>
      </c>
      <c r="AA203" s="794">
        <f t="shared" si="9"/>
        <v>452.68</v>
      </c>
      <c r="AB203" s="881" t="s">
        <v>2003</v>
      </c>
      <c r="AC203" s="794">
        <f t="shared" si="10"/>
        <v>90.536</v>
      </c>
      <c r="AD203" s="913">
        <f t="shared" si="11"/>
        <v>362.144</v>
      </c>
      <c r="AE203" s="862"/>
      <c r="AF203" s="797" t="s">
        <v>2181</v>
      </c>
      <c r="AG203" s="886" t="b">
        <v>0</v>
      </c>
      <c r="AH203" s="780"/>
      <c r="AI203" s="780"/>
      <c r="AJ203" s="780"/>
      <c r="AK203" s="780"/>
      <c r="AL203" s="780"/>
      <c r="AM203" s="780"/>
      <c r="AN203" s="780"/>
      <c r="AO203" s="780"/>
      <c r="AP203" s="780"/>
      <c r="AQ203" s="780"/>
      <c r="AR203" s="780"/>
      <c r="AS203" s="780"/>
      <c r="AT203" s="780"/>
      <c r="AU203" s="780"/>
      <c r="AV203" s="780"/>
      <c r="AW203" s="780"/>
    </row>
    <row r="204">
      <c r="A204" s="941"/>
      <c r="B204" s="941"/>
      <c r="C204" s="943" t="str">
        <f t="shared" si="66"/>
        <v>dez.</v>
      </c>
      <c r="D204" s="995"/>
      <c r="E204" s="955" t="s">
        <v>2234</v>
      </c>
      <c r="F204" s="946"/>
      <c r="G204" s="946"/>
      <c r="H204" s="946"/>
      <c r="I204" s="947">
        <v>0.00138428</v>
      </c>
      <c r="J204" s="948">
        <v>0.035</v>
      </c>
      <c r="K204" s="949">
        <f t="shared" si="22"/>
        <v>1096.48125</v>
      </c>
      <c r="L204" s="950">
        <f t="shared" si="23"/>
        <v>39.76875</v>
      </c>
      <c r="M204" s="948">
        <v>0.0215</v>
      </c>
      <c r="N204" s="951">
        <f t="shared" si="24"/>
        <v>0.00141404202</v>
      </c>
      <c r="O204" s="949">
        <f t="shared" si="25"/>
        <v>38.57434688</v>
      </c>
      <c r="P204" s="949">
        <f t="shared" si="73"/>
        <v>1.571970562</v>
      </c>
      <c r="Q204" s="952">
        <f>685*2</f>
        <v>1370</v>
      </c>
      <c r="R204" s="996">
        <v>1136.25</v>
      </c>
      <c r="S204" s="953"/>
      <c r="T204" s="949">
        <v>0.06</v>
      </c>
      <c r="U204" s="954"/>
      <c r="V204" s="949"/>
      <c r="W204" s="953"/>
      <c r="X204" s="949">
        <f t="shared" si="7"/>
        <v>233.75</v>
      </c>
      <c r="Y204" s="955"/>
      <c r="Z204" s="953" t="str">
        <f t="shared" si="8"/>
        <v/>
      </c>
      <c r="AA204" s="949">
        <f t="shared" si="9"/>
        <v>233.75</v>
      </c>
      <c r="AB204" s="955"/>
      <c r="AC204" s="949" t="str">
        <f t="shared" si="10"/>
        <v/>
      </c>
      <c r="AD204" s="953">
        <f t="shared" si="11"/>
        <v>233.75</v>
      </c>
      <c r="AE204" s="956"/>
      <c r="AF204" s="889" t="s">
        <v>2181</v>
      </c>
      <c r="AG204" s="810" t="b">
        <v>0</v>
      </c>
      <c r="AH204" s="780"/>
      <c r="AI204" s="780"/>
      <c r="AJ204" s="780"/>
      <c r="AK204" s="780"/>
      <c r="AL204" s="780"/>
      <c r="AM204" s="780"/>
      <c r="AN204" s="780"/>
      <c r="AO204" s="780"/>
      <c r="AP204" s="780"/>
      <c r="AQ204" s="780"/>
      <c r="AR204" s="780"/>
      <c r="AS204" s="780"/>
      <c r="AT204" s="780"/>
      <c r="AU204" s="780"/>
      <c r="AV204" s="780"/>
      <c r="AW204" s="780"/>
    </row>
    <row r="205">
      <c r="A205" s="852">
        <v>46028.0</v>
      </c>
      <c r="B205" s="852">
        <v>46063.0</v>
      </c>
      <c r="C205" s="853" t="str">
        <f t="shared" si="66"/>
        <v>fev.</v>
      </c>
      <c r="D205" s="880"/>
      <c r="E205" s="881" t="s">
        <v>2235</v>
      </c>
      <c r="F205" s="856"/>
      <c r="G205" s="856"/>
      <c r="H205" s="856"/>
      <c r="I205" s="912">
        <v>0.00138428</v>
      </c>
      <c r="J205" s="858">
        <v>0.035</v>
      </c>
      <c r="K205" s="794">
        <f t="shared" si="22"/>
        <v>2230.18255</v>
      </c>
      <c r="L205" s="859">
        <f t="shared" si="23"/>
        <v>80.88745</v>
      </c>
      <c r="M205" s="858">
        <v>0.0215</v>
      </c>
      <c r="N205" s="860">
        <f t="shared" si="24"/>
        <v>0.00141404202</v>
      </c>
      <c r="O205" s="794">
        <f t="shared" si="25"/>
        <v>62.94892483</v>
      </c>
      <c r="P205" s="794">
        <f t="shared" si="73"/>
        <v>3.175071838</v>
      </c>
      <c r="Q205" s="861">
        <v>3470.0</v>
      </c>
      <c r="R205" s="861">
        <f>1170.54+1140.53</f>
        <v>2311.07</v>
      </c>
      <c r="S205" s="913"/>
      <c r="T205" s="794">
        <v>0.06</v>
      </c>
      <c r="U205" s="914"/>
      <c r="V205" s="794"/>
      <c r="W205" s="913"/>
      <c r="X205" s="794">
        <f t="shared" si="7"/>
        <v>1158.93</v>
      </c>
      <c r="Y205" s="881" t="s">
        <v>2225</v>
      </c>
      <c r="Z205" s="913">
        <f t="shared" si="8"/>
        <v>115.893</v>
      </c>
      <c r="AA205" s="794">
        <f t="shared" si="9"/>
        <v>1043.037</v>
      </c>
      <c r="AB205" s="881" t="s">
        <v>2003</v>
      </c>
      <c r="AC205" s="794">
        <f t="shared" si="10"/>
        <v>208.6074</v>
      </c>
      <c r="AD205" s="913">
        <f t="shared" si="11"/>
        <v>834.4296</v>
      </c>
      <c r="AE205" s="862"/>
      <c r="AF205" s="797" t="s">
        <v>2181</v>
      </c>
      <c r="AG205" s="886" t="b">
        <v>0</v>
      </c>
      <c r="AH205" s="906"/>
      <c r="AI205" s="906"/>
      <c r="AJ205" s="906"/>
      <c r="AK205" s="906"/>
      <c r="AL205" s="906"/>
      <c r="AM205" s="906"/>
      <c r="AN205" s="906"/>
      <c r="AO205" s="906"/>
      <c r="AP205" s="906"/>
      <c r="AQ205" s="906"/>
      <c r="AR205" s="906"/>
      <c r="AS205" s="906"/>
      <c r="AT205" s="906"/>
      <c r="AU205" s="906"/>
      <c r="AV205" s="906"/>
      <c r="AW205" s="906"/>
    </row>
    <row r="206">
      <c r="A206" s="852">
        <v>46028.0</v>
      </c>
      <c r="B206" s="852">
        <v>46079.0</v>
      </c>
      <c r="C206" s="853" t="str">
        <f t="shared" si="66"/>
        <v>fev.</v>
      </c>
      <c r="D206" s="880"/>
      <c r="E206" s="881" t="s">
        <v>2236</v>
      </c>
      <c r="F206" s="856"/>
      <c r="G206" s="856"/>
      <c r="H206" s="856"/>
      <c r="I206" s="912">
        <v>0.00138428</v>
      </c>
      <c r="J206" s="858">
        <v>0.035</v>
      </c>
      <c r="K206" s="794">
        <f t="shared" si="22"/>
        <v>660.35915</v>
      </c>
      <c r="L206" s="859">
        <f t="shared" si="23"/>
        <v>23.95085</v>
      </c>
      <c r="M206" s="858">
        <v>0.0215</v>
      </c>
      <c r="N206" s="860">
        <f t="shared" si="24"/>
        <v>0.00141404202</v>
      </c>
      <c r="O206" s="794">
        <f t="shared" si="25"/>
        <v>29.19772173</v>
      </c>
      <c r="P206" s="794">
        <f t="shared" si="73"/>
        <v>0.9552755864</v>
      </c>
      <c r="Q206" s="861">
        <v>1763.08</v>
      </c>
      <c r="R206" s="861">
        <v>684.31</v>
      </c>
      <c r="S206" s="913"/>
      <c r="T206" s="794">
        <v>0.06</v>
      </c>
      <c r="U206" s="914"/>
      <c r="V206" s="794"/>
      <c r="W206" s="913"/>
      <c r="X206" s="794">
        <f t="shared" si="7"/>
        <v>1078.77</v>
      </c>
      <c r="Y206" s="881"/>
      <c r="Z206" s="913" t="str">
        <f t="shared" si="8"/>
        <v/>
      </c>
      <c r="AA206" s="794">
        <f t="shared" si="9"/>
        <v>1078.77</v>
      </c>
      <c r="AB206" s="881" t="s">
        <v>2003</v>
      </c>
      <c r="AC206" s="794">
        <f t="shared" si="10"/>
        <v>215.754</v>
      </c>
      <c r="AD206" s="913">
        <f t="shared" si="11"/>
        <v>863.016</v>
      </c>
      <c r="AE206" s="862"/>
      <c r="AF206" s="797" t="s">
        <v>2181</v>
      </c>
      <c r="AG206" s="886" t="b">
        <v>0</v>
      </c>
      <c r="AH206" s="906"/>
      <c r="AI206" s="906"/>
      <c r="AJ206" s="906"/>
      <c r="AK206" s="906"/>
      <c r="AL206" s="906"/>
      <c r="AM206" s="906"/>
      <c r="AN206" s="906"/>
      <c r="AO206" s="906"/>
      <c r="AP206" s="906"/>
      <c r="AQ206" s="906"/>
      <c r="AR206" s="906"/>
      <c r="AS206" s="906"/>
      <c r="AT206" s="906"/>
      <c r="AU206" s="906"/>
      <c r="AV206" s="906"/>
      <c r="AW206" s="906"/>
    </row>
    <row r="207">
      <c r="A207" s="852">
        <v>46060.0</v>
      </c>
      <c r="B207" s="852">
        <v>46069.0</v>
      </c>
      <c r="C207" s="853" t="str">
        <f t="shared" si="66"/>
        <v>fev.</v>
      </c>
      <c r="D207" s="854"/>
      <c r="E207" s="855" t="s">
        <v>2237</v>
      </c>
      <c r="F207" s="856"/>
      <c r="G207" s="856"/>
      <c r="H207" s="856"/>
      <c r="I207" s="912">
        <v>0.00138428</v>
      </c>
      <c r="J207" s="858">
        <v>0.035</v>
      </c>
      <c r="K207" s="794">
        <f t="shared" si="22"/>
        <v>0</v>
      </c>
      <c r="L207" s="859">
        <f t="shared" si="23"/>
        <v>0</v>
      </c>
      <c r="M207" s="858">
        <v>0.0215</v>
      </c>
      <c r="N207" s="860">
        <f t="shared" si="24"/>
        <v>0.00141404202</v>
      </c>
      <c r="O207" s="794">
        <f t="shared" si="25"/>
        <v>15</v>
      </c>
      <c r="P207" s="794">
        <f t="shared" si="73"/>
        <v>0.0215</v>
      </c>
      <c r="Q207" s="861">
        <v>1110.52</v>
      </c>
      <c r="R207" s="882">
        <f t="shared" ref="R207:R209" si="74">(G207*N207)*(1+J207)</f>
        <v>0</v>
      </c>
      <c r="S207" s="913"/>
      <c r="T207" s="794">
        <v>0.06</v>
      </c>
      <c r="U207" s="914"/>
      <c r="V207" s="794"/>
      <c r="W207" s="913"/>
      <c r="X207" s="794">
        <f t="shared" si="7"/>
        <v>1110.52</v>
      </c>
      <c r="Y207" s="881"/>
      <c r="Z207" s="913" t="str">
        <f t="shared" si="8"/>
        <v/>
      </c>
      <c r="AA207" s="794">
        <f t="shared" si="9"/>
        <v>1110.52</v>
      </c>
      <c r="AB207" s="881" t="s">
        <v>2003</v>
      </c>
      <c r="AC207" s="794">
        <f t="shared" si="10"/>
        <v>222.104</v>
      </c>
      <c r="AD207" s="913">
        <f t="shared" si="11"/>
        <v>888.416</v>
      </c>
      <c r="AE207" s="862"/>
      <c r="AF207" s="797" t="s">
        <v>2181</v>
      </c>
      <c r="AG207" s="886" t="b">
        <v>0</v>
      </c>
      <c r="AH207" s="780"/>
      <c r="AI207" s="780"/>
      <c r="AJ207" s="780"/>
      <c r="AK207" s="780"/>
      <c r="AL207" s="780"/>
      <c r="AM207" s="780"/>
      <c r="AN207" s="780"/>
      <c r="AO207" s="780"/>
      <c r="AP207" s="780"/>
      <c r="AQ207" s="780"/>
      <c r="AR207" s="780"/>
      <c r="AS207" s="780"/>
      <c r="AT207" s="780"/>
      <c r="AU207" s="780"/>
      <c r="AV207" s="780"/>
      <c r="AW207" s="780"/>
    </row>
    <row r="208">
      <c r="A208" s="852">
        <v>46063.0</v>
      </c>
      <c r="B208" s="852">
        <v>46063.0</v>
      </c>
      <c r="C208" s="853" t="str">
        <f t="shared" si="66"/>
        <v>fev.</v>
      </c>
      <c r="D208" s="854"/>
      <c r="E208" s="855" t="s">
        <v>2238</v>
      </c>
      <c r="F208" s="856"/>
      <c r="G208" s="856"/>
      <c r="H208" s="856"/>
      <c r="I208" s="912">
        <v>0.00138428</v>
      </c>
      <c r="J208" s="858">
        <v>0.035</v>
      </c>
      <c r="K208" s="794">
        <f t="shared" si="22"/>
        <v>0</v>
      </c>
      <c r="L208" s="859">
        <f t="shared" si="23"/>
        <v>0</v>
      </c>
      <c r="M208" s="858">
        <v>0.0215</v>
      </c>
      <c r="N208" s="860">
        <f t="shared" si="24"/>
        <v>0.00141404202</v>
      </c>
      <c r="O208" s="794">
        <f t="shared" si="25"/>
        <v>15</v>
      </c>
      <c r="P208" s="794">
        <f t="shared" ref="P208:P211" si="75">(K208*N208)+M227</f>
        <v>0.0215</v>
      </c>
      <c r="Q208" s="861">
        <v>480.85</v>
      </c>
      <c r="R208" s="882">
        <f t="shared" si="74"/>
        <v>0</v>
      </c>
      <c r="S208" s="913"/>
      <c r="T208" s="794">
        <v>0.06</v>
      </c>
      <c r="U208" s="914"/>
      <c r="V208" s="794"/>
      <c r="W208" s="913"/>
      <c r="X208" s="794">
        <f t="shared" si="7"/>
        <v>480.85</v>
      </c>
      <c r="Y208" s="881"/>
      <c r="Z208" s="913" t="str">
        <f t="shared" si="8"/>
        <v/>
      </c>
      <c r="AA208" s="794">
        <f t="shared" si="9"/>
        <v>480.85</v>
      </c>
      <c r="AB208" s="881" t="s">
        <v>2003</v>
      </c>
      <c r="AC208" s="794">
        <f t="shared" si="10"/>
        <v>96.17</v>
      </c>
      <c r="AD208" s="913">
        <f t="shared" si="11"/>
        <v>384.68</v>
      </c>
      <c r="AE208" s="862"/>
      <c r="AF208" s="797" t="s">
        <v>2181</v>
      </c>
      <c r="AG208" s="886" t="b">
        <v>0</v>
      </c>
      <c r="AH208" s="906"/>
      <c r="AI208" s="906"/>
      <c r="AJ208" s="906"/>
      <c r="AK208" s="906"/>
      <c r="AL208" s="906"/>
      <c r="AM208" s="906"/>
      <c r="AN208" s="906"/>
      <c r="AO208" s="906"/>
      <c r="AP208" s="906"/>
      <c r="AQ208" s="906"/>
      <c r="AR208" s="906"/>
      <c r="AS208" s="906"/>
      <c r="AT208" s="906"/>
      <c r="AU208" s="906"/>
      <c r="AV208" s="906"/>
      <c r="AW208" s="906"/>
    </row>
    <row r="209">
      <c r="A209" s="852">
        <v>46063.0</v>
      </c>
      <c r="B209" s="852">
        <v>46063.0</v>
      </c>
      <c r="C209" s="853" t="str">
        <f t="shared" si="66"/>
        <v>fev.</v>
      </c>
      <c r="D209" s="880"/>
      <c r="E209" s="881" t="s">
        <v>2239</v>
      </c>
      <c r="F209" s="856"/>
      <c r="G209" s="856"/>
      <c r="H209" s="856"/>
      <c r="I209" s="912">
        <v>0.00138428</v>
      </c>
      <c r="J209" s="858">
        <v>0.035</v>
      </c>
      <c r="K209" s="794">
        <f t="shared" si="22"/>
        <v>0</v>
      </c>
      <c r="L209" s="859">
        <f t="shared" si="23"/>
        <v>0</v>
      </c>
      <c r="M209" s="858">
        <v>0.0215</v>
      </c>
      <c r="N209" s="860">
        <f t="shared" si="24"/>
        <v>0.00141404202</v>
      </c>
      <c r="O209" s="794">
        <f t="shared" si="25"/>
        <v>15</v>
      </c>
      <c r="P209" s="794">
        <f t="shared" si="75"/>
        <v>0.0215</v>
      </c>
      <c r="Q209" s="861">
        <v>423.94</v>
      </c>
      <c r="R209" s="882">
        <f t="shared" si="74"/>
        <v>0</v>
      </c>
      <c r="S209" s="913"/>
      <c r="T209" s="794">
        <v>0.06</v>
      </c>
      <c r="U209" s="914"/>
      <c r="V209" s="794"/>
      <c r="W209" s="913"/>
      <c r="X209" s="794">
        <f t="shared" si="7"/>
        <v>423.94</v>
      </c>
      <c r="Y209" s="881"/>
      <c r="Z209" s="913" t="str">
        <f t="shared" si="8"/>
        <v/>
      </c>
      <c r="AA209" s="794">
        <f t="shared" si="9"/>
        <v>423.94</v>
      </c>
      <c r="AB209" s="881" t="s">
        <v>2003</v>
      </c>
      <c r="AC209" s="794">
        <f t="shared" si="10"/>
        <v>84.788</v>
      </c>
      <c r="AD209" s="913">
        <f t="shared" si="11"/>
        <v>339.152</v>
      </c>
      <c r="AE209" s="862"/>
      <c r="AF209" s="797" t="s">
        <v>2181</v>
      </c>
      <c r="AG209" s="886" t="b">
        <v>0</v>
      </c>
      <c r="AH209" s="906"/>
      <c r="AI209" s="906"/>
      <c r="AJ209" s="906"/>
      <c r="AK209" s="906"/>
      <c r="AL209" s="906"/>
      <c r="AM209" s="906"/>
      <c r="AN209" s="906"/>
      <c r="AO209" s="906"/>
      <c r="AP209" s="906"/>
      <c r="AQ209" s="906"/>
      <c r="AR209" s="906"/>
      <c r="AS209" s="906"/>
      <c r="AT209" s="906"/>
      <c r="AU209" s="906"/>
      <c r="AV209" s="906"/>
      <c r="AW209" s="906"/>
    </row>
    <row r="210">
      <c r="A210" s="961">
        <v>46063.0</v>
      </c>
      <c r="B210" s="961">
        <v>46070.0</v>
      </c>
      <c r="C210" s="962" t="str">
        <f t="shared" si="66"/>
        <v>fev.</v>
      </c>
      <c r="D210" s="997"/>
      <c r="E210" s="998" t="s">
        <v>773</v>
      </c>
      <c r="F210" s="965"/>
      <c r="G210" s="965"/>
      <c r="H210" s="965"/>
      <c r="I210" s="966">
        <v>0.00138428</v>
      </c>
      <c r="J210" s="967">
        <v>0.035</v>
      </c>
      <c r="K210" s="936">
        <f t="shared" si="22"/>
        <v>3533.2703</v>
      </c>
      <c r="L210" s="968">
        <f t="shared" si="23"/>
        <v>128.1497</v>
      </c>
      <c r="M210" s="967">
        <v>0.0215</v>
      </c>
      <c r="N210" s="969">
        <f t="shared" si="24"/>
        <v>0.00141404202</v>
      </c>
      <c r="O210" s="936">
        <f t="shared" si="25"/>
        <v>90.96531145</v>
      </c>
      <c r="P210" s="936">
        <f t="shared" si="75"/>
        <v>5.017692672</v>
      </c>
      <c r="Q210" s="970">
        <v>4734.0</v>
      </c>
      <c r="R210" s="970">
        <v>3661.42</v>
      </c>
      <c r="S210" s="935"/>
      <c r="T210" s="936">
        <v>0.06</v>
      </c>
      <c r="U210" s="937"/>
      <c r="V210" s="936"/>
      <c r="W210" s="935"/>
      <c r="X210" s="936">
        <f t="shared" si="7"/>
        <v>1072.58</v>
      </c>
      <c r="Y210" s="964"/>
      <c r="Z210" s="935" t="str">
        <f t="shared" si="8"/>
        <v/>
      </c>
      <c r="AA210" s="936">
        <f t="shared" si="9"/>
        <v>1072.58</v>
      </c>
      <c r="AB210" s="964" t="s">
        <v>2003</v>
      </c>
      <c r="AC210" s="936">
        <f t="shared" si="10"/>
        <v>214.516</v>
      </c>
      <c r="AD210" s="935">
        <f t="shared" si="11"/>
        <v>858.064</v>
      </c>
      <c r="AE210" s="938"/>
      <c r="AF210" s="939" t="s">
        <v>2181</v>
      </c>
      <c r="AG210" s="940" t="b">
        <v>0</v>
      </c>
      <c r="AH210" s="999"/>
      <c r="AI210" s="999"/>
      <c r="AJ210" s="999"/>
      <c r="AK210" s="999"/>
      <c r="AL210" s="999"/>
      <c r="AM210" s="999"/>
      <c r="AN210" s="999"/>
      <c r="AO210" s="999"/>
      <c r="AP210" s="999"/>
      <c r="AQ210" s="999"/>
      <c r="AR210" s="999"/>
      <c r="AS210" s="999"/>
      <c r="AT210" s="999"/>
      <c r="AU210" s="999"/>
      <c r="AV210" s="999"/>
      <c r="AW210" s="999"/>
    </row>
    <row r="211">
      <c r="A211" s="852">
        <v>46064.0</v>
      </c>
      <c r="B211" s="852">
        <v>46090.0</v>
      </c>
      <c r="C211" s="853" t="str">
        <f t="shared" si="66"/>
        <v>mar.</v>
      </c>
      <c r="D211" s="880"/>
      <c r="E211" s="881" t="s">
        <v>2240</v>
      </c>
      <c r="F211" s="856"/>
      <c r="G211" s="856"/>
      <c r="H211" s="856"/>
      <c r="I211" s="912">
        <v>0.00138428</v>
      </c>
      <c r="J211" s="858">
        <v>0.035</v>
      </c>
      <c r="K211" s="794">
        <f t="shared" si="22"/>
        <v>0</v>
      </c>
      <c r="L211" s="859">
        <f t="shared" si="23"/>
        <v>0</v>
      </c>
      <c r="M211" s="858">
        <v>0.0215</v>
      </c>
      <c r="N211" s="860">
        <f t="shared" si="24"/>
        <v>0.00141404202</v>
      </c>
      <c r="O211" s="794">
        <f t="shared" si="25"/>
        <v>15</v>
      </c>
      <c r="P211" s="794">
        <f t="shared" si="75"/>
        <v>0.0215</v>
      </c>
      <c r="Q211" s="861">
        <v>1531.66</v>
      </c>
      <c r="R211" s="882">
        <f t="shared" ref="R211:R212" si="76">(G211*N211)*(1+J211)</f>
        <v>0</v>
      </c>
      <c r="S211" s="913"/>
      <c r="T211" s="794">
        <v>0.06</v>
      </c>
      <c r="U211" s="914"/>
      <c r="V211" s="794"/>
      <c r="W211" s="913"/>
      <c r="X211" s="794">
        <f t="shared" si="7"/>
        <v>1531.66</v>
      </c>
      <c r="Y211" s="881"/>
      <c r="Z211" s="913" t="str">
        <f t="shared" si="8"/>
        <v/>
      </c>
      <c r="AA211" s="794">
        <f t="shared" si="9"/>
        <v>1531.66</v>
      </c>
      <c r="AB211" s="881" t="s">
        <v>2003</v>
      </c>
      <c r="AC211" s="794">
        <f t="shared" si="10"/>
        <v>306.332</v>
      </c>
      <c r="AD211" s="913">
        <f t="shared" si="11"/>
        <v>1225.328</v>
      </c>
      <c r="AE211" s="862"/>
      <c r="AF211" s="797" t="s">
        <v>2181</v>
      </c>
      <c r="AG211" s="886" t="b">
        <v>0</v>
      </c>
      <c r="AH211" s="906"/>
      <c r="AI211" s="906"/>
      <c r="AJ211" s="906"/>
      <c r="AK211" s="906"/>
      <c r="AL211" s="906"/>
      <c r="AM211" s="906"/>
      <c r="AN211" s="906"/>
      <c r="AO211" s="906"/>
      <c r="AP211" s="906"/>
      <c r="AQ211" s="906"/>
      <c r="AR211" s="906"/>
      <c r="AS211" s="906"/>
      <c r="AT211" s="906"/>
      <c r="AU211" s="906"/>
      <c r="AV211" s="906"/>
      <c r="AW211" s="906"/>
    </row>
    <row r="212">
      <c r="A212" s="941"/>
      <c r="B212" s="941"/>
      <c r="C212" s="943" t="str">
        <f t="shared" si="66"/>
        <v>dez.</v>
      </c>
      <c r="D212" s="995"/>
      <c r="E212" s="955" t="s">
        <v>2241</v>
      </c>
      <c r="F212" s="946"/>
      <c r="G212" s="946"/>
      <c r="H212" s="946"/>
      <c r="I212" s="947">
        <v>0.00138428</v>
      </c>
      <c r="J212" s="948">
        <v>0.035</v>
      </c>
      <c r="K212" s="949">
        <f t="shared" si="22"/>
        <v>0</v>
      </c>
      <c r="L212" s="950">
        <f t="shared" si="23"/>
        <v>0</v>
      </c>
      <c r="M212" s="948">
        <v>0.0215</v>
      </c>
      <c r="N212" s="951">
        <f t="shared" si="24"/>
        <v>0.00141404202</v>
      </c>
      <c r="O212" s="949">
        <f t="shared" si="25"/>
        <v>15</v>
      </c>
      <c r="P212" s="949">
        <f t="shared" ref="P212:P942" si="77">(K212*N212)+M232</f>
        <v>0.0215</v>
      </c>
      <c r="Q212" s="996">
        <v>224.46</v>
      </c>
      <c r="R212" s="952">
        <f t="shared" si="76"/>
        <v>0</v>
      </c>
      <c r="S212" s="953"/>
      <c r="T212" s="949">
        <v>0.06</v>
      </c>
      <c r="U212" s="954"/>
      <c r="V212" s="949"/>
      <c r="W212" s="953"/>
      <c r="X212" s="949">
        <f t="shared" si="7"/>
        <v>224.46</v>
      </c>
      <c r="Y212" s="955"/>
      <c r="Z212" s="953" t="str">
        <f t="shared" si="8"/>
        <v/>
      </c>
      <c r="AA212" s="949">
        <f t="shared" si="9"/>
        <v>224.46</v>
      </c>
      <c r="AB212" s="955"/>
      <c r="AC212" s="949" t="str">
        <f t="shared" si="10"/>
        <v/>
      </c>
      <c r="AD212" s="953">
        <f t="shared" si="11"/>
        <v>224.46</v>
      </c>
      <c r="AE212" s="956"/>
      <c r="AF212" s="889" t="s">
        <v>2181</v>
      </c>
      <c r="AG212" s="810" t="b">
        <v>0</v>
      </c>
      <c r="AH212" s="780"/>
      <c r="AI212" s="780"/>
      <c r="AJ212" s="780"/>
      <c r="AK212" s="780"/>
      <c r="AL212" s="780"/>
      <c r="AM212" s="780"/>
      <c r="AN212" s="780"/>
      <c r="AO212" s="780"/>
      <c r="AP212" s="780"/>
      <c r="AQ212" s="780"/>
      <c r="AR212" s="780"/>
      <c r="AS212" s="780"/>
      <c r="AT212" s="780"/>
      <c r="AU212" s="780"/>
      <c r="AV212" s="780"/>
      <c r="AW212" s="780"/>
    </row>
    <row r="213">
      <c r="A213" s="961">
        <v>46064.0</v>
      </c>
      <c r="B213" s="961">
        <v>46069.0</v>
      </c>
      <c r="C213" s="962" t="str">
        <f t="shared" si="66"/>
        <v>fev.</v>
      </c>
      <c r="D213" s="997"/>
      <c r="E213" s="998" t="s">
        <v>2242</v>
      </c>
      <c r="F213" s="965"/>
      <c r="G213" s="965"/>
      <c r="H213" s="965"/>
      <c r="I213" s="966">
        <v>0.00138428</v>
      </c>
      <c r="J213" s="967">
        <v>0.035</v>
      </c>
      <c r="K213" s="936">
        <f t="shared" si="22"/>
        <v>176.1318</v>
      </c>
      <c r="L213" s="968">
        <f t="shared" si="23"/>
        <v>6.3882</v>
      </c>
      <c r="M213" s="967">
        <v>0.0215</v>
      </c>
      <c r="N213" s="969">
        <f t="shared" si="24"/>
        <v>0.00141404202</v>
      </c>
      <c r="O213" s="936">
        <f t="shared" si="25"/>
        <v>18.7868337</v>
      </c>
      <c r="P213" s="936">
        <f t="shared" si="77"/>
        <v>0.2705577663</v>
      </c>
      <c r="Q213" s="970">
        <v>372.75</v>
      </c>
      <c r="R213" s="970">
        <v>182.52</v>
      </c>
      <c r="S213" s="935"/>
      <c r="T213" s="936">
        <v>0.06</v>
      </c>
      <c r="U213" s="937"/>
      <c r="V213" s="936"/>
      <c r="W213" s="935"/>
      <c r="X213" s="936">
        <f t="shared" si="7"/>
        <v>190.23</v>
      </c>
      <c r="Y213" s="964"/>
      <c r="Z213" s="935" t="str">
        <f t="shared" si="8"/>
        <v/>
      </c>
      <c r="AA213" s="936">
        <f t="shared" si="9"/>
        <v>190.23</v>
      </c>
      <c r="AB213" s="964" t="s">
        <v>2003</v>
      </c>
      <c r="AC213" s="936">
        <f t="shared" si="10"/>
        <v>38.046</v>
      </c>
      <c r="AD213" s="935">
        <f t="shared" si="11"/>
        <v>152.184</v>
      </c>
      <c r="AE213" s="938"/>
      <c r="AF213" s="939" t="s">
        <v>2181</v>
      </c>
      <c r="AG213" s="940" t="b">
        <v>0</v>
      </c>
      <c r="AH213" s="999"/>
      <c r="AI213" s="999"/>
      <c r="AJ213" s="999"/>
      <c r="AK213" s="999"/>
      <c r="AL213" s="999"/>
      <c r="AM213" s="999"/>
      <c r="AN213" s="999"/>
      <c r="AO213" s="999"/>
      <c r="AP213" s="999"/>
      <c r="AQ213" s="999"/>
      <c r="AR213" s="999"/>
      <c r="AS213" s="999"/>
      <c r="AT213" s="999"/>
      <c r="AU213" s="999"/>
      <c r="AV213" s="999"/>
      <c r="AW213" s="999"/>
    </row>
    <row r="214">
      <c r="A214" s="852">
        <v>46064.0</v>
      </c>
      <c r="B214" s="852">
        <v>46066.0</v>
      </c>
      <c r="C214" s="853" t="str">
        <f t="shared" si="66"/>
        <v>fev.</v>
      </c>
      <c r="D214" s="880"/>
      <c r="E214" s="881" t="s">
        <v>2243</v>
      </c>
      <c r="F214" s="856"/>
      <c r="G214" s="856"/>
      <c r="H214" s="856"/>
      <c r="I214" s="912">
        <v>0.00138428</v>
      </c>
      <c r="J214" s="858">
        <v>0.035</v>
      </c>
      <c r="K214" s="794">
        <f t="shared" si="22"/>
        <v>0</v>
      </c>
      <c r="L214" s="859">
        <f t="shared" si="23"/>
        <v>0</v>
      </c>
      <c r="M214" s="858">
        <v>0.0215</v>
      </c>
      <c r="N214" s="860">
        <f t="shared" si="24"/>
        <v>0.00141404202</v>
      </c>
      <c r="O214" s="794">
        <f t="shared" si="25"/>
        <v>15</v>
      </c>
      <c r="P214" s="794">
        <f t="shared" si="77"/>
        <v>0.0215</v>
      </c>
      <c r="Q214" s="861">
        <v>224.46</v>
      </c>
      <c r="R214" s="882">
        <f t="shared" ref="R214:R962" si="78">(G214*N214)*(1+J214)</f>
        <v>0</v>
      </c>
      <c r="S214" s="913"/>
      <c r="T214" s="794">
        <v>0.06</v>
      </c>
      <c r="U214" s="914"/>
      <c r="V214" s="794"/>
      <c r="W214" s="913"/>
      <c r="X214" s="794">
        <f t="shared" si="7"/>
        <v>224.46</v>
      </c>
      <c r="Y214" s="881"/>
      <c r="Z214" s="913" t="str">
        <f t="shared" si="8"/>
        <v/>
      </c>
      <c r="AA214" s="794">
        <f t="shared" si="9"/>
        <v>224.46</v>
      </c>
      <c r="AB214" s="881" t="s">
        <v>2003</v>
      </c>
      <c r="AC214" s="794">
        <f t="shared" si="10"/>
        <v>44.892</v>
      </c>
      <c r="AD214" s="913">
        <f t="shared" si="11"/>
        <v>179.568</v>
      </c>
      <c r="AE214" s="862"/>
      <c r="AF214" s="797" t="s">
        <v>2181</v>
      </c>
      <c r="AG214" s="886" t="b">
        <v>0</v>
      </c>
      <c r="AH214" s="906"/>
      <c r="AI214" s="906"/>
      <c r="AJ214" s="906"/>
      <c r="AK214" s="906"/>
      <c r="AL214" s="906"/>
      <c r="AM214" s="906"/>
      <c r="AN214" s="906"/>
      <c r="AO214" s="906"/>
      <c r="AP214" s="906"/>
      <c r="AQ214" s="906"/>
      <c r="AR214" s="906"/>
      <c r="AS214" s="906"/>
      <c r="AT214" s="906"/>
      <c r="AU214" s="906"/>
      <c r="AV214" s="906"/>
      <c r="AW214" s="906"/>
    </row>
    <row r="215">
      <c r="A215" s="852">
        <v>46064.0</v>
      </c>
      <c r="B215" s="852">
        <v>46067.0</v>
      </c>
      <c r="C215" s="853" t="str">
        <f t="shared" si="66"/>
        <v>fev.</v>
      </c>
      <c r="D215" s="854"/>
      <c r="E215" s="855" t="s">
        <v>0</v>
      </c>
      <c r="F215" s="856"/>
      <c r="G215" s="856"/>
      <c r="H215" s="856"/>
      <c r="I215" s="912">
        <v>0.00138428</v>
      </c>
      <c r="J215" s="858">
        <v>0.035</v>
      </c>
      <c r="K215" s="794">
        <f t="shared" si="22"/>
        <v>0</v>
      </c>
      <c r="L215" s="859">
        <f t="shared" si="23"/>
        <v>0</v>
      </c>
      <c r="M215" s="858">
        <v>0.0215</v>
      </c>
      <c r="N215" s="860">
        <f t="shared" si="24"/>
        <v>0.00141404202</v>
      </c>
      <c r="O215" s="794">
        <f t="shared" si="25"/>
        <v>15</v>
      </c>
      <c r="P215" s="794">
        <f t="shared" si="77"/>
        <v>0.0215</v>
      </c>
      <c r="Q215" s="861">
        <v>733.1</v>
      </c>
      <c r="R215" s="882">
        <f t="shared" si="78"/>
        <v>0</v>
      </c>
      <c r="S215" s="913"/>
      <c r="T215" s="794">
        <v>0.06</v>
      </c>
      <c r="U215" s="914"/>
      <c r="V215" s="794"/>
      <c r="W215" s="913"/>
      <c r="X215" s="794">
        <f t="shared" si="7"/>
        <v>733.1</v>
      </c>
      <c r="Y215" s="881"/>
      <c r="Z215" s="913" t="str">
        <f t="shared" si="8"/>
        <v/>
      </c>
      <c r="AA215" s="794">
        <f t="shared" si="9"/>
        <v>733.1</v>
      </c>
      <c r="AB215" s="881" t="s">
        <v>2003</v>
      </c>
      <c r="AC215" s="794">
        <f t="shared" si="10"/>
        <v>146.62</v>
      </c>
      <c r="AD215" s="913">
        <f t="shared" si="11"/>
        <v>586.48</v>
      </c>
      <c r="AE215" s="862"/>
      <c r="AF215" s="797" t="s">
        <v>2181</v>
      </c>
      <c r="AG215" s="886" t="b">
        <v>0</v>
      </c>
      <c r="AH215" s="906"/>
      <c r="AI215" s="906"/>
      <c r="AJ215" s="906"/>
      <c r="AK215" s="906"/>
      <c r="AL215" s="906"/>
      <c r="AM215" s="906"/>
      <c r="AN215" s="906"/>
      <c r="AO215" s="906"/>
      <c r="AP215" s="906"/>
      <c r="AQ215" s="906"/>
      <c r="AR215" s="906"/>
      <c r="AS215" s="906"/>
      <c r="AT215" s="906"/>
      <c r="AU215" s="906"/>
      <c r="AV215" s="906"/>
      <c r="AW215" s="906"/>
    </row>
    <row r="216">
      <c r="A216" s="941"/>
      <c r="B216" s="941"/>
      <c r="C216" s="943" t="str">
        <f t="shared" si="66"/>
        <v>dez.</v>
      </c>
      <c r="D216" s="995"/>
      <c r="E216" s="995"/>
      <c r="F216" s="946"/>
      <c r="G216" s="946"/>
      <c r="H216" s="946"/>
      <c r="I216" s="947">
        <v>0.00138428</v>
      </c>
      <c r="J216" s="948">
        <v>0.035</v>
      </c>
      <c r="K216" s="949">
        <f t="shared" si="22"/>
        <v>0</v>
      </c>
      <c r="L216" s="950">
        <f t="shared" si="23"/>
        <v>0</v>
      </c>
      <c r="M216" s="948">
        <v>0.0215</v>
      </c>
      <c r="N216" s="951">
        <f t="shared" si="24"/>
        <v>0.00141404202</v>
      </c>
      <c r="O216" s="949">
        <f t="shared" si="25"/>
        <v>15</v>
      </c>
      <c r="P216" s="949">
        <f t="shared" si="77"/>
        <v>0.0215</v>
      </c>
      <c r="Q216" s="952">
        <f t="shared" ref="Q216:Q962" si="79">(H216*N216)*(1+J216)</f>
        <v>0</v>
      </c>
      <c r="R216" s="952">
        <f t="shared" si="78"/>
        <v>0</v>
      </c>
      <c r="S216" s="953"/>
      <c r="T216" s="949">
        <v>0.06</v>
      </c>
      <c r="U216" s="954"/>
      <c r="V216" s="949"/>
      <c r="W216" s="953"/>
      <c r="X216" s="949">
        <f t="shared" si="7"/>
        <v>0</v>
      </c>
      <c r="Y216" s="955"/>
      <c r="Z216" s="953" t="str">
        <f t="shared" si="8"/>
        <v/>
      </c>
      <c r="AA216" s="949">
        <f t="shared" si="9"/>
        <v>0</v>
      </c>
      <c r="AB216" s="955"/>
      <c r="AC216" s="949" t="str">
        <f t="shared" si="10"/>
        <v/>
      </c>
      <c r="AD216" s="953">
        <f t="shared" si="11"/>
        <v>0</v>
      </c>
      <c r="AE216" s="956"/>
      <c r="AF216" s="889" t="s">
        <v>2181</v>
      </c>
      <c r="AG216" s="810" t="b">
        <v>0</v>
      </c>
      <c r="AH216" s="780"/>
      <c r="AI216" s="780"/>
      <c r="AJ216" s="780"/>
      <c r="AK216" s="780"/>
      <c r="AL216" s="780"/>
      <c r="AM216" s="780"/>
      <c r="AN216" s="780"/>
      <c r="AO216" s="780"/>
      <c r="AP216" s="780"/>
      <c r="AQ216" s="780"/>
      <c r="AR216" s="780"/>
      <c r="AS216" s="780"/>
      <c r="AT216" s="780"/>
      <c r="AU216" s="780"/>
      <c r="AV216" s="780"/>
      <c r="AW216" s="780"/>
    </row>
    <row r="217">
      <c r="A217" s="941"/>
      <c r="B217" s="941"/>
      <c r="C217" s="943" t="str">
        <f t="shared" si="66"/>
        <v>dez.</v>
      </c>
      <c r="D217" s="944"/>
      <c r="E217" s="944"/>
      <c r="F217" s="946"/>
      <c r="G217" s="946"/>
      <c r="H217" s="946"/>
      <c r="I217" s="947">
        <v>0.00138428</v>
      </c>
      <c r="J217" s="948">
        <v>0.035</v>
      </c>
      <c r="K217" s="949">
        <f t="shared" si="22"/>
        <v>0</v>
      </c>
      <c r="L217" s="950">
        <f t="shared" si="23"/>
        <v>0</v>
      </c>
      <c r="M217" s="948">
        <v>0.0215</v>
      </c>
      <c r="N217" s="951">
        <f t="shared" si="24"/>
        <v>0.00141404202</v>
      </c>
      <c r="O217" s="949">
        <f t="shared" si="25"/>
        <v>15</v>
      </c>
      <c r="P217" s="949">
        <f t="shared" si="77"/>
        <v>0.0215</v>
      </c>
      <c r="Q217" s="952">
        <f t="shared" si="79"/>
        <v>0</v>
      </c>
      <c r="R217" s="952">
        <f t="shared" si="78"/>
        <v>0</v>
      </c>
      <c r="S217" s="953"/>
      <c r="T217" s="949">
        <v>0.06</v>
      </c>
      <c r="U217" s="954"/>
      <c r="V217" s="949"/>
      <c r="W217" s="953"/>
      <c r="X217" s="949">
        <f t="shared" si="7"/>
        <v>0</v>
      </c>
      <c r="Y217" s="955"/>
      <c r="Z217" s="953" t="str">
        <f t="shared" si="8"/>
        <v/>
      </c>
      <c r="AA217" s="949">
        <f t="shared" si="9"/>
        <v>0</v>
      </c>
      <c r="AB217" s="955"/>
      <c r="AC217" s="949" t="str">
        <f t="shared" si="10"/>
        <v/>
      </c>
      <c r="AD217" s="953">
        <f t="shared" si="11"/>
        <v>0</v>
      </c>
      <c r="AE217" s="956"/>
      <c r="AF217" s="889" t="s">
        <v>2181</v>
      </c>
      <c r="AG217" s="810" t="b">
        <v>0</v>
      </c>
      <c r="AH217" s="780"/>
      <c r="AI217" s="780"/>
      <c r="AJ217" s="780"/>
      <c r="AK217" s="780"/>
      <c r="AL217" s="780"/>
      <c r="AM217" s="780"/>
      <c r="AN217" s="780"/>
      <c r="AO217" s="780"/>
      <c r="AP217" s="780"/>
      <c r="AQ217" s="780"/>
      <c r="AR217" s="780"/>
      <c r="AS217" s="780"/>
      <c r="AT217" s="780"/>
      <c r="AU217" s="780"/>
      <c r="AV217" s="780"/>
      <c r="AW217" s="780"/>
    </row>
    <row r="218">
      <c r="A218" s="941"/>
      <c r="B218" s="941"/>
      <c r="C218" s="995"/>
      <c r="D218" s="995"/>
      <c r="E218" s="995"/>
      <c r="F218" s="946"/>
      <c r="G218" s="946"/>
      <c r="H218" s="946"/>
      <c r="I218" s="947">
        <v>0.00138428</v>
      </c>
      <c r="J218" s="948">
        <v>0.035</v>
      </c>
      <c r="K218" s="949">
        <f t="shared" si="22"/>
        <v>0</v>
      </c>
      <c r="L218" s="950">
        <f t="shared" si="23"/>
        <v>0</v>
      </c>
      <c r="M218" s="948">
        <v>0.0215</v>
      </c>
      <c r="N218" s="951">
        <f t="shared" si="24"/>
        <v>0.00141404202</v>
      </c>
      <c r="O218" s="949">
        <f t="shared" si="25"/>
        <v>15</v>
      </c>
      <c r="P218" s="949">
        <f t="shared" si="77"/>
        <v>0.0215</v>
      </c>
      <c r="Q218" s="952">
        <f t="shared" si="79"/>
        <v>0</v>
      </c>
      <c r="R218" s="952">
        <f t="shared" si="78"/>
        <v>0</v>
      </c>
      <c r="S218" s="953"/>
      <c r="T218" s="949">
        <v>0.06</v>
      </c>
      <c r="U218" s="954"/>
      <c r="V218" s="949"/>
      <c r="W218" s="953"/>
      <c r="X218" s="949">
        <f t="shared" si="7"/>
        <v>0</v>
      </c>
      <c r="Y218" s="955"/>
      <c r="Z218" s="953" t="str">
        <f t="shared" si="8"/>
        <v/>
      </c>
      <c r="AA218" s="949">
        <f t="shared" si="9"/>
        <v>0</v>
      </c>
      <c r="AB218" s="955"/>
      <c r="AC218" s="949" t="str">
        <f t="shared" si="10"/>
        <v/>
      </c>
      <c r="AD218" s="953">
        <f t="shared" si="11"/>
        <v>0</v>
      </c>
      <c r="AE218" s="956"/>
      <c r="AF218" s="889" t="s">
        <v>2181</v>
      </c>
      <c r="AG218" s="810" t="b">
        <v>0</v>
      </c>
      <c r="AH218" s="780"/>
      <c r="AI218" s="780"/>
      <c r="AJ218" s="780"/>
      <c r="AK218" s="780"/>
      <c r="AL218" s="780"/>
      <c r="AM218" s="780"/>
      <c r="AN218" s="780"/>
      <c r="AO218" s="780"/>
      <c r="AP218" s="780"/>
      <c r="AQ218" s="780"/>
      <c r="AR218" s="780"/>
      <c r="AS218" s="780"/>
      <c r="AT218" s="780"/>
      <c r="AU218" s="780"/>
      <c r="AV218" s="780"/>
      <c r="AW218" s="780"/>
    </row>
    <row r="219">
      <c r="A219" s="941"/>
      <c r="B219" s="941"/>
      <c r="C219" s="995"/>
      <c r="D219" s="944"/>
      <c r="E219" s="944"/>
      <c r="F219" s="946"/>
      <c r="G219" s="946"/>
      <c r="H219" s="946"/>
      <c r="I219" s="947">
        <v>0.00138428</v>
      </c>
      <c r="J219" s="948">
        <v>0.035</v>
      </c>
      <c r="K219" s="949">
        <f t="shared" si="22"/>
        <v>0</v>
      </c>
      <c r="L219" s="950">
        <f t="shared" si="23"/>
        <v>0</v>
      </c>
      <c r="M219" s="948">
        <v>0.0215</v>
      </c>
      <c r="N219" s="951">
        <f t="shared" si="24"/>
        <v>0.00141404202</v>
      </c>
      <c r="O219" s="949">
        <f t="shared" si="25"/>
        <v>15</v>
      </c>
      <c r="P219" s="949">
        <f t="shared" si="77"/>
        <v>0.0215</v>
      </c>
      <c r="Q219" s="952">
        <f t="shared" si="79"/>
        <v>0</v>
      </c>
      <c r="R219" s="952">
        <f t="shared" si="78"/>
        <v>0</v>
      </c>
      <c r="S219" s="953"/>
      <c r="T219" s="949">
        <v>0.06</v>
      </c>
      <c r="U219" s="954"/>
      <c r="V219" s="949"/>
      <c r="W219" s="953"/>
      <c r="X219" s="949">
        <f t="shared" si="7"/>
        <v>0</v>
      </c>
      <c r="Y219" s="955"/>
      <c r="Z219" s="953" t="str">
        <f t="shared" si="8"/>
        <v/>
      </c>
      <c r="AA219" s="949">
        <f t="shared" si="9"/>
        <v>0</v>
      </c>
      <c r="AB219" s="955"/>
      <c r="AC219" s="949" t="str">
        <f t="shared" si="10"/>
        <v/>
      </c>
      <c r="AD219" s="953">
        <f t="shared" si="11"/>
        <v>0</v>
      </c>
      <c r="AE219" s="956"/>
      <c r="AF219" s="889" t="s">
        <v>2181</v>
      </c>
      <c r="AG219" s="810" t="b">
        <v>0</v>
      </c>
      <c r="AH219" s="780"/>
      <c r="AI219" s="780"/>
      <c r="AJ219" s="780"/>
      <c r="AK219" s="780"/>
      <c r="AL219" s="780"/>
      <c r="AM219" s="780"/>
      <c r="AN219" s="780"/>
      <c r="AO219" s="780"/>
      <c r="AP219" s="780"/>
      <c r="AQ219" s="780"/>
      <c r="AR219" s="780"/>
      <c r="AS219" s="780"/>
      <c r="AT219" s="780"/>
      <c r="AU219" s="780"/>
      <c r="AV219" s="780"/>
      <c r="AW219" s="780"/>
    </row>
    <row r="220">
      <c r="A220" s="941"/>
      <c r="B220" s="941"/>
      <c r="C220" s="995"/>
      <c r="D220" s="995"/>
      <c r="E220" s="995"/>
      <c r="F220" s="946"/>
      <c r="G220" s="946"/>
      <c r="H220" s="946"/>
      <c r="I220" s="947">
        <v>0.00138428</v>
      </c>
      <c r="J220" s="948">
        <v>0.035</v>
      </c>
      <c r="K220" s="949">
        <f t="shared" si="22"/>
        <v>0</v>
      </c>
      <c r="L220" s="950">
        <f t="shared" si="23"/>
        <v>0</v>
      </c>
      <c r="M220" s="948">
        <v>0.0215</v>
      </c>
      <c r="N220" s="951">
        <f t="shared" si="24"/>
        <v>0.00141404202</v>
      </c>
      <c r="O220" s="949">
        <f t="shared" si="25"/>
        <v>15</v>
      </c>
      <c r="P220" s="949">
        <f t="shared" si="77"/>
        <v>0.0215</v>
      </c>
      <c r="Q220" s="952">
        <f t="shared" si="79"/>
        <v>0</v>
      </c>
      <c r="R220" s="952">
        <f t="shared" si="78"/>
        <v>0</v>
      </c>
      <c r="S220" s="953"/>
      <c r="T220" s="949">
        <v>0.06</v>
      </c>
      <c r="U220" s="954"/>
      <c r="V220" s="949"/>
      <c r="W220" s="953"/>
      <c r="X220" s="949">
        <f t="shared" si="7"/>
        <v>0</v>
      </c>
      <c r="Y220" s="955"/>
      <c r="Z220" s="953" t="str">
        <f t="shared" si="8"/>
        <v/>
      </c>
      <c r="AA220" s="949">
        <f t="shared" si="9"/>
        <v>0</v>
      </c>
      <c r="AB220" s="955"/>
      <c r="AC220" s="949" t="str">
        <f t="shared" si="10"/>
        <v/>
      </c>
      <c r="AD220" s="953">
        <f t="shared" si="11"/>
        <v>0</v>
      </c>
      <c r="AE220" s="956"/>
      <c r="AF220" s="889" t="s">
        <v>2181</v>
      </c>
      <c r="AG220" s="810" t="b">
        <v>0</v>
      </c>
      <c r="AH220" s="780"/>
      <c r="AI220" s="780"/>
      <c r="AJ220" s="780"/>
      <c r="AK220" s="780"/>
      <c r="AL220" s="780"/>
      <c r="AM220" s="780"/>
      <c r="AN220" s="780"/>
      <c r="AO220" s="780"/>
      <c r="AP220" s="780"/>
      <c r="AQ220" s="780"/>
      <c r="AR220" s="780"/>
      <c r="AS220" s="780"/>
      <c r="AT220" s="780"/>
      <c r="AU220" s="780"/>
      <c r="AV220" s="780"/>
      <c r="AW220" s="780"/>
    </row>
    <row r="221">
      <c r="A221" s="941"/>
      <c r="B221" s="941"/>
      <c r="C221" s="995"/>
      <c r="D221" s="944"/>
      <c r="E221" s="944"/>
      <c r="F221" s="946"/>
      <c r="G221" s="946"/>
      <c r="H221" s="946"/>
      <c r="I221" s="947">
        <v>0.00138428</v>
      </c>
      <c r="J221" s="948">
        <v>0.035</v>
      </c>
      <c r="K221" s="949">
        <f t="shared" si="22"/>
        <v>0</v>
      </c>
      <c r="L221" s="950">
        <f t="shared" si="23"/>
        <v>0</v>
      </c>
      <c r="M221" s="948">
        <v>0.0215</v>
      </c>
      <c r="N221" s="951">
        <f t="shared" si="24"/>
        <v>0.00141404202</v>
      </c>
      <c r="O221" s="949">
        <f t="shared" si="25"/>
        <v>15</v>
      </c>
      <c r="P221" s="949">
        <f t="shared" si="77"/>
        <v>0.0215</v>
      </c>
      <c r="Q221" s="952">
        <f t="shared" si="79"/>
        <v>0</v>
      </c>
      <c r="R221" s="952">
        <f t="shared" si="78"/>
        <v>0</v>
      </c>
      <c r="S221" s="953"/>
      <c r="T221" s="949">
        <v>0.06</v>
      </c>
      <c r="U221" s="954"/>
      <c r="V221" s="949"/>
      <c r="W221" s="953"/>
      <c r="X221" s="949">
        <f t="shared" si="7"/>
        <v>0</v>
      </c>
      <c r="Y221" s="955"/>
      <c r="Z221" s="953" t="str">
        <f t="shared" si="8"/>
        <v/>
      </c>
      <c r="AA221" s="949">
        <f t="shared" si="9"/>
        <v>0</v>
      </c>
      <c r="AB221" s="955"/>
      <c r="AC221" s="949" t="str">
        <f t="shared" si="10"/>
        <v/>
      </c>
      <c r="AD221" s="953">
        <f t="shared" si="11"/>
        <v>0</v>
      </c>
      <c r="AE221" s="956"/>
      <c r="AF221" s="889" t="s">
        <v>2181</v>
      </c>
      <c r="AG221" s="810" t="b">
        <v>0</v>
      </c>
      <c r="AH221" s="780"/>
      <c r="AI221" s="780"/>
      <c r="AJ221" s="780"/>
      <c r="AK221" s="780"/>
      <c r="AL221" s="780"/>
      <c r="AM221" s="780"/>
      <c r="AN221" s="780"/>
      <c r="AO221" s="780"/>
      <c r="AP221" s="780"/>
      <c r="AQ221" s="780"/>
      <c r="AR221" s="780"/>
      <c r="AS221" s="780"/>
      <c r="AT221" s="780"/>
      <c r="AU221" s="780"/>
      <c r="AV221" s="780"/>
      <c r="AW221" s="780"/>
    </row>
    <row r="222">
      <c r="A222" s="941"/>
      <c r="B222" s="941"/>
      <c r="C222" s="995"/>
      <c r="D222" s="995"/>
      <c r="E222" s="995"/>
      <c r="F222" s="946"/>
      <c r="G222" s="946"/>
      <c r="H222" s="946"/>
      <c r="I222" s="947">
        <v>0.00138428</v>
      </c>
      <c r="J222" s="948">
        <v>0.035</v>
      </c>
      <c r="K222" s="949">
        <f t="shared" si="22"/>
        <v>0</v>
      </c>
      <c r="L222" s="950">
        <f t="shared" si="23"/>
        <v>0</v>
      </c>
      <c r="M222" s="948">
        <v>0.0215</v>
      </c>
      <c r="N222" s="951">
        <f t="shared" si="24"/>
        <v>0.00141404202</v>
      </c>
      <c r="O222" s="949">
        <f t="shared" si="25"/>
        <v>15</v>
      </c>
      <c r="P222" s="949">
        <f t="shared" si="77"/>
        <v>0.0215</v>
      </c>
      <c r="Q222" s="952">
        <f t="shared" si="79"/>
        <v>0</v>
      </c>
      <c r="R222" s="952">
        <f t="shared" si="78"/>
        <v>0</v>
      </c>
      <c r="S222" s="953"/>
      <c r="T222" s="949">
        <v>0.06</v>
      </c>
      <c r="U222" s="954"/>
      <c r="V222" s="949"/>
      <c r="W222" s="953"/>
      <c r="X222" s="949">
        <f t="shared" si="7"/>
        <v>0</v>
      </c>
      <c r="Y222" s="955"/>
      <c r="Z222" s="953" t="str">
        <f t="shared" si="8"/>
        <v/>
      </c>
      <c r="AA222" s="949">
        <f t="shared" si="9"/>
        <v>0</v>
      </c>
      <c r="AB222" s="955"/>
      <c r="AC222" s="949" t="str">
        <f t="shared" si="10"/>
        <v/>
      </c>
      <c r="AD222" s="953">
        <f t="shared" si="11"/>
        <v>0</v>
      </c>
      <c r="AE222" s="956"/>
      <c r="AF222" s="889" t="s">
        <v>2181</v>
      </c>
      <c r="AG222" s="810" t="b">
        <v>0</v>
      </c>
      <c r="AH222" s="780"/>
      <c r="AI222" s="780"/>
      <c r="AJ222" s="780"/>
      <c r="AK222" s="780"/>
      <c r="AL222" s="780"/>
      <c r="AM222" s="780"/>
      <c r="AN222" s="780"/>
      <c r="AO222" s="780"/>
      <c r="AP222" s="780"/>
      <c r="AQ222" s="780"/>
      <c r="AR222" s="780"/>
      <c r="AS222" s="780"/>
      <c r="AT222" s="780"/>
      <c r="AU222" s="780"/>
      <c r="AV222" s="780"/>
      <c r="AW222" s="780"/>
    </row>
    <row r="223">
      <c r="A223" s="941"/>
      <c r="B223" s="941"/>
      <c r="C223" s="995"/>
      <c r="D223" s="944"/>
      <c r="E223" s="944"/>
      <c r="F223" s="946"/>
      <c r="G223" s="946"/>
      <c r="H223" s="946"/>
      <c r="I223" s="947">
        <v>0.00138428</v>
      </c>
      <c r="J223" s="948">
        <v>0.035</v>
      </c>
      <c r="K223" s="949">
        <f t="shared" si="22"/>
        <v>0</v>
      </c>
      <c r="L223" s="950">
        <f t="shared" si="23"/>
        <v>0</v>
      </c>
      <c r="M223" s="948">
        <v>0.0215</v>
      </c>
      <c r="N223" s="951">
        <f t="shared" si="24"/>
        <v>0.00141404202</v>
      </c>
      <c r="O223" s="949">
        <f t="shared" si="25"/>
        <v>15</v>
      </c>
      <c r="P223" s="949">
        <f t="shared" si="77"/>
        <v>0.0215</v>
      </c>
      <c r="Q223" s="952">
        <f t="shared" si="79"/>
        <v>0</v>
      </c>
      <c r="R223" s="952">
        <f t="shared" si="78"/>
        <v>0</v>
      </c>
      <c r="S223" s="953"/>
      <c r="T223" s="949">
        <v>0.06</v>
      </c>
      <c r="U223" s="954"/>
      <c r="V223" s="949"/>
      <c r="W223" s="953"/>
      <c r="X223" s="949">
        <f t="shared" si="7"/>
        <v>0</v>
      </c>
      <c r="Y223" s="955"/>
      <c r="Z223" s="953" t="str">
        <f t="shared" si="8"/>
        <v/>
      </c>
      <c r="AA223" s="949">
        <f t="shared" si="9"/>
        <v>0</v>
      </c>
      <c r="AB223" s="955"/>
      <c r="AC223" s="949" t="str">
        <f t="shared" si="10"/>
        <v/>
      </c>
      <c r="AD223" s="953">
        <f t="shared" si="11"/>
        <v>0</v>
      </c>
      <c r="AE223" s="956"/>
      <c r="AF223" s="889" t="s">
        <v>2181</v>
      </c>
      <c r="AG223" s="810" t="b">
        <v>0</v>
      </c>
      <c r="AH223" s="780"/>
      <c r="AI223" s="780"/>
      <c r="AJ223" s="780"/>
      <c r="AK223" s="780"/>
      <c r="AL223" s="780"/>
      <c r="AM223" s="780"/>
      <c r="AN223" s="780"/>
      <c r="AO223" s="780"/>
      <c r="AP223" s="780"/>
      <c r="AQ223" s="780"/>
      <c r="AR223" s="780"/>
      <c r="AS223" s="780"/>
      <c r="AT223" s="780"/>
      <c r="AU223" s="780"/>
      <c r="AV223" s="780"/>
      <c r="AW223" s="780"/>
    </row>
    <row r="224">
      <c r="A224" s="941"/>
      <c r="B224" s="941"/>
      <c r="C224" s="995"/>
      <c r="D224" s="995"/>
      <c r="E224" s="995"/>
      <c r="F224" s="946"/>
      <c r="G224" s="946"/>
      <c r="H224" s="946"/>
      <c r="I224" s="947">
        <v>0.00138428</v>
      </c>
      <c r="J224" s="948">
        <v>0.035</v>
      </c>
      <c r="K224" s="949">
        <f t="shared" si="22"/>
        <v>0</v>
      </c>
      <c r="L224" s="950">
        <f t="shared" si="23"/>
        <v>0</v>
      </c>
      <c r="M224" s="948">
        <v>0.0215</v>
      </c>
      <c r="N224" s="951">
        <f t="shared" si="24"/>
        <v>0.00141404202</v>
      </c>
      <c r="O224" s="949">
        <f t="shared" si="25"/>
        <v>15</v>
      </c>
      <c r="P224" s="949">
        <f t="shared" si="77"/>
        <v>0.0215</v>
      </c>
      <c r="Q224" s="952">
        <f t="shared" si="79"/>
        <v>0</v>
      </c>
      <c r="R224" s="952">
        <f t="shared" si="78"/>
        <v>0</v>
      </c>
      <c r="S224" s="953"/>
      <c r="T224" s="949">
        <v>0.06</v>
      </c>
      <c r="U224" s="954"/>
      <c r="V224" s="949"/>
      <c r="W224" s="953"/>
      <c r="X224" s="949">
        <f t="shared" si="7"/>
        <v>0</v>
      </c>
      <c r="Y224" s="955"/>
      <c r="Z224" s="953" t="str">
        <f t="shared" si="8"/>
        <v/>
      </c>
      <c r="AA224" s="949">
        <f t="shared" si="9"/>
        <v>0</v>
      </c>
      <c r="AB224" s="955"/>
      <c r="AC224" s="949" t="str">
        <f t="shared" si="10"/>
        <v/>
      </c>
      <c r="AD224" s="953">
        <f t="shared" si="11"/>
        <v>0</v>
      </c>
      <c r="AE224" s="956"/>
      <c r="AF224" s="889" t="s">
        <v>2181</v>
      </c>
      <c r="AG224" s="810" t="b">
        <v>0</v>
      </c>
      <c r="AH224" s="780"/>
      <c r="AI224" s="780"/>
      <c r="AJ224" s="780"/>
      <c r="AK224" s="780"/>
      <c r="AL224" s="780"/>
      <c r="AM224" s="780"/>
      <c r="AN224" s="780"/>
      <c r="AO224" s="780"/>
      <c r="AP224" s="780"/>
      <c r="AQ224" s="780"/>
      <c r="AR224" s="780"/>
      <c r="AS224" s="780"/>
      <c r="AT224" s="780"/>
      <c r="AU224" s="780"/>
      <c r="AV224" s="780"/>
      <c r="AW224" s="780"/>
    </row>
    <row r="225">
      <c r="A225" s="941"/>
      <c r="B225" s="941"/>
      <c r="C225" s="995"/>
      <c r="D225" s="944"/>
      <c r="E225" s="944"/>
      <c r="F225" s="946"/>
      <c r="G225" s="946"/>
      <c r="H225" s="946"/>
      <c r="I225" s="947">
        <v>0.00138428</v>
      </c>
      <c r="J225" s="948">
        <v>0.035</v>
      </c>
      <c r="K225" s="949">
        <f t="shared" si="22"/>
        <v>0</v>
      </c>
      <c r="L225" s="950">
        <f t="shared" si="23"/>
        <v>0</v>
      </c>
      <c r="M225" s="948">
        <v>0.0215</v>
      </c>
      <c r="N225" s="951">
        <f t="shared" si="24"/>
        <v>0.00141404202</v>
      </c>
      <c r="O225" s="949">
        <f t="shared" si="25"/>
        <v>15</v>
      </c>
      <c r="P225" s="949">
        <f t="shared" si="77"/>
        <v>0.0215</v>
      </c>
      <c r="Q225" s="952">
        <f t="shared" si="79"/>
        <v>0</v>
      </c>
      <c r="R225" s="952">
        <f t="shared" si="78"/>
        <v>0</v>
      </c>
      <c r="S225" s="953"/>
      <c r="T225" s="949">
        <v>0.06</v>
      </c>
      <c r="U225" s="954"/>
      <c r="V225" s="949"/>
      <c r="W225" s="953"/>
      <c r="X225" s="949">
        <f t="shared" si="7"/>
        <v>0</v>
      </c>
      <c r="Y225" s="955"/>
      <c r="Z225" s="953" t="str">
        <f t="shared" si="8"/>
        <v/>
      </c>
      <c r="AA225" s="949">
        <f t="shared" si="9"/>
        <v>0</v>
      </c>
      <c r="AB225" s="955"/>
      <c r="AC225" s="949" t="str">
        <f t="shared" si="10"/>
        <v/>
      </c>
      <c r="AD225" s="953">
        <f t="shared" si="11"/>
        <v>0</v>
      </c>
      <c r="AE225" s="956"/>
      <c r="AF225" s="889" t="s">
        <v>2181</v>
      </c>
      <c r="AG225" s="810" t="b">
        <v>0</v>
      </c>
      <c r="AH225" s="780"/>
      <c r="AI225" s="780"/>
      <c r="AJ225" s="780"/>
      <c r="AK225" s="780"/>
      <c r="AL225" s="780"/>
      <c r="AM225" s="780"/>
      <c r="AN225" s="780"/>
      <c r="AO225" s="780"/>
      <c r="AP225" s="780"/>
      <c r="AQ225" s="780"/>
      <c r="AR225" s="780"/>
      <c r="AS225" s="780"/>
      <c r="AT225" s="780"/>
      <c r="AU225" s="780"/>
      <c r="AV225" s="780"/>
      <c r="AW225" s="780"/>
    </row>
    <row r="226">
      <c r="A226" s="941"/>
      <c r="B226" s="941"/>
      <c r="C226" s="995"/>
      <c r="D226" s="995"/>
      <c r="E226" s="995"/>
      <c r="F226" s="946"/>
      <c r="G226" s="946"/>
      <c r="H226" s="946"/>
      <c r="I226" s="947">
        <v>0.00138428</v>
      </c>
      <c r="J226" s="948">
        <v>0.035</v>
      </c>
      <c r="K226" s="949">
        <f t="shared" si="22"/>
        <v>0</v>
      </c>
      <c r="L226" s="950">
        <f t="shared" si="23"/>
        <v>0</v>
      </c>
      <c r="M226" s="948">
        <v>0.0215</v>
      </c>
      <c r="N226" s="951">
        <f t="shared" si="24"/>
        <v>0.00141404202</v>
      </c>
      <c r="O226" s="949">
        <f t="shared" si="25"/>
        <v>15</v>
      </c>
      <c r="P226" s="949">
        <f t="shared" si="77"/>
        <v>0.0215</v>
      </c>
      <c r="Q226" s="952">
        <f t="shared" si="79"/>
        <v>0</v>
      </c>
      <c r="R226" s="952">
        <f t="shared" si="78"/>
        <v>0</v>
      </c>
      <c r="S226" s="953"/>
      <c r="T226" s="949">
        <v>0.06</v>
      </c>
      <c r="U226" s="954"/>
      <c r="V226" s="949"/>
      <c r="W226" s="953"/>
      <c r="X226" s="949">
        <f t="shared" si="7"/>
        <v>0</v>
      </c>
      <c r="Y226" s="955"/>
      <c r="Z226" s="953" t="str">
        <f t="shared" si="8"/>
        <v/>
      </c>
      <c r="AA226" s="949">
        <f t="shared" si="9"/>
        <v>0</v>
      </c>
      <c r="AB226" s="955"/>
      <c r="AC226" s="949" t="str">
        <f t="shared" si="10"/>
        <v/>
      </c>
      <c r="AD226" s="953">
        <f t="shared" si="11"/>
        <v>0</v>
      </c>
      <c r="AE226" s="956"/>
      <c r="AF226" s="889" t="s">
        <v>2181</v>
      </c>
      <c r="AG226" s="810" t="b">
        <v>0</v>
      </c>
      <c r="AH226" s="780"/>
      <c r="AI226" s="780"/>
      <c r="AJ226" s="780"/>
      <c r="AK226" s="780"/>
      <c r="AL226" s="780"/>
      <c r="AM226" s="780"/>
      <c r="AN226" s="780"/>
      <c r="AO226" s="780"/>
      <c r="AP226" s="780"/>
      <c r="AQ226" s="780"/>
      <c r="AR226" s="780"/>
      <c r="AS226" s="780"/>
      <c r="AT226" s="780"/>
      <c r="AU226" s="780"/>
      <c r="AV226" s="780"/>
      <c r="AW226" s="780"/>
    </row>
    <row r="227">
      <c r="A227" s="941"/>
      <c r="B227" s="941"/>
      <c r="C227" s="995"/>
      <c r="D227" s="944"/>
      <c r="E227" s="944"/>
      <c r="F227" s="946"/>
      <c r="G227" s="946"/>
      <c r="H227" s="946"/>
      <c r="I227" s="947">
        <v>0.00138428</v>
      </c>
      <c r="J227" s="948">
        <v>0.035</v>
      </c>
      <c r="K227" s="949">
        <f t="shared" si="22"/>
        <v>0</v>
      </c>
      <c r="L227" s="950">
        <f t="shared" si="23"/>
        <v>0</v>
      </c>
      <c r="M227" s="948">
        <v>0.0215</v>
      </c>
      <c r="N227" s="951">
        <f t="shared" si="24"/>
        <v>0.00141404202</v>
      </c>
      <c r="O227" s="949">
        <f t="shared" si="25"/>
        <v>15</v>
      </c>
      <c r="P227" s="949">
        <f t="shared" si="77"/>
        <v>0.0215</v>
      </c>
      <c r="Q227" s="952">
        <f t="shared" si="79"/>
        <v>0</v>
      </c>
      <c r="R227" s="952">
        <f t="shared" si="78"/>
        <v>0</v>
      </c>
      <c r="S227" s="953"/>
      <c r="T227" s="949">
        <v>0.06</v>
      </c>
      <c r="U227" s="954"/>
      <c r="V227" s="949"/>
      <c r="W227" s="953"/>
      <c r="X227" s="949">
        <f t="shared" si="7"/>
        <v>0</v>
      </c>
      <c r="Y227" s="955"/>
      <c r="Z227" s="953" t="str">
        <f t="shared" si="8"/>
        <v/>
      </c>
      <c r="AA227" s="949">
        <f t="shared" si="9"/>
        <v>0</v>
      </c>
      <c r="AB227" s="955"/>
      <c r="AC227" s="949" t="str">
        <f t="shared" si="10"/>
        <v/>
      </c>
      <c r="AD227" s="953">
        <f t="shared" si="11"/>
        <v>0</v>
      </c>
      <c r="AE227" s="956"/>
      <c r="AF227" s="889" t="s">
        <v>2181</v>
      </c>
      <c r="AG227" s="810" t="b">
        <v>0</v>
      </c>
      <c r="AH227" s="780"/>
      <c r="AI227" s="780"/>
      <c r="AJ227" s="780"/>
      <c r="AK227" s="780"/>
      <c r="AL227" s="780"/>
      <c r="AM227" s="780"/>
      <c r="AN227" s="780"/>
      <c r="AO227" s="780"/>
      <c r="AP227" s="780"/>
      <c r="AQ227" s="780"/>
      <c r="AR227" s="780"/>
      <c r="AS227" s="780"/>
      <c r="AT227" s="780"/>
      <c r="AU227" s="780"/>
      <c r="AV227" s="780"/>
      <c r="AW227" s="780"/>
    </row>
    <row r="228">
      <c r="A228" s="941"/>
      <c r="B228" s="941"/>
      <c r="C228" s="995"/>
      <c r="D228" s="995"/>
      <c r="E228" s="995"/>
      <c r="F228" s="946"/>
      <c r="G228" s="946"/>
      <c r="H228" s="946"/>
      <c r="I228" s="947">
        <v>0.00138428</v>
      </c>
      <c r="J228" s="948">
        <v>0.035</v>
      </c>
      <c r="K228" s="949">
        <f t="shared" si="22"/>
        <v>0</v>
      </c>
      <c r="L228" s="950">
        <f t="shared" si="23"/>
        <v>0</v>
      </c>
      <c r="M228" s="948">
        <v>0.0215</v>
      </c>
      <c r="N228" s="951">
        <f t="shared" si="24"/>
        <v>0.00141404202</v>
      </c>
      <c r="O228" s="949">
        <f t="shared" si="25"/>
        <v>15</v>
      </c>
      <c r="P228" s="949">
        <f t="shared" si="77"/>
        <v>0.0215</v>
      </c>
      <c r="Q228" s="952">
        <f t="shared" si="79"/>
        <v>0</v>
      </c>
      <c r="R228" s="952">
        <f t="shared" si="78"/>
        <v>0</v>
      </c>
      <c r="S228" s="953"/>
      <c r="T228" s="949">
        <v>0.06</v>
      </c>
      <c r="U228" s="954"/>
      <c r="V228" s="949"/>
      <c r="W228" s="953"/>
      <c r="X228" s="949">
        <f t="shared" si="7"/>
        <v>0</v>
      </c>
      <c r="Y228" s="955"/>
      <c r="Z228" s="953" t="str">
        <f t="shared" si="8"/>
        <v/>
      </c>
      <c r="AA228" s="949">
        <f t="shared" si="9"/>
        <v>0</v>
      </c>
      <c r="AB228" s="955"/>
      <c r="AC228" s="949" t="str">
        <f t="shared" si="10"/>
        <v/>
      </c>
      <c r="AD228" s="953">
        <f t="shared" si="11"/>
        <v>0</v>
      </c>
      <c r="AE228" s="956"/>
      <c r="AF228" s="889" t="s">
        <v>2181</v>
      </c>
      <c r="AG228" s="810" t="b">
        <v>0</v>
      </c>
      <c r="AH228" s="780"/>
      <c r="AI228" s="780"/>
      <c r="AJ228" s="780"/>
      <c r="AK228" s="780"/>
      <c r="AL228" s="780"/>
      <c r="AM228" s="780"/>
      <c r="AN228" s="780"/>
      <c r="AO228" s="780"/>
      <c r="AP228" s="780"/>
      <c r="AQ228" s="780"/>
      <c r="AR228" s="780"/>
      <c r="AS228" s="780"/>
      <c r="AT228" s="780"/>
      <c r="AU228" s="780"/>
      <c r="AV228" s="780"/>
      <c r="AW228" s="780"/>
    </row>
    <row r="229">
      <c r="A229" s="941"/>
      <c r="B229" s="941"/>
      <c r="C229" s="995"/>
      <c r="D229" s="944"/>
      <c r="E229" s="944"/>
      <c r="F229" s="946"/>
      <c r="G229" s="946"/>
      <c r="H229" s="946"/>
      <c r="I229" s="947">
        <v>0.00138428</v>
      </c>
      <c r="J229" s="948">
        <v>0.035</v>
      </c>
      <c r="K229" s="949">
        <f t="shared" si="22"/>
        <v>0</v>
      </c>
      <c r="L229" s="950">
        <f t="shared" si="23"/>
        <v>0</v>
      </c>
      <c r="M229" s="948">
        <v>0.0215</v>
      </c>
      <c r="N229" s="951">
        <f t="shared" si="24"/>
        <v>0.00141404202</v>
      </c>
      <c r="O229" s="949">
        <f t="shared" si="25"/>
        <v>15</v>
      </c>
      <c r="P229" s="949">
        <f t="shared" si="77"/>
        <v>0.0215</v>
      </c>
      <c r="Q229" s="952">
        <f t="shared" si="79"/>
        <v>0</v>
      </c>
      <c r="R229" s="952">
        <f t="shared" si="78"/>
        <v>0</v>
      </c>
      <c r="S229" s="953"/>
      <c r="T229" s="949">
        <v>0.06</v>
      </c>
      <c r="U229" s="954"/>
      <c r="V229" s="949"/>
      <c r="W229" s="953"/>
      <c r="X229" s="949">
        <f t="shared" si="7"/>
        <v>0</v>
      </c>
      <c r="Y229" s="955"/>
      <c r="Z229" s="953" t="str">
        <f t="shared" si="8"/>
        <v/>
      </c>
      <c r="AA229" s="949">
        <f t="shared" si="9"/>
        <v>0</v>
      </c>
      <c r="AB229" s="955"/>
      <c r="AC229" s="949" t="str">
        <f t="shared" si="10"/>
        <v/>
      </c>
      <c r="AD229" s="953">
        <f t="shared" si="11"/>
        <v>0</v>
      </c>
      <c r="AE229" s="956"/>
      <c r="AF229" s="889" t="s">
        <v>2181</v>
      </c>
      <c r="AG229" s="810" t="b">
        <v>0</v>
      </c>
      <c r="AH229" s="780"/>
      <c r="AI229" s="780"/>
      <c r="AJ229" s="780"/>
      <c r="AK229" s="780"/>
      <c r="AL229" s="780"/>
      <c r="AM229" s="780"/>
      <c r="AN229" s="780"/>
      <c r="AO229" s="780"/>
      <c r="AP229" s="780"/>
      <c r="AQ229" s="780"/>
      <c r="AR229" s="780"/>
      <c r="AS229" s="780"/>
      <c r="AT229" s="780"/>
      <c r="AU229" s="780"/>
      <c r="AV229" s="780"/>
      <c r="AW229" s="780"/>
    </row>
    <row r="230">
      <c r="A230" s="941"/>
      <c r="B230" s="941"/>
      <c r="C230" s="995"/>
      <c r="D230" s="995"/>
      <c r="E230" s="995"/>
      <c r="F230" s="946"/>
      <c r="G230" s="946"/>
      <c r="H230" s="946"/>
      <c r="I230" s="947">
        <v>0.00138428</v>
      </c>
      <c r="J230" s="948">
        <v>0.035</v>
      </c>
      <c r="K230" s="949">
        <f t="shared" si="22"/>
        <v>0</v>
      </c>
      <c r="L230" s="950">
        <f t="shared" si="23"/>
        <v>0</v>
      </c>
      <c r="M230" s="948">
        <v>0.0215</v>
      </c>
      <c r="N230" s="951">
        <f t="shared" si="24"/>
        <v>0.00141404202</v>
      </c>
      <c r="O230" s="949">
        <f t="shared" si="25"/>
        <v>15</v>
      </c>
      <c r="P230" s="949">
        <f t="shared" si="77"/>
        <v>0.0215</v>
      </c>
      <c r="Q230" s="952">
        <f t="shared" si="79"/>
        <v>0</v>
      </c>
      <c r="R230" s="952">
        <f t="shared" si="78"/>
        <v>0</v>
      </c>
      <c r="S230" s="953"/>
      <c r="T230" s="949">
        <v>0.06</v>
      </c>
      <c r="U230" s="954"/>
      <c r="V230" s="949"/>
      <c r="W230" s="953"/>
      <c r="X230" s="949">
        <f t="shared" si="7"/>
        <v>0</v>
      </c>
      <c r="Y230" s="955"/>
      <c r="Z230" s="953" t="str">
        <f t="shared" si="8"/>
        <v/>
      </c>
      <c r="AA230" s="949">
        <f t="shared" si="9"/>
        <v>0</v>
      </c>
      <c r="AB230" s="955"/>
      <c r="AC230" s="949" t="str">
        <f t="shared" si="10"/>
        <v/>
      </c>
      <c r="AD230" s="953">
        <f t="shared" si="11"/>
        <v>0</v>
      </c>
      <c r="AE230" s="956"/>
      <c r="AF230" s="889" t="s">
        <v>2181</v>
      </c>
      <c r="AG230" s="810" t="b">
        <v>0</v>
      </c>
      <c r="AH230" s="780"/>
      <c r="AI230" s="780"/>
      <c r="AJ230" s="780"/>
      <c r="AK230" s="780"/>
      <c r="AL230" s="780"/>
      <c r="AM230" s="780"/>
      <c r="AN230" s="780"/>
      <c r="AO230" s="780"/>
      <c r="AP230" s="780"/>
      <c r="AQ230" s="780"/>
      <c r="AR230" s="780"/>
      <c r="AS230" s="780"/>
      <c r="AT230" s="780"/>
      <c r="AU230" s="780"/>
      <c r="AV230" s="780"/>
      <c r="AW230" s="780"/>
    </row>
    <row r="231">
      <c r="A231" s="941"/>
      <c r="B231" s="941"/>
      <c r="C231" s="995"/>
      <c r="D231" s="944"/>
      <c r="E231" s="944"/>
      <c r="F231" s="946"/>
      <c r="G231" s="946"/>
      <c r="H231" s="946"/>
      <c r="I231" s="947">
        <v>0.00138428</v>
      </c>
      <c r="J231" s="948">
        <v>0.035</v>
      </c>
      <c r="K231" s="949">
        <f t="shared" si="22"/>
        <v>0</v>
      </c>
      <c r="L231" s="950">
        <f t="shared" si="23"/>
        <v>0</v>
      </c>
      <c r="M231" s="948">
        <v>0.0215</v>
      </c>
      <c r="N231" s="951">
        <f t="shared" si="24"/>
        <v>0.00141404202</v>
      </c>
      <c r="O231" s="949">
        <f t="shared" si="25"/>
        <v>15</v>
      </c>
      <c r="P231" s="949">
        <f t="shared" si="77"/>
        <v>0.0215</v>
      </c>
      <c r="Q231" s="952">
        <f t="shared" si="79"/>
        <v>0</v>
      </c>
      <c r="R231" s="952">
        <f t="shared" si="78"/>
        <v>0</v>
      </c>
      <c r="S231" s="953"/>
      <c r="T231" s="949">
        <v>0.06</v>
      </c>
      <c r="U231" s="954"/>
      <c r="V231" s="949"/>
      <c r="W231" s="953"/>
      <c r="X231" s="949">
        <f t="shared" si="7"/>
        <v>0</v>
      </c>
      <c r="Y231" s="955"/>
      <c r="Z231" s="953" t="str">
        <f t="shared" si="8"/>
        <v/>
      </c>
      <c r="AA231" s="949">
        <f t="shared" si="9"/>
        <v>0</v>
      </c>
      <c r="AB231" s="955"/>
      <c r="AC231" s="949" t="str">
        <f t="shared" si="10"/>
        <v/>
      </c>
      <c r="AD231" s="953">
        <f t="shared" si="11"/>
        <v>0</v>
      </c>
      <c r="AE231" s="956"/>
      <c r="AF231" s="889" t="s">
        <v>2181</v>
      </c>
      <c r="AG231" s="810" t="b">
        <v>0</v>
      </c>
      <c r="AH231" s="780"/>
      <c r="AI231" s="780"/>
      <c r="AJ231" s="780"/>
      <c r="AK231" s="780"/>
      <c r="AL231" s="780"/>
      <c r="AM231" s="780"/>
      <c r="AN231" s="780"/>
      <c r="AO231" s="780"/>
      <c r="AP231" s="780"/>
      <c r="AQ231" s="780"/>
      <c r="AR231" s="780"/>
      <c r="AS231" s="780"/>
      <c r="AT231" s="780"/>
      <c r="AU231" s="780"/>
      <c r="AV231" s="780"/>
      <c r="AW231" s="780"/>
    </row>
    <row r="232">
      <c r="A232" s="941"/>
      <c r="B232" s="941"/>
      <c r="C232" s="995"/>
      <c r="D232" s="995"/>
      <c r="E232" s="995"/>
      <c r="F232" s="946"/>
      <c r="G232" s="946"/>
      <c r="H232" s="946"/>
      <c r="I232" s="947">
        <v>0.00138428</v>
      </c>
      <c r="J232" s="948">
        <v>0.035</v>
      </c>
      <c r="K232" s="949">
        <f t="shared" si="22"/>
        <v>0</v>
      </c>
      <c r="L232" s="950">
        <f t="shared" si="23"/>
        <v>0</v>
      </c>
      <c r="M232" s="948">
        <v>0.0215</v>
      </c>
      <c r="N232" s="951">
        <f t="shared" si="24"/>
        <v>0.00141404202</v>
      </c>
      <c r="O232" s="949">
        <f t="shared" si="25"/>
        <v>15</v>
      </c>
      <c r="P232" s="949">
        <f t="shared" si="77"/>
        <v>0.0215</v>
      </c>
      <c r="Q232" s="952">
        <f t="shared" si="79"/>
        <v>0</v>
      </c>
      <c r="R232" s="952">
        <f t="shared" si="78"/>
        <v>0</v>
      </c>
      <c r="S232" s="953"/>
      <c r="T232" s="949">
        <v>0.06</v>
      </c>
      <c r="U232" s="954"/>
      <c r="V232" s="949"/>
      <c r="W232" s="953"/>
      <c r="X232" s="949">
        <f t="shared" si="7"/>
        <v>0</v>
      </c>
      <c r="Y232" s="955"/>
      <c r="Z232" s="953" t="str">
        <f t="shared" si="8"/>
        <v/>
      </c>
      <c r="AA232" s="949">
        <f t="shared" si="9"/>
        <v>0</v>
      </c>
      <c r="AB232" s="955"/>
      <c r="AC232" s="949" t="str">
        <f t="shared" si="10"/>
        <v/>
      </c>
      <c r="AD232" s="953">
        <f t="shared" si="11"/>
        <v>0</v>
      </c>
      <c r="AE232" s="956"/>
      <c r="AF232" s="889" t="s">
        <v>2181</v>
      </c>
      <c r="AG232" s="810" t="b">
        <v>0</v>
      </c>
      <c r="AH232" s="780"/>
      <c r="AI232" s="780"/>
      <c r="AJ232" s="780"/>
      <c r="AK232" s="780"/>
      <c r="AL232" s="780"/>
      <c r="AM232" s="780"/>
      <c r="AN232" s="780"/>
      <c r="AO232" s="780"/>
      <c r="AP232" s="780"/>
      <c r="AQ232" s="780"/>
      <c r="AR232" s="780"/>
      <c r="AS232" s="780"/>
      <c r="AT232" s="780"/>
      <c r="AU232" s="780"/>
      <c r="AV232" s="780"/>
      <c r="AW232" s="780"/>
    </row>
    <row r="233">
      <c r="A233" s="941"/>
      <c r="B233" s="941"/>
      <c r="C233" s="995"/>
      <c r="D233" s="944"/>
      <c r="E233" s="944"/>
      <c r="F233" s="946"/>
      <c r="G233" s="946"/>
      <c r="H233" s="946"/>
      <c r="I233" s="947">
        <v>0.00138428</v>
      </c>
      <c r="J233" s="948">
        <v>0.035</v>
      </c>
      <c r="K233" s="949">
        <f t="shared" si="22"/>
        <v>0</v>
      </c>
      <c r="L233" s="950">
        <f t="shared" si="23"/>
        <v>0</v>
      </c>
      <c r="M233" s="948">
        <v>0.0215</v>
      </c>
      <c r="N233" s="951">
        <f t="shared" si="24"/>
        <v>0.00141404202</v>
      </c>
      <c r="O233" s="949">
        <f t="shared" si="25"/>
        <v>15</v>
      </c>
      <c r="P233" s="949">
        <f t="shared" si="77"/>
        <v>0.0215</v>
      </c>
      <c r="Q233" s="952">
        <f t="shared" si="79"/>
        <v>0</v>
      </c>
      <c r="R233" s="952">
        <f t="shared" si="78"/>
        <v>0</v>
      </c>
      <c r="S233" s="953"/>
      <c r="T233" s="949">
        <v>0.06</v>
      </c>
      <c r="U233" s="954"/>
      <c r="V233" s="949"/>
      <c r="W233" s="953"/>
      <c r="X233" s="949">
        <f t="shared" si="7"/>
        <v>0</v>
      </c>
      <c r="Y233" s="955"/>
      <c r="Z233" s="953" t="str">
        <f t="shared" si="8"/>
        <v/>
      </c>
      <c r="AA233" s="949">
        <f t="shared" si="9"/>
        <v>0</v>
      </c>
      <c r="AB233" s="955"/>
      <c r="AC233" s="949" t="str">
        <f t="shared" si="10"/>
        <v/>
      </c>
      <c r="AD233" s="953">
        <f t="shared" si="11"/>
        <v>0</v>
      </c>
      <c r="AE233" s="956"/>
      <c r="AF233" s="889" t="s">
        <v>2181</v>
      </c>
      <c r="AG233" s="810" t="b">
        <v>0</v>
      </c>
      <c r="AH233" s="780"/>
      <c r="AI233" s="780"/>
      <c r="AJ233" s="780"/>
      <c r="AK233" s="780"/>
      <c r="AL233" s="780"/>
      <c r="AM233" s="780"/>
      <c r="AN233" s="780"/>
      <c r="AO233" s="780"/>
      <c r="AP233" s="780"/>
      <c r="AQ233" s="780"/>
      <c r="AR233" s="780"/>
      <c r="AS233" s="780"/>
      <c r="AT233" s="780"/>
      <c r="AU233" s="780"/>
      <c r="AV233" s="780"/>
      <c r="AW233" s="780"/>
    </row>
    <row r="234">
      <c r="A234" s="941"/>
      <c r="B234" s="941"/>
      <c r="C234" s="995"/>
      <c r="D234" s="995"/>
      <c r="E234" s="995"/>
      <c r="F234" s="946"/>
      <c r="G234" s="946"/>
      <c r="H234" s="946"/>
      <c r="I234" s="947">
        <v>0.00138428</v>
      </c>
      <c r="J234" s="948">
        <v>0.035</v>
      </c>
      <c r="K234" s="949">
        <f t="shared" si="22"/>
        <v>0</v>
      </c>
      <c r="L234" s="950">
        <f t="shared" si="23"/>
        <v>0</v>
      </c>
      <c r="M234" s="948">
        <v>0.0215</v>
      </c>
      <c r="N234" s="951">
        <f t="shared" si="24"/>
        <v>0.00141404202</v>
      </c>
      <c r="O234" s="949">
        <f t="shared" si="25"/>
        <v>15</v>
      </c>
      <c r="P234" s="949">
        <f t="shared" si="77"/>
        <v>0.0215</v>
      </c>
      <c r="Q234" s="952">
        <f t="shared" si="79"/>
        <v>0</v>
      </c>
      <c r="R234" s="952">
        <f t="shared" si="78"/>
        <v>0</v>
      </c>
      <c r="S234" s="953"/>
      <c r="T234" s="949">
        <v>0.06</v>
      </c>
      <c r="U234" s="954"/>
      <c r="V234" s="949"/>
      <c r="W234" s="953"/>
      <c r="X234" s="949">
        <f t="shared" si="7"/>
        <v>0</v>
      </c>
      <c r="Y234" s="955"/>
      <c r="Z234" s="953" t="str">
        <f t="shared" si="8"/>
        <v/>
      </c>
      <c r="AA234" s="949">
        <f t="shared" si="9"/>
        <v>0</v>
      </c>
      <c r="AB234" s="955"/>
      <c r="AC234" s="949" t="str">
        <f t="shared" si="10"/>
        <v/>
      </c>
      <c r="AD234" s="953">
        <f t="shared" si="11"/>
        <v>0</v>
      </c>
      <c r="AE234" s="956"/>
      <c r="AF234" s="889" t="s">
        <v>2181</v>
      </c>
      <c r="AG234" s="810" t="b">
        <v>0</v>
      </c>
      <c r="AH234" s="780"/>
      <c r="AI234" s="780"/>
      <c r="AJ234" s="780"/>
      <c r="AK234" s="780"/>
      <c r="AL234" s="780"/>
      <c r="AM234" s="780"/>
      <c r="AN234" s="780"/>
      <c r="AO234" s="780"/>
      <c r="AP234" s="780"/>
      <c r="AQ234" s="780"/>
      <c r="AR234" s="780"/>
      <c r="AS234" s="780"/>
      <c r="AT234" s="780"/>
      <c r="AU234" s="780"/>
      <c r="AV234" s="780"/>
      <c r="AW234" s="780"/>
    </row>
    <row r="235">
      <c r="A235" s="941"/>
      <c r="B235" s="941"/>
      <c r="C235" s="995"/>
      <c r="D235" s="944"/>
      <c r="E235" s="944"/>
      <c r="F235" s="946"/>
      <c r="G235" s="946"/>
      <c r="H235" s="946"/>
      <c r="I235" s="947">
        <v>0.00138428</v>
      </c>
      <c r="J235" s="948">
        <v>0.035</v>
      </c>
      <c r="K235" s="949">
        <f t="shared" si="22"/>
        <v>0</v>
      </c>
      <c r="L235" s="950">
        <f t="shared" si="23"/>
        <v>0</v>
      </c>
      <c r="M235" s="948">
        <v>0.0215</v>
      </c>
      <c r="N235" s="951">
        <f t="shared" si="24"/>
        <v>0.00141404202</v>
      </c>
      <c r="O235" s="949">
        <f t="shared" si="25"/>
        <v>15</v>
      </c>
      <c r="P235" s="949">
        <f t="shared" si="77"/>
        <v>0.0215</v>
      </c>
      <c r="Q235" s="952">
        <f t="shared" si="79"/>
        <v>0</v>
      </c>
      <c r="R235" s="952">
        <f t="shared" si="78"/>
        <v>0</v>
      </c>
      <c r="S235" s="953"/>
      <c r="T235" s="949">
        <v>0.06</v>
      </c>
      <c r="U235" s="954"/>
      <c r="V235" s="949"/>
      <c r="W235" s="953"/>
      <c r="X235" s="949">
        <f t="shared" si="7"/>
        <v>0</v>
      </c>
      <c r="Y235" s="955"/>
      <c r="Z235" s="953" t="str">
        <f t="shared" si="8"/>
        <v/>
      </c>
      <c r="AA235" s="949">
        <f t="shared" si="9"/>
        <v>0</v>
      </c>
      <c r="AB235" s="955"/>
      <c r="AC235" s="949" t="str">
        <f t="shared" si="10"/>
        <v/>
      </c>
      <c r="AD235" s="953">
        <f t="shared" si="11"/>
        <v>0</v>
      </c>
      <c r="AE235" s="956"/>
      <c r="AF235" s="889" t="s">
        <v>2181</v>
      </c>
      <c r="AG235" s="810" t="b">
        <v>0</v>
      </c>
      <c r="AH235" s="780"/>
      <c r="AI235" s="780"/>
      <c r="AJ235" s="780"/>
      <c r="AK235" s="780"/>
      <c r="AL235" s="780"/>
      <c r="AM235" s="780"/>
      <c r="AN235" s="780"/>
      <c r="AO235" s="780"/>
      <c r="AP235" s="780"/>
      <c r="AQ235" s="780"/>
      <c r="AR235" s="780"/>
      <c r="AS235" s="780"/>
      <c r="AT235" s="780"/>
      <c r="AU235" s="780"/>
      <c r="AV235" s="780"/>
      <c r="AW235" s="780"/>
    </row>
    <row r="236">
      <c r="A236" s="941"/>
      <c r="B236" s="941"/>
      <c r="C236" s="995"/>
      <c r="D236" s="995"/>
      <c r="E236" s="995"/>
      <c r="F236" s="946"/>
      <c r="G236" s="946"/>
      <c r="H236" s="946"/>
      <c r="I236" s="947">
        <v>0.00138428</v>
      </c>
      <c r="J236" s="948">
        <v>0.035</v>
      </c>
      <c r="K236" s="949">
        <f t="shared" si="22"/>
        <v>0</v>
      </c>
      <c r="L236" s="950">
        <f t="shared" si="23"/>
        <v>0</v>
      </c>
      <c r="M236" s="948">
        <v>0.0215</v>
      </c>
      <c r="N236" s="951">
        <f t="shared" si="24"/>
        <v>0.00141404202</v>
      </c>
      <c r="O236" s="949">
        <f t="shared" si="25"/>
        <v>15</v>
      </c>
      <c r="P236" s="949">
        <f t="shared" si="77"/>
        <v>0.0215</v>
      </c>
      <c r="Q236" s="952">
        <f t="shared" si="79"/>
        <v>0</v>
      </c>
      <c r="R236" s="952">
        <f t="shared" si="78"/>
        <v>0</v>
      </c>
      <c r="S236" s="953"/>
      <c r="T236" s="949">
        <v>0.06</v>
      </c>
      <c r="U236" s="954"/>
      <c r="V236" s="949"/>
      <c r="W236" s="953"/>
      <c r="X236" s="949">
        <f t="shared" si="7"/>
        <v>0</v>
      </c>
      <c r="Y236" s="955"/>
      <c r="Z236" s="953" t="str">
        <f t="shared" si="8"/>
        <v/>
      </c>
      <c r="AA236" s="949">
        <f t="shared" si="9"/>
        <v>0</v>
      </c>
      <c r="AB236" s="955"/>
      <c r="AC236" s="949" t="str">
        <f t="shared" si="10"/>
        <v/>
      </c>
      <c r="AD236" s="953">
        <f t="shared" si="11"/>
        <v>0</v>
      </c>
      <c r="AE236" s="956"/>
      <c r="AF236" s="889" t="s">
        <v>2181</v>
      </c>
      <c r="AG236" s="810" t="b">
        <v>0</v>
      </c>
      <c r="AH236" s="780"/>
      <c r="AI236" s="780"/>
      <c r="AJ236" s="780"/>
      <c r="AK236" s="780"/>
      <c r="AL236" s="780"/>
      <c r="AM236" s="780"/>
      <c r="AN236" s="780"/>
      <c r="AO236" s="780"/>
      <c r="AP236" s="780"/>
      <c r="AQ236" s="780"/>
      <c r="AR236" s="780"/>
      <c r="AS236" s="780"/>
      <c r="AT236" s="780"/>
      <c r="AU236" s="780"/>
      <c r="AV236" s="780"/>
      <c r="AW236" s="780"/>
    </row>
    <row r="237">
      <c r="A237" s="941"/>
      <c r="B237" s="941"/>
      <c r="C237" s="995"/>
      <c r="D237" s="944"/>
      <c r="E237" s="944"/>
      <c r="F237" s="946"/>
      <c r="G237" s="946"/>
      <c r="H237" s="946"/>
      <c r="I237" s="947">
        <v>0.00138428</v>
      </c>
      <c r="J237" s="948">
        <v>0.035</v>
      </c>
      <c r="K237" s="949">
        <f t="shared" si="22"/>
        <v>0</v>
      </c>
      <c r="L237" s="950">
        <f t="shared" si="23"/>
        <v>0</v>
      </c>
      <c r="M237" s="948">
        <v>0.0215</v>
      </c>
      <c r="N237" s="951">
        <f t="shared" si="24"/>
        <v>0.00141404202</v>
      </c>
      <c r="O237" s="949">
        <f t="shared" si="25"/>
        <v>15</v>
      </c>
      <c r="P237" s="949">
        <f t="shared" si="77"/>
        <v>0.0215</v>
      </c>
      <c r="Q237" s="952">
        <f t="shared" si="79"/>
        <v>0</v>
      </c>
      <c r="R237" s="952">
        <f t="shared" si="78"/>
        <v>0</v>
      </c>
      <c r="S237" s="953"/>
      <c r="T237" s="949">
        <v>0.06</v>
      </c>
      <c r="U237" s="954"/>
      <c r="V237" s="949"/>
      <c r="W237" s="953"/>
      <c r="X237" s="949">
        <f t="shared" si="7"/>
        <v>0</v>
      </c>
      <c r="Y237" s="955"/>
      <c r="Z237" s="953" t="str">
        <f t="shared" si="8"/>
        <v/>
      </c>
      <c r="AA237" s="949">
        <f t="shared" si="9"/>
        <v>0</v>
      </c>
      <c r="AB237" s="955"/>
      <c r="AC237" s="949" t="str">
        <f t="shared" si="10"/>
        <v/>
      </c>
      <c r="AD237" s="953">
        <f t="shared" si="11"/>
        <v>0</v>
      </c>
      <c r="AE237" s="956"/>
      <c r="AF237" s="889" t="s">
        <v>2181</v>
      </c>
      <c r="AG237" s="810" t="b">
        <v>0</v>
      </c>
      <c r="AH237" s="780"/>
      <c r="AI237" s="780"/>
      <c r="AJ237" s="780"/>
      <c r="AK237" s="780"/>
      <c r="AL237" s="780"/>
      <c r="AM237" s="780"/>
      <c r="AN237" s="780"/>
      <c r="AO237" s="780"/>
      <c r="AP237" s="780"/>
      <c r="AQ237" s="780"/>
      <c r="AR237" s="780"/>
      <c r="AS237" s="780"/>
      <c r="AT237" s="780"/>
      <c r="AU237" s="780"/>
      <c r="AV237" s="780"/>
      <c r="AW237" s="780"/>
    </row>
    <row r="238">
      <c r="A238" s="941"/>
      <c r="B238" s="941"/>
      <c r="C238" s="995"/>
      <c r="D238" s="995"/>
      <c r="E238" s="995"/>
      <c r="F238" s="946"/>
      <c r="G238" s="946"/>
      <c r="H238" s="946"/>
      <c r="I238" s="947">
        <v>0.00138428</v>
      </c>
      <c r="J238" s="948">
        <v>0.035</v>
      </c>
      <c r="K238" s="949">
        <f t="shared" si="22"/>
        <v>0</v>
      </c>
      <c r="L238" s="950">
        <f t="shared" si="23"/>
        <v>0</v>
      </c>
      <c r="M238" s="948">
        <v>0.0215</v>
      </c>
      <c r="N238" s="951">
        <f t="shared" si="24"/>
        <v>0.00141404202</v>
      </c>
      <c r="O238" s="949">
        <f t="shared" si="25"/>
        <v>15</v>
      </c>
      <c r="P238" s="949">
        <f t="shared" si="77"/>
        <v>0.0215</v>
      </c>
      <c r="Q238" s="952">
        <f t="shared" si="79"/>
        <v>0</v>
      </c>
      <c r="R238" s="952">
        <f t="shared" si="78"/>
        <v>0</v>
      </c>
      <c r="S238" s="953"/>
      <c r="T238" s="949">
        <v>0.06</v>
      </c>
      <c r="U238" s="954"/>
      <c r="V238" s="949"/>
      <c r="W238" s="953"/>
      <c r="X238" s="949">
        <f t="shared" si="7"/>
        <v>0</v>
      </c>
      <c r="Y238" s="955"/>
      <c r="Z238" s="953" t="str">
        <f t="shared" si="8"/>
        <v/>
      </c>
      <c r="AA238" s="949">
        <f t="shared" si="9"/>
        <v>0</v>
      </c>
      <c r="AB238" s="955"/>
      <c r="AC238" s="949" t="str">
        <f t="shared" si="10"/>
        <v/>
      </c>
      <c r="AD238" s="953">
        <f t="shared" si="11"/>
        <v>0</v>
      </c>
      <c r="AE238" s="956"/>
      <c r="AF238" s="889" t="s">
        <v>2181</v>
      </c>
      <c r="AG238" s="810" t="b">
        <v>0</v>
      </c>
      <c r="AH238" s="780"/>
      <c r="AI238" s="780"/>
      <c r="AJ238" s="780"/>
      <c r="AK238" s="780"/>
      <c r="AL238" s="780"/>
      <c r="AM238" s="780"/>
      <c r="AN238" s="780"/>
      <c r="AO238" s="780"/>
      <c r="AP238" s="780"/>
      <c r="AQ238" s="780"/>
      <c r="AR238" s="780"/>
      <c r="AS238" s="780"/>
      <c r="AT238" s="780"/>
      <c r="AU238" s="780"/>
      <c r="AV238" s="780"/>
      <c r="AW238" s="780"/>
    </row>
    <row r="239">
      <c r="A239" s="941"/>
      <c r="B239" s="941"/>
      <c r="C239" s="995"/>
      <c r="D239" s="944"/>
      <c r="E239" s="944"/>
      <c r="F239" s="946"/>
      <c r="G239" s="946"/>
      <c r="H239" s="946"/>
      <c r="I239" s="947">
        <v>0.00138428</v>
      </c>
      <c r="J239" s="948">
        <v>0.035</v>
      </c>
      <c r="K239" s="949">
        <f t="shared" si="22"/>
        <v>0</v>
      </c>
      <c r="L239" s="950">
        <f t="shared" si="23"/>
        <v>0</v>
      </c>
      <c r="M239" s="948">
        <v>0.0215</v>
      </c>
      <c r="N239" s="951">
        <f t="shared" si="24"/>
        <v>0.00141404202</v>
      </c>
      <c r="O239" s="949">
        <f t="shared" si="25"/>
        <v>15</v>
      </c>
      <c r="P239" s="949">
        <f t="shared" si="77"/>
        <v>0.0215</v>
      </c>
      <c r="Q239" s="952">
        <f t="shared" si="79"/>
        <v>0</v>
      </c>
      <c r="R239" s="952">
        <f t="shared" si="78"/>
        <v>0</v>
      </c>
      <c r="S239" s="953"/>
      <c r="T239" s="949">
        <v>0.06</v>
      </c>
      <c r="U239" s="954"/>
      <c r="V239" s="949"/>
      <c r="W239" s="953"/>
      <c r="X239" s="949">
        <f t="shared" si="7"/>
        <v>0</v>
      </c>
      <c r="Y239" s="955"/>
      <c r="Z239" s="953" t="str">
        <f t="shared" si="8"/>
        <v/>
      </c>
      <c r="AA239" s="949">
        <f t="shared" si="9"/>
        <v>0</v>
      </c>
      <c r="AB239" s="955"/>
      <c r="AC239" s="949" t="str">
        <f t="shared" si="10"/>
        <v/>
      </c>
      <c r="AD239" s="953">
        <f t="shared" si="11"/>
        <v>0</v>
      </c>
      <c r="AE239" s="956"/>
      <c r="AF239" s="889" t="s">
        <v>2181</v>
      </c>
      <c r="AG239" s="810" t="b">
        <v>0</v>
      </c>
      <c r="AH239" s="780"/>
      <c r="AI239" s="780"/>
      <c r="AJ239" s="780"/>
      <c r="AK239" s="780"/>
      <c r="AL239" s="780"/>
      <c r="AM239" s="780"/>
      <c r="AN239" s="780"/>
      <c r="AO239" s="780"/>
      <c r="AP239" s="780"/>
      <c r="AQ239" s="780"/>
      <c r="AR239" s="780"/>
      <c r="AS239" s="780"/>
      <c r="AT239" s="780"/>
      <c r="AU239" s="780"/>
      <c r="AV239" s="780"/>
      <c r="AW239" s="780"/>
    </row>
    <row r="240">
      <c r="A240" s="941"/>
      <c r="B240" s="941"/>
      <c r="C240" s="995"/>
      <c r="D240" s="995"/>
      <c r="E240" s="995"/>
      <c r="F240" s="946"/>
      <c r="G240" s="946"/>
      <c r="H240" s="946"/>
      <c r="I240" s="947">
        <v>0.00138428</v>
      </c>
      <c r="J240" s="948">
        <v>0.035</v>
      </c>
      <c r="K240" s="949">
        <f t="shared" si="22"/>
        <v>0</v>
      </c>
      <c r="L240" s="950">
        <f t="shared" si="23"/>
        <v>0</v>
      </c>
      <c r="M240" s="948">
        <v>0.0215</v>
      </c>
      <c r="N240" s="951">
        <f t="shared" si="24"/>
        <v>0.00141404202</v>
      </c>
      <c r="O240" s="949">
        <f t="shared" si="25"/>
        <v>15</v>
      </c>
      <c r="P240" s="949">
        <f t="shared" si="77"/>
        <v>0.0215</v>
      </c>
      <c r="Q240" s="952">
        <f t="shared" si="79"/>
        <v>0</v>
      </c>
      <c r="R240" s="952">
        <f t="shared" si="78"/>
        <v>0</v>
      </c>
      <c r="S240" s="953"/>
      <c r="T240" s="949">
        <v>0.06</v>
      </c>
      <c r="U240" s="954"/>
      <c r="V240" s="949"/>
      <c r="W240" s="953"/>
      <c r="X240" s="949">
        <f t="shared" si="7"/>
        <v>0</v>
      </c>
      <c r="Y240" s="955"/>
      <c r="Z240" s="953" t="str">
        <f t="shared" si="8"/>
        <v/>
      </c>
      <c r="AA240" s="949">
        <f t="shared" si="9"/>
        <v>0</v>
      </c>
      <c r="AB240" s="955"/>
      <c r="AC240" s="949" t="str">
        <f t="shared" si="10"/>
        <v/>
      </c>
      <c r="AD240" s="953">
        <f t="shared" si="11"/>
        <v>0</v>
      </c>
      <c r="AE240" s="956"/>
      <c r="AF240" s="889" t="s">
        <v>2181</v>
      </c>
      <c r="AG240" s="810" t="b">
        <v>0</v>
      </c>
      <c r="AH240" s="780"/>
      <c r="AI240" s="780"/>
      <c r="AJ240" s="780"/>
      <c r="AK240" s="780"/>
      <c r="AL240" s="780"/>
      <c r="AM240" s="780"/>
      <c r="AN240" s="780"/>
      <c r="AO240" s="780"/>
      <c r="AP240" s="780"/>
      <c r="AQ240" s="780"/>
      <c r="AR240" s="780"/>
      <c r="AS240" s="780"/>
      <c r="AT240" s="780"/>
      <c r="AU240" s="780"/>
      <c r="AV240" s="780"/>
      <c r="AW240" s="780"/>
    </row>
    <row r="241">
      <c r="A241" s="941"/>
      <c r="B241" s="941"/>
      <c r="C241" s="995"/>
      <c r="D241" s="944"/>
      <c r="E241" s="944"/>
      <c r="F241" s="946"/>
      <c r="G241" s="946"/>
      <c r="H241" s="946"/>
      <c r="I241" s="947">
        <v>0.00138428</v>
      </c>
      <c r="J241" s="948">
        <v>0.035</v>
      </c>
      <c r="K241" s="949">
        <f t="shared" si="22"/>
        <v>0</v>
      </c>
      <c r="L241" s="950">
        <f t="shared" si="23"/>
        <v>0</v>
      </c>
      <c r="M241" s="948">
        <v>0.0215</v>
      </c>
      <c r="N241" s="951">
        <f t="shared" si="24"/>
        <v>0.00141404202</v>
      </c>
      <c r="O241" s="949">
        <f t="shared" si="25"/>
        <v>15</v>
      </c>
      <c r="P241" s="949">
        <f t="shared" si="77"/>
        <v>0.0215</v>
      </c>
      <c r="Q241" s="952">
        <f t="shared" si="79"/>
        <v>0</v>
      </c>
      <c r="R241" s="952">
        <f t="shared" si="78"/>
        <v>0</v>
      </c>
      <c r="S241" s="953"/>
      <c r="T241" s="949">
        <v>0.06</v>
      </c>
      <c r="U241" s="954"/>
      <c r="V241" s="949"/>
      <c r="W241" s="953"/>
      <c r="X241" s="949">
        <f t="shared" si="7"/>
        <v>0</v>
      </c>
      <c r="Y241" s="955"/>
      <c r="Z241" s="953" t="str">
        <f t="shared" si="8"/>
        <v/>
      </c>
      <c r="AA241" s="949">
        <f t="shared" si="9"/>
        <v>0</v>
      </c>
      <c r="AB241" s="955"/>
      <c r="AC241" s="949" t="str">
        <f t="shared" si="10"/>
        <v/>
      </c>
      <c r="AD241" s="953">
        <f t="shared" si="11"/>
        <v>0</v>
      </c>
      <c r="AE241" s="956"/>
      <c r="AF241" s="889" t="s">
        <v>2181</v>
      </c>
      <c r="AG241" s="810" t="b">
        <v>0</v>
      </c>
      <c r="AH241" s="780"/>
      <c r="AI241" s="780"/>
      <c r="AJ241" s="780"/>
      <c r="AK241" s="780"/>
      <c r="AL241" s="780"/>
      <c r="AM241" s="780"/>
      <c r="AN241" s="780"/>
      <c r="AO241" s="780"/>
      <c r="AP241" s="780"/>
      <c r="AQ241" s="780"/>
      <c r="AR241" s="780"/>
      <c r="AS241" s="780"/>
      <c r="AT241" s="780"/>
      <c r="AU241" s="780"/>
      <c r="AV241" s="780"/>
      <c r="AW241" s="780"/>
    </row>
    <row r="242">
      <c r="A242" s="941"/>
      <c r="B242" s="941"/>
      <c r="C242" s="995"/>
      <c r="D242" s="995"/>
      <c r="E242" s="995"/>
      <c r="F242" s="946"/>
      <c r="G242" s="946"/>
      <c r="H242" s="946"/>
      <c r="I242" s="947">
        <v>0.00138428</v>
      </c>
      <c r="J242" s="948">
        <v>0.035</v>
      </c>
      <c r="K242" s="949">
        <f t="shared" si="22"/>
        <v>0</v>
      </c>
      <c r="L242" s="950">
        <f t="shared" si="23"/>
        <v>0</v>
      </c>
      <c r="M242" s="948">
        <v>0.0215</v>
      </c>
      <c r="N242" s="951">
        <f t="shared" si="24"/>
        <v>0.00141404202</v>
      </c>
      <c r="O242" s="949">
        <f t="shared" si="25"/>
        <v>15</v>
      </c>
      <c r="P242" s="949">
        <f t="shared" si="77"/>
        <v>0.0215</v>
      </c>
      <c r="Q242" s="952">
        <f t="shared" si="79"/>
        <v>0</v>
      </c>
      <c r="R242" s="952">
        <f t="shared" si="78"/>
        <v>0</v>
      </c>
      <c r="S242" s="953"/>
      <c r="T242" s="949">
        <v>0.06</v>
      </c>
      <c r="U242" s="954"/>
      <c r="V242" s="949"/>
      <c r="W242" s="953"/>
      <c r="X242" s="949">
        <f t="shared" si="7"/>
        <v>0</v>
      </c>
      <c r="Y242" s="955"/>
      <c r="Z242" s="953" t="str">
        <f t="shared" si="8"/>
        <v/>
      </c>
      <c r="AA242" s="949">
        <f t="shared" si="9"/>
        <v>0</v>
      </c>
      <c r="AB242" s="955"/>
      <c r="AC242" s="949" t="str">
        <f t="shared" si="10"/>
        <v/>
      </c>
      <c r="AD242" s="953">
        <f t="shared" si="11"/>
        <v>0</v>
      </c>
      <c r="AE242" s="956"/>
      <c r="AF242" s="889" t="s">
        <v>2181</v>
      </c>
      <c r="AG242" s="810" t="b">
        <v>0</v>
      </c>
      <c r="AH242" s="780"/>
      <c r="AI242" s="780"/>
      <c r="AJ242" s="780"/>
      <c r="AK242" s="780"/>
      <c r="AL242" s="780"/>
      <c r="AM242" s="780"/>
      <c r="AN242" s="780"/>
      <c r="AO242" s="780"/>
      <c r="AP242" s="780"/>
      <c r="AQ242" s="780"/>
      <c r="AR242" s="780"/>
      <c r="AS242" s="780"/>
      <c r="AT242" s="780"/>
      <c r="AU242" s="780"/>
      <c r="AV242" s="780"/>
      <c r="AW242" s="780"/>
    </row>
    <row r="243">
      <c r="A243" s="941"/>
      <c r="B243" s="941"/>
      <c r="C243" s="995"/>
      <c r="D243" s="944"/>
      <c r="E243" s="944"/>
      <c r="F243" s="1000"/>
      <c r="G243" s="1000"/>
      <c r="H243" s="1000"/>
      <c r="I243" s="947">
        <v>0.00138428</v>
      </c>
      <c r="J243" s="948">
        <v>0.035</v>
      </c>
      <c r="K243" s="949">
        <f t="shared" si="22"/>
        <v>0</v>
      </c>
      <c r="L243" s="950">
        <f t="shared" si="23"/>
        <v>0</v>
      </c>
      <c r="M243" s="948">
        <v>0.0215</v>
      </c>
      <c r="N243" s="951">
        <f t="shared" si="24"/>
        <v>0.00141404202</v>
      </c>
      <c r="O243" s="949">
        <f t="shared" si="25"/>
        <v>15</v>
      </c>
      <c r="P243" s="949">
        <f t="shared" si="77"/>
        <v>0.0215</v>
      </c>
      <c r="Q243" s="952">
        <f t="shared" si="79"/>
        <v>0</v>
      </c>
      <c r="R243" s="952">
        <f t="shared" si="78"/>
        <v>0</v>
      </c>
      <c r="S243" s="953"/>
      <c r="T243" s="949">
        <v>0.06</v>
      </c>
      <c r="U243" s="954"/>
      <c r="V243" s="949"/>
      <c r="W243" s="953"/>
      <c r="X243" s="949">
        <f t="shared" si="7"/>
        <v>0</v>
      </c>
      <c r="Y243" s="955"/>
      <c r="Z243" s="953" t="str">
        <f t="shared" si="8"/>
        <v/>
      </c>
      <c r="AA243" s="949">
        <f t="shared" si="9"/>
        <v>0</v>
      </c>
      <c r="AB243" s="955"/>
      <c r="AC243" s="949" t="str">
        <f t="shared" si="10"/>
        <v/>
      </c>
      <c r="AD243" s="953">
        <f t="shared" si="11"/>
        <v>0</v>
      </c>
      <c r="AE243" s="956"/>
      <c r="AF243" s="889" t="s">
        <v>2181</v>
      </c>
      <c r="AG243" s="810" t="b">
        <v>0</v>
      </c>
      <c r="AH243" s="780"/>
      <c r="AI243" s="780"/>
      <c r="AJ243" s="780"/>
      <c r="AK243" s="780"/>
      <c r="AL243" s="780"/>
      <c r="AM243" s="780"/>
      <c r="AN243" s="780"/>
      <c r="AO243" s="780"/>
      <c r="AP243" s="780"/>
      <c r="AQ243" s="780"/>
      <c r="AR243" s="780"/>
      <c r="AS243" s="780"/>
      <c r="AT243" s="780"/>
      <c r="AU243" s="780"/>
      <c r="AV243" s="780"/>
      <c r="AW243" s="780"/>
    </row>
    <row r="244">
      <c r="A244" s="941"/>
      <c r="B244" s="941"/>
      <c r="C244" s="995"/>
      <c r="D244" s="995"/>
      <c r="E244" s="995"/>
      <c r="F244" s="946"/>
      <c r="G244" s="946"/>
      <c r="H244" s="946"/>
      <c r="I244" s="947">
        <v>0.00138428</v>
      </c>
      <c r="J244" s="948">
        <v>0.035</v>
      </c>
      <c r="K244" s="949">
        <f t="shared" si="22"/>
        <v>0</v>
      </c>
      <c r="L244" s="950">
        <f t="shared" si="23"/>
        <v>0</v>
      </c>
      <c r="M244" s="948">
        <v>0.0215</v>
      </c>
      <c r="N244" s="951">
        <f t="shared" si="24"/>
        <v>0.00141404202</v>
      </c>
      <c r="O244" s="949">
        <f t="shared" si="25"/>
        <v>15</v>
      </c>
      <c r="P244" s="949">
        <f t="shared" si="77"/>
        <v>0.0215</v>
      </c>
      <c r="Q244" s="952">
        <f t="shared" si="79"/>
        <v>0</v>
      </c>
      <c r="R244" s="952">
        <f t="shared" si="78"/>
        <v>0</v>
      </c>
      <c r="S244" s="953"/>
      <c r="T244" s="949">
        <v>0.06</v>
      </c>
      <c r="U244" s="954"/>
      <c r="V244" s="949"/>
      <c r="W244" s="953"/>
      <c r="X244" s="949">
        <f t="shared" si="7"/>
        <v>0</v>
      </c>
      <c r="Y244" s="955"/>
      <c r="Z244" s="953" t="str">
        <f t="shared" si="8"/>
        <v/>
      </c>
      <c r="AA244" s="949">
        <f t="shared" si="9"/>
        <v>0</v>
      </c>
      <c r="AB244" s="955"/>
      <c r="AC244" s="949" t="str">
        <f t="shared" si="10"/>
        <v/>
      </c>
      <c r="AD244" s="953">
        <f t="shared" si="11"/>
        <v>0</v>
      </c>
      <c r="AE244" s="956"/>
      <c r="AF244" s="889" t="s">
        <v>2181</v>
      </c>
      <c r="AG244" s="810" t="b">
        <v>0</v>
      </c>
      <c r="AH244" s="780"/>
      <c r="AI244" s="780"/>
      <c r="AJ244" s="780"/>
      <c r="AK244" s="780"/>
      <c r="AL244" s="780"/>
      <c r="AM244" s="780"/>
      <c r="AN244" s="780"/>
      <c r="AO244" s="780"/>
      <c r="AP244" s="780"/>
      <c r="AQ244" s="780"/>
      <c r="AR244" s="780"/>
      <c r="AS244" s="780"/>
      <c r="AT244" s="780"/>
      <c r="AU244" s="780"/>
      <c r="AV244" s="780"/>
      <c r="AW244" s="780"/>
    </row>
    <row r="245">
      <c r="A245" s="941"/>
      <c r="B245" s="941"/>
      <c r="C245" s="995"/>
      <c r="D245" s="995"/>
      <c r="E245" s="995"/>
      <c r="F245" s="946"/>
      <c r="G245" s="946"/>
      <c r="H245" s="946"/>
      <c r="I245" s="947">
        <v>0.00138428</v>
      </c>
      <c r="J245" s="948">
        <v>0.035</v>
      </c>
      <c r="K245" s="949">
        <f t="shared" si="22"/>
        <v>0</v>
      </c>
      <c r="L245" s="950">
        <f t="shared" si="23"/>
        <v>0</v>
      </c>
      <c r="M245" s="948">
        <v>0.0215</v>
      </c>
      <c r="N245" s="951">
        <f t="shared" si="24"/>
        <v>0.00141404202</v>
      </c>
      <c r="O245" s="949">
        <f t="shared" si="25"/>
        <v>15</v>
      </c>
      <c r="P245" s="949">
        <f t="shared" si="77"/>
        <v>0.0215</v>
      </c>
      <c r="Q245" s="952">
        <f t="shared" si="79"/>
        <v>0</v>
      </c>
      <c r="R245" s="952">
        <f t="shared" si="78"/>
        <v>0</v>
      </c>
      <c r="S245" s="953"/>
      <c r="T245" s="949">
        <v>0.06</v>
      </c>
      <c r="U245" s="954"/>
      <c r="V245" s="949"/>
      <c r="W245" s="953"/>
      <c r="X245" s="949">
        <f t="shared" si="7"/>
        <v>0</v>
      </c>
      <c r="Y245" s="955"/>
      <c r="Z245" s="953" t="str">
        <f t="shared" si="8"/>
        <v/>
      </c>
      <c r="AA245" s="949">
        <f t="shared" si="9"/>
        <v>0</v>
      </c>
      <c r="AB245" s="955"/>
      <c r="AC245" s="949" t="str">
        <f t="shared" si="10"/>
        <v/>
      </c>
      <c r="AD245" s="953">
        <f t="shared" si="11"/>
        <v>0</v>
      </c>
      <c r="AE245" s="956"/>
      <c r="AF245" s="889" t="s">
        <v>2181</v>
      </c>
      <c r="AG245" s="810" t="b">
        <v>0</v>
      </c>
      <c r="AH245" s="780"/>
      <c r="AI245" s="780"/>
      <c r="AJ245" s="780"/>
      <c r="AK245" s="780"/>
      <c r="AL245" s="780"/>
      <c r="AM245" s="780"/>
      <c r="AN245" s="780"/>
      <c r="AO245" s="780"/>
      <c r="AP245" s="780"/>
      <c r="AQ245" s="780"/>
      <c r="AR245" s="780"/>
      <c r="AS245" s="780"/>
      <c r="AT245" s="780"/>
      <c r="AU245" s="780"/>
      <c r="AV245" s="780"/>
      <c r="AW245" s="780"/>
    </row>
    <row r="246">
      <c r="A246" s="941"/>
      <c r="B246" s="941"/>
      <c r="C246" s="995"/>
      <c r="D246" s="995"/>
      <c r="E246" s="995"/>
      <c r="F246" s="946"/>
      <c r="G246" s="946"/>
      <c r="H246" s="946"/>
      <c r="I246" s="947">
        <v>0.00138428</v>
      </c>
      <c r="J246" s="948">
        <v>0.035</v>
      </c>
      <c r="K246" s="949">
        <f t="shared" si="22"/>
        <v>0</v>
      </c>
      <c r="L246" s="950">
        <f t="shared" si="23"/>
        <v>0</v>
      </c>
      <c r="M246" s="948">
        <v>0.0215</v>
      </c>
      <c r="N246" s="951">
        <f t="shared" si="24"/>
        <v>0.00141404202</v>
      </c>
      <c r="O246" s="949">
        <f t="shared" si="25"/>
        <v>15</v>
      </c>
      <c r="P246" s="949">
        <f t="shared" si="77"/>
        <v>0.0215</v>
      </c>
      <c r="Q246" s="952">
        <f t="shared" si="79"/>
        <v>0</v>
      </c>
      <c r="R246" s="952">
        <f t="shared" si="78"/>
        <v>0</v>
      </c>
      <c r="S246" s="953"/>
      <c r="T246" s="949">
        <v>0.06</v>
      </c>
      <c r="U246" s="954"/>
      <c r="V246" s="949"/>
      <c r="W246" s="953"/>
      <c r="X246" s="949">
        <f t="shared" si="7"/>
        <v>0</v>
      </c>
      <c r="Y246" s="955"/>
      <c r="Z246" s="953" t="str">
        <f t="shared" si="8"/>
        <v/>
      </c>
      <c r="AA246" s="949">
        <f t="shared" si="9"/>
        <v>0</v>
      </c>
      <c r="AB246" s="955"/>
      <c r="AC246" s="949" t="str">
        <f t="shared" si="10"/>
        <v/>
      </c>
      <c r="AD246" s="953">
        <f t="shared" si="11"/>
        <v>0</v>
      </c>
      <c r="AE246" s="956"/>
      <c r="AF246" s="889" t="s">
        <v>2181</v>
      </c>
      <c r="AG246" s="810" t="b">
        <v>0</v>
      </c>
      <c r="AH246" s="780"/>
      <c r="AI246" s="780"/>
      <c r="AJ246" s="780"/>
      <c r="AK246" s="780"/>
      <c r="AL246" s="780"/>
      <c r="AM246" s="780"/>
      <c r="AN246" s="780"/>
      <c r="AO246" s="780"/>
      <c r="AP246" s="780"/>
      <c r="AQ246" s="780"/>
      <c r="AR246" s="780"/>
      <c r="AS246" s="780"/>
      <c r="AT246" s="780"/>
      <c r="AU246" s="780"/>
      <c r="AV246" s="780"/>
      <c r="AW246" s="780"/>
    </row>
    <row r="247">
      <c r="A247" s="941"/>
      <c r="B247" s="941"/>
      <c r="C247" s="995"/>
      <c r="D247" s="1001"/>
      <c r="E247" s="944"/>
      <c r="F247" s="946"/>
      <c r="G247" s="946"/>
      <c r="H247" s="946"/>
      <c r="I247" s="947">
        <v>0.00138428</v>
      </c>
      <c r="J247" s="948">
        <v>0.035</v>
      </c>
      <c r="K247" s="949">
        <f t="shared" si="22"/>
        <v>0</v>
      </c>
      <c r="L247" s="950">
        <f t="shared" si="23"/>
        <v>0</v>
      </c>
      <c r="M247" s="948">
        <v>0.0215</v>
      </c>
      <c r="N247" s="951">
        <f t="shared" si="24"/>
        <v>0.00141404202</v>
      </c>
      <c r="O247" s="949">
        <f t="shared" si="25"/>
        <v>15</v>
      </c>
      <c r="P247" s="949">
        <f t="shared" si="77"/>
        <v>0.0215</v>
      </c>
      <c r="Q247" s="952">
        <f t="shared" si="79"/>
        <v>0</v>
      </c>
      <c r="R247" s="952">
        <f t="shared" si="78"/>
        <v>0</v>
      </c>
      <c r="S247" s="953"/>
      <c r="T247" s="949">
        <v>0.06</v>
      </c>
      <c r="U247" s="954"/>
      <c r="V247" s="949"/>
      <c r="W247" s="953"/>
      <c r="X247" s="949">
        <f t="shared" si="7"/>
        <v>0</v>
      </c>
      <c r="Y247" s="955"/>
      <c r="Z247" s="953" t="str">
        <f t="shared" si="8"/>
        <v/>
      </c>
      <c r="AA247" s="949">
        <f t="shared" si="9"/>
        <v>0</v>
      </c>
      <c r="AB247" s="955"/>
      <c r="AC247" s="949" t="str">
        <f t="shared" si="10"/>
        <v/>
      </c>
      <c r="AD247" s="953">
        <f t="shared" si="11"/>
        <v>0</v>
      </c>
      <c r="AE247" s="956"/>
      <c r="AF247" s="889" t="s">
        <v>2181</v>
      </c>
      <c r="AG247" s="810" t="b">
        <v>0</v>
      </c>
      <c r="AH247" s="780"/>
      <c r="AI247" s="780"/>
      <c r="AJ247" s="780"/>
      <c r="AK247" s="780"/>
      <c r="AL247" s="780"/>
      <c r="AM247" s="780"/>
      <c r="AN247" s="780"/>
      <c r="AO247" s="780"/>
      <c r="AP247" s="780"/>
      <c r="AQ247" s="780"/>
      <c r="AR247" s="780"/>
      <c r="AS247" s="780"/>
      <c r="AT247" s="780"/>
      <c r="AU247" s="780"/>
      <c r="AV247" s="780"/>
      <c r="AW247" s="780"/>
    </row>
    <row r="248">
      <c r="A248" s="941"/>
      <c r="B248" s="941"/>
      <c r="C248" s="995"/>
      <c r="D248" s="995"/>
      <c r="E248" s="995"/>
      <c r="F248" s="946"/>
      <c r="G248" s="946"/>
      <c r="H248" s="946"/>
      <c r="I248" s="947">
        <v>0.00138428</v>
      </c>
      <c r="J248" s="948">
        <v>0.035</v>
      </c>
      <c r="K248" s="949">
        <f t="shared" si="22"/>
        <v>0</v>
      </c>
      <c r="L248" s="950">
        <f t="shared" si="23"/>
        <v>0</v>
      </c>
      <c r="M248" s="948">
        <v>0.0215</v>
      </c>
      <c r="N248" s="951">
        <f t="shared" si="24"/>
        <v>0.00141404202</v>
      </c>
      <c r="O248" s="949">
        <f t="shared" si="25"/>
        <v>15</v>
      </c>
      <c r="P248" s="949">
        <f t="shared" si="77"/>
        <v>0.0215</v>
      </c>
      <c r="Q248" s="952">
        <f t="shared" si="79"/>
        <v>0</v>
      </c>
      <c r="R248" s="952">
        <f t="shared" si="78"/>
        <v>0</v>
      </c>
      <c r="S248" s="953"/>
      <c r="T248" s="949">
        <v>0.06</v>
      </c>
      <c r="U248" s="954"/>
      <c r="V248" s="949"/>
      <c r="W248" s="953"/>
      <c r="X248" s="949">
        <f t="shared" si="7"/>
        <v>0</v>
      </c>
      <c r="Y248" s="955"/>
      <c r="Z248" s="953" t="str">
        <f t="shared" si="8"/>
        <v/>
      </c>
      <c r="AA248" s="949">
        <f t="shared" si="9"/>
        <v>0</v>
      </c>
      <c r="AB248" s="955"/>
      <c r="AC248" s="949" t="str">
        <f t="shared" si="10"/>
        <v/>
      </c>
      <c r="AD248" s="953">
        <f t="shared" si="11"/>
        <v>0</v>
      </c>
      <c r="AE248" s="956"/>
      <c r="AF248" s="889" t="s">
        <v>2181</v>
      </c>
      <c r="AG248" s="810" t="b">
        <v>0</v>
      </c>
      <c r="AH248" s="780"/>
      <c r="AI248" s="780"/>
      <c r="AJ248" s="780"/>
      <c r="AK248" s="780"/>
      <c r="AL248" s="780"/>
      <c r="AM248" s="780"/>
      <c r="AN248" s="780"/>
      <c r="AO248" s="780"/>
      <c r="AP248" s="780"/>
      <c r="AQ248" s="780"/>
      <c r="AR248" s="780"/>
      <c r="AS248" s="780"/>
      <c r="AT248" s="780"/>
      <c r="AU248" s="780"/>
      <c r="AV248" s="780"/>
      <c r="AW248" s="780"/>
    </row>
    <row r="249">
      <c r="A249" s="941"/>
      <c r="B249" s="941"/>
      <c r="C249" s="995"/>
      <c r="D249" s="995"/>
      <c r="E249" s="995"/>
      <c r="F249" s="946"/>
      <c r="G249" s="946"/>
      <c r="H249" s="946"/>
      <c r="I249" s="947">
        <v>0.00138428</v>
      </c>
      <c r="J249" s="948">
        <v>0.035</v>
      </c>
      <c r="K249" s="949">
        <f t="shared" si="22"/>
        <v>0</v>
      </c>
      <c r="L249" s="950">
        <f t="shared" si="23"/>
        <v>0</v>
      </c>
      <c r="M249" s="948">
        <v>0.0215</v>
      </c>
      <c r="N249" s="951">
        <f t="shared" si="24"/>
        <v>0.00141404202</v>
      </c>
      <c r="O249" s="949">
        <f t="shared" si="25"/>
        <v>15</v>
      </c>
      <c r="P249" s="949">
        <f t="shared" si="77"/>
        <v>0.0215</v>
      </c>
      <c r="Q249" s="952">
        <f t="shared" si="79"/>
        <v>0</v>
      </c>
      <c r="R249" s="952">
        <f t="shared" si="78"/>
        <v>0</v>
      </c>
      <c r="S249" s="953"/>
      <c r="T249" s="949">
        <v>0.06</v>
      </c>
      <c r="U249" s="954"/>
      <c r="V249" s="949"/>
      <c r="W249" s="953"/>
      <c r="X249" s="949">
        <f t="shared" si="7"/>
        <v>0</v>
      </c>
      <c r="Y249" s="955"/>
      <c r="Z249" s="953" t="str">
        <f t="shared" si="8"/>
        <v/>
      </c>
      <c r="AA249" s="949">
        <f t="shared" si="9"/>
        <v>0</v>
      </c>
      <c r="AB249" s="955"/>
      <c r="AC249" s="949" t="str">
        <f t="shared" si="10"/>
        <v/>
      </c>
      <c r="AD249" s="953">
        <f t="shared" si="11"/>
        <v>0</v>
      </c>
      <c r="AE249" s="956"/>
      <c r="AF249" s="889" t="s">
        <v>2181</v>
      </c>
      <c r="AG249" s="810" t="b">
        <v>0</v>
      </c>
      <c r="AH249" s="780"/>
      <c r="AI249" s="780"/>
      <c r="AJ249" s="780"/>
      <c r="AK249" s="780"/>
      <c r="AL249" s="780"/>
      <c r="AM249" s="780"/>
      <c r="AN249" s="780"/>
      <c r="AO249" s="780"/>
      <c r="AP249" s="780"/>
      <c r="AQ249" s="780"/>
      <c r="AR249" s="780"/>
      <c r="AS249" s="780"/>
      <c r="AT249" s="780"/>
      <c r="AU249" s="780"/>
      <c r="AV249" s="780"/>
      <c r="AW249" s="780"/>
    </row>
    <row r="250">
      <c r="A250" s="941"/>
      <c r="B250" s="941"/>
      <c r="C250" s="995"/>
      <c r="D250" s="995"/>
      <c r="E250" s="995"/>
      <c r="F250" s="946"/>
      <c r="G250" s="946"/>
      <c r="H250" s="946"/>
      <c r="I250" s="947">
        <v>0.00138428</v>
      </c>
      <c r="J250" s="948">
        <v>0.035</v>
      </c>
      <c r="K250" s="949">
        <f t="shared" si="22"/>
        <v>0</v>
      </c>
      <c r="L250" s="950">
        <f t="shared" si="23"/>
        <v>0</v>
      </c>
      <c r="M250" s="948">
        <v>0.0215</v>
      </c>
      <c r="N250" s="951">
        <f t="shared" si="24"/>
        <v>0.00141404202</v>
      </c>
      <c r="O250" s="949">
        <f t="shared" si="25"/>
        <v>15</v>
      </c>
      <c r="P250" s="949">
        <f t="shared" si="77"/>
        <v>0.0215</v>
      </c>
      <c r="Q250" s="952">
        <f t="shared" si="79"/>
        <v>0</v>
      </c>
      <c r="R250" s="952">
        <f t="shared" si="78"/>
        <v>0</v>
      </c>
      <c r="S250" s="953"/>
      <c r="T250" s="949">
        <v>0.06</v>
      </c>
      <c r="U250" s="954"/>
      <c r="V250" s="949"/>
      <c r="W250" s="953"/>
      <c r="X250" s="949">
        <f t="shared" si="7"/>
        <v>0</v>
      </c>
      <c r="Y250" s="955"/>
      <c r="Z250" s="953" t="str">
        <f t="shared" si="8"/>
        <v/>
      </c>
      <c r="AA250" s="949">
        <f t="shared" si="9"/>
        <v>0</v>
      </c>
      <c r="AB250" s="955"/>
      <c r="AC250" s="949" t="str">
        <f t="shared" si="10"/>
        <v/>
      </c>
      <c r="AD250" s="953">
        <f t="shared" si="11"/>
        <v>0</v>
      </c>
      <c r="AE250" s="956"/>
      <c r="AF250" s="889" t="s">
        <v>2181</v>
      </c>
      <c r="AG250" s="810" t="b">
        <v>0</v>
      </c>
      <c r="AH250" s="780"/>
      <c r="AI250" s="780"/>
      <c r="AJ250" s="780"/>
      <c r="AK250" s="780"/>
      <c r="AL250" s="780"/>
      <c r="AM250" s="780"/>
      <c r="AN250" s="780"/>
      <c r="AO250" s="780"/>
      <c r="AP250" s="780"/>
      <c r="AQ250" s="780"/>
      <c r="AR250" s="780"/>
      <c r="AS250" s="780"/>
      <c r="AT250" s="780"/>
      <c r="AU250" s="780"/>
      <c r="AV250" s="780"/>
      <c r="AW250" s="780"/>
    </row>
    <row r="251">
      <c r="A251" s="941"/>
      <c r="B251" s="941"/>
      <c r="C251" s="995"/>
      <c r="D251" s="995"/>
      <c r="E251" s="995"/>
      <c r="F251" s="946"/>
      <c r="G251" s="946"/>
      <c r="H251" s="946"/>
      <c r="I251" s="947">
        <v>0.00138428</v>
      </c>
      <c r="J251" s="948">
        <v>0.035</v>
      </c>
      <c r="K251" s="949">
        <f t="shared" si="22"/>
        <v>0</v>
      </c>
      <c r="L251" s="950">
        <f t="shared" si="23"/>
        <v>0</v>
      </c>
      <c r="M251" s="948">
        <v>0.0215</v>
      </c>
      <c r="N251" s="951">
        <f t="shared" si="24"/>
        <v>0.00141404202</v>
      </c>
      <c r="O251" s="949">
        <f t="shared" si="25"/>
        <v>15</v>
      </c>
      <c r="P251" s="949">
        <f t="shared" si="77"/>
        <v>0.0215</v>
      </c>
      <c r="Q251" s="952">
        <f t="shared" si="79"/>
        <v>0</v>
      </c>
      <c r="R251" s="952">
        <f t="shared" si="78"/>
        <v>0</v>
      </c>
      <c r="S251" s="953"/>
      <c r="T251" s="949">
        <v>0.06</v>
      </c>
      <c r="U251" s="954"/>
      <c r="V251" s="949"/>
      <c r="W251" s="953"/>
      <c r="X251" s="949">
        <f t="shared" si="7"/>
        <v>0</v>
      </c>
      <c r="Y251" s="955"/>
      <c r="Z251" s="953" t="str">
        <f t="shared" si="8"/>
        <v/>
      </c>
      <c r="AA251" s="949">
        <f t="shared" si="9"/>
        <v>0</v>
      </c>
      <c r="AB251" s="955"/>
      <c r="AC251" s="949" t="str">
        <f t="shared" si="10"/>
        <v/>
      </c>
      <c r="AD251" s="953">
        <f t="shared" si="11"/>
        <v>0</v>
      </c>
      <c r="AE251" s="956"/>
      <c r="AF251" s="889" t="s">
        <v>2181</v>
      </c>
      <c r="AG251" s="810" t="b">
        <v>0</v>
      </c>
      <c r="AH251" s="780"/>
      <c r="AI251" s="780"/>
      <c r="AJ251" s="780"/>
      <c r="AK251" s="780"/>
      <c r="AL251" s="780"/>
      <c r="AM251" s="780"/>
      <c r="AN251" s="780"/>
      <c r="AO251" s="780"/>
      <c r="AP251" s="780"/>
      <c r="AQ251" s="780"/>
      <c r="AR251" s="780"/>
      <c r="AS251" s="780"/>
      <c r="AT251" s="780"/>
      <c r="AU251" s="780"/>
      <c r="AV251" s="780"/>
      <c r="AW251" s="780"/>
    </row>
    <row r="252">
      <c r="A252" s="941"/>
      <c r="B252" s="941"/>
      <c r="C252" s="995"/>
      <c r="D252" s="995"/>
      <c r="E252" s="995"/>
      <c r="F252" s="946"/>
      <c r="G252" s="946"/>
      <c r="H252" s="946"/>
      <c r="I252" s="947">
        <v>0.00138428</v>
      </c>
      <c r="J252" s="948">
        <v>0.035</v>
      </c>
      <c r="K252" s="949">
        <f t="shared" si="22"/>
        <v>0</v>
      </c>
      <c r="L252" s="950">
        <f t="shared" si="23"/>
        <v>0</v>
      </c>
      <c r="M252" s="948">
        <v>0.0215</v>
      </c>
      <c r="N252" s="951">
        <f t="shared" si="24"/>
        <v>0.00141404202</v>
      </c>
      <c r="O252" s="949">
        <f t="shared" si="25"/>
        <v>15</v>
      </c>
      <c r="P252" s="949">
        <f t="shared" si="77"/>
        <v>0.0215</v>
      </c>
      <c r="Q252" s="952">
        <f t="shared" si="79"/>
        <v>0</v>
      </c>
      <c r="R252" s="952">
        <f t="shared" si="78"/>
        <v>0</v>
      </c>
      <c r="S252" s="953"/>
      <c r="T252" s="949">
        <v>0.06</v>
      </c>
      <c r="U252" s="954"/>
      <c r="V252" s="949"/>
      <c r="W252" s="953"/>
      <c r="X252" s="949">
        <f t="shared" si="7"/>
        <v>0</v>
      </c>
      <c r="Y252" s="955"/>
      <c r="Z252" s="953" t="str">
        <f t="shared" si="8"/>
        <v/>
      </c>
      <c r="AA252" s="949">
        <f t="shared" si="9"/>
        <v>0</v>
      </c>
      <c r="AB252" s="955"/>
      <c r="AC252" s="949" t="str">
        <f t="shared" si="10"/>
        <v/>
      </c>
      <c r="AD252" s="953">
        <f t="shared" si="11"/>
        <v>0</v>
      </c>
      <c r="AE252" s="956"/>
      <c r="AF252" s="889" t="s">
        <v>2181</v>
      </c>
      <c r="AG252" s="810" t="b">
        <v>0</v>
      </c>
      <c r="AH252" s="780"/>
      <c r="AI252" s="780"/>
      <c r="AJ252" s="780"/>
      <c r="AK252" s="780"/>
      <c r="AL252" s="780"/>
      <c r="AM252" s="780"/>
      <c r="AN252" s="780"/>
      <c r="AO252" s="780"/>
      <c r="AP252" s="780"/>
      <c r="AQ252" s="780"/>
      <c r="AR252" s="780"/>
      <c r="AS252" s="780"/>
      <c r="AT252" s="780"/>
      <c r="AU252" s="780"/>
      <c r="AV252" s="780"/>
      <c r="AW252" s="780"/>
    </row>
    <row r="253">
      <c r="A253" s="941"/>
      <c r="B253" s="941"/>
      <c r="C253" s="995"/>
      <c r="D253" s="995"/>
      <c r="E253" s="995"/>
      <c r="F253" s="946"/>
      <c r="G253" s="946"/>
      <c r="H253" s="946"/>
      <c r="I253" s="947">
        <v>0.00138428</v>
      </c>
      <c r="J253" s="948">
        <v>0.035</v>
      </c>
      <c r="K253" s="949">
        <f t="shared" si="22"/>
        <v>0</v>
      </c>
      <c r="L253" s="950">
        <f t="shared" si="23"/>
        <v>0</v>
      </c>
      <c r="M253" s="948">
        <v>0.0215</v>
      </c>
      <c r="N253" s="951">
        <f t="shared" si="24"/>
        <v>0.00141404202</v>
      </c>
      <c r="O253" s="949">
        <f t="shared" si="25"/>
        <v>15</v>
      </c>
      <c r="P253" s="949">
        <f t="shared" si="77"/>
        <v>0.0215</v>
      </c>
      <c r="Q253" s="952">
        <f t="shared" si="79"/>
        <v>0</v>
      </c>
      <c r="R253" s="952">
        <f t="shared" si="78"/>
        <v>0</v>
      </c>
      <c r="S253" s="953"/>
      <c r="T253" s="949">
        <v>0.06</v>
      </c>
      <c r="U253" s="954"/>
      <c r="V253" s="949"/>
      <c r="W253" s="953"/>
      <c r="X253" s="949">
        <f t="shared" si="7"/>
        <v>0</v>
      </c>
      <c r="Y253" s="955"/>
      <c r="Z253" s="953" t="str">
        <f t="shared" si="8"/>
        <v/>
      </c>
      <c r="AA253" s="949">
        <f t="shared" si="9"/>
        <v>0</v>
      </c>
      <c r="AB253" s="955"/>
      <c r="AC253" s="949" t="str">
        <f t="shared" si="10"/>
        <v/>
      </c>
      <c r="AD253" s="953">
        <f t="shared" si="11"/>
        <v>0</v>
      </c>
      <c r="AE253" s="956"/>
      <c r="AF253" s="889" t="s">
        <v>2181</v>
      </c>
      <c r="AG253" s="810" t="b">
        <v>0</v>
      </c>
      <c r="AH253" s="780"/>
      <c r="AI253" s="780"/>
      <c r="AJ253" s="780"/>
      <c r="AK253" s="780"/>
      <c r="AL253" s="780"/>
      <c r="AM253" s="780"/>
      <c r="AN253" s="780"/>
      <c r="AO253" s="780"/>
      <c r="AP253" s="780"/>
      <c r="AQ253" s="780"/>
      <c r="AR253" s="780"/>
      <c r="AS253" s="780"/>
      <c r="AT253" s="780"/>
      <c r="AU253" s="780"/>
      <c r="AV253" s="780"/>
      <c r="AW253" s="780"/>
    </row>
    <row r="254">
      <c r="A254" s="941"/>
      <c r="B254" s="941"/>
      <c r="C254" s="995"/>
      <c r="D254" s="995"/>
      <c r="E254" s="995"/>
      <c r="F254" s="946"/>
      <c r="G254" s="946"/>
      <c r="H254" s="946"/>
      <c r="I254" s="947">
        <v>0.00138428</v>
      </c>
      <c r="J254" s="948">
        <v>0.035</v>
      </c>
      <c r="K254" s="949">
        <f t="shared" si="22"/>
        <v>0</v>
      </c>
      <c r="L254" s="950">
        <f t="shared" si="23"/>
        <v>0</v>
      </c>
      <c r="M254" s="948">
        <v>0.0215</v>
      </c>
      <c r="N254" s="951">
        <f t="shared" si="24"/>
        <v>0.00141404202</v>
      </c>
      <c r="O254" s="949">
        <f t="shared" si="25"/>
        <v>15</v>
      </c>
      <c r="P254" s="949">
        <f t="shared" si="77"/>
        <v>0.0215</v>
      </c>
      <c r="Q254" s="952">
        <f t="shared" si="79"/>
        <v>0</v>
      </c>
      <c r="R254" s="952">
        <f t="shared" si="78"/>
        <v>0</v>
      </c>
      <c r="S254" s="953"/>
      <c r="T254" s="949">
        <v>0.06</v>
      </c>
      <c r="U254" s="954"/>
      <c r="V254" s="949"/>
      <c r="W254" s="953"/>
      <c r="X254" s="949">
        <f t="shared" si="7"/>
        <v>0</v>
      </c>
      <c r="Y254" s="955"/>
      <c r="Z254" s="953" t="str">
        <f t="shared" si="8"/>
        <v/>
      </c>
      <c r="AA254" s="949">
        <f t="shared" si="9"/>
        <v>0</v>
      </c>
      <c r="AB254" s="955"/>
      <c r="AC254" s="949" t="str">
        <f t="shared" si="10"/>
        <v/>
      </c>
      <c r="AD254" s="953">
        <f t="shared" si="11"/>
        <v>0</v>
      </c>
      <c r="AE254" s="956"/>
      <c r="AF254" s="889" t="s">
        <v>2181</v>
      </c>
      <c r="AG254" s="810" t="b">
        <v>0</v>
      </c>
      <c r="AH254" s="780"/>
      <c r="AI254" s="780"/>
      <c r="AJ254" s="780"/>
      <c r="AK254" s="780"/>
      <c r="AL254" s="780"/>
      <c r="AM254" s="780"/>
      <c r="AN254" s="780"/>
      <c r="AO254" s="780"/>
      <c r="AP254" s="780"/>
      <c r="AQ254" s="780"/>
      <c r="AR254" s="780"/>
      <c r="AS254" s="780"/>
      <c r="AT254" s="780"/>
      <c r="AU254" s="780"/>
      <c r="AV254" s="780"/>
      <c r="AW254" s="780"/>
    </row>
    <row r="255">
      <c r="A255" s="941"/>
      <c r="B255" s="941"/>
      <c r="C255" s="995"/>
      <c r="D255" s="995"/>
      <c r="E255" s="995"/>
      <c r="F255" s="946"/>
      <c r="G255" s="946"/>
      <c r="H255" s="946"/>
      <c r="I255" s="947">
        <v>0.00138428</v>
      </c>
      <c r="J255" s="948">
        <v>0.035</v>
      </c>
      <c r="K255" s="949">
        <f t="shared" si="22"/>
        <v>0</v>
      </c>
      <c r="L255" s="950">
        <f t="shared" si="23"/>
        <v>0</v>
      </c>
      <c r="M255" s="948">
        <v>0.0215</v>
      </c>
      <c r="N255" s="951">
        <f t="shared" si="24"/>
        <v>0.00141404202</v>
      </c>
      <c r="O255" s="949">
        <f t="shared" si="25"/>
        <v>15</v>
      </c>
      <c r="P255" s="949">
        <f t="shared" si="77"/>
        <v>0.0215</v>
      </c>
      <c r="Q255" s="952">
        <f t="shared" si="79"/>
        <v>0</v>
      </c>
      <c r="R255" s="952">
        <f t="shared" si="78"/>
        <v>0</v>
      </c>
      <c r="S255" s="953"/>
      <c r="T255" s="949">
        <v>0.06</v>
      </c>
      <c r="U255" s="954"/>
      <c r="V255" s="949"/>
      <c r="W255" s="953"/>
      <c r="X255" s="949">
        <f t="shared" si="7"/>
        <v>0</v>
      </c>
      <c r="Y255" s="955"/>
      <c r="Z255" s="953" t="str">
        <f t="shared" si="8"/>
        <v/>
      </c>
      <c r="AA255" s="949">
        <f t="shared" si="9"/>
        <v>0</v>
      </c>
      <c r="AB255" s="955"/>
      <c r="AC255" s="949" t="str">
        <f t="shared" si="10"/>
        <v/>
      </c>
      <c r="AD255" s="953">
        <f t="shared" si="11"/>
        <v>0</v>
      </c>
      <c r="AE255" s="956"/>
      <c r="AF255" s="889" t="s">
        <v>2181</v>
      </c>
      <c r="AG255" s="810" t="b">
        <v>0</v>
      </c>
      <c r="AH255" s="780"/>
      <c r="AI255" s="780"/>
      <c r="AJ255" s="780"/>
      <c r="AK255" s="780"/>
      <c r="AL255" s="780"/>
      <c r="AM255" s="780"/>
      <c r="AN255" s="780"/>
      <c r="AO255" s="780"/>
      <c r="AP255" s="780"/>
      <c r="AQ255" s="780"/>
      <c r="AR255" s="780"/>
      <c r="AS255" s="780"/>
      <c r="AT255" s="780"/>
      <c r="AU255" s="780"/>
      <c r="AV255" s="780"/>
      <c r="AW255" s="780"/>
    </row>
    <row r="256">
      <c r="A256" s="941"/>
      <c r="B256" s="941"/>
      <c r="C256" s="995"/>
      <c r="D256" s="995"/>
      <c r="E256" s="995"/>
      <c r="F256" s="946"/>
      <c r="G256" s="946"/>
      <c r="H256" s="946"/>
      <c r="I256" s="947">
        <v>0.00138428</v>
      </c>
      <c r="J256" s="948">
        <v>0.035</v>
      </c>
      <c r="K256" s="949">
        <f t="shared" si="22"/>
        <v>0</v>
      </c>
      <c r="L256" s="950">
        <f t="shared" si="23"/>
        <v>0</v>
      </c>
      <c r="M256" s="948">
        <v>0.0215</v>
      </c>
      <c r="N256" s="951">
        <f t="shared" si="24"/>
        <v>0.00141404202</v>
      </c>
      <c r="O256" s="949">
        <f t="shared" si="25"/>
        <v>15</v>
      </c>
      <c r="P256" s="949">
        <f t="shared" si="77"/>
        <v>0.0215</v>
      </c>
      <c r="Q256" s="952">
        <f t="shared" si="79"/>
        <v>0</v>
      </c>
      <c r="R256" s="952">
        <f t="shared" si="78"/>
        <v>0</v>
      </c>
      <c r="S256" s="953"/>
      <c r="T256" s="949">
        <v>0.06</v>
      </c>
      <c r="U256" s="954"/>
      <c r="V256" s="949"/>
      <c r="W256" s="953"/>
      <c r="X256" s="949">
        <f t="shared" si="7"/>
        <v>0</v>
      </c>
      <c r="Y256" s="955"/>
      <c r="Z256" s="953" t="str">
        <f t="shared" si="8"/>
        <v/>
      </c>
      <c r="AA256" s="949">
        <f t="shared" si="9"/>
        <v>0</v>
      </c>
      <c r="AB256" s="955"/>
      <c r="AC256" s="949" t="str">
        <f t="shared" si="10"/>
        <v/>
      </c>
      <c r="AD256" s="953">
        <f t="shared" si="11"/>
        <v>0</v>
      </c>
      <c r="AE256" s="956"/>
      <c r="AF256" s="889" t="s">
        <v>2181</v>
      </c>
      <c r="AG256" s="810" t="b">
        <v>0</v>
      </c>
      <c r="AH256" s="780"/>
      <c r="AI256" s="780"/>
      <c r="AJ256" s="780"/>
      <c r="AK256" s="780"/>
      <c r="AL256" s="780"/>
      <c r="AM256" s="780"/>
      <c r="AN256" s="780"/>
      <c r="AO256" s="780"/>
      <c r="AP256" s="780"/>
      <c r="AQ256" s="780"/>
      <c r="AR256" s="780"/>
      <c r="AS256" s="780"/>
      <c r="AT256" s="780"/>
      <c r="AU256" s="780"/>
      <c r="AV256" s="780"/>
      <c r="AW256" s="780"/>
    </row>
    <row r="257">
      <c r="A257" s="941"/>
      <c r="B257" s="941"/>
      <c r="C257" s="995"/>
      <c r="D257" s="995"/>
      <c r="E257" s="995"/>
      <c r="F257" s="946"/>
      <c r="G257" s="946"/>
      <c r="H257" s="946"/>
      <c r="I257" s="947">
        <v>0.00138428</v>
      </c>
      <c r="J257" s="948">
        <v>0.035</v>
      </c>
      <c r="K257" s="949">
        <f t="shared" si="22"/>
        <v>0</v>
      </c>
      <c r="L257" s="950">
        <f t="shared" si="23"/>
        <v>0</v>
      </c>
      <c r="M257" s="948">
        <v>0.0215</v>
      </c>
      <c r="N257" s="951">
        <f t="shared" si="24"/>
        <v>0.00141404202</v>
      </c>
      <c r="O257" s="949">
        <f t="shared" si="25"/>
        <v>15</v>
      </c>
      <c r="P257" s="949">
        <f t="shared" si="77"/>
        <v>0.0215</v>
      </c>
      <c r="Q257" s="952">
        <f t="shared" si="79"/>
        <v>0</v>
      </c>
      <c r="R257" s="952">
        <f t="shared" si="78"/>
        <v>0</v>
      </c>
      <c r="S257" s="953"/>
      <c r="T257" s="949">
        <v>0.06</v>
      </c>
      <c r="U257" s="954"/>
      <c r="V257" s="949"/>
      <c r="W257" s="953"/>
      <c r="X257" s="949">
        <f t="shared" si="7"/>
        <v>0</v>
      </c>
      <c r="Y257" s="955"/>
      <c r="Z257" s="953" t="str">
        <f t="shared" si="8"/>
        <v/>
      </c>
      <c r="AA257" s="949">
        <f t="shared" si="9"/>
        <v>0</v>
      </c>
      <c r="AB257" s="955"/>
      <c r="AC257" s="949" t="str">
        <f t="shared" si="10"/>
        <v/>
      </c>
      <c r="AD257" s="953">
        <f t="shared" si="11"/>
        <v>0</v>
      </c>
      <c r="AE257" s="956"/>
      <c r="AF257" s="889" t="s">
        <v>2181</v>
      </c>
      <c r="AG257" s="810" t="b">
        <v>0</v>
      </c>
      <c r="AH257" s="780"/>
      <c r="AI257" s="780"/>
      <c r="AJ257" s="780"/>
      <c r="AK257" s="780"/>
      <c r="AL257" s="780"/>
      <c r="AM257" s="780"/>
      <c r="AN257" s="780"/>
      <c r="AO257" s="780"/>
      <c r="AP257" s="780"/>
      <c r="AQ257" s="780"/>
      <c r="AR257" s="780"/>
      <c r="AS257" s="780"/>
      <c r="AT257" s="780"/>
      <c r="AU257" s="780"/>
      <c r="AV257" s="780"/>
      <c r="AW257" s="780"/>
    </row>
    <row r="258">
      <c r="A258" s="941"/>
      <c r="B258" s="941"/>
      <c r="C258" s="995"/>
      <c r="D258" s="1001"/>
      <c r="E258" s="944"/>
      <c r="F258" s="946"/>
      <c r="G258" s="946"/>
      <c r="H258" s="946"/>
      <c r="I258" s="947">
        <v>0.00138428</v>
      </c>
      <c r="J258" s="948">
        <v>0.035</v>
      </c>
      <c r="K258" s="949">
        <f t="shared" si="22"/>
        <v>0</v>
      </c>
      <c r="L258" s="950">
        <f t="shared" si="23"/>
        <v>0</v>
      </c>
      <c r="M258" s="948">
        <v>0.0215</v>
      </c>
      <c r="N258" s="951">
        <f t="shared" si="24"/>
        <v>0.00141404202</v>
      </c>
      <c r="O258" s="949">
        <f t="shared" si="25"/>
        <v>15</v>
      </c>
      <c r="P258" s="949">
        <f t="shared" si="77"/>
        <v>0.0215</v>
      </c>
      <c r="Q258" s="952">
        <f t="shared" si="79"/>
        <v>0</v>
      </c>
      <c r="R258" s="952">
        <f t="shared" si="78"/>
        <v>0</v>
      </c>
      <c r="S258" s="953"/>
      <c r="T258" s="949">
        <v>0.06</v>
      </c>
      <c r="U258" s="954"/>
      <c r="V258" s="949"/>
      <c r="W258" s="953"/>
      <c r="X258" s="949">
        <f t="shared" si="7"/>
        <v>0</v>
      </c>
      <c r="Y258" s="955"/>
      <c r="Z258" s="953" t="str">
        <f t="shared" si="8"/>
        <v/>
      </c>
      <c r="AA258" s="949">
        <f t="shared" si="9"/>
        <v>0</v>
      </c>
      <c r="AB258" s="955"/>
      <c r="AC258" s="949" t="str">
        <f t="shared" si="10"/>
        <v/>
      </c>
      <c r="AD258" s="953">
        <f t="shared" si="11"/>
        <v>0</v>
      </c>
      <c r="AE258" s="956"/>
      <c r="AF258" s="889" t="s">
        <v>2181</v>
      </c>
      <c r="AG258" s="810" t="b">
        <v>0</v>
      </c>
      <c r="AH258" s="780"/>
      <c r="AI258" s="780"/>
      <c r="AJ258" s="780"/>
      <c r="AK258" s="780"/>
      <c r="AL258" s="780"/>
      <c r="AM258" s="780"/>
      <c r="AN258" s="780"/>
      <c r="AO258" s="780"/>
      <c r="AP258" s="780"/>
      <c r="AQ258" s="780"/>
      <c r="AR258" s="780"/>
      <c r="AS258" s="780"/>
      <c r="AT258" s="780"/>
      <c r="AU258" s="780"/>
      <c r="AV258" s="780"/>
      <c r="AW258" s="780"/>
    </row>
    <row r="259">
      <c r="A259" s="941"/>
      <c r="B259" s="941"/>
      <c r="C259" s="995"/>
      <c r="D259" s="995"/>
      <c r="E259" s="995"/>
      <c r="F259" s="946"/>
      <c r="G259" s="946"/>
      <c r="H259" s="946"/>
      <c r="I259" s="947">
        <v>0.00138428</v>
      </c>
      <c r="J259" s="948">
        <v>0.035</v>
      </c>
      <c r="K259" s="949">
        <f t="shared" si="22"/>
        <v>0</v>
      </c>
      <c r="L259" s="950">
        <f t="shared" si="23"/>
        <v>0</v>
      </c>
      <c r="M259" s="948">
        <v>0.0215</v>
      </c>
      <c r="N259" s="951">
        <f t="shared" si="24"/>
        <v>0.00141404202</v>
      </c>
      <c r="O259" s="949">
        <f t="shared" si="25"/>
        <v>15</v>
      </c>
      <c r="P259" s="949">
        <f t="shared" si="77"/>
        <v>0.0215</v>
      </c>
      <c r="Q259" s="952">
        <f t="shared" si="79"/>
        <v>0</v>
      </c>
      <c r="R259" s="952">
        <f t="shared" si="78"/>
        <v>0</v>
      </c>
      <c r="S259" s="953"/>
      <c r="T259" s="949">
        <v>0.06</v>
      </c>
      <c r="U259" s="954"/>
      <c r="V259" s="949"/>
      <c r="W259" s="953"/>
      <c r="X259" s="949">
        <f t="shared" si="7"/>
        <v>0</v>
      </c>
      <c r="Y259" s="955"/>
      <c r="Z259" s="953" t="str">
        <f t="shared" si="8"/>
        <v/>
      </c>
      <c r="AA259" s="949">
        <f t="shared" si="9"/>
        <v>0</v>
      </c>
      <c r="AB259" s="955"/>
      <c r="AC259" s="949" t="str">
        <f t="shared" si="10"/>
        <v/>
      </c>
      <c r="AD259" s="953">
        <f t="shared" si="11"/>
        <v>0</v>
      </c>
      <c r="AE259" s="956"/>
      <c r="AF259" s="889" t="s">
        <v>2181</v>
      </c>
      <c r="AG259" s="810" t="b">
        <v>0</v>
      </c>
      <c r="AH259" s="780"/>
      <c r="AI259" s="780"/>
      <c r="AJ259" s="780"/>
      <c r="AK259" s="780"/>
      <c r="AL259" s="780"/>
      <c r="AM259" s="780"/>
      <c r="AN259" s="780"/>
      <c r="AO259" s="780"/>
      <c r="AP259" s="780"/>
      <c r="AQ259" s="780"/>
      <c r="AR259" s="780"/>
      <c r="AS259" s="780"/>
      <c r="AT259" s="780"/>
      <c r="AU259" s="780"/>
      <c r="AV259" s="780"/>
      <c r="AW259" s="780"/>
    </row>
    <row r="260">
      <c r="A260" s="941"/>
      <c r="B260" s="941"/>
      <c r="C260" s="995"/>
      <c r="D260" s="995"/>
      <c r="E260" s="995"/>
      <c r="F260" s="946"/>
      <c r="G260" s="946"/>
      <c r="H260" s="946"/>
      <c r="I260" s="947">
        <v>0.00138428</v>
      </c>
      <c r="J260" s="948">
        <v>0.035</v>
      </c>
      <c r="K260" s="949">
        <f t="shared" si="22"/>
        <v>0</v>
      </c>
      <c r="L260" s="950">
        <f t="shared" si="23"/>
        <v>0</v>
      </c>
      <c r="M260" s="948">
        <v>0.0215</v>
      </c>
      <c r="N260" s="951">
        <f t="shared" si="24"/>
        <v>0.00141404202</v>
      </c>
      <c r="O260" s="949">
        <f t="shared" si="25"/>
        <v>15</v>
      </c>
      <c r="P260" s="949">
        <f t="shared" si="77"/>
        <v>0.0215</v>
      </c>
      <c r="Q260" s="952">
        <f t="shared" si="79"/>
        <v>0</v>
      </c>
      <c r="R260" s="952">
        <f t="shared" si="78"/>
        <v>0</v>
      </c>
      <c r="S260" s="953"/>
      <c r="T260" s="949">
        <v>0.06</v>
      </c>
      <c r="U260" s="954"/>
      <c r="V260" s="949"/>
      <c r="W260" s="953"/>
      <c r="X260" s="949">
        <f t="shared" si="7"/>
        <v>0</v>
      </c>
      <c r="Y260" s="955"/>
      <c r="Z260" s="953" t="str">
        <f t="shared" si="8"/>
        <v/>
      </c>
      <c r="AA260" s="949">
        <f t="shared" si="9"/>
        <v>0</v>
      </c>
      <c r="AB260" s="955"/>
      <c r="AC260" s="949" t="str">
        <f t="shared" si="10"/>
        <v/>
      </c>
      <c r="AD260" s="953">
        <f t="shared" si="11"/>
        <v>0</v>
      </c>
      <c r="AE260" s="956"/>
      <c r="AF260" s="889" t="s">
        <v>2181</v>
      </c>
      <c r="AG260" s="810" t="b">
        <v>0</v>
      </c>
      <c r="AH260" s="780"/>
      <c r="AI260" s="780"/>
      <c r="AJ260" s="780"/>
      <c r="AK260" s="780"/>
      <c r="AL260" s="780"/>
      <c r="AM260" s="780"/>
      <c r="AN260" s="780"/>
      <c r="AO260" s="780"/>
      <c r="AP260" s="780"/>
      <c r="AQ260" s="780"/>
      <c r="AR260" s="780"/>
      <c r="AS260" s="780"/>
      <c r="AT260" s="780"/>
      <c r="AU260" s="780"/>
      <c r="AV260" s="780"/>
      <c r="AW260" s="780"/>
    </row>
    <row r="261">
      <c r="A261" s="941"/>
      <c r="B261" s="941"/>
      <c r="C261" s="995"/>
      <c r="D261" s="995"/>
      <c r="E261" s="995"/>
      <c r="F261" s="946"/>
      <c r="G261" s="946"/>
      <c r="H261" s="946"/>
      <c r="I261" s="947">
        <v>0.00138428</v>
      </c>
      <c r="J261" s="948">
        <v>0.035</v>
      </c>
      <c r="K261" s="949">
        <f t="shared" si="22"/>
        <v>0</v>
      </c>
      <c r="L261" s="950">
        <f t="shared" si="23"/>
        <v>0</v>
      </c>
      <c r="M261" s="948">
        <v>0.0215</v>
      </c>
      <c r="N261" s="951">
        <f t="shared" si="24"/>
        <v>0.00141404202</v>
      </c>
      <c r="O261" s="949">
        <f t="shared" si="25"/>
        <v>15</v>
      </c>
      <c r="P261" s="949">
        <f t="shared" si="77"/>
        <v>0.0215</v>
      </c>
      <c r="Q261" s="952">
        <f t="shared" si="79"/>
        <v>0</v>
      </c>
      <c r="R261" s="952">
        <f t="shared" si="78"/>
        <v>0</v>
      </c>
      <c r="S261" s="953"/>
      <c r="T261" s="949">
        <v>0.06</v>
      </c>
      <c r="U261" s="954"/>
      <c r="V261" s="949"/>
      <c r="W261" s="953"/>
      <c r="X261" s="949">
        <f t="shared" si="7"/>
        <v>0</v>
      </c>
      <c r="Y261" s="955"/>
      <c r="Z261" s="953" t="str">
        <f t="shared" si="8"/>
        <v/>
      </c>
      <c r="AA261" s="949">
        <f t="shared" si="9"/>
        <v>0</v>
      </c>
      <c r="AB261" s="955"/>
      <c r="AC261" s="949" t="str">
        <f t="shared" si="10"/>
        <v/>
      </c>
      <c r="AD261" s="953">
        <f t="shared" si="11"/>
        <v>0</v>
      </c>
      <c r="AE261" s="956"/>
      <c r="AF261" s="889" t="s">
        <v>2181</v>
      </c>
      <c r="AG261" s="810" t="b">
        <v>0</v>
      </c>
      <c r="AH261" s="780"/>
      <c r="AI261" s="780"/>
      <c r="AJ261" s="780"/>
      <c r="AK261" s="780"/>
      <c r="AL261" s="780"/>
      <c r="AM261" s="780"/>
      <c r="AN261" s="780"/>
      <c r="AO261" s="780"/>
      <c r="AP261" s="780"/>
      <c r="AQ261" s="780"/>
      <c r="AR261" s="780"/>
      <c r="AS261" s="780"/>
      <c r="AT261" s="780"/>
      <c r="AU261" s="780"/>
      <c r="AV261" s="780"/>
      <c r="AW261" s="780"/>
    </row>
    <row r="262">
      <c r="A262" s="941"/>
      <c r="B262" s="941"/>
      <c r="C262" s="995"/>
      <c r="D262" s="995"/>
      <c r="E262" s="995"/>
      <c r="F262" s="946"/>
      <c r="G262" s="946"/>
      <c r="H262" s="946"/>
      <c r="I262" s="947">
        <v>0.00138428</v>
      </c>
      <c r="J262" s="948">
        <v>0.035</v>
      </c>
      <c r="K262" s="949">
        <f t="shared" si="22"/>
        <v>0</v>
      </c>
      <c r="L262" s="950">
        <f t="shared" si="23"/>
        <v>0</v>
      </c>
      <c r="M262" s="948">
        <v>0.0215</v>
      </c>
      <c r="N262" s="951">
        <f t="shared" si="24"/>
        <v>0.00141404202</v>
      </c>
      <c r="O262" s="949">
        <f t="shared" si="25"/>
        <v>15</v>
      </c>
      <c r="P262" s="949">
        <f t="shared" si="77"/>
        <v>0.0215</v>
      </c>
      <c r="Q262" s="952">
        <f t="shared" si="79"/>
        <v>0</v>
      </c>
      <c r="R262" s="952">
        <f t="shared" si="78"/>
        <v>0</v>
      </c>
      <c r="S262" s="953"/>
      <c r="T262" s="949">
        <v>0.06</v>
      </c>
      <c r="U262" s="954"/>
      <c r="V262" s="949"/>
      <c r="W262" s="953"/>
      <c r="X262" s="949">
        <f t="shared" si="7"/>
        <v>0</v>
      </c>
      <c r="Y262" s="955"/>
      <c r="Z262" s="953" t="str">
        <f t="shared" si="8"/>
        <v/>
      </c>
      <c r="AA262" s="949">
        <f t="shared" si="9"/>
        <v>0</v>
      </c>
      <c r="AB262" s="955"/>
      <c r="AC262" s="949" t="str">
        <f t="shared" si="10"/>
        <v/>
      </c>
      <c r="AD262" s="953">
        <f t="shared" si="11"/>
        <v>0</v>
      </c>
      <c r="AE262" s="956"/>
      <c r="AF262" s="889" t="s">
        <v>2181</v>
      </c>
      <c r="AG262" s="810" t="b">
        <v>0</v>
      </c>
      <c r="AH262" s="780"/>
      <c r="AI262" s="780"/>
      <c r="AJ262" s="780"/>
      <c r="AK262" s="780"/>
      <c r="AL262" s="780"/>
      <c r="AM262" s="780"/>
      <c r="AN262" s="780"/>
      <c r="AO262" s="780"/>
      <c r="AP262" s="780"/>
      <c r="AQ262" s="780"/>
      <c r="AR262" s="780"/>
      <c r="AS262" s="780"/>
      <c r="AT262" s="780"/>
      <c r="AU262" s="780"/>
      <c r="AV262" s="780"/>
      <c r="AW262" s="780"/>
    </row>
    <row r="263">
      <c r="A263" s="941"/>
      <c r="B263" s="941"/>
      <c r="C263" s="995"/>
      <c r="D263" s="995"/>
      <c r="E263" s="995"/>
      <c r="F263" s="946"/>
      <c r="G263" s="946"/>
      <c r="H263" s="946"/>
      <c r="I263" s="947">
        <v>0.00138428</v>
      </c>
      <c r="J263" s="948">
        <v>0.035</v>
      </c>
      <c r="K263" s="949">
        <f t="shared" si="22"/>
        <v>0</v>
      </c>
      <c r="L263" s="950">
        <f t="shared" si="23"/>
        <v>0</v>
      </c>
      <c r="M263" s="948">
        <v>0.0215</v>
      </c>
      <c r="N263" s="951">
        <f t="shared" si="24"/>
        <v>0.00141404202</v>
      </c>
      <c r="O263" s="949">
        <f t="shared" si="25"/>
        <v>15</v>
      </c>
      <c r="P263" s="949">
        <f t="shared" si="77"/>
        <v>0.0215</v>
      </c>
      <c r="Q263" s="952">
        <f t="shared" si="79"/>
        <v>0</v>
      </c>
      <c r="R263" s="952">
        <f t="shared" si="78"/>
        <v>0</v>
      </c>
      <c r="S263" s="953"/>
      <c r="T263" s="949">
        <v>0.06</v>
      </c>
      <c r="U263" s="954"/>
      <c r="V263" s="949"/>
      <c r="W263" s="953"/>
      <c r="X263" s="949">
        <f t="shared" si="7"/>
        <v>0</v>
      </c>
      <c r="Y263" s="955"/>
      <c r="Z263" s="953" t="str">
        <f t="shared" si="8"/>
        <v/>
      </c>
      <c r="AA263" s="949">
        <f t="shared" si="9"/>
        <v>0</v>
      </c>
      <c r="AB263" s="955"/>
      <c r="AC263" s="949" t="str">
        <f t="shared" si="10"/>
        <v/>
      </c>
      <c r="AD263" s="953">
        <f t="shared" si="11"/>
        <v>0</v>
      </c>
      <c r="AE263" s="956"/>
      <c r="AF263" s="889" t="s">
        <v>2181</v>
      </c>
      <c r="AG263" s="810" t="b">
        <v>0</v>
      </c>
      <c r="AH263" s="780"/>
      <c r="AI263" s="780"/>
      <c r="AJ263" s="780"/>
      <c r="AK263" s="780"/>
      <c r="AL263" s="780"/>
      <c r="AM263" s="780"/>
      <c r="AN263" s="780"/>
      <c r="AO263" s="780"/>
      <c r="AP263" s="780"/>
      <c r="AQ263" s="780"/>
      <c r="AR263" s="780"/>
      <c r="AS263" s="780"/>
      <c r="AT263" s="780"/>
      <c r="AU263" s="780"/>
      <c r="AV263" s="780"/>
      <c r="AW263" s="780"/>
    </row>
    <row r="264">
      <c r="A264" s="941"/>
      <c r="B264" s="941"/>
      <c r="C264" s="995"/>
      <c r="D264" s="995"/>
      <c r="E264" s="995"/>
      <c r="F264" s="946"/>
      <c r="G264" s="946"/>
      <c r="H264" s="946"/>
      <c r="I264" s="947">
        <v>0.00138428</v>
      </c>
      <c r="J264" s="948">
        <v>0.035</v>
      </c>
      <c r="K264" s="949">
        <f t="shared" si="22"/>
        <v>0</v>
      </c>
      <c r="L264" s="950">
        <f t="shared" si="23"/>
        <v>0</v>
      </c>
      <c r="M264" s="948">
        <v>0.0215</v>
      </c>
      <c r="N264" s="951">
        <f t="shared" si="24"/>
        <v>0.00141404202</v>
      </c>
      <c r="O264" s="949">
        <f t="shared" si="25"/>
        <v>15</v>
      </c>
      <c r="P264" s="949">
        <f t="shared" si="77"/>
        <v>0.0215</v>
      </c>
      <c r="Q264" s="952">
        <f t="shared" si="79"/>
        <v>0</v>
      </c>
      <c r="R264" s="952">
        <f t="shared" si="78"/>
        <v>0</v>
      </c>
      <c r="S264" s="953"/>
      <c r="T264" s="949">
        <v>0.06</v>
      </c>
      <c r="U264" s="954"/>
      <c r="V264" s="949"/>
      <c r="W264" s="953"/>
      <c r="X264" s="949">
        <f t="shared" si="7"/>
        <v>0</v>
      </c>
      <c r="Y264" s="955"/>
      <c r="Z264" s="953" t="str">
        <f t="shared" si="8"/>
        <v/>
      </c>
      <c r="AA264" s="949">
        <f t="shared" si="9"/>
        <v>0</v>
      </c>
      <c r="AB264" s="955"/>
      <c r="AC264" s="949" t="str">
        <f t="shared" si="10"/>
        <v/>
      </c>
      <c r="AD264" s="953">
        <f t="shared" si="11"/>
        <v>0</v>
      </c>
      <c r="AE264" s="956"/>
      <c r="AF264" s="889" t="s">
        <v>2181</v>
      </c>
      <c r="AG264" s="810" t="b">
        <v>0</v>
      </c>
      <c r="AH264" s="780"/>
      <c r="AI264" s="780"/>
      <c r="AJ264" s="780"/>
      <c r="AK264" s="780"/>
      <c r="AL264" s="780"/>
      <c r="AM264" s="780"/>
      <c r="AN264" s="780"/>
      <c r="AO264" s="780"/>
      <c r="AP264" s="780"/>
      <c r="AQ264" s="780"/>
      <c r="AR264" s="780"/>
      <c r="AS264" s="780"/>
      <c r="AT264" s="780"/>
      <c r="AU264" s="780"/>
      <c r="AV264" s="780"/>
      <c r="AW264" s="780"/>
    </row>
    <row r="265">
      <c r="A265" s="941"/>
      <c r="B265" s="941"/>
      <c r="C265" s="995"/>
      <c r="D265" s="944"/>
      <c r="E265" s="944"/>
      <c r="F265" s="946"/>
      <c r="G265" s="946"/>
      <c r="H265" s="946"/>
      <c r="I265" s="947">
        <v>0.00138428</v>
      </c>
      <c r="J265" s="948">
        <v>0.035</v>
      </c>
      <c r="K265" s="949">
        <f t="shared" si="22"/>
        <v>0</v>
      </c>
      <c r="L265" s="950">
        <f t="shared" si="23"/>
        <v>0</v>
      </c>
      <c r="M265" s="948">
        <v>0.0215</v>
      </c>
      <c r="N265" s="951">
        <f t="shared" si="24"/>
        <v>0.00141404202</v>
      </c>
      <c r="O265" s="949">
        <f t="shared" si="25"/>
        <v>15</v>
      </c>
      <c r="P265" s="949">
        <f t="shared" si="77"/>
        <v>0.0215</v>
      </c>
      <c r="Q265" s="952">
        <f t="shared" si="79"/>
        <v>0</v>
      </c>
      <c r="R265" s="952">
        <f t="shared" si="78"/>
        <v>0</v>
      </c>
      <c r="S265" s="953"/>
      <c r="T265" s="949">
        <v>0.06</v>
      </c>
      <c r="U265" s="954"/>
      <c r="V265" s="949"/>
      <c r="W265" s="953"/>
      <c r="X265" s="949">
        <f t="shared" si="7"/>
        <v>0</v>
      </c>
      <c r="Y265" s="955"/>
      <c r="Z265" s="953" t="str">
        <f t="shared" si="8"/>
        <v/>
      </c>
      <c r="AA265" s="949">
        <f t="shared" si="9"/>
        <v>0</v>
      </c>
      <c r="AB265" s="955"/>
      <c r="AC265" s="949" t="str">
        <f t="shared" si="10"/>
        <v/>
      </c>
      <c r="AD265" s="953">
        <f t="shared" si="11"/>
        <v>0</v>
      </c>
      <c r="AE265" s="956"/>
      <c r="AF265" s="889" t="s">
        <v>2181</v>
      </c>
      <c r="AG265" s="810" t="b">
        <v>0</v>
      </c>
      <c r="AH265" s="780"/>
      <c r="AI265" s="780"/>
      <c r="AJ265" s="780"/>
      <c r="AK265" s="780"/>
      <c r="AL265" s="780"/>
      <c r="AM265" s="780"/>
      <c r="AN265" s="780"/>
      <c r="AO265" s="780"/>
      <c r="AP265" s="780"/>
      <c r="AQ265" s="780"/>
      <c r="AR265" s="780"/>
      <c r="AS265" s="780"/>
      <c r="AT265" s="780"/>
      <c r="AU265" s="780"/>
      <c r="AV265" s="780"/>
      <c r="AW265" s="780"/>
    </row>
    <row r="266">
      <c r="A266" s="941"/>
      <c r="B266" s="941"/>
      <c r="C266" s="995"/>
      <c r="D266" s="995"/>
      <c r="E266" s="995"/>
      <c r="F266" s="946"/>
      <c r="G266" s="946"/>
      <c r="H266" s="946"/>
      <c r="I266" s="947">
        <v>0.00138428</v>
      </c>
      <c r="J266" s="948">
        <v>0.035</v>
      </c>
      <c r="K266" s="949">
        <f t="shared" si="22"/>
        <v>0</v>
      </c>
      <c r="L266" s="950">
        <f t="shared" si="23"/>
        <v>0</v>
      </c>
      <c r="M266" s="948">
        <v>0.0215</v>
      </c>
      <c r="N266" s="951">
        <f t="shared" si="24"/>
        <v>0.00141404202</v>
      </c>
      <c r="O266" s="949">
        <f t="shared" si="25"/>
        <v>15</v>
      </c>
      <c r="P266" s="949">
        <f t="shared" si="77"/>
        <v>0.0215</v>
      </c>
      <c r="Q266" s="952">
        <f t="shared" si="79"/>
        <v>0</v>
      </c>
      <c r="R266" s="952">
        <f t="shared" si="78"/>
        <v>0</v>
      </c>
      <c r="S266" s="953"/>
      <c r="T266" s="949">
        <v>0.06</v>
      </c>
      <c r="U266" s="954"/>
      <c r="V266" s="949"/>
      <c r="W266" s="953"/>
      <c r="X266" s="949">
        <f t="shared" si="7"/>
        <v>0</v>
      </c>
      <c r="Y266" s="955"/>
      <c r="Z266" s="953" t="str">
        <f t="shared" si="8"/>
        <v/>
      </c>
      <c r="AA266" s="949">
        <f t="shared" si="9"/>
        <v>0</v>
      </c>
      <c r="AB266" s="955"/>
      <c r="AC266" s="949" t="str">
        <f t="shared" si="10"/>
        <v/>
      </c>
      <c r="AD266" s="953">
        <f t="shared" si="11"/>
        <v>0</v>
      </c>
      <c r="AE266" s="956"/>
      <c r="AF266" s="889" t="s">
        <v>2181</v>
      </c>
      <c r="AG266" s="810" t="b">
        <v>0</v>
      </c>
      <c r="AH266" s="780"/>
      <c r="AI266" s="780"/>
      <c r="AJ266" s="780"/>
      <c r="AK266" s="780"/>
      <c r="AL266" s="780"/>
      <c r="AM266" s="780"/>
      <c r="AN266" s="780"/>
      <c r="AO266" s="780"/>
      <c r="AP266" s="780"/>
      <c r="AQ266" s="780"/>
      <c r="AR266" s="780"/>
      <c r="AS266" s="780"/>
      <c r="AT266" s="780"/>
      <c r="AU266" s="780"/>
      <c r="AV266" s="780"/>
      <c r="AW266" s="780"/>
    </row>
    <row r="267">
      <c r="A267" s="941"/>
      <c r="B267" s="941"/>
      <c r="C267" s="995"/>
      <c r="D267" s="944"/>
      <c r="E267" s="944"/>
      <c r="F267" s="946"/>
      <c r="G267" s="946"/>
      <c r="H267" s="946"/>
      <c r="I267" s="947">
        <v>0.00138428</v>
      </c>
      <c r="J267" s="948">
        <v>0.035</v>
      </c>
      <c r="K267" s="949">
        <f t="shared" si="22"/>
        <v>0</v>
      </c>
      <c r="L267" s="950">
        <f t="shared" si="23"/>
        <v>0</v>
      </c>
      <c r="M267" s="948">
        <v>0.0215</v>
      </c>
      <c r="N267" s="951">
        <f t="shared" si="24"/>
        <v>0.00141404202</v>
      </c>
      <c r="O267" s="949">
        <f t="shared" si="25"/>
        <v>15</v>
      </c>
      <c r="P267" s="949">
        <f t="shared" si="77"/>
        <v>0.0215</v>
      </c>
      <c r="Q267" s="952">
        <f t="shared" si="79"/>
        <v>0</v>
      </c>
      <c r="R267" s="952">
        <f t="shared" si="78"/>
        <v>0</v>
      </c>
      <c r="S267" s="953"/>
      <c r="T267" s="949">
        <v>0.06</v>
      </c>
      <c r="U267" s="954"/>
      <c r="V267" s="949"/>
      <c r="W267" s="953"/>
      <c r="X267" s="949">
        <f t="shared" si="7"/>
        <v>0</v>
      </c>
      <c r="Y267" s="955"/>
      <c r="Z267" s="953" t="str">
        <f t="shared" si="8"/>
        <v/>
      </c>
      <c r="AA267" s="949">
        <f t="shared" si="9"/>
        <v>0</v>
      </c>
      <c r="AB267" s="955"/>
      <c r="AC267" s="949" t="str">
        <f t="shared" si="10"/>
        <v/>
      </c>
      <c r="AD267" s="953">
        <f t="shared" si="11"/>
        <v>0</v>
      </c>
      <c r="AE267" s="956"/>
      <c r="AF267" s="889" t="s">
        <v>2181</v>
      </c>
      <c r="AG267" s="810" t="b">
        <v>0</v>
      </c>
      <c r="AH267" s="780"/>
      <c r="AI267" s="780"/>
      <c r="AJ267" s="780"/>
      <c r="AK267" s="780"/>
      <c r="AL267" s="780"/>
      <c r="AM267" s="780"/>
      <c r="AN267" s="780"/>
      <c r="AO267" s="780"/>
      <c r="AP267" s="780"/>
      <c r="AQ267" s="780"/>
      <c r="AR267" s="780"/>
      <c r="AS267" s="780"/>
      <c r="AT267" s="780"/>
      <c r="AU267" s="780"/>
      <c r="AV267" s="780"/>
      <c r="AW267" s="780"/>
    </row>
    <row r="268">
      <c r="A268" s="941"/>
      <c r="B268" s="941"/>
      <c r="C268" s="995"/>
      <c r="D268" s="995"/>
      <c r="E268" s="995"/>
      <c r="F268" s="946"/>
      <c r="G268" s="946"/>
      <c r="H268" s="946"/>
      <c r="I268" s="947">
        <v>0.00138428</v>
      </c>
      <c r="J268" s="948">
        <v>0.035</v>
      </c>
      <c r="K268" s="949">
        <f t="shared" si="22"/>
        <v>0</v>
      </c>
      <c r="L268" s="950">
        <f t="shared" si="23"/>
        <v>0</v>
      </c>
      <c r="M268" s="948">
        <v>0.0215</v>
      </c>
      <c r="N268" s="951">
        <f t="shared" si="24"/>
        <v>0.00141404202</v>
      </c>
      <c r="O268" s="949">
        <f t="shared" si="25"/>
        <v>15</v>
      </c>
      <c r="P268" s="949">
        <f t="shared" si="77"/>
        <v>0.0215</v>
      </c>
      <c r="Q268" s="952">
        <f t="shared" si="79"/>
        <v>0</v>
      </c>
      <c r="R268" s="952">
        <f t="shared" si="78"/>
        <v>0</v>
      </c>
      <c r="S268" s="953"/>
      <c r="T268" s="949">
        <v>0.06</v>
      </c>
      <c r="U268" s="954"/>
      <c r="V268" s="949"/>
      <c r="W268" s="953"/>
      <c r="X268" s="949">
        <f t="shared" si="7"/>
        <v>0</v>
      </c>
      <c r="Y268" s="955"/>
      <c r="Z268" s="953" t="str">
        <f t="shared" si="8"/>
        <v/>
      </c>
      <c r="AA268" s="949">
        <f t="shared" si="9"/>
        <v>0</v>
      </c>
      <c r="AB268" s="955"/>
      <c r="AC268" s="949" t="str">
        <f t="shared" si="10"/>
        <v/>
      </c>
      <c r="AD268" s="953">
        <f t="shared" si="11"/>
        <v>0</v>
      </c>
      <c r="AE268" s="956"/>
      <c r="AF268" s="889" t="s">
        <v>2181</v>
      </c>
      <c r="AG268" s="810" t="b">
        <v>0</v>
      </c>
      <c r="AH268" s="780"/>
      <c r="AI268" s="780"/>
      <c r="AJ268" s="780"/>
      <c r="AK268" s="780"/>
      <c r="AL268" s="780"/>
      <c r="AM268" s="780"/>
      <c r="AN268" s="780"/>
      <c r="AO268" s="780"/>
      <c r="AP268" s="780"/>
      <c r="AQ268" s="780"/>
      <c r="AR268" s="780"/>
      <c r="AS268" s="780"/>
      <c r="AT268" s="780"/>
      <c r="AU268" s="780"/>
      <c r="AV268" s="780"/>
      <c r="AW268" s="780"/>
    </row>
    <row r="269">
      <c r="A269" s="941"/>
      <c r="B269" s="941"/>
      <c r="C269" s="995"/>
      <c r="D269" s="944"/>
      <c r="E269" s="944"/>
      <c r="F269" s="946"/>
      <c r="G269" s="946"/>
      <c r="H269" s="946"/>
      <c r="I269" s="947">
        <v>0.00138428</v>
      </c>
      <c r="J269" s="948">
        <v>0.035</v>
      </c>
      <c r="K269" s="949">
        <f t="shared" si="22"/>
        <v>0</v>
      </c>
      <c r="L269" s="950">
        <f t="shared" si="23"/>
        <v>0</v>
      </c>
      <c r="M269" s="948">
        <v>0.0215</v>
      </c>
      <c r="N269" s="951">
        <f t="shared" si="24"/>
        <v>0.00141404202</v>
      </c>
      <c r="O269" s="949">
        <f t="shared" si="25"/>
        <v>15</v>
      </c>
      <c r="P269" s="949">
        <f t="shared" si="77"/>
        <v>0.0215</v>
      </c>
      <c r="Q269" s="952">
        <f t="shared" si="79"/>
        <v>0</v>
      </c>
      <c r="R269" s="952">
        <f t="shared" si="78"/>
        <v>0</v>
      </c>
      <c r="S269" s="953"/>
      <c r="T269" s="949">
        <v>0.06</v>
      </c>
      <c r="U269" s="954"/>
      <c r="V269" s="949"/>
      <c r="W269" s="953"/>
      <c r="X269" s="949">
        <f t="shared" si="7"/>
        <v>0</v>
      </c>
      <c r="Y269" s="955"/>
      <c r="Z269" s="953" t="str">
        <f t="shared" si="8"/>
        <v/>
      </c>
      <c r="AA269" s="949">
        <f t="shared" si="9"/>
        <v>0</v>
      </c>
      <c r="AB269" s="955"/>
      <c r="AC269" s="949" t="str">
        <f t="shared" si="10"/>
        <v/>
      </c>
      <c r="AD269" s="953">
        <f t="shared" si="11"/>
        <v>0</v>
      </c>
      <c r="AE269" s="956"/>
      <c r="AF269" s="889" t="s">
        <v>2181</v>
      </c>
      <c r="AG269" s="810" t="b">
        <v>0</v>
      </c>
      <c r="AH269" s="780"/>
      <c r="AI269" s="780"/>
      <c r="AJ269" s="780"/>
      <c r="AK269" s="780"/>
      <c r="AL269" s="780"/>
      <c r="AM269" s="780"/>
      <c r="AN269" s="780"/>
      <c r="AO269" s="780"/>
      <c r="AP269" s="780"/>
      <c r="AQ269" s="780"/>
      <c r="AR269" s="780"/>
      <c r="AS269" s="780"/>
      <c r="AT269" s="780"/>
      <c r="AU269" s="780"/>
      <c r="AV269" s="780"/>
      <c r="AW269" s="780"/>
    </row>
    <row r="270">
      <c r="A270" s="941"/>
      <c r="B270" s="941"/>
      <c r="C270" s="995"/>
      <c r="D270" s="995"/>
      <c r="E270" s="995"/>
      <c r="F270" s="946"/>
      <c r="G270" s="946"/>
      <c r="H270" s="946"/>
      <c r="I270" s="947">
        <v>0.00138428</v>
      </c>
      <c r="J270" s="948">
        <v>0.035</v>
      </c>
      <c r="K270" s="949">
        <f t="shared" si="22"/>
        <v>0</v>
      </c>
      <c r="L270" s="950">
        <f t="shared" si="23"/>
        <v>0</v>
      </c>
      <c r="M270" s="948">
        <v>0.0215</v>
      </c>
      <c r="N270" s="951">
        <f t="shared" si="24"/>
        <v>0.00141404202</v>
      </c>
      <c r="O270" s="949">
        <f t="shared" si="25"/>
        <v>15</v>
      </c>
      <c r="P270" s="949">
        <f t="shared" si="77"/>
        <v>0.0215</v>
      </c>
      <c r="Q270" s="952">
        <f t="shared" si="79"/>
        <v>0</v>
      </c>
      <c r="R270" s="952">
        <f t="shared" si="78"/>
        <v>0</v>
      </c>
      <c r="S270" s="953"/>
      <c r="T270" s="949">
        <v>0.06</v>
      </c>
      <c r="U270" s="954"/>
      <c r="V270" s="949"/>
      <c r="W270" s="953"/>
      <c r="X270" s="949">
        <f t="shared" si="7"/>
        <v>0</v>
      </c>
      <c r="Y270" s="955"/>
      <c r="Z270" s="953" t="str">
        <f t="shared" si="8"/>
        <v/>
      </c>
      <c r="AA270" s="949">
        <f t="shared" si="9"/>
        <v>0</v>
      </c>
      <c r="AB270" s="955"/>
      <c r="AC270" s="949" t="str">
        <f t="shared" si="10"/>
        <v/>
      </c>
      <c r="AD270" s="953">
        <f t="shared" si="11"/>
        <v>0</v>
      </c>
      <c r="AE270" s="956"/>
      <c r="AF270" s="889" t="s">
        <v>2181</v>
      </c>
      <c r="AG270" s="810" t="b">
        <v>0</v>
      </c>
      <c r="AH270" s="780"/>
      <c r="AI270" s="780"/>
      <c r="AJ270" s="780"/>
      <c r="AK270" s="780"/>
      <c r="AL270" s="780"/>
      <c r="AM270" s="780"/>
      <c r="AN270" s="780"/>
      <c r="AO270" s="780"/>
      <c r="AP270" s="780"/>
      <c r="AQ270" s="780"/>
      <c r="AR270" s="780"/>
      <c r="AS270" s="780"/>
      <c r="AT270" s="780"/>
      <c r="AU270" s="780"/>
      <c r="AV270" s="780"/>
      <c r="AW270" s="780"/>
    </row>
    <row r="271">
      <c r="A271" s="941"/>
      <c r="B271" s="941"/>
      <c r="C271" s="995"/>
      <c r="D271" s="944"/>
      <c r="E271" s="944"/>
      <c r="F271" s="946"/>
      <c r="G271" s="946"/>
      <c r="H271" s="946"/>
      <c r="I271" s="947">
        <v>0.00138428</v>
      </c>
      <c r="J271" s="948">
        <v>0.035</v>
      </c>
      <c r="K271" s="949">
        <f t="shared" si="22"/>
        <v>0</v>
      </c>
      <c r="L271" s="950">
        <f t="shared" si="23"/>
        <v>0</v>
      </c>
      <c r="M271" s="948">
        <v>0.0215</v>
      </c>
      <c r="N271" s="951">
        <f t="shared" si="24"/>
        <v>0.00141404202</v>
      </c>
      <c r="O271" s="949">
        <f t="shared" si="25"/>
        <v>15</v>
      </c>
      <c r="P271" s="949">
        <f t="shared" si="77"/>
        <v>0.0215</v>
      </c>
      <c r="Q271" s="952">
        <f t="shared" si="79"/>
        <v>0</v>
      </c>
      <c r="R271" s="952">
        <f t="shared" si="78"/>
        <v>0</v>
      </c>
      <c r="S271" s="953"/>
      <c r="T271" s="949">
        <v>0.06</v>
      </c>
      <c r="U271" s="954"/>
      <c r="V271" s="949"/>
      <c r="W271" s="953"/>
      <c r="X271" s="949">
        <f t="shared" si="7"/>
        <v>0</v>
      </c>
      <c r="Y271" s="955"/>
      <c r="Z271" s="953" t="str">
        <f t="shared" si="8"/>
        <v/>
      </c>
      <c r="AA271" s="949">
        <f t="shared" si="9"/>
        <v>0</v>
      </c>
      <c r="AB271" s="955"/>
      <c r="AC271" s="949" t="str">
        <f t="shared" si="10"/>
        <v/>
      </c>
      <c r="AD271" s="953">
        <f t="shared" si="11"/>
        <v>0</v>
      </c>
      <c r="AE271" s="956"/>
      <c r="AF271" s="889" t="s">
        <v>2181</v>
      </c>
      <c r="AG271" s="810" t="b">
        <v>0</v>
      </c>
      <c r="AH271" s="780"/>
      <c r="AI271" s="780"/>
      <c r="AJ271" s="780"/>
      <c r="AK271" s="780"/>
      <c r="AL271" s="780"/>
      <c r="AM271" s="780"/>
      <c r="AN271" s="780"/>
      <c r="AO271" s="780"/>
      <c r="AP271" s="780"/>
      <c r="AQ271" s="780"/>
      <c r="AR271" s="780"/>
      <c r="AS271" s="780"/>
      <c r="AT271" s="780"/>
      <c r="AU271" s="780"/>
      <c r="AV271" s="780"/>
      <c r="AW271" s="780"/>
    </row>
    <row r="272">
      <c r="A272" s="941"/>
      <c r="B272" s="941"/>
      <c r="C272" s="995"/>
      <c r="D272" s="995"/>
      <c r="E272" s="995"/>
      <c r="F272" s="946"/>
      <c r="G272" s="946"/>
      <c r="H272" s="946"/>
      <c r="I272" s="947">
        <v>0.00138428</v>
      </c>
      <c r="J272" s="948">
        <v>0.035</v>
      </c>
      <c r="K272" s="949">
        <f t="shared" si="22"/>
        <v>0</v>
      </c>
      <c r="L272" s="950">
        <f t="shared" si="23"/>
        <v>0</v>
      </c>
      <c r="M272" s="948">
        <v>0.0215</v>
      </c>
      <c r="N272" s="951">
        <f t="shared" si="24"/>
        <v>0.00141404202</v>
      </c>
      <c r="O272" s="949">
        <f t="shared" si="25"/>
        <v>15</v>
      </c>
      <c r="P272" s="949">
        <f t="shared" si="77"/>
        <v>0.0215</v>
      </c>
      <c r="Q272" s="952">
        <f t="shared" si="79"/>
        <v>0</v>
      </c>
      <c r="R272" s="952">
        <f t="shared" si="78"/>
        <v>0</v>
      </c>
      <c r="S272" s="953"/>
      <c r="T272" s="949">
        <v>0.06</v>
      </c>
      <c r="U272" s="954"/>
      <c r="V272" s="949"/>
      <c r="W272" s="953"/>
      <c r="X272" s="949">
        <f t="shared" si="7"/>
        <v>0</v>
      </c>
      <c r="Y272" s="955"/>
      <c r="Z272" s="953" t="str">
        <f t="shared" si="8"/>
        <v/>
      </c>
      <c r="AA272" s="949">
        <f t="shared" si="9"/>
        <v>0</v>
      </c>
      <c r="AB272" s="955"/>
      <c r="AC272" s="949" t="str">
        <f t="shared" si="10"/>
        <v/>
      </c>
      <c r="AD272" s="953">
        <f t="shared" si="11"/>
        <v>0</v>
      </c>
      <c r="AE272" s="956"/>
      <c r="AF272" s="889" t="s">
        <v>2181</v>
      </c>
      <c r="AG272" s="810" t="b">
        <v>0</v>
      </c>
      <c r="AH272" s="780"/>
      <c r="AI272" s="780"/>
      <c r="AJ272" s="780"/>
      <c r="AK272" s="780"/>
      <c r="AL272" s="780"/>
      <c r="AM272" s="780"/>
      <c r="AN272" s="780"/>
      <c r="AO272" s="780"/>
      <c r="AP272" s="780"/>
      <c r="AQ272" s="780"/>
      <c r="AR272" s="780"/>
      <c r="AS272" s="780"/>
      <c r="AT272" s="780"/>
      <c r="AU272" s="780"/>
      <c r="AV272" s="780"/>
      <c r="AW272" s="780"/>
    </row>
    <row r="273">
      <c r="A273" s="941"/>
      <c r="B273" s="941"/>
      <c r="C273" s="995"/>
      <c r="D273" s="944"/>
      <c r="E273" s="944"/>
      <c r="F273" s="946"/>
      <c r="G273" s="946"/>
      <c r="H273" s="946"/>
      <c r="I273" s="947">
        <v>0.00138428</v>
      </c>
      <c r="J273" s="948">
        <v>0.035</v>
      </c>
      <c r="K273" s="949">
        <f t="shared" si="22"/>
        <v>0</v>
      </c>
      <c r="L273" s="950">
        <f t="shared" si="23"/>
        <v>0</v>
      </c>
      <c r="M273" s="948">
        <v>0.0215</v>
      </c>
      <c r="N273" s="951">
        <f t="shared" si="24"/>
        <v>0.00141404202</v>
      </c>
      <c r="O273" s="949">
        <f t="shared" si="25"/>
        <v>15</v>
      </c>
      <c r="P273" s="949">
        <f t="shared" si="77"/>
        <v>0.0215</v>
      </c>
      <c r="Q273" s="952">
        <f t="shared" si="79"/>
        <v>0</v>
      </c>
      <c r="R273" s="952">
        <f t="shared" si="78"/>
        <v>0</v>
      </c>
      <c r="S273" s="953"/>
      <c r="T273" s="949">
        <v>0.06</v>
      </c>
      <c r="U273" s="954"/>
      <c r="V273" s="949"/>
      <c r="W273" s="953"/>
      <c r="X273" s="949">
        <f t="shared" si="7"/>
        <v>0</v>
      </c>
      <c r="Y273" s="955"/>
      <c r="Z273" s="953" t="str">
        <f t="shared" si="8"/>
        <v/>
      </c>
      <c r="AA273" s="949">
        <f t="shared" si="9"/>
        <v>0</v>
      </c>
      <c r="AB273" s="955"/>
      <c r="AC273" s="949" t="str">
        <f t="shared" si="10"/>
        <v/>
      </c>
      <c r="AD273" s="953">
        <f t="shared" si="11"/>
        <v>0</v>
      </c>
      <c r="AE273" s="956"/>
      <c r="AF273" s="889" t="s">
        <v>2181</v>
      </c>
      <c r="AG273" s="810" t="b">
        <v>0</v>
      </c>
      <c r="AH273" s="780"/>
      <c r="AI273" s="780"/>
      <c r="AJ273" s="780"/>
      <c r="AK273" s="780"/>
      <c r="AL273" s="780"/>
      <c r="AM273" s="780"/>
      <c r="AN273" s="780"/>
      <c r="AO273" s="780"/>
      <c r="AP273" s="780"/>
      <c r="AQ273" s="780"/>
      <c r="AR273" s="780"/>
      <c r="AS273" s="780"/>
      <c r="AT273" s="780"/>
      <c r="AU273" s="780"/>
      <c r="AV273" s="780"/>
      <c r="AW273" s="780"/>
    </row>
    <row r="274">
      <c r="A274" s="941"/>
      <c r="B274" s="941"/>
      <c r="C274" s="995"/>
      <c r="D274" s="995"/>
      <c r="E274" s="995"/>
      <c r="F274" s="946"/>
      <c r="G274" s="946"/>
      <c r="H274" s="946"/>
      <c r="I274" s="947">
        <v>0.00138428</v>
      </c>
      <c r="J274" s="948">
        <v>0.035</v>
      </c>
      <c r="K274" s="949">
        <f t="shared" si="22"/>
        <v>0</v>
      </c>
      <c r="L274" s="950">
        <f t="shared" si="23"/>
        <v>0</v>
      </c>
      <c r="M274" s="948">
        <v>0.0215</v>
      </c>
      <c r="N274" s="951">
        <f t="shared" si="24"/>
        <v>0.00141404202</v>
      </c>
      <c r="O274" s="949">
        <f t="shared" si="25"/>
        <v>15</v>
      </c>
      <c r="P274" s="949">
        <f t="shared" si="77"/>
        <v>0.0215</v>
      </c>
      <c r="Q274" s="952">
        <f t="shared" si="79"/>
        <v>0</v>
      </c>
      <c r="R274" s="952">
        <f t="shared" si="78"/>
        <v>0</v>
      </c>
      <c r="S274" s="953"/>
      <c r="T274" s="949">
        <v>0.06</v>
      </c>
      <c r="U274" s="954"/>
      <c r="V274" s="949"/>
      <c r="W274" s="953"/>
      <c r="X274" s="949">
        <f t="shared" si="7"/>
        <v>0</v>
      </c>
      <c r="Y274" s="955"/>
      <c r="Z274" s="953" t="str">
        <f t="shared" si="8"/>
        <v/>
      </c>
      <c r="AA274" s="949">
        <f t="shared" si="9"/>
        <v>0</v>
      </c>
      <c r="AB274" s="955"/>
      <c r="AC274" s="949" t="str">
        <f t="shared" si="10"/>
        <v/>
      </c>
      <c r="AD274" s="953">
        <f t="shared" si="11"/>
        <v>0</v>
      </c>
      <c r="AE274" s="956"/>
      <c r="AF274" s="889" t="s">
        <v>2181</v>
      </c>
      <c r="AG274" s="810" t="b">
        <v>0</v>
      </c>
      <c r="AH274" s="780"/>
      <c r="AI274" s="780"/>
      <c r="AJ274" s="780"/>
      <c r="AK274" s="780"/>
      <c r="AL274" s="780"/>
      <c r="AM274" s="780"/>
      <c r="AN274" s="780"/>
      <c r="AO274" s="780"/>
      <c r="AP274" s="780"/>
      <c r="AQ274" s="780"/>
      <c r="AR274" s="780"/>
      <c r="AS274" s="780"/>
      <c r="AT274" s="780"/>
      <c r="AU274" s="780"/>
      <c r="AV274" s="780"/>
      <c r="AW274" s="780"/>
    </row>
    <row r="275">
      <c r="A275" s="941"/>
      <c r="B275" s="941"/>
      <c r="C275" s="995"/>
      <c r="D275" s="944"/>
      <c r="E275" s="944"/>
      <c r="F275" s="946"/>
      <c r="G275" s="946"/>
      <c r="H275" s="946"/>
      <c r="I275" s="947">
        <v>0.00138428</v>
      </c>
      <c r="J275" s="948">
        <v>0.035</v>
      </c>
      <c r="K275" s="949">
        <f t="shared" si="22"/>
        <v>0</v>
      </c>
      <c r="L275" s="950">
        <f t="shared" si="23"/>
        <v>0</v>
      </c>
      <c r="M275" s="948">
        <v>0.0215</v>
      </c>
      <c r="N275" s="951">
        <f t="shared" si="24"/>
        <v>0.00141404202</v>
      </c>
      <c r="O275" s="949">
        <f t="shared" si="25"/>
        <v>15</v>
      </c>
      <c r="P275" s="949">
        <f t="shared" si="77"/>
        <v>0.0215</v>
      </c>
      <c r="Q275" s="952">
        <f t="shared" si="79"/>
        <v>0</v>
      </c>
      <c r="R275" s="952">
        <f t="shared" si="78"/>
        <v>0</v>
      </c>
      <c r="S275" s="953"/>
      <c r="T275" s="949">
        <v>0.06</v>
      </c>
      <c r="U275" s="954"/>
      <c r="V275" s="949"/>
      <c r="W275" s="953"/>
      <c r="X275" s="949">
        <f t="shared" si="7"/>
        <v>0</v>
      </c>
      <c r="Y275" s="955"/>
      <c r="Z275" s="953" t="str">
        <f t="shared" si="8"/>
        <v/>
      </c>
      <c r="AA275" s="949">
        <f t="shared" si="9"/>
        <v>0</v>
      </c>
      <c r="AB275" s="955"/>
      <c r="AC275" s="949" t="str">
        <f t="shared" si="10"/>
        <v/>
      </c>
      <c r="AD275" s="953">
        <f t="shared" si="11"/>
        <v>0</v>
      </c>
      <c r="AE275" s="956"/>
      <c r="AF275" s="889" t="s">
        <v>2181</v>
      </c>
      <c r="AG275" s="810" t="b">
        <v>0</v>
      </c>
      <c r="AH275" s="780"/>
      <c r="AI275" s="780"/>
      <c r="AJ275" s="780"/>
      <c r="AK275" s="780"/>
      <c r="AL275" s="780"/>
      <c r="AM275" s="780"/>
      <c r="AN275" s="780"/>
      <c r="AO275" s="780"/>
      <c r="AP275" s="780"/>
      <c r="AQ275" s="780"/>
      <c r="AR275" s="780"/>
      <c r="AS275" s="780"/>
      <c r="AT275" s="780"/>
      <c r="AU275" s="780"/>
      <c r="AV275" s="780"/>
      <c r="AW275" s="780"/>
    </row>
    <row r="276">
      <c r="A276" s="941"/>
      <c r="B276" s="941"/>
      <c r="C276" s="995"/>
      <c r="D276" s="995"/>
      <c r="E276" s="995"/>
      <c r="F276" s="946"/>
      <c r="G276" s="946"/>
      <c r="H276" s="946"/>
      <c r="I276" s="947">
        <v>0.00138428</v>
      </c>
      <c r="J276" s="948">
        <v>0.035</v>
      </c>
      <c r="K276" s="949">
        <f t="shared" si="22"/>
        <v>0</v>
      </c>
      <c r="L276" s="950">
        <f t="shared" si="23"/>
        <v>0</v>
      </c>
      <c r="M276" s="948">
        <v>0.0215</v>
      </c>
      <c r="N276" s="951">
        <f t="shared" si="24"/>
        <v>0.00141404202</v>
      </c>
      <c r="O276" s="949">
        <f t="shared" si="25"/>
        <v>15</v>
      </c>
      <c r="P276" s="949">
        <f t="shared" si="77"/>
        <v>0.0215</v>
      </c>
      <c r="Q276" s="952">
        <f t="shared" si="79"/>
        <v>0</v>
      </c>
      <c r="R276" s="952">
        <f t="shared" si="78"/>
        <v>0</v>
      </c>
      <c r="S276" s="953"/>
      <c r="T276" s="949">
        <v>0.06</v>
      </c>
      <c r="U276" s="954"/>
      <c r="V276" s="949"/>
      <c r="W276" s="953"/>
      <c r="X276" s="949">
        <f t="shared" si="7"/>
        <v>0</v>
      </c>
      <c r="Y276" s="955"/>
      <c r="Z276" s="953" t="str">
        <f t="shared" si="8"/>
        <v/>
      </c>
      <c r="AA276" s="949">
        <f t="shared" si="9"/>
        <v>0</v>
      </c>
      <c r="AB276" s="955"/>
      <c r="AC276" s="949" t="str">
        <f t="shared" si="10"/>
        <v/>
      </c>
      <c r="AD276" s="953">
        <f t="shared" si="11"/>
        <v>0</v>
      </c>
      <c r="AE276" s="956"/>
      <c r="AF276" s="889" t="s">
        <v>2181</v>
      </c>
      <c r="AG276" s="810" t="b">
        <v>0</v>
      </c>
      <c r="AH276" s="780"/>
      <c r="AI276" s="780"/>
      <c r="AJ276" s="780"/>
      <c r="AK276" s="780"/>
      <c r="AL276" s="780"/>
      <c r="AM276" s="780"/>
      <c r="AN276" s="780"/>
      <c r="AO276" s="780"/>
      <c r="AP276" s="780"/>
      <c r="AQ276" s="780"/>
      <c r="AR276" s="780"/>
      <c r="AS276" s="780"/>
      <c r="AT276" s="780"/>
      <c r="AU276" s="780"/>
      <c r="AV276" s="780"/>
      <c r="AW276" s="780"/>
    </row>
    <row r="277">
      <c r="A277" s="941"/>
      <c r="B277" s="941"/>
      <c r="C277" s="995"/>
      <c r="D277" s="944"/>
      <c r="E277" s="944"/>
      <c r="F277" s="946"/>
      <c r="G277" s="946"/>
      <c r="H277" s="946"/>
      <c r="I277" s="947">
        <v>0.00138428</v>
      </c>
      <c r="J277" s="948">
        <v>0.035</v>
      </c>
      <c r="K277" s="949">
        <f t="shared" si="22"/>
        <v>0</v>
      </c>
      <c r="L277" s="950">
        <f t="shared" si="23"/>
        <v>0</v>
      </c>
      <c r="M277" s="948">
        <v>0.0215</v>
      </c>
      <c r="N277" s="951">
        <f t="shared" si="24"/>
        <v>0.00141404202</v>
      </c>
      <c r="O277" s="949">
        <f t="shared" si="25"/>
        <v>15</v>
      </c>
      <c r="P277" s="949">
        <f t="shared" si="77"/>
        <v>0.0215</v>
      </c>
      <c r="Q277" s="952">
        <f t="shared" si="79"/>
        <v>0</v>
      </c>
      <c r="R277" s="952">
        <f t="shared" si="78"/>
        <v>0</v>
      </c>
      <c r="S277" s="953"/>
      <c r="T277" s="949">
        <v>0.06</v>
      </c>
      <c r="U277" s="954"/>
      <c r="V277" s="949"/>
      <c r="W277" s="953"/>
      <c r="X277" s="949">
        <f t="shared" si="7"/>
        <v>0</v>
      </c>
      <c r="Y277" s="955"/>
      <c r="Z277" s="953" t="str">
        <f t="shared" si="8"/>
        <v/>
      </c>
      <c r="AA277" s="949">
        <f t="shared" si="9"/>
        <v>0</v>
      </c>
      <c r="AB277" s="955"/>
      <c r="AC277" s="949" t="str">
        <f t="shared" si="10"/>
        <v/>
      </c>
      <c r="AD277" s="953">
        <f t="shared" si="11"/>
        <v>0</v>
      </c>
      <c r="AE277" s="956"/>
      <c r="AF277" s="889" t="s">
        <v>2181</v>
      </c>
      <c r="AG277" s="810" t="b">
        <v>0</v>
      </c>
      <c r="AH277" s="780"/>
      <c r="AI277" s="780"/>
      <c r="AJ277" s="780"/>
      <c r="AK277" s="780"/>
      <c r="AL277" s="780"/>
      <c r="AM277" s="780"/>
      <c r="AN277" s="780"/>
      <c r="AO277" s="780"/>
      <c r="AP277" s="780"/>
      <c r="AQ277" s="780"/>
      <c r="AR277" s="780"/>
      <c r="AS277" s="780"/>
      <c r="AT277" s="780"/>
      <c r="AU277" s="780"/>
      <c r="AV277" s="780"/>
      <c r="AW277" s="780"/>
    </row>
    <row r="278">
      <c r="A278" s="941"/>
      <c r="B278" s="941"/>
      <c r="C278" s="995"/>
      <c r="D278" s="995"/>
      <c r="E278" s="995"/>
      <c r="F278" s="946"/>
      <c r="G278" s="946"/>
      <c r="H278" s="946"/>
      <c r="I278" s="947">
        <v>0.00138428</v>
      </c>
      <c r="J278" s="948">
        <v>0.035</v>
      </c>
      <c r="K278" s="949">
        <f t="shared" si="22"/>
        <v>0</v>
      </c>
      <c r="L278" s="950">
        <f t="shared" si="23"/>
        <v>0</v>
      </c>
      <c r="M278" s="948">
        <v>0.0215</v>
      </c>
      <c r="N278" s="951">
        <f t="shared" si="24"/>
        <v>0.00141404202</v>
      </c>
      <c r="O278" s="949">
        <f t="shared" si="25"/>
        <v>15</v>
      </c>
      <c r="P278" s="949">
        <f t="shared" si="77"/>
        <v>0.0215</v>
      </c>
      <c r="Q278" s="952">
        <f t="shared" si="79"/>
        <v>0</v>
      </c>
      <c r="R278" s="952">
        <f t="shared" si="78"/>
        <v>0</v>
      </c>
      <c r="S278" s="953"/>
      <c r="T278" s="949">
        <v>0.06</v>
      </c>
      <c r="U278" s="954"/>
      <c r="V278" s="949"/>
      <c r="W278" s="953"/>
      <c r="X278" s="949">
        <f t="shared" si="7"/>
        <v>0</v>
      </c>
      <c r="Y278" s="955"/>
      <c r="Z278" s="953" t="str">
        <f t="shared" si="8"/>
        <v/>
      </c>
      <c r="AA278" s="949">
        <f t="shared" si="9"/>
        <v>0</v>
      </c>
      <c r="AB278" s="955"/>
      <c r="AC278" s="949" t="str">
        <f t="shared" si="10"/>
        <v/>
      </c>
      <c r="AD278" s="953">
        <f t="shared" si="11"/>
        <v>0</v>
      </c>
      <c r="AE278" s="956"/>
      <c r="AF278" s="889" t="s">
        <v>2181</v>
      </c>
      <c r="AG278" s="810" t="b">
        <v>0</v>
      </c>
      <c r="AH278" s="780"/>
      <c r="AI278" s="780"/>
      <c r="AJ278" s="780"/>
      <c r="AK278" s="780"/>
      <c r="AL278" s="780"/>
      <c r="AM278" s="780"/>
      <c r="AN278" s="780"/>
      <c r="AO278" s="780"/>
      <c r="AP278" s="780"/>
      <c r="AQ278" s="780"/>
      <c r="AR278" s="780"/>
      <c r="AS278" s="780"/>
      <c r="AT278" s="780"/>
      <c r="AU278" s="780"/>
      <c r="AV278" s="780"/>
      <c r="AW278" s="780"/>
    </row>
    <row r="279">
      <c r="A279" s="941"/>
      <c r="B279" s="941"/>
      <c r="C279" s="995"/>
      <c r="D279" s="944"/>
      <c r="E279" s="944"/>
      <c r="F279" s="946"/>
      <c r="G279" s="946"/>
      <c r="H279" s="946"/>
      <c r="I279" s="947">
        <v>0.00138428</v>
      </c>
      <c r="J279" s="948">
        <v>0.035</v>
      </c>
      <c r="K279" s="949">
        <f t="shared" si="22"/>
        <v>0</v>
      </c>
      <c r="L279" s="950">
        <f t="shared" si="23"/>
        <v>0</v>
      </c>
      <c r="M279" s="948">
        <v>0.0215</v>
      </c>
      <c r="N279" s="951">
        <f t="shared" si="24"/>
        <v>0.00141404202</v>
      </c>
      <c r="O279" s="949">
        <f t="shared" si="25"/>
        <v>15</v>
      </c>
      <c r="P279" s="949">
        <f t="shared" si="77"/>
        <v>0.0215</v>
      </c>
      <c r="Q279" s="952">
        <f t="shared" si="79"/>
        <v>0</v>
      </c>
      <c r="R279" s="952">
        <f t="shared" si="78"/>
        <v>0</v>
      </c>
      <c r="S279" s="953"/>
      <c r="T279" s="949">
        <v>0.06</v>
      </c>
      <c r="U279" s="954"/>
      <c r="V279" s="949"/>
      <c r="W279" s="953"/>
      <c r="X279" s="949">
        <f t="shared" si="7"/>
        <v>0</v>
      </c>
      <c r="Y279" s="955"/>
      <c r="Z279" s="953" t="str">
        <f t="shared" si="8"/>
        <v/>
      </c>
      <c r="AA279" s="949">
        <f t="shared" si="9"/>
        <v>0</v>
      </c>
      <c r="AB279" s="955"/>
      <c r="AC279" s="949" t="str">
        <f t="shared" si="10"/>
        <v/>
      </c>
      <c r="AD279" s="953">
        <f t="shared" si="11"/>
        <v>0</v>
      </c>
      <c r="AE279" s="956"/>
      <c r="AF279" s="889" t="s">
        <v>2181</v>
      </c>
      <c r="AG279" s="810" t="b">
        <v>0</v>
      </c>
      <c r="AH279" s="780"/>
      <c r="AI279" s="780"/>
      <c r="AJ279" s="780"/>
      <c r="AK279" s="780"/>
      <c r="AL279" s="780"/>
      <c r="AM279" s="780"/>
      <c r="AN279" s="780"/>
      <c r="AO279" s="780"/>
      <c r="AP279" s="780"/>
      <c r="AQ279" s="780"/>
      <c r="AR279" s="780"/>
      <c r="AS279" s="780"/>
      <c r="AT279" s="780"/>
      <c r="AU279" s="780"/>
      <c r="AV279" s="780"/>
      <c r="AW279" s="780"/>
    </row>
    <row r="280">
      <c r="A280" s="941"/>
      <c r="B280" s="941"/>
      <c r="C280" s="995"/>
      <c r="D280" s="995"/>
      <c r="E280" s="995"/>
      <c r="F280" s="946"/>
      <c r="G280" s="946"/>
      <c r="H280" s="946"/>
      <c r="I280" s="947">
        <v>0.00138428</v>
      </c>
      <c r="J280" s="948">
        <v>0.035</v>
      </c>
      <c r="K280" s="949">
        <f t="shared" si="22"/>
        <v>0</v>
      </c>
      <c r="L280" s="950">
        <f t="shared" si="23"/>
        <v>0</v>
      </c>
      <c r="M280" s="948">
        <v>0.0215</v>
      </c>
      <c r="N280" s="951">
        <f t="shared" si="24"/>
        <v>0.00141404202</v>
      </c>
      <c r="O280" s="949">
        <f t="shared" si="25"/>
        <v>15</v>
      </c>
      <c r="P280" s="949">
        <f t="shared" si="77"/>
        <v>0.0215</v>
      </c>
      <c r="Q280" s="952">
        <f t="shared" si="79"/>
        <v>0</v>
      </c>
      <c r="R280" s="952">
        <f t="shared" si="78"/>
        <v>0</v>
      </c>
      <c r="S280" s="953"/>
      <c r="T280" s="949">
        <v>0.06</v>
      </c>
      <c r="U280" s="954"/>
      <c r="V280" s="949"/>
      <c r="W280" s="953"/>
      <c r="X280" s="949">
        <f t="shared" si="7"/>
        <v>0</v>
      </c>
      <c r="Y280" s="955"/>
      <c r="Z280" s="953" t="str">
        <f t="shared" si="8"/>
        <v/>
      </c>
      <c r="AA280" s="949">
        <f t="shared" si="9"/>
        <v>0</v>
      </c>
      <c r="AB280" s="955"/>
      <c r="AC280" s="949" t="str">
        <f t="shared" si="10"/>
        <v/>
      </c>
      <c r="AD280" s="953">
        <f t="shared" si="11"/>
        <v>0</v>
      </c>
      <c r="AE280" s="956"/>
      <c r="AF280" s="889" t="s">
        <v>2181</v>
      </c>
      <c r="AG280" s="810" t="b">
        <v>0</v>
      </c>
      <c r="AH280" s="780"/>
      <c r="AI280" s="780"/>
      <c r="AJ280" s="780"/>
      <c r="AK280" s="780"/>
      <c r="AL280" s="780"/>
      <c r="AM280" s="780"/>
      <c r="AN280" s="780"/>
      <c r="AO280" s="780"/>
      <c r="AP280" s="780"/>
      <c r="AQ280" s="780"/>
      <c r="AR280" s="780"/>
      <c r="AS280" s="780"/>
      <c r="AT280" s="780"/>
      <c r="AU280" s="780"/>
      <c r="AV280" s="780"/>
      <c r="AW280" s="780"/>
    </row>
    <row r="281">
      <c r="A281" s="941"/>
      <c r="B281" s="941"/>
      <c r="C281" s="995"/>
      <c r="D281" s="944"/>
      <c r="E281" s="944"/>
      <c r="F281" s="946"/>
      <c r="G281" s="946"/>
      <c r="H281" s="946"/>
      <c r="I281" s="947">
        <v>0.00138428</v>
      </c>
      <c r="J281" s="948">
        <v>0.035</v>
      </c>
      <c r="K281" s="949">
        <f t="shared" si="22"/>
        <v>0</v>
      </c>
      <c r="L281" s="950">
        <f t="shared" si="23"/>
        <v>0</v>
      </c>
      <c r="M281" s="948">
        <v>0.0215</v>
      </c>
      <c r="N281" s="951">
        <f t="shared" si="24"/>
        <v>0.00141404202</v>
      </c>
      <c r="O281" s="949">
        <f t="shared" si="25"/>
        <v>15</v>
      </c>
      <c r="P281" s="949">
        <f t="shared" si="77"/>
        <v>0.0215</v>
      </c>
      <c r="Q281" s="952">
        <f t="shared" si="79"/>
        <v>0</v>
      </c>
      <c r="R281" s="952">
        <f t="shared" si="78"/>
        <v>0</v>
      </c>
      <c r="S281" s="953"/>
      <c r="T281" s="949">
        <v>0.06</v>
      </c>
      <c r="U281" s="954"/>
      <c r="V281" s="949"/>
      <c r="W281" s="953"/>
      <c r="X281" s="949">
        <f t="shared" si="7"/>
        <v>0</v>
      </c>
      <c r="Y281" s="955"/>
      <c r="Z281" s="953" t="str">
        <f t="shared" si="8"/>
        <v/>
      </c>
      <c r="AA281" s="949">
        <f t="shared" si="9"/>
        <v>0</v>
      </c>
      <c r="AB281" s="955"/>
      <c r="AC281" s="949" t="str">
        <f t="shared" si="10"/>
        <v/>
      </c>
      <c r="AD281" s="953">
        <f t="shared" si="11"/>
        <v>0</v>
      </c>
      <c r="AE281" s="956"/>
      <c r="AF281" s="889" t="s">
        <v>2181</v>
      </c>
      <c r="AG281" s="810" t="b">
        <v>0</v>
      </c>
      <c r="AH281" s="780"/>
      <c r="AI281" s="780"/>
      <c r="AJ281" s="780"/>
      <c r="AK281" s="780"/>
      <c r="AL281" s="780"/>
      <c r="AM281" s="780"/>
      <c r="AN281" s="780"/>
      <c r="AO281" s="780"/>
      <c r="AP281" s="780"/>
      <c r="AQ281" s="780"/>
      <c r="AR281" s="780"/>
      <c r="AS281" s="780"/>
      <c r="AT281" s="780"/>
      <c r="AU281" s="780"/>
      <c r="AV281" s="780"/>
      <c r="AW281" s="780"/>
    </row>
    <row r="282">
      <c r="A282" s="941"/>
      <c r="B282" s="941"/>
      <c r="C282" s="995"/>
      <c r="D282" s="995"/>
      <c r="E282" s="995"/>
      <c r="F282" s="946"/>
      <c r="G282" s="946"/>
      <c r="H282" s="946"/>
      <c r="I282" s="947">
        <v>0.00138428</v>
      </c>
      <c r="J282" s="948">
        <v>0.035</v>
      </c>
      <c r="K282" s="949">
        <f t="shared" si="22"/>
        <v>0</v>
      </c>
      <c r="L282" s="950">
        <f t="shared" si="23"/>
        <v>0</v>
      </c>
      <c r="M282" s="948">
        <v>0.0215</v>
      </c>
      <c r="N282" s="951">
        <f t="shared" si="24"/>
        <v>0.00141404202</v>
      </c>
      <c r="O282" s="949">
        <f t="shared" si="25"/>
        <v>15</v>
      </c>
      <c r="P282" s="949">
        <f t="shared" si="77"/>
        <v>0.0215</v>
      </c>
      <c r="Q282" s="952">
        <f t="shared" si="79"/>
        <v>0</v>
      </c>
      <c r="R282" s="952">
        <f t="shared" si="78"/>
        <v>0</v>
      </c>
      <c r="S282" s="953"/>
      <c r="T282" s="949">
        <v>0.06</v>
      </c>
      <c r="U282" s="954"/>
      <c r="V282" s="949"/>
      <c r="W282" s="953"/>
      <c r="X282" s="949">
        <f t="shared" si="7"/>
        <v>0</v>
      </c>
      <c r="Y282" s="955"/>
      <c r="Z282" s="953" t="str">
        <f t="shared" si="8"/>
        <v/>
      </c>
      <c r="AA282" s="949">
        <f t="shared" si="9"/>
        <v>0</v>
      </c>
      <c r="AB282" s="955"/>
      <c r="AC282" s="949" t="str">
        <f t="shared" si="10"/>
        <v/>
      </c>
      <c r="AD282" s="953">
        <f t="shared" si="11"/>
        <v>0</v>
      </c>
      <c r="AE282" s="956"/>
      <c r="AF282" s="889" t="s">
        <v>2181</v>
      </c>
      <c r="AG282" s="810" t="b">
        <v>0</v>
      </c>
      <c r="AH282" s="780"/>
      <c r="AI282" s="780"/>
      <c r="AJ282" s="780"/>
      <c r="AK282" s="780"/>
      <c r="AL282" s="780"/>
      <c r="AM282" s="780"/>
      <c r="AN282" s="780"/>
      <c r="AO282" s="780"/>
      <c r="AP282" s="780"/>
      <c r="AQ282" s="780"/>
      <c r="AR282" s="780"/>
      <c r="AS282" s="780"/>
      <c r="AT282" s="780"/>
      <c r="AU282" s="780"/>
      <c r="AV282" s="780"/>
      <c r="AW282" s="780"/>
    </row>
    <row r="283">
      <c r="A283" s="941"/>
      <c r="B283" s="941"/>
      <c r="C283" s="995"/>
      <c r="D283" s="944"/>
      <c r="E283" s="944"/>
      <c r="F283" s="946"/>
      <c r="G283" s="946"/>
      <c r="H283" s="946"/>
      <c r="I283" s="947">
        <v>0.00138428</v>
      </c>
      <c r="J283" s="948">
        <v>0.035</v>
      </c>
      <c r="K283" s="949">
        <f t="shared" si="22"/>
        <v>0</v>
      </c>
      <c r="L283" s="950">
        <f t="shared" si="23"/>
        <v>0</v>
      </c>
      <c r="M283" s="948">
        <v>0.0215</v>
      </c>
      <c r="N283" s="951">
        <f t="shared" si="24"/>
        <v>0.00141404202</v>
      </c>
      <c r="O283" s="949">
        <f t="shared" si="25"/>
        <v>15</v>
      </c>
      <c r="P283" s="949">
        <f t="shared" si="77"/>
        <v>0.0215</v>
      </c>
      <c r="Q283" s="952">
        <f t="shared" si="79"/>
        <v>0</v>
      </c>
      <c r="R283" s="952">
        <f t="shared" si="78"/>
        <v>0</v>
      </c>
      <c r="S283" s="953"/>
      <c r="T283" s="949">
        <v>0.06</v>
      </c>
      <c r="U283" s="954"/>
      <c r="V283" s="949"/>
      <c r="W283" s="953"/>
      <c r="X283" s="949">
        <f t="shared" si="7"/>
        <v>0</v>
      </c>
      <c r="Y283" s="955"/>
      <c r="Z283" s="953" t="str">
        <f t="shared" si="8"/>
        <v/>
      </c>
      <c r="AA283" s="949">
        <f t="shared" si="9"/>
        <v>0</v>
      </c>
      <c r="AB283" s="955"/>
      <c r="AC283" s="949" t="str">
        <f t="shared" si="10"/>
        <v/>
      </c>
      <c r="AD283" s="953">
        <f t="shared" si="11"/>
        <v>0</v>
      </c>
      <c r="AE283" s="956"/>
      <c r="AF283" s="889" t="s">
        <v>2181</v>
      </c>
      <c r="AG283" s="810" t="b">
        <v>0</v>
      </c>
      <c r="AH283" s="780"/>
      <c r="AI283" s="780"/>
      <c r="AJ283" s="780"/>
      <c r="AK283" s="780"/>
      <c r="AL283" s="780"/>
      <c r="AM283" s="780"/>
      <c r="AN283" s="780"/>
      <c r="AO283" s="780"/>
      <c r="AP283" s="780"/>
      <c r="AQ283" s="780"/>
      <c r="AR283" s="780"/>
      <c r="AS283" s="780"/>
      <c r="AT283" s="780"/>
      <c r="AU283" s="780"/>
      <c r="AV283" s="780"/>
      <c r="AW283" s="780"/>
    </row>
    <row r="284">
      <c r="A284" s="941"/>
      <c r="B284" s="941"/>
      <c r="C284" s="995"/>
      <c r="D284" s="995"/>
      <c r="E284" s="995"/>
      <c r="F284" s="946"/>
      <c r="G284" s="946"/>
      <c r="H284" s="946"/>
      <c r="I284" s="947">
        <v>0.00138428</v>
      </c>
      <c r="J284" s="948">
        <v>0.035</v>
      </c>
      <c r="K284" s="949">
        <f t="shared" si="22"/>
        <v>0</v>
      </c>
      <c r="L284" s="950">
        <f t="shared" si="23"/>
        <v>0</v>
      </c>
      <c r="M284" s="948">
        <v>0.0215</v>
      </c>
      <c r="N284" s="951">
        <f t="shared" si="24"/>
        <v>0.00141404202</v>
      </c>
      <c r="O284" s="949">
        <f t="shared" si="25"/>
        <v>15</v>
      </c>
      <c r="P284" s="949">
        <f t="shared" si="77"/>
        <v>0.0215</v>
      </c>
      <c r="Q284" s="952">
        <f t="shared" si="79"/>
        <v>0</v>
      </c>
      <c r="R284" s="952">
        <f t="shared" si="78"/>
        <v>0</v>
      </c>
      <c r="S284" s="953"/>
      <c r="T284" s="949">
        <v>0.06</v>
      </c>
      <c r="U284" s="954"/>
      <c r="V284" s="949"/>
      <c r="W284" s="953"/>
      <c r="X284" s="949">
        <f t="shared" si="7"/>
        <v>0</v>
      </c>
      <c r="Y284" s="955"/>
      <c r="Z284" s="953" t="str">
        <f t="shared" si="8"/>
        <v/>
      </c>
      <c r="AA284" s="949">
        <f t="shared" si="9"/>
        <v>0</v>
      </c>
      <c r="AB284" s="955"/>
      <c r="AC284" s="949" t="str">
        <f t="shared" si="10"/>
        <v/>
      </c>
      <c r="AD284" s="953">
        <f t="shared" si="11"/>
        <v>0</v>
      </c>
      <c r="AE284" s="956"/>
      <c r="AF284" s="889" t="s">
        <v>2181</v>
      </c>
      <c r="AG284" s="810" t="b">
        <v>0</v>
      </c>
      <c r="AH284" s="780"/>
      <c r="AI284" s="780"/>
      <c r="AJ284" s="780"/>
      <c r="AK284" s="780"/>
      <c r="AL284" s="780"/>
      <c r="AM284" s="780"/>
      <c r="AN284" s="780"/>
      <c r="AO284" s="780"/>
      <c r="AP284" s="780"/>
      <c r="AQ284" s="780"/>
      <c r="AR284" s="780"/>
      <c r="AS284" s="780"/>
      <c r="AT284" s="780"/>
      <c r="AU284" s="780"/>
      <c r="AV284" s="780"/>
      <c r="AW284" s="780"/>
    </row>
    <row r="285">
      <c r="A285" s="941"/>
      <c r="B285" s="941"/>
      <c r="C285" s="995"/>
      <c r="D285" s="944"/>
      <c r="E285" s="944"/>
      <c r="F285" s="946"/>
      <c r="G285" s="946"/>
      <c r="H285" s="946"/>
      <c r="I285" s="947">
        <v>0.00138428</v>
      </c>
      <c r="J285" s="948">
        <v>0.035</v>
      </c>
      <c r="K285" s="949">
        <f t="shared" si="22"/>
        <v>0</v>
      </c>
      <c r="L285" s="950">
        <f t="shared" si="23"/>
        <v>0</v>
      </c>
      <c r="M285" s="948">
        <v>0.0215</v>
      </c>
      <c r="N285" s="951">
        <f t="shared" si="24"/>
        <v>0.00141404202</v>
      </c>
      <c r="O285" s="949">
        <f t="shared" si="25"/>
        <v>15</v>
      </c>
      <c r="P285" s="949">
        <f t="shared" si="77"/>
        <v>0.0215</v>
      </c>
      <c r="Q285" s="952">
        <f t="shared" si="79"/>
        <v>0</v>
      </c>
      <c r="R285" s="952">
        <f t="shared" si="78"/>
        <v>0</v>
      </c>
      <c r="S285" s="953"/>
      <c r="T285" s="949">
        <v>0.06</v>
      </c>
      <c r="U285" s="954"/>
      <c r="V285" s="949"/>
      <c r="W285" s="953"/>
      <c r="X285" s="949">
        <f t="shared" si="7"/>
        <v>0</v>
      </c>
      <c r="Y285" s="955"/>
      <c r="Z285" s="953" t="str">
        <f t="shared" si="8"/>
        <v/>
      </c>
      <c r="AA285" s="949">
        <f t="shared" si="9"/>
        <v>0</v>
      </c>
      <c r="AB285" s="955"/>
      <c r="AC285" s="949" t="str">
        <f t="shared" si="10"/>
        <v/>
      </c>
      <c r="AD285" s="953">
        <f t="shared" si="11"/>
        <v>0</v>
      </c>
      <c r="AE285" s="956"/>
      <c r="AF285" s="889" t="s">
        <v>2181</v>
      </c>
      <c r="AG285" s="810" t="b">
        <v>0</v>
      </c>
      <c r="AH285" s="780"/>
      <c r="AI285" s="780"/>
      <c r="AJ285" s="780"/>
      <c r="AK285" s="780"/>
      <c r="AL285" s="780"/>
      <c r="AM285" s="780"/>
      <c r="AN285" s="780"/>
      <c r="AO285" s="780"/>
      <c r="AP285" s="780"/>
      <c r="AQ285" s="780"/>
      <c r="AR285" s="780"/>
      <c r="AS285" s="780"/>
      <c r="AT285" s="780"/>
      <c r="AU285" s="780"/>
      <c r="AV285" s="780"/>
      <c r="AW285" s="780"/>
    </row>
    <row r="286">
      <c r="A286" s="941"/>
      <c r="B286" s="941"/>
      <c r="C286" s="995"/>
      <c r="D286" s="995"/>
      <c r="E286" s="995"/>
      <c r="F286" s="946"/>
      <c r="G286" s="946"/>
      <c r="H286" s="946"/>
      <c r="I286" s="947">
        <v>0.00138428</v>
      </c>
      <c r="J286" s="948">
        <v>0.035</v>
      </c>
      <c r="K286" s="949">
        <f t="shared" si="22"/>
        <v>0</v>
      </c>
      <c r="L286" s="950">
        <f t="shared" si="23"/>
        <v>0</v>
      </c>
      <c r="M286" s="948">
        <v>0.0215</v>
      </c>
      <c r="N286" s="951">
        <f t="shared" si="24"/>
        <v>0.00141404202</v>
      </c>
      <c r="O286" s="949">
        <f t="shared" si="25"/>
        <v>15</v>
      </c>
      <c r="P286" s="949">
        <f t="shared" si="77"/>
        <v>0.0215</v>
      </c>
      <c r="Q286" s="952">
        <f t="shared" si="79"/>
        <v>0</v>
      </c>
      <c r="R286" s="952">
        <f t="shared" si="78"/>
        <v>0</v>
      </c>
      <c r="S286" s="953"/>
      <c r="T286" s="949">
        <v>0.06</v>
      </c>
      <c r="U286" s="954"/>
      <c r="V286" s="949"/>
      <c r="W286" s="953"/>
      <c r="X286" s="949">
        <f t="shared" si="7"/>
        <v>0</v>
      </c>
      <c r="Y286" s="955"/>
      <c r="Z286" s="953" t="str">
        <f t="shared" si="8"/>
        <v/>
      </c>
      <c r="AA286" s="949">
        <f t="shared" si="9"/>
        <v>0</v>
      </c>
      <c r="AB286" s="955"/>
      <c r="AC286" s="949" t="str">
        <f t="shared" si="10"/>
        <v/>
      </c>
      <c r="AD286" s="953">
        <f t="shared" si="11"/>
        <v>0</v>
      </c>
      <c r="AE286" s="956"/>
      <c r="AF286" s="889" t="s">
        <v>2181</v>
      </c>
      <c r="AG286" s="810" t="b">
        <v>0</v>
      </c>
      <c r="AH286" s="780"/>
      <c r="AI286" s="780"/>
      <c r="AJ286" s="780"/>
      <c r="AK286" s="780"/>
      <c r="AL286" s="780"/>
      <c r="AM286" s="780"/>
      <c r="AN286" s="780"/>
      <c r="AO286" s="780"/>
      <c r="AP286" s="780"/>
      <c r="AQ286" s="780"/>
      <c r="AR286" s="780"/>
      <c r="AS286" s="780"/>
      <c r="AT286" s="780"/>
      <c r="AU286" s="780"/>
      <c r="AV286" s="780"/>
      <c r="AW286" s="780"/>
    </row>
    <row r="287">
      <c r="A287" s="941"/>
      <c r="B287" s="941"/>
      <c r="C287" s="995"/>
      <c r="D287" s="944"/>
      <c r="E287" s="944"/>
      <c r="F287" s="946"/>
      <c r="G287" s="946"/>
      <c r="H287" s="946"/>
      <c r="I287" s="947">
        <v>0.00138428</v>
      </c>
      <c r="J287" s="948">
        <v>0.035</v>
      </c>
      <c r="K287" s="949">
        <f t="shared" si="22"/>
        <v>0</v>
      </c>
      <c r="L287" s="950">
        <f t="shared" si="23"/>
        <v>0</v>
      </c>
      <c r="M287" s="948">
        <v>0.0215</v>
      </c>
      <c r="N287" s="951">
        <f t="shared" si="24"/>
        <v>0.00141404202</v>
      </c>
      <c r="O287" s="949">
        <f t="shared" si="25"/>
        <v>15</v>
      </c>
      <c r="P287" s="949">
        <f t="shared" si="77"/>
        <v>0.0215</v>
      </c>
      <c r="Q287" s="952">
        <f t="shared" si="79"/>
        <v>0</v>
      </c>
      <c r="R287" s="952">
        <f t="shared" si="78"/>
        <v>0</v>
      </c>
      <c r="S287" s="953"/>
      <c r="T287" s="949">
        <v>0.06</v>
      </c>
      <c r="U287" s="954"/>
      <c r="V287" s="949"/>
      <c r="W287" s="953"/>
      <c r="X287" s="949">
        <f t="shared" si="7"/>
        <v>0</v>
      </c>
      <c r="Y287" s="955"/>
      <c r="Z287" s="953" t="str">
        <f t="shared" si="8"/>
        <v/>
      </c>
      <c r="AA287" s="949">
        <f t="shared" si="9"/>
        <v>0</v>
      </c>
      <c r="AB287" s="955"/>
      <c r="AC287" s="949" t="str">
        <f t="shared" si="10"/>
        <v/>
      </c>
      <c r="AD287" s="953">
        <f t="shared" si="11"/>
        <v>0</v>
      </c>
      <c r="AE287" s="956"/>
      <c r="AF287" s="889" t="s">
        <v>2181</v>
      </c>
      <c r="AG287" s="810" t="b">
        <v>0</v>
      </c>
      <c r="AH287" s="780"/>
      <c r="AI287" s="780"/>
      <c r="AJ287" s="780"/>
      <c r="AK287" s="780"/>
      <c r="AL287" s="780"/>
      <c r="AM287" s="780"/>
      <c r="AN287" s="780"/>
      <c r="AO287" s="780"/>
      <c r="AP287" s="780"/>
      <c r="AQ287" s="780"/>
      <c r="AR287" s="780"/>
      <c r="AS287" s="780"/>
      <c r="AT287" s="780"/>
      <c r="AU287" s="780"/>
      <c r="AV287" s="780"/>
      <c r="AW287" s="780"/>
    </row>
    <row r="288">
      <c r="A288" s="941"/>
      <c r="B288" s="941"/>
      <c r="C288" s="995"/>
      <c r="D288" s="995"/>
      <c r="E288" s="995"/>
      <c r="F288" s="946"/>
      <c r="G288" s="946"/>
      <c r="H288" s="946"/>
      <c r="I288" s="947">
        <v>0.00138428</v>
      </c>
      <c r="J288" s="948">
        <v>0.035</v>
      </c>
      <c r="K288" s="949">
        <f t="shared" si="22"/>
        <v>0</v>
      </c>
      <c r="L288" s="950">
        <f t="shared" si="23"/>
        <v>0</v>
      </c>
      <c r="M288" s="948">
        <v>0.0215</v>
      </c>
      <c r="N288" s="951">
        <f t="shared" si="24"/>
        <v>0.00141404202</v>
      </c>
      <c r="O288" s="949">
        <f t="shared" si="25"/>
        <v>15</v>
      </c>
      <c r="P288" s="949">
        <f t="shared" si="77"/>
        <v>0.0215</v>
      </c>
      <c r="Q288" s="952">
        <f t="shared" si="79"/>
        <v>0</v>
      </c>
      <c r="R288" s="952">
        <f t="shared" si="78"/>
        <v>0</v>
      </c>
      <c r="S288" s="953"/>
      <c r="T288" s="949">
        <v>0.06</v>
      </c>
      <c r="U288" s="954"/>
      <c r="V288" s="949"/>
      <c r="W288" s="953"/>
      <c r="X288" s="949">
        <f t="shared" si="7"/>
        <v>0</v>
      </c>
      <c r="Y288" s="955"/>
      <c r="Z288" s="953" t="str">
        <f t="shared" si="8"/>
        <v/>
      </c>
      <c r="AA288" s="949">
        <f t="shared" si="9"/>
        <v>0</v>
      </c>
      <c r="AB288" s="955"/>
      <c r="AC288" s="949" t="str">
        <f t="shared" si="10"/>
        <v/>
      </c>
      <c r="AD288" s="953">
        <f t="shared" si="11"/>
        <v>0</v>
      </c>
      <c r="AE288" s="956"/>
      <c r="AF288" s="889" t="s">
        <v>2181</v>
      </c>
      <c r="AG288" s="810" t="b">
        <v>0</v>
      </c>
      <c r="AH288" s="780"/>
      <c r="AI288" s="780"/>
      <c r="AJ288" s="780"/>
      <c r="AK288" s="780"/>
      <c r="AL288" s="780"/>
      <c r="AM288" s="780"/>
      <c r="AN288" s="780"/>
      <c r="AO288" s="780"/>
      <c r="AP288" s="780"/>
      <c r="AQ288" s="780"/>
      <c r="AR288" s="780"/>
      <c r="AS288" s="780"/>
      <c r="AT288" s="780"/>
      <c r="AU288" s="780"/>
      <c r="AV288" s="780"/>
      <c r="AW288" s="780"/>
    </row>
    <row r="289">
      <c r="A289" s="941"/>
      <c r="B289" s="941"/>
      <c r="C289" s="995"/>
      <c r="D289" s="944"/>
      <c r="E289" s="944"/>
      <c r="F289" s="946"/>
      <c r="G289" s="946"/>
      <c r="H289" s="946"/>
      <c r="I289" s="947">
        <v>0.00138428</v>
      </c>
      <c r="J289" s="948">
        <v>0.035</v>
      </c>
      <c r="K289" s="949">
        <f t="shared" si="22"/>
        <v>0</v>
      </c>
      <c r="L289" s="950">
        <f t="shared" si="23"/>
        <v>0</v>
      </c>
      <c r="M289" s="948">
        <v>0.0215</v>
      </c>
      <c r="N289" s="951">
        <f t="shared" si="24"/>
        <v>0.00141404202</v>
      </c>
      <c r="O289" s="949">
        <f t="shared" si="25"/>
        <v>15</v>
      </c>
      <c r="P289" s="949">
        <f t="shared" si="77"/>
        <v>0.0215</v>
      </c>
      <c r="Q289" s="952">
        <f t="shared" si="79"/>
        <v>0</v>
      </c>
      <c r="R289" s="952">
        <f t="shared" si="78"/>
        <v>0</v>
      </c>
      <c r="S289" s="953"/>
      <c r="T289" s="949">
        <v>0.06</v>
      </c>
      <c r="U289" s="954"/>
      <c r="V289" s="949"/>
      <c r="W289" s="953"/>
      <c r="X289" s="949">
        <f t="shared" si="7"/>
        <v>0</v>
      </c>
      <c r="Y289" s="955"/>
      <c r="Z289" s="953" t="str">
        <f t="shared" si="8"/>
        <v/>
      </c>
      <c r="AA289" s="949">
        <f t="shared" si="9"/>
        <v>0</v>
      </c>
      <c r="AB289" s="955"/>
      <c r="AC289" s="949" t="str">
        <f t="shared" si="10"/>
        <v/>
      </c>
      <c r="AD289" s="953">
        <f t="shared" si="11"/>
        <v>0</v>
      </c>
      <c r="AE289" s="956"/>
      <c r="AF289" s="889" t="s">
        <v>2181</v>
      </c>
      <c r="AG289" s="810" t="b">
        <v>0</v>
      </c>
      <c r="AH289" s="780"/>
      <c r="AI289" s="780"/>
      <c r="AJ289" s="780"/>
      <c r="AK289" s="780"/>
      <c r="AL289" s="780"/>
      <c r="AM289" s="780"/>
      <c r="AN289" s="780"/>
      <c r="AO289" s="780"/>
      <c r="AP289" s="780"/>
      <c r="AQ289" s="780"/>
      <c r="AR289" s="780"/>
      <c r="AS289" s="780"/>
      <c r="AT289" s="780"/>
      <c r="AU289" s="780"/>
      <c r="AV289" s="780"/>
      <c r="AW289" s="780"/>
    </row>
    <row r="290">
      <c r="A290" s="941"/>
      <c r="B290" s="941"/>
      <c r="C290" s="995"/>
      <c r="D290" s="995"/>
      <c r="E290" s="995"/>
      <c r="F290" s="946"/>
      <c r="G290" s="946"/>
      <c r="H290" s="946"/>
      <c r="I290" s="947">
        <v>0.00138428</v>
      </c>
      <c r="J290" s="948">
        <v>0.035</v>
      </c>
      <c r="K290" s="949">
        <f t="shared" si="22"/>
        <v>0</v>
      </c>
      <c r="L290" s="950">
        <f t="shared" si="23"/>
        <v>0</v>
      </c>
      <c r="M290" s="948">
        <v>0.0215</v>
      </c>
      <c r="N290" s="951">
        <f t="shared" si="24"/>
        <v>0.00141404202</v>
      </c>
      <c r="O290" s="949">
        <f t="shared" si="25"/>
        <v>15</v>
      </c>
      <c r="P290" s="949">
        <f t="shared" si="77"/>
        <v>0.0215</v>
      </c>
      <c r="Q290" s="952">
        <f t="shared" si="79"/>
        <v>0</v>
      </c>
      <c r="R290" s="952">
        <f t="shared" si="78"/>
        <v>0</v>
      </c>
      <c r="S290" s="953"/>
      <c r="T290" s="949">
        <v>0.06</v>
      </c>
      <c r="U290" s="954"/>
      <c r="V290" s="949"/>
      <c r="W290" s="953"/>
      <c r="X290" s="949">
        <f t="shared" si="7"/>
        <v>0</v>
      </c>
      <c r="Y290" s="955"/>
      <c r="Z290" s="953" t="str">
        <f t="shared" si="8"/>
        <v/>
      </c>
      <c r="AA290" s="949">
        <f t="shared" si="9"/>
        <v>0</v>
      </c>
      <c r="AB290" s="955"/>
      <c r="AC290" s="949" t="str">
        <f t="shared" si="10"/>
        <v/>
      </c>
      <c r="AD290" s="953">
        <f t="shared" si="11"/>
        <v>0</v>
      </c>
      <c r="AE290" s="956"/>
      <c r="AF290" s="889" t="s">
        <v>2181</v>
      </c>
      <c r="AG290" s="810" t="b">
        <v>0</v>
      </c>
      <c r="AH290" s="780"/>
      <c r="AI290" s="780"/>
      <c r="AJ290" s="780"/>
      <c r="AK290" s="780"/>
      <c r="AL290" s="780"/>
      <c r="AM290" s="780"/>
      <c r="AN290" s="780"/>
      <c r="AO290" s="780"/>
      <c r="AP290" s="780"/>
      <c r="AQ290" s="780"/>
      <c r="AR290" s="780"/>
      <c r="AS290" s="780"/>
      <c r="AT290" s="780"/>
      <c r="AU290" s="780"/>
      <c r="AV290" s="780"/>
      <c r="AW290" s="780"/>
    </row>
    <row r="291">
      <c r="A291" s="941"/>
      <c r="B291" s="941"/>
      <c r="C291" s="995"/>
      <c r="D291" s="944"/>
      <c r="E291" s="944"/>
      <c r="F291" s="946"/>
      <c r="G291" s="946"/>
      <c r="H291" s="946"/>
      <c r="I291" s="947">
        <v>0.00138428</v>
      </c>
      <c r="J291" s="948">
        <v>0.035</v>
      </c>
      <c r="K291" s="949">
        <f t="shared" si="22"/>
        <v>0</v>
      </c>
      <c r="L291" s="950">
        <f t="shared" si="23"/>
        <v>0</v>
      </c>
      <c r="M291" s="948">
        <v>0.0215</v>
      </c>
      <c r="N291" s="951">
        <f t="shared" si="24"/>
        <v>0.00141404202</v>
      </c>
      <c r="O291" s="949">
        <f t="shared" si="25"/>
        <v>15</v>
      </c>
      <c r="P291" s="949">
        <f t="shared" si="77"/>
        <v>0.0215</v>
      </c>
      <c r="Q291" s="952">
        <f t="shared" si="79"/>
        <v>0</v>
      </c>
      <c r="R291" s="952">
        <f t="shared" si="78"/>
        <v>0</v>
      </c>
      <c r="S291" s="953"/>
      <c r="T291" s="949">
        <v>0.06</v>
      </c>
      <c r="U291" s="954"/>
      <c r="V291" s="949"/>
      <c r="W291" s="953"/>
      <c r="X291" s="949">
        <f t="shared" si="7"/>
        <v>0</v>
      </c>
      <c r="Y291" s="955"/>
      <c r="Z291" s="953" t="str">
        <f t="shared" si="8"/>
        <v/>
      </c>
      <c r="AA291" s="949">
        <f t="shared" si="9"/>
        <v>0</v>
      </c>
      <c r="AB291" s="955"/>
      <c r="AC291" s="949" t="str">
        <f t="shared" si="10"/>
        <v/>
      </c>
      <c r="AD291" s="953">
        <f t="shared" si="11"/>
        <v>0</v>
      </c>
      <c r="AE291" s="956"/>
      <c r="AF291" s="889" t="s">
        <v>2181</v>
      </c>
      <c r="AG291" s="810" t="b">
        <v>0</v>
      </c>
      <c r="AH291" s="780"/>
      <c r="AI291" s="780"/>
      <c r="AJ291" s="780"/>
      <c r="AK291" s="780"/>
      <c r="AL291" s="780"/>
      <c r="AM291" s="780"/>
      <c r="AN291" s="780"/>
      <c r="AO291" s="780"/>
      <c r="AP291" s="780"/>
      <c r="AQ291" s="780"/>
      <c r="AR291" s="780"/>
      <c r="AS291" s="780"/>
      <c r="AT291" s="780"/>
      <c r="AU291" s="780"/>
      <c r="AV291" s="780"/>
      <c r="AW291" s="780"/>
    </row>
    <row r="292">
      <c r="A292" s="941"/>
      <c r="B292" s="941"/>
      <c r="C292" s="995"/>
      <c r="D292" s="995"/>
      <c r="E292" s="995"/>
      <c r="F292" s="946"/>
      <c r="G292" s="946"/>
      <c r="H292" s="946"/>
      <c r="I292" s="947">
        <v>0.00138428</v>
      </c>
      <c r="J292" s="948">
        <v>0.035</v>
      </c>
      <c r="K292" s="949">
        <f t="shared" si="22"/>
        <v>0</v>
      </c>
      <c r="L292" s="950">
        <f t="shared" si="23"/>
        <v>0</v>
      </c>
      <c r="M292" s="948">
        <v>0.0215</v>
      </c>
      <c r="N292" s="951">
        <f t="shared" si="24"/>
        <v>0.00141404202</v>
      </c>
      <c r="O292" s="949">
        <f t="shared" si="25"/>
        <v>15</v>
      </c>
      <c r="P292" s="949">
        <f t="shared" si="77"/>
        <v>0.0215</v>
      </c>
      <c r="Q292" s="952">
        <f t="shared" si="79"/>
        <v>0</v>
      </c>
      <c r="R292" s="952">
        <f t="shared" si="78"/>
        <v>0</v>
      </c>
      <c r="S292" s="953"/>
      <c r="T292" s="949">
        <v>0.06</v>
      </c>
      <c r="U292" s="954"/>
      <c r="V292" s="949"/>
      <c r="W292" s="953"/>
      <c r="X292" s="949">
        <f t="shared" si="7"/>
        <v>0</v>
      </c>
      <c r="Y292" s="955"/>
      <c r="Z292" s="953" t="str">
        <f t="shared" si="8"/>
        <v/>
      </c>
      <c r="AA292" s="949">
        <f t="shared" si="9"/>
        <v>0</v>
      </c>
      <c r="AB292" s="955"/>
      <c r="AC292" s="949" t="str">
        <f t="shared" si="10"/>
        <v/>
      </c>
      <c r="AD292" s="953">
        <f t="shared" si="11"/>
        <v>0</v>
      </c>
      <c r="AE292" s="956"/>
      <c r="AF292" s="889" t="s">
        <v>2181</v>
      </c>
      <c r="AG292" s="810" t="b">
        <v>0</v>
      </c>
      <c r="AH292" s="780"/>
      <c r="AI292" s="780"/>
      <c r="AJ292" s="780"/>
      <c r="AK292" s="780"/>
      <c r="AL292" s="780"/>
      <c r="AM292" s="780"/>
      <c r="AN292" s="780"/>
      <c r="AO292" s="780"/>
      <c r="AP292" s="780"/>
      <c r="AQ292" s="780"/>
      <c r="AR292" s="780"/>
      <c r="AS292" s="780"/>
      <c r="AT292" s="780"/>
      <c r="AU292" s="780"/>
      <c r="AV292" s="780"/>
      <c r="AW292" s="780"/>
    </row>
    <row r="293">
      <c r="A293" s="941"/>
      <c r="B293" s="941"/>
      <c r="C293" s="995"/>
      <c r="D293" s="944"/>
      <c r="E293" s="944"/>
      <c r="F293" s="946"/>
      <c r="G293" s="946"/>
      <c r="H293" s="946"/>
      <c r="I293" s="947">
        <v>0.00138428</v>
      </c>
      <c r="J293" s="948">
        <v>0.035</v>
      </c>
      <c r="K293" s="949">
        <f t="shared" si="22"/>
        <v>0</v>
      </c>
      <c r="L293" s="950">
        <f t="shared" si="23"/>
        <v>0</v>
      </c>
      <c r="M293" s="948">
        <v>0.0215</v>
      </c>
      <c r="N293" s="951">
        <f t="shared" si="24"/>
        <v>0.00141404202</v>
      </c>
      <c r="O293" s="949">
        <f t="shared" si="25"/>
        <v>15</v>
      </c>
      <c r="P293" s="949">
        <f t="shared" si="77"/>
        <v>0.0215</v>
      </c>
      <c r="Q293" s="952">
        <f t="shared" si="79"/>
        <v>0</v>
      </c>
      <c r="R293" s="952">
        <f t="shared" si="78"/>
        <v>0</v>
      </c>
      <c r="S293" s="953"/>
      <c r="T293" s="949">
        <v>0.06</v>
      </c>
      <c r="U293" s="954"/>
      <c r="V293" s="949"/>
      <c r="W293" s="953"/>
      <c r="X293" s="949">
        <f t="shared" si="7"/>
        <v>0</v>
      </c>
      <c r="Y293" s="955"/>
      <c r="Z293" s="953" t="str">
        <f t="shared" si="8"/>
        <v/>
      </c>
      <c r="AA293" s="949">
        <f t="shared" si="9"/>
        <v>0</v>
      </c>
      <c r="AB293" s="955"/>
      <c r="AC293" s="949" t="str">
        <f t="shared" si="10"/>
        <v/>
      </c>
      <c r="AD293" s="953">
        <f t="shared" si="11"/>
        <v>0</v>
      </c>
      <c r="AE293" s="956"/>
      <c r="AF293" s="889" t="s">
        <v>2181</v>
      </c>
      <c r="AG293" s="810" t="b">
        <v>0</v>
      </c>
      <c r="AH293" s="780"/>
      <c r="AI293" s="780"/>
      <c r="AJ293" s="780"/>
      <c r="AK293" s="780"/>
      <c r="AL293" s="780"/>
      <c r="AM293" s="780"/>
      <c r="AN293" s="780"/>
      <c r="AO293" s="780"/>
      <c r="AP293" s="780"/>
      <c r="AQ293" s="780"/>
      <c r="AR293" s="780"/>
      <c r="AS293" s="780"/>
      <c r="AT293" s="780"/>
      <c r="AU293" s="780"/>
      <c r="AV293" s="780"/>
      <c r="AW293" s="780"/>
    </row>
    <row r="294">
      <c r="A294" s="941"/>
      <c r="B294" s="941"/>
      <c r="C294" s="995"/>
      <c r="D294" s="995"/>
      <c r="E294" s="995"/>
      <c r="F294" s="946"/>
      <c r="G294" s="946"/>
      <c r="H294" s="946"/>
      <c r="I294" s="947">
        <v>0.00138428</v>
      </c>
      <c r="J294" s="948">
        <v>0.035</v>
      </c>
      <c r="K294" s="949">
        <f t="shared" si="22"/>
        <v>0</v>
      </c>
      <c r="L294" s="950">
        <f t="shared" si="23"/>
        <v>0</v>
      </c>
      <c r="M294" s="948">
        <v>0.0215</v>
      </c>
      <c r="N294" s="951">
        <f t="shared" si="24"/>
        <v>0.00141404202</v>
      </c>
      <c r="O294" s="949">
        <f t="shared" si="25"/>
        <v>15</v>
      </c>
      <c r="P294" s="949">
        <f t="shared" si="77"/>
        <v>0.0215</v>
      </c>
      <c r="Q294" s="952">
        <f t="shared" si="79"/>
        <v>0</v>
      </c>
      <c r="R294" s="952">
        <f t="shared" si="78"/>
        <v>0</v>
      </c>
      <c r="S294" s="953"/>
      <c r="T294" s="949">
        <v>0.06</v>
      </c>
      <c r="U294" s="954"/>
      <c r="V294" s="949"/>
      <c r="W294" s="953"/>
      <c r="X294" s="949">
        <f t="shared" si="7"/>
        <v>0</v>
      </c>
      <c r="Y294" s="955"/>
      <c r="Z294" s="953" t="str">
        <f t="shared" si="8"/>
        <v/>
      </c>
      <c r="AA294" s="949">
        <f t="shared" si="9"/>
        <v>0</v>
      </c>
      <c r="AB294" s="955"/>
      <c r="AC294" s="949" t="str">
        <f t="shared" si="10"/>
        <v/>
      </c>
      <c r="AD294" s="953">
        <f t="shared" si="11"/>
        <v>0</v>
      </c>
      <c r="AE294" s="956"/>
      <c r="AF294" s="889" t="s">
        <v>2181</v>
      </c>
      <c r="AG294" s="810" t="b">
        <v>0</v>
      </c>
      <c r="AH294" s="780"/>
      <c r="AI294" s="780"/>
      <c r="AJ294" s="780"/>
      <c r="AK294" s="780"/>
      <c r="AL294" s="780"/>
      <c r="AM294" s="780"/>
      <c r="AN294" s="780"/>
      <c r="AO294" s="780"/>
      <c r="AP294" s="780"/>
      <c r="AQ294" s="780"/>
      <c r="AR294" s="780"/>
      <c r="AS294" s="780"/>
      <c r="AT294" s="780"/>
      <c r="AU294" s="780"/>
      <c r="AV294" s="780"/>
      <c r="AW294" s="780"/>
    </row>
    <row r="295">
      <c r="A295" s="941"/>
      <c r="B295" s="941"/>
      <c r="C295" s="995"/>
      <c r="D295" s="944"/>
      <c r="E295" s="944"/>
      <c r="F295" s="946"/>
      <c r="G295" s="946"/>
      <c r="H295" s="946"/>
      <c r="I295" s="947">
        <v>0.00138428</v>
      </c>
      <c r="J295" s="948">
        <v>0.035</v>
      </c>
      <c r="K295" s="949">
        <f t="shared" si="22"/>
        <v>0</v>
      </c>
      <c r="L295" s="950">
        <f t="shared" si="23"/>
        <v>0</v>
      </c>
      <c r="M295" s="948">
        <v>0.0215</v>
      </c>
      <c r="N295" s="951">
        <f t="shared" si="24"/>
        <v>0.00141404202</v>
      </c>
      <c r="O295" s="949">
        <f t="shared" si="25"/>
        <v>15</v>
      </c>
      <c r="P295" s="949">
        <f t="shared" si="77"/>
        <v>0.0215</v>
      </c>
      <c r="Q295" s="952">
        <f t="shared" si="79"/>
        <v>0</v>
      </c>
      <c r="R295" s="952">
        <f t="shared" si="78"/>
        <v>0</v>
      </c>
      <c r="S295" s="953"/>
      <c r="T295" s="949">
        <v>0.06</v>
      </c>
      <c r="U295" s="954"/>
      <c r="V295" s="949"/>
      <c r="W295" s="953"/>
      <c r="X295" s="949">
        <f t="shared" si="7"/>
        <v>0</v>
      </c>
      <c r="Y295" s="955"/>
      <c r="Z295" s="953" t="str">
        <f t="shared" si="8"/>
        <v/>
      </c>
      <c r="AA295" s="949">
        <f t="shared" si="9"/>
        <v>0</v>
      </c>
      <c r="AB295" s="955"/>
      <c r="AC295" s="949" t="str">
        <f t="shared" si="10"/>
        <v/>
      </c>
      <c r="AD295" s="953">
        <f t="shared" si="11"/>
        <v>0</v>
      </c>
      <c r="AE295" s="956"/>
      <c r="AF295" s="889" t="s">
        <v>2181</v>
      </c>
      <c r="AG295" s="810" t="b">
        <v>0</v>
      </c>
      <c r="AH295" s="780"/>
      <c r="AI295" s="780"/>
      <c r="AJ295" s="780"/>
      <c r="AK295" s="780"/>
      <c r="AL295" s="780"/>
      <c r="AM295" s="780"/>
      <c r="AN295" s="780"/>
      <c r="AO295" s="780"/>
      <c r="AP295" s="780"/>
      <c r="AQ295" s="780"/>
      <c r="AR295" s="780"/>
      <c r="AS295" s="780"/>
      <c r="AT295" s="780"/>
      <c r="AU295" s="780"/>
      <c r="AV295" s="780"/>
      <c r="AW295" s="780"/>
    </row>
    <row r="296">
      <c r="A296" s="941"/>
      <c r="B296" s="941"/>
      <c r="C296" s="995"/>
      <c r="D296" s="995"/>
      <c r="E296" s="995"/>
      <c r="F296" s="946"/>
      <c r="G296" s="946"/>
      <c r="H296" s="946"/>
      <c r="I296" s="947">
        <v>0.00138428</v>
      </c>
      <c r="J296" s="948">
        <v>0.035</v>
      </c>
      <c r="K296" s="949">
        <f t="shared" si="22"/>
        <v>0</v>
      </c>
      <c r="L296" s="950">
        <f t="shared" si="23"/>
        <v>0</v>
      </c>
      <c r="M296" s="948">
        <v>0.0215</v>
      </c>
      <c r="N296" s="951">
        <f t="shared" si="24"/>
        <v>0.00141404202</v>
      </c>
      <c r="O296" s="949">
        <f t="shared" si="25"/>
        <v>15</v>
      </c>
      <c r="P296" s="949">
        <f t="shared" si="77"/>
        <v>0.0215</v>
      </c>
      <c r="Q296" s="952">
        <f t="shared" si="79"/>
        <v>0</v>
      </c>
      <c r="R296" s="952">
        <f t="shared" si="78"/>
        <v>0</v>
      </c>
      <c r="S296" s="953"/>
      <c r="T296" s="949">
        <v>0.06</v>
      </c>
      <c r="U296" s="954"/>
      <c r="V296" s="949"/>
      <c r="W296" s="953"/>
      <c r="X296" s="949">
        <f t="shared" si="7"/>
        <v>0</v>
      </c>
      <c r="Y296" s="955"/>
      <c r="Z296" s="953" t="str">
        <f t="shared" si="8"/>
        <v/>
      </c>
      <c r="AA296" s="949">
        <f t="shared" si="9"/>
        <v>0</v>
      </c>
      <c r="AB296" s="955"/>
      <c r="AC296" s="949" t="str">
        <f t="shared" si="10"/>
        <v/>
      </c>
      <c r="AD296" s="953">
        <f t="shared" si="11"/>
        <v>0</v>
      </c>
      <c r="AE296" s="956"/>
      <c r="AF296" s="889" t="s">
        <v>2181</v>
      </c>
      <c r="AG296" s="810" t="b">
        <v>0</v>
      </c>
      <c r="AH296" s="780"/>
      <c r="AI296" s="780"/>
      <c r="AJ296" s="780"/>
      <c r="AK296" s="780"/>
      <c r="AL296" s="780"/>
      <c r="AM296" s="780"/>
      <c r="AN296" s="780"/>
      <c r="AO296" s="780"/>
      <c r="AP296" s="780"/>
      <c r="AQ296" s="780"/>
      <c r="AR296" s="780"/>
      <c r="AS296" s="780"/>
      <c r="AT296" s="780"/>
      <c r="AU296" s="780"/>
      <c r="AV296" s="780"/>
      <c r="AW296" s="780"/>
    </row>
    <row r="297">
      <c r="A297" s="941"/>
      <c r="B297" s="941"/>
      <c r="C297" s="995"/>
      <c r="D297" s="944"/>
      <c r="E297" s="944"/>
      <c r="F297" s="946"/>
      <c r="G297" s="946"/>
      <c r="H297" s="946"/>
      <c r="I297" s="947">
        <v>0.00138428</v>
      </c>
      <c r="J297" s="948">
        <v>0.035</v>
      </c>
      <c r="K297" s="949">
        <f t="shared" si="22"/>
        <v>0</v>
      </c>
      <c r="L297" s="950">
        <f t="shared" si="23"/>
        <v>0</v>
      </c>
      <c r="M297" s="948">
        <v>0.0215</v>
      </c>
      <c r="N297" s="951">
        <f t="shared" si="24"/>
        <v>0.00141404202</v>
      </c>
      <c r="O297" s="949">
        <f t="shared" si="25"/>
        <v>15</v>
      </c>
      <c r="P297" s="949">
        <f t="shared" si="77"/>
        <v>0.0215</v>
      </c>
      <c r="Q297" s="952">
        <f t="shared" si="79"/>
        <v>0</v>
      </c>
      <c r="R297" s="952">
        <f t="shared" si="78"/>
        <v>0</v>
      </c>
      <c r="S297" s="953"/>
      <c r="T297" s="949">
        <v>0.06</v>
      </c>
      <c r="U297" s="954"/>
      <c r="V297" s="949"/>
      <c r="W297" s="953"/>
      <c r="X297" s="949">
        <f t="shared" si="7"/>
        <v>0</v>
      </c>
      <c r="Y297" s="955"/>
      <c r="Z297" s="953" t="str">
        <f t="shared" si="8"/>
        <v/>
      </c>
      <c r="AA297" s="949">
        <f t="shared" si="9"/>
        <v>0</v>
      </c>
      <c r="AB297" s="955"/>
      <c r="AC297" s="949" t="str">
        <f t="shared" si="10"/>
        <v/>
      </c>
      <c r="AD297" s="953">
        <f t="shared" si="11"/>
        <v>0</v>
      </c>
      <c r="AE297" s="956"/>
      <c r="AF297" s="889" t="s">
        <v>2181</v>
      </c>
      <c r="AG297" s="810" t="b">
        <v>0</v>
      </c>
      <c r="AH297" s="780"/>
      <c r="AI297" s="780"/>
      <c r="AJ297" s="780"/>
      <c r="AK297" s="780"/>
      <c r="AL297" s="780"/>
      <c r="AM297" s="780"/>
      <c r="AN297" s="780"/>
      <c r="AO297" s="780"/>
      <c r="AP297" s="780"/>
      <c r="AQ297" s="780"/>
      <c r="AR297" s="780"/>
      <c r="AS297" s="780"/>
      <c r="AT297" s="780"/>
      <c r="AU297" s="780"/>
      <c r="AV297" s="780"/>
      <c r="AW297" s="780"/>
    </row>
    <row r="298">
      <c r="A298" s="941"/>
      <c r="B298" s="941"/>
      <c r="C298" s="995"/>
      <c r="D298" s="995"/>
      <c r="E298" s="995"/>
      <c r="F298" s="946"/>
      <c r="G298" s="946"/>
      <c r="H298" s="946"/>
      <c r="I298" s="947">
        <v>0.00138428</v>
      </c>
      <c r="J298" s="948">
        <v>0.035</v>
      </c>
      <c r="K298" s="949">
        <f t="shared" si="22"/>
        <v>0</v>
      </c>
      <c r="L298" s="950">
        <f t="shared" si="23"/>
        <v>0</v>
      </c>
      <c r="M298" s="948">
        <v>0.0215</v>
      </c>
      <c r="N298" s="951">
        <f t="shared" si="24"/>
        <v>0.00141404202</v>
      </c>
      <c r="O298" s="949">
        <f t="shared" si="25"/>
        <v>15</v>
      </c>
      <c r="P298" s="949">
        <f t="shared" si="77"/>
        <v>0.0215</v>
      </c>
      <c r="Q298" s="952">
        <f t="shared" si="79"/>
        <v>0</v>
      </c>
      <c r="R298" s="952">
        <f t="shared" si="78"/>
        <v>0</v>
      </c>
      <c r="S298" s="953"/>
      <c r="T298" s="949">
        <v>0.06</v>
      </c>
      <c r="U298" s="954"/>
      <c r="V298" s="949"/>
      <c r="W298" s="953"/>
      <c r="X298" s="949">
        <f t="shared" si="7"/>
        <v>0</v>
      </c>
      <c r="Y298" s="955"/>
      <c r="Z298" s="953" t="str">
        <f t="shared" si="8"/>
        <v/>
      </c>
      <c r="AA298" s="949">
        <f t="shared" si="9"/>
        <v>0</v>
      </c>
      <c r="AB298" s="955"/>
      <c r="AC298" s="949" t="str">
        <f t="shared" si="10"/>
        <v/>
      </c>
      <c r="AD298" s="953">
        <f t="shared" si="11"/>
        <v>0</v>
      </c>
      <c r="AE298" s="956"/>
      <c r="AF298" s="889" t="s">
        <v>2181</v>
      </c>
      <c r="AG298" s="810" t="b">
        <v>0</v>
      </c>
      <c r="AH298" s="780"/>
      <c r="AI298" s="780"/>
      <c r="AJ298" s="780"/>
      <c r="AK298" s="780"/>
      <c r="AL298" s="780"/>
      <c r="AM298" s="780"/>
      <c r="AN298" s="780"/>
      <c r="AO298" s="780"/>
      <c r="AP298" s="780"/>
      <c r="AQ298" s="780"/>
      <c r="AR298" s="780"/>
      <c r="AS298" s="780"/>
      <c r="AT298" s="780"/>
      <c r="AU298" s="780"/>
      <c r="AV298" s="780"/>
      <c r="AW298" s="780"/>
    </row>
    <row r="299">
      <c r="A299" s="941"/>
      <c r="B299" s="941"/>
      <c r="C299" s="995"/>
      <c r="D299" s="944"/>
      <c r="E299" s="944"/>
      <c r="F299" s="946"/>
      <c r="G299" s="946"/>
      <c r="H299" s="946"/>
      <c r="I299" s="947">
        <v>0.00138428</v>
      </c>
      <c r="J299" s="948">
        <v>0.035</v>
      </c>
      <c r="K299" s="949">
        <f t="shared" si="22"/>
        <v>0</v>
      </c>
      <c r="L299" s="950">
        <f t="shared" si="23"/>
        <v>0</v>
      </c>
      <c r="M299" s="948">
        <v>0.0215</v>
      </c>
      <c r="N299" s="951">
        <f t="shared" si="24"/>
        <v>0.00141404202</v>
      </c>
      <c r="O299" s="949">
        <f t="shared" si="25"/>
        <v>15</v>
      </c>
      <c r="P299" s="949">
        <f t="shared" si="77"/>
        <v>0.0215</v>
      </c>
      <c r="Q299" s="952">
        <f t="shared" si="79"/>
        <v>0</v>
      </c>
      <c r="R299" s="952">
        <f t="shared" si="78"/>
        <v>0</v>
      </c>
      <c r="S299" s="953"/>
      <c r="T299" s="949">
        <v>0.06</v>
      </c>
      <c r="U299" s="954"/>
      <c r="V299" s="949"/>
      <c r="W299" s="953"/>
      <c r="X299" s="949">
        <f t="shared" si="7"/>
        <v>0</v>
      </c>
      <c r="Y299" s="955"/>
      <c r="Z299" s="953" t="str">
        <f t="shared" si="8"/>
        <v/>
      </c>
      <c r="AA299" s="949">
        <f t="shared" si="9"/>
        <v>0</v>
      </c>
      <c r="AB299" s="955"/>
      <c r="AC299" s="949" t="str">
        <f t="shared" si="10"/>
        <v/>
      </c>
      <c r="AD299" s="953">
        <f t="shared" si="11"/>
        <v>0</v>
      </c>
      <c r="AE299" s="956"/>
      <c r="AF299" s="889" t="s">
        <v>2181</v>
      </c>
      <c r="AG299" s="810" t="b">
        <v>0</v>
      </c>
      <c r="AH299" s="780"/>
      <c r="AI299" s="780"/>
      <c r="AJ299" s="780"/>
      <c r="AK299" s="780"/>
      <c r="AL299" s="780"/>
      <c r="AM299" s="780"/>
      <c r="AN299" s="780"/>
      <c r="AO299" s="780"/>
      <c r="AP299" s="780"/>
      <c r="AQ299" s="780"/>
      <c r="AR299" s="780"/>
      <c r="AS299" s="780"/>
      <c r="AT299" s="780"/>
      <c r="AU299" s="780"/>
      <c r="AV299" s="780"/>
      <c r="AW299" s="780"/>
    </row>
    <row r="300">
      <c r="A300" s="941"/>
      <c r="B300" s="941"/>
      <c r="C300" s="995"/>
      <c r="D300" s="995"/>
      <c r="E300" s="995"/>
      <c r="F300" s="946"/>
      <c r="G300" s="946"/>
      <c r="H300" s="946"/>
      <c r="I300" s="947">
        <v>0.00138428</v>
      </c>
      <c r="J300" s="948">
        <v>0.035</v>
      </c>
      <c r="K300" s="949">
        <f t="shared" si="22"/>
        <v>0</v>
      </c>
      <c r="L300" s="950">
        <f t="shared" si="23"/>
        <v>0</v>
      </c>
      <c r="M300" s="948">
        <v>0.0215</v>
      </c>
      <c r="N300" s="951">
        <f t="shared" si="24"/>
        <v>0.00141404202</v>
      </c>
      <c r="O300" s="949">
        <f t="shared" si="25"/>
        <v>15</v>
      </c>
      <c r="P300" s="949">
        <f t="shared" si="77"/>
        <v>0.0215</v>
      </c>
      <c r="Q300" s="952">
        <f t="shared" si="79"/>
        <v>0</v>
      </c>
      <c r="R300" s="952">
        <f t="shared" si="78"/>
        <v>0</v>
      </c>
      <c r="S300" s="953"/>
      <c r="T300" s="949">
        <v>0.06</v>
      </c>
      <c r="U300" s="954"/>
      <c r="V300" s="949"/>
      <c r="W300" s="953"/>
      <c r="X300" s="949">
        <f t="shared" si="7"/>
        <v>0</v>
      </c>
      <c r="Y300" s="955"/>
      <c r="Z300" s="953" t="str">
        <f t="shared" si="8"/>
        <v/>
      </c>
      <c r="AA300" s="949">
        <f t="shared" si="9"/>
        <v>0</v>
      </c>
      <c r="AB300" s="955"/>
      <c r="AC300" s="949" t="str">
        <f t="shared" si="10"/>
        <v/>
      </c>
      <c r="AD300" s="953">
        <f t="shared" si="11"/>
        <v>0</v>
      </c>
      <c r="AE300" s="956"/>
      <c r="AF300" s="889" t="s">
        <v>2181</v>
      </c>
      <c r="AG300" s="810" t="b">
        <v>0</v>
      </c>
      <c r="AH300" s="780"/>
      <c r="AI300" s="780"/>
      <c r="AJ300" s="780"/>
      <c r="AK300" s="780"/>
      <c r="AL300" s="780"/>
      <c r="AM300" s="780"/>
      <c r="AN300" s="780"/>
      <c r="AO300" s="780"/>
      <c r="AP300" s="780"/>
      <c r="AQ300" s="780"/>
      <c r="AR300" s="780"/>
      <c r="AS300" s="780"/>
      <c r="AT300" s="780"/>
      <c r="AU300" s="780"/>
      <c r="AV300" s="780"/>
      <c r="AW300" s="780"/>
    </row>
    <row r="301">
      <c r="A301" s="941"/>
      <c r="B301" s="941"/>
      <c r="C301" s="995"/>
      <c r="D301" s="944"/>
      <c r="E301" s="944"/>
      <c r="F301" s="946"/>
      <c r="G301" s="946"/>
      <c r="H301" s="946"/>
      <c r="I301" s="947">
        <v>0.00138428</v>
      </c>
      <c r="J301" s="948">
        <v>0.035</v>
      </c>
      <c r="K301" s="949">
        <f t="shared" si="22"/>
        <v>0</v>
      </c>
      <c r="L301" s="950">
        <f t="shared" si="23"/>
        <v>0</v>
      </c>
      <c r="M301" s="948">
        <v>0.0215</v>
      </c>
      <c r="N301" s="951">
        <f t="shared" si="24"/>
        <v>0.00141404202</v>
      </c>
      <c r="O301" s="949">
        <f t="shared" si="25"/>
        <v>15</v>
      </c>
      <c r="P301" s="949">
        <f t="shared" si="77"/>
        <v>0.0215</v>
      </c>
      <c r="Q301" s="952">
        <f t="shared" si="79"/>
        <v>0</v>
      </c>
      <c r="R301" s="952">
        <f t="shared" si="78"/>
        <v>0</v>
      </c>
      <c r="S301" s="953"/>
      <c r="T301" s="949">
        <v>0.06</v>
      </c>
      <c r="U301" s="954"/>
      <c r="V301" s="949"/>
      <c r="W301" s="953"/>
      <c r="X301" s="949">
        <f t="shared" si="7"/>
        <v>0</v>
      </c>
      <c r="Y301" s="955"/>
      <c r="Z301" s="953" t="str">
        <f t="shared" si="8"/>
        <v/>
      </c>
      <c r="AA301" s="949">
        <f t="shared" si="9"/>
        <v>0</v>
      </c>
      <c r="AB301" s="955"/>
      <c r="AC301" s="949" t="str">
        <f t="shared" si="10"/>
        <v/>
      </c>
      <c r="AD301" s="953">
        <f t="shared" si="11"/>
        <v>0</v>
      </c>
      <c r="AE301" s="956"/>
      <c r="AF301" s="889" t="s">
        <v>2181</v>
      </c>
      <c r="AG301" s="810" t="b">
        <v>0</v>
      </c>
      <c r="AH301" s="780"/>
      <c r="AI301" s="780"/>
      <c r="AJ301" s="780"/>
      <c r="AK301" s="780"/>
      <c r="AL301" s="780"/>
      <c r="AM301" s="780"/>
      <c r="AN301" s="780"/>
      <c r="AO301" s="780"/>
      <c r="AP301" s="780"/>
      <c r="AQ301" s="780"/>
      <c r="AR301" s="780"/>
      <c r="AS301" s="780"/>
      <c r="AT301" s="780"/>
      <c r="AU301" s="780"/>
      <c r="AV301" s="780"/>
      <c r="AW301" s="780"/>
    </row>
    <row r="302">
      <c r="A302" s="941"/>
      <c r="B302" s="941"/>
      <c r="C302" s="995"/>
      <c r="D302" s="995"/>
      <c r="E302" s="995"/>
      <c r="F302" s="946"/>
      <c r="G302" s="946"/>
      <c r="H302" s="946"/>
      <c r="I302" s="947">
        <v>0.00138428</v>
      </c>
      <c r="J302" s="948">
        <v>0.035</v>
      </c>
      <c r="K302" s="949">
        <f t="shared" si="22"/>
        <v>0</v>
      </c>
      <c r="L302" s="950">
        <f t="shared" si="23"/>
        <v>0</v>
      </c>
      <c r="M302" s="948">
        <v>0.0215</v>
      </c>
      <c r="N302" s="951">
        <f t="shared" si="24"/>
        <v>0.00141404202</v>
      </c>
      <c r="O302" s="949">
        <f t="shared" si="25"/>
        <v>15</v>
      </c>
      <c r="P302" s="949">
        <f t="shared" si="77"/>
        <v>0.0215</v>
      </c>
      <c r="Q302" s="952">
        <f t="shared" si="79"/>
        <v>0</v>
      </c>
      <c r="R302" s="952">
        <f t="shared" si="78"/>
        <v>0</v>
      </c>
      <c r="S302" s="953"/>
      <c r="T302" s="949">
        <v>0.06</v>
      </c>
      <c r="U302" s="954"/>
      <c r="V302" s="949"/>
      <c r="W302" s="953"/>
      <c r="X302" s="949">
        <f t="shared" si="7"/>
        <v>0</v>
      </c>
      <c r="Y302" s="955"/>
      <c r="Z302" s="953" t="str">
        <f t="shared" si="8"/>
        <v/>
      </c>
      <c r="AA302" s="949">
        <f t="shared" si="9"/>
        <v>0</v>
      </c>
      <c r="AB302" s="955"/>
      <c r="AC302" s="949" t="str">
        <f t="shared" si="10"/>
        <v/>
      </c>
      <c r="AD302" s="953">
        <f t="shared" si="11"/>
        <v>0</v>
      </c>
      <c r="AE302" s="956"/>
      <c r="AF302" s="889" t="s">
        <v>2181</v>
      </c>
      <c r="AG302" s="810" t="b">
        <v>0</v>
      </c>
      <c r="AH302" s="780"/>
      <c r="AI302" s="780"/>
      <c r="AJ302" s="780"/>
      <c r="AK302" s="780"/>
      <c r="AL302" s="780"/>
      <c r="AM302" s="780"/>
      <c r="AN302" s="780"/>
      <c r="AO302" s="780"/>
      <c r="AP302" s="780"/>
      <c r="AQ302" s="780"/>
      <c r="AR302" s="780"/>
      <c r="AS302" s="780"/>
      <c r="AT302" s="780"/>
      <c r="AU302" s="780"/>
      <c r="AV302" s="780"/>
      <c r="AW302" s="780"/>
    </row>
    <row r="303">
      <c r="A303" s="941"/>
      <c r="B303" s="941"/>
      <c r="C303" s="995"/>
      <c r="D303" s="944"/>
      <c r="E303" s="944"/>
      <c r="F303" s="1000"/>
      <c r="G303" s="1000"/>
      <c r="H303" s="1000"/>
      <c r="I303" s="947">
        <v>0.00138428</v>
      </c>
      <c r="J303" s="948">
        <v>0.035</v>
      </c>
      <c r="K303" s="949">
        <f t="shared" si="22"/>
        <v>0</v>
      </c>
      <c r="L303" s="950">
        <f t="shared" si="23"/>
        <v>0</v>
      </c>
      <c r="M303" s="948">
        <v>0.0215</v>
      </c>
      <c r="N303" s="951">
        <f t="shared" si="24"/>
        <v>0.00141404202</v>
      </c>
      <c r="O303" s="949">
        <f t="shared" si="25"/>
        <v>15</v>
      </c>
      <c r="P303" s="949">
        <f t="shared" si="77"/>
        <v>0.0215</v>
      </c>
      <c r="Q303" s="952">
        <f t="shared" si="79"/>
        <v>0</v>
      </c>
      <c r="R303" s="952">
        <f t="shared" si="78"/>
        <v>0</v>
      </c>
      <c r="S303" s="953"/>
      <c r="T303" s="949">
        <v>0.06</v>
      </c>
      <c r="U303" s="954"/>
      <c r="V303" s="949"/>
      <c r="W303" s="953"/>
      <c r="X303" s="949">
        <f t="shared" si="7"/>
        <v>0</v>
      </c>
      <c r="Y303" s="955"/>
      <c r="Z303" s="953" t="str">
        <f t="shared" si="8"/>
        <v/>
      </c>
      <c r="AA303" s="949">
        <f t="shared" si="9"/>
        <v>0</v>
      </c>
      <c r="AB303" s="955"/>
      <c r="AC303" s="949" t="str">
        <f t="shared" si="10"/>
        <v/>
      </c>
      <c r="AD303" s="953">
        <f t="shared" si="11"/>
        <v>0</v>
      </c>
      <c r="AE303" s="956"/>
      <c r="AF303" s="889" t="s">
        <v>2181</v>
      </c>
      <c r="AG303" s="810" t="b">
        <v>0</v>
      </c>
      <c r="AH303" s="780"/>
      <c r="AI303" s="780"/>
      <c r="AJ303" s="780"/>
      <c r="AK303" s="780"/>
      <c r="AL303" s="780"/>
      <c r="AM303" s="780"/>
      <c r="AN303" s="780"/>
      <c r="AO303" s="780"/>
      <c r="AP303" s="780"/>
      <c r="AQ303" s="780"/>
      <c r="AR303" s="780"/>
      <c r="AS303" s="780"/>
      <c r="AT303" s="780"/>
      <c r="AU303" s="780"/>
      <c r="AV303" s="780"/>
      <c r="AW303" s="780"/>
    </row>
    <row r="304">
      <c r="A304" s="941"/>
      <c r="B304" s="941"/>
      <c r="C304" s="995"/>
      <c r="D304" s="995"/>
      <c r="E304" s="995"/>
      <c r="F304" s="946"/>
      <c r="G304" s="946"/>
      <c r="H304" s="946"/>
      <c r="I304" s="947">
        <v>0.00138428</v>
      </c>
      <c r="J304" s="948">
        <v>0.035</v>
      </c>
      <c r="K304" s="949">
        <f t="shared" si="22"/>
        <v>0</v>
      </c>
      <c r="L304" s="950">
        <f t="shared" si="23"/>
        <v>0</v>
      </c>
      <c r="M304" s="948">
        <v>0.0215</v>
      </c>
      <c r="N304" s="951">
        <f t="shared" si="24"/>
        <v>0.00141404202</v>
      </c>
      <c r="O304" s="949">
        <f t="shared" si="25"/>
        <v>15</v>
      </c>
      <c r="P304" s="949">
        <f t="shared" si="77"/>
        <v>0.0215</v>
      </c>
      <c r="Q304" s="952">
        <f t="shared" si="79"/>
        <v>0</v>
      </c>
      <c r="R304" s="952">
        <f t="shared" si="78"/>
        <v>0</v>
      </c>
      <c r="S304" s="953"/>
      <c r="T304" s="949">
        <v>0.06</v>
      </c>
      <c r="U304" s="954"/>
      <c r="V304" s="949"/>
      <c r="W304" s="953"/>
      <c r="X304" s="949">
        <f t="shared" si="7"/>
        <v>0</v>
      </c>
      <c r="Y304" s="955"/>
      <c r="Z304" s="953" t="str">
        <f t="shared" si="8"/>
        <v/>
      </c>
      <c r="AA304" s="949">
        <f t="shared" si="9"/>
        <v>0</v>
      </c>
      <c r="AB304" s="955"/>
      <c r="AC304" s="949" t="str">
        <f t="shared" si="10"/>
        <v/>
      </c>
      <c r="AD304" s="953">
        <f t="shared" si="11"/>
        <v>0</v>
      </c>
      <c r="AE304" s="956"/>
      <c r="AF304" s="889" t="s">
        <v>2181</v>
      </c>
      <c r="AG304" s="810" t="b">
        <v>0</v>
      </c>
      <c r="AH304" s="780"/>
      <c r="AI304" s="780"/>
      <c r="AJ304" s="780"/>
      <c r="AK304" s="780"/>
      <c r="AL304" s="780"/>
      <c r="AM304" s="780"/>
      <c r="AN304" s="780"/>
      <c r="AO304" s="780"/>
      <c r="AP304" s="780"/>
      <c r="AQ304" s="780"/>
      <c r="AR304" s="780"/>
      <c r="AS304" s="780"/>
      <c r="AT304" s="780"/>
      <c r="AU304" s="780"/>
      <c r="AV304" s="780"/>
      <c r="AW304" s="780"/>
    </row>
    <row r="305">
      <c r="A305" s="941"/>
      <c r="B305" s="941"/>
      <c r="C305" s="995"/>
      <c r="D305" s="995"/>
      <c r="E305" s="995"/>
      <c r="F305" s="946"/>
      <c r="G305" s="946"/>
      <c r="H305" s="946"/>
      <c r="I305" s="947">
        <v>0.00138428</v>
      </c>
      <c r="J305" s="948">
        <v>0.035</v>
      </c>
      <c r="K305" s="949">
        <f t="shared" si="22"/>
        <v>0</v>
      </c>
      <c r="L305" s="950">
        <f t="shared" si="23"/>
        <v>0</v>
      </c>
      <c r="M305" s="948">
        <v>0.0215</v>
      </c>
      <c r="N305" s="951">
        <f t="shared" si="24"/>
        <v>0.00141404202</v>
      </c>
      <c r="O305" s="949">
        <f t="shared" si="25"/>
        <v>15</v>
      </c>
      <c r="P305" s="949">
        <f t="shared" si="77"/>
        <v>0.0215</v>
      </c>
      <c r="Q305" s="952">
        <f t="shared" si="79"/>
        <v>0</v>
      </c>
      <c r="R305" s="952">
        <f t="shared" si="78"/>
        <v>0</v>
      </c>
      <c r="S305" s="953"/>
      <c r="T305" s="949">
        <v>0.06</v>
      </c>
      <c r="U305" s="954"/>
      <c r="V305" s="949"/>
      <c r="W305" s="953"/>
      <c r="X305" s="949">
        <f t="shared" si="7"/>
        <v>0</v>
      </c>
      <c r="Y305" s="955"/>
      <c r="Z305" s="953" t="str">
        <f t="shared" si="8"/>
        <v/>
      </c>
      <c r="AA305" s="949">
        <f t="shared" si="9"/>
        <v>0</v>
      </c>
      <c r="AB305" s="955"/>
      <c r="AC305" s="949" t="str">
        <f t="shared" si="10"/>
        <v/>
      </c>
      <c r="AD305" s="953">
        <f t="shared" si="11"/>
        <v>0</v>
      </c>
      <c r="AE305" s="956"/>
      <c r="AF305" s="889" t="s">
        <v>2181</v>
      </c>
      <c r="AG305" s="810" t="b">
        <v>0</v>
      </c>
      <c r="AH305" s="780"/>
      <c r="AI305" s="780"/>
      <c r="AJ305" s="780"/>
      <c r="AK305" s="780"/>
      <c r="AL305" s="780"/>
      <c r="AM305" s="780"/>
      <c r="AN305" s="780"/>
      <c r="AO305" s="780"/>
      <c r="AP305" s="780"/>
      <c r="AQ305" s="780"/>
      <c r="AR305" s="780"/>
      <c r="AS305" s="780"/>
      <c r="AT305" s="780"/>
      <c r="AU305" s="780"/>
      <c r="AV305" s="780"/>
      <c r="AW305" s="780"/>
    </row>
    <row r="306">
      <c r="A306" s="941"/>
      <c r="B306" s="941"/>
      <c r="C306" s="995"/>
      <c r="D306" s="995"/>
      <c r="E306" s="995"/>
      <c r="F306" s="946"/>
      <c r="G306" s="946"/>
      <c r="H306" s="946"/>
      <c r="I306" s="947">
        <v>0.00138428</v>
      </c>
      <c r="J306" s="948">
        <v>0.035</v>
      </c>
      <c r="K306" s="949">
        <f t="shared" si="22"/>
        <v>0</v>
      </c>
      <c r="L306" s="950">
        <f t="shared" si="23"/>
        <v>0</v>
      </c>
      <c r="M306" s="948">
        <v>0.0215</v>
      </c>
      <c r="N306" s="951">
        <f t="shared" si="24"/>
        <v>0.00141404202</v>
      </c>
      <c r="O306" s="949">
        <f t="shared" si="25"/>
        <v>15</v>
      </c>
      <c r="P306" s="949">
        <f t="shared" si="77"/>
        <v>0.0215</v>
      </c>
      <c r="Q306" s="952">
        <f t="shared" si="79"/>
        <v>0</v>
      </c>
      <c r="R306" s="952">
        <f t="shared" si="78"/>
        <v>0</v>
      </c>
      <c r="S306" s="953"/>
      <c r="T306" s="949">
        <v>0.06</v>
      </c>
      <c r="U306" s="954"/>
      <c r="V306" s="949"/>
      <c r="W306" s="953"/>
      <c r="X306" s="949">
        <f t="shared" si="7"/>
        <v>0</v>
      </c>
      <c r="Y306" s="955"/>
      <c r="Z306" s="953" t="str">
        <f t="shared" si="8"/>
        <v/>
      </c>
      <c r="AA306" s="949">
        <f t="shared" si="9"/>
        <v>0</v>
      </c>
      <c r="AB306" s="955"/>
      <c r="AC306" s="949" t="str">
        <f t="shared" si="10"/>
        <v/>
      </c>
      <c r="AD306" s="953">
        <f t="shared" si="11"/>
        <v>0</v>
      </c>
      <c r="AE306" s="956"/>
      <c r="AF306" s="889" t="s">
        <v>2181</v>
      </c>
      <c r="AG306" s="810" t="b">
        <v>0</v>
      </c>
      <c r="AH306" s="780"/>
      <c r="AI306" s="780"/>
      <c r="AJ306" s="780"/>
      <c r="AK306" s="780"/>
      <c r="AL306" s="780"/>
      <c r="AM306" s="780"/>
      <c r="AN306" s="780"/>
      <c r="AO306" s="780"/>
      <c r="AP306" s="780"/>
      <c r="AQ306" s="780"/>
      <c r="AR306" s="780"/>
      <c r="AS306" s="780"/>
      <c r="AT306" s="780"/>
      <c r="AU306" s="780"/>
      <c r="AV306" s="780"/>
      <c r="AW306" s="780"/>
    </row>
    <row r="307">
      <c r="A307" s="941"/>
      <c r="B307" s="941"/>
      <c r="C307" s="995"/>
      <c r="D307" s="1001"/>
      <c r="E307" s="944"/>
      <c r="F307" s="946"/>
      <c r="G307" s="946"/>
      <c r="H307" s="946"/>
      <c r="I307" s="947">
        <v>0.00138428</v>
      </c>
      <c r="J307" s="948">
        <v>0.035</v>
      </c>
      <c r="K307" s="949">
        <f t="shared" si="22"/>
        <v>0</v>
      </c>
      <c r="L307" s="950">
        <f t="shared" si="23"/>
        <v>0</v>
      </c>
      <c r="M307" s="948">
        <v>0.0215</v>
      </c>
      <c r="N307" s="951">
        <f t="shared" si="24"/>
        <v>0.00141404202</v>
      </c>
      <c r="O307" s="949">
        <f t="shared" si="25"/>
        <v>15</v>
      </c>
      <c r="P307" s="949">
        <f t="shared" si="77"/>
        <v>0.0215</v>
      </c>
      <c r="Q307" s="952">
        <f t="shared" si="79"/>
        <v>0</v>
      </c>
      <c r="R307" s="952">
        <f t="shared" si="78"/>
        <v>0</v>
      </c>
      <c r="S307" s="953"/>
      <c r="T307" s="949">
        <v>0.06</v>
      </c>
      <c r="U307" s="954"/>
      <c r="V307" s="949"/>
      <c r="W307" s="953"/>
      <c r="X307" s="949">
        <f t="shared" si="7"/>
        <v>0</v>
      </c>
      <c r="Y307" s="955"/>
      <c r="Z307" s="953" t="str">
        <f t="shared" si="8"/>
        <v/>
      </c>
      <c r="AA307" s="949">
        <f t="shared" si="9"/>
        <v>0</v>
      </c>
      <c r="AB307" s="955"/>
      <c r="AC307" s="949" t="str">
        <f t="shared" si="10"/>
        <v/>
      </c>
      <c r="AD307" s="953">
        <f t="shared" si="11"/>
        <v>0</v>
      </c>
      <c r="AE307" s="956"/>
      <c r="AF307" s="889" t="s">
        <v>2181</v>
      </c>
      <c r="AG307" s="810" t="b">
        <v>0</v>
      </c>
      <c r="AH307" s="780"/>
      <c r="AI307" s="780"/>
      <c r="AJ307" s="780"/>
      <c r="AK307" s="780"/>
      <c r="AL307" s="780"/>
      <c r="AM307" s="780"/>
      <c r="AN307" s="780"/>
      <c r="AO307" s="780"/>
      <c r="AP307" s="780"/>
      <c r="AQ307" s="780"/>
      <c r="AR307" s="780"/>
      <c r="AS307" s="780"/>
      <c r="AT307" s="780"/>
      <c r="AU307" s="780"/>
      <c r="AV307" s="780"/>
      <c r="AW307" s="780"/>
    </row>
    <row r="308">
      <c r="A308" s="941"/>
      <c r="B308" s="941"/>
      <c r="C308" s="995"/>
      <c r="D308" s="995"/>
      <c r="E308" s="995"/>
      <c r="F308" s="946"/>
      <c r="G308" s="946"/>
      <c r="H308" s="946"/>
      <c r="I308" s="947">
        <v>0.00138428</v>
      </c>
      <c r="J308" s="948">
        <v>0.035</v>
      </c>
      <c r="K308" s="949">
        <f t="shared" si="22"/>
        <v>0</v>
      </c>
      <c r="L308" s="950">
        <f t="shared" si="23"/>
        <v>0</v>
      </c>
      <c r="M308" s="948">
        <v>0.0215</v>
      </c>
      <c r="N308" s="951">
        <f t="shared" si="24"/>
        <v>0.00141404202</v>
      </c>
      <c r="O308" s="949">
        <f t="shared" si="25"/>
        <v>15</v>
      </c>
      <c r="P308" s="949">
        <f t="shared" si="77"/>
        <v>0.0215</v>
      </c>
      <c r="Q308" s="952">
        <f t="shared" si="79"/>
        <v>0</v>
      </c>
      <c r="R308" s="952">
        <f t="shared" si="78"/>
        <v>0</v>
      </c>
      <c r="S308" s="953"/>
      <c r="T308" s="949">
        <v>0.06</v>
      </c>
      <c r="U308" s="954"/>
      <c r="V308" s="949"/>
      <c r="W308" s="953"/>
      <c r="X308" s="949">
        <f t="shared" si="7"/>
        <v>0</v>
      </c>
      <c r="Y308" s="955"/>
      <c r="Z308" s="953" t="str">
        <f t="shared" si="8"/>
        <v/>
      </c>
      <c r="AA308" s="949">
        <f t="shared" si="9"/>
        <v>0</v>
      </c>
      <c r="AB308" s="955"/>
      <c r="AC308" s="949" t="str">
        <f t="shared" si="10"/>
        <v/>
      </c>
      <c r="AD308" s="953">
        <f t="shared" si="11"/>
        <v>0</v>
      </c>
      <c r="AE308" s="956"/>
      <c r="AF308" s="889" t="s">
        <v>2181</v>
      </c>
      <c r="AG308" s="810" t="b">
        <v>0</v>
      </c>
      <c r="AH308" s="780"/>
      <c r="AI308" s="780"/>
      <c r="AJ308" s="780"/>
      <c r="AK308" s="780"/>
      <c r="AL308" s="780"/>
      <c r="AM308" s="780"/>
      <c r="AN308" s="780"/>
      <c r="AO308" s="780"/>
      <c r="AP308" s="780"/>
      <c r="AQ308" s="780"/>
      <c r="AR308" s="780"/>
      <c r="AS308" s="780"/>
      <c r="AT308" s="780"/>
      <c r="AU308" s="780"/>
      <c r="AV308" s="780"/>
      <c r="AW308" s="780"/>
    </row>
    <row r="309">
      <c r="A309" s="941"/>
      <c r="B309" s="941"/>
      <c r="C309" s="995"/>
      <c r="D309" s="995"/>
      <c r="E309" s="995"/>
      <c r="F309" s="946"/>
      <c r="G309" s="946"/>
      <c r="H309" s="946"/>
      <c r="I309" s="947">
        <v>0.00138428</v>
      </c>
      <c r="J309" s="948">
        <v>0.035</v>
      </c>
      <c r="K309" s="949">
        <f t="shared" si="22"/>
        <v>0</v>
      </c>
      <c r="L309" s="950">
        <f t="shared" si="23"/>
        <v>0</v>
      </c>
      <c r="M309" s="948">
        <v>0.0215</v>
      </c>
      <c r="N309" s="951">
        <f t="shared" si="24"/>
        <v>0.00141404202</v>
      </c>
      <c r="O309" s="949">
        <f t="shared" si="25"/>
        <v>15</v>
      </c>
      <c r="P309" s="949">
        <f t="shared" si="77"/>
        <v>0.0215</v>
      </c>
      <c r="Q309" s="952">
        <f t="shared" si="79"/>
        <v>0</v>
      </c>
      <c r="R309" s="952">
        <f t="shared" si="78"/>
        <v>0</v>
      </c>
      <c r="S309" s="953"/>
      <c r="T309" s="949">
        <v>0.06</v>
      </c>
      <c r="U309" s="954"/>
      <c r="V309" s="949"/>
      <c r="W309" s="953"/>
      <c r="X309" s="949">
        <f t="shared" si="7"/>
        <v>0</v>
      </c>
      <c r="Y309" s="955"/>
      <c r="Z309" s="953" t="str">
        <f t="shared" si="8"/>
        <v/>
      </c>
      <c r="AA309" s="949">
        <f t="shared" si="9"/>
        <v>0</v>
      </c>
      <c r="AB309" s="955"/>
      <c r="AC309" s="949" t="str">
        <f t="shared" si="10"/>
        <v/>
      </c>
      <c r="AD309" s="953">
        <f t="shared" si="11"/>
        <v>0</v>
      </c>
      <c r="AE309" s="956"/>
      <c r="AF309" s="889" t="s">
        <v>2181</v>
      </c>
      <c r="AG309" s="810" t="b">
        <v>0</v>
      </c>
      <c r="AH309" s="780"/>
      <c r="AI309" s="780"/>
      <c r="AJ309" s="780"/>
      <c r="AK309" s="780"/>
      <c r="AL309" s="780"/>
      <c r="AM309" s="780"/>
      <c r="AN309" s="780"/>
      <c r="AO309" s="780"/>
      <c r="AP309" s="780"/>
      <c r="AQ309" s="780"/>
      <c r="AR309" s="780"/>
      <c r="AS309" s="780"/>
      <c r="AT309" s="780"/>
      <c r="AU309" s="780"/>
      <c r="AV309" s="780"/>
      <c r="AW309" s="780"/>
    </row>
    <row r="310">
      <c r="A310" s="941"/>
      <c r="B310" s="941"/>
      <c r="C310" s="995"/>
      <c r="D310" s="995"/>
      <c r="E310" s="995"/>
      <c r="F310" s="946"/>
      <c r="G310" s="946"/>
      <c r="H310" s="946"/>
      <c r="I310" s="947">
        <v>0.00138428</v>
      </c>
      <c r="J310" s="948">
        <v>0.035</v>
      </c>
      <c r="K310" s="949">
        <f t="shared" si="22"/>
        <v>0</v>
      </c>
      <c r="L310" s="950">
        <f t="shared" si="23"/>
        <v>0</v>
      </c>
      <c r="M310" s="948">
        <v>0.0215</v>
      </c>
      <c r="N310" s="951">
        <f t="shared" si="24"/>
        <v>0.00141404202</v>
      </c>
      <c r="O310" s="949">
        <f t="shared" si="25"/>
        <v>15</v>
      </c>
      <c r="P310" s="949">
        <f t="shared" si="77"/>
        <v>0.0215</v>
      </c>
      <c r="Q310" s="952">
        <f t="shared" si="79"/>
        <v>0</v>
      </c>
      <c r="R310" s="952">
        <f t="shared" si="78"/>
        <v>0</v>
      </c>
      <c r="S310" s="953"/>
      <c r="T310" s="949">
        <v>0.06</v>
      </c>
      <c r="U310" s="954"/>
      <c r="V310" s="949"/>
      <c r="W310" s="953"/>
      <c r="X310" s="949">
        <f t="shared" si="7"/>
        <v>0</v>
      </c>
      <c r="Y310" s="955"/>
      <c r="Z310" s="953" t="str">
        <f t="shared" si="8"/>
        <v/>
      </c>
      <c r="AA310" s="949">
        <f t="shared" si="9"/>
        <v>0</v>
      </c>
      <c r="AB310" s="955"/>
      <c r="AC310" s="949" t="str">
        <f t="shared" si="10"/>
        <v/>
      </c>
      <c r="AD310" s="953">
        <f t="shared" si="11"/>
        <v>0</v>
      </c>
      <c r="AE310" s="956"/>
      <c r="AF310" s="889" t="s">
        <v>2181</v>
      </c>
      <c r="AG310" s="810" t="b">
        <v>0</v>
      </c>
      <c r="AH310" s="780"/>
      <c r="AI310" s="780"/>
      <c r="AJ310" s="780"/>
      <c r="AK310" s="780"/>
      <c r="AL310" s="780"/>
      <c r="AM310" s="780"/>
      <c r="AN310" s="780"/>
      <c r="AO310" s="780"/>
      <c r="AP310" s="780"/>
      <c r="AQ310" s="780"/>
      <c r="AR310" s="780"/>
      <c r="AS310" s="780"/>
      <c r="AT310" s="780"/>
      <c r="AU310" s="780"/>
      <c r="AV310" s="780"/>
      <c r="AW310" s="780"/>
    </row>
    <row r="311">
      <c r="A311" s="941"/>
      <c r="B311" s="941"/>
      <c r="C311" s="995"/>
      <c r="D311" s="995"/>
      <c r="E311" s="995"/>
      <c r="F311" s="946"/>
      <c r="G311" s="946"/>
      <c r="H311" s="946"/>
      <c r="I311" s="947">
        <v>0.00138428</v>
      </c>
      <c r="J311" s="948">
        <v>0.035</v>
      </c>
      <c r="K311" s="949">
        <f t="shared" si="22"/>
        <v>0</v>
      </c>
      <c r="L311" s="950">
        <f t="shared" si="23"/>
        <v>0</v>
      </c>
      <c r="M311" s="948">
        <v>0.0215</v>
      </c>
      <c r="N311" s="951">
        <f t="shared" si="24"/>
        <v>0.00141404202</v>
      </c>
      <c r="O311" s="949">
        <f t="shared" si="25"/>
        <v>15</v>
      </c>
      <c r="P311" s="949">
        <f t="shared" si="77"/>
        <v>0.0215</v>
      </c>
      <c r="Q311" s="952">
        <f t="shared" si="79"/>
        <v>0</v>
      </c>
      <c r="R311" s="952">
        <f t="shared" si="78"/>
        <v>0</v>
      </c>
      <c r="S311" s="953"/>
      <c r="T311" s="949">
        <v>0.06</v>
      </c>
      <c r="U311" s="954"/>
      <c r="V311" s="949"/>
      <c r="W311" s="953"/>
      <c r="X311" s="949">
        <f t="shared" si="7"/>
        <v>0</v>
      </c>
      <c r="Y311" s="955"/>
      <c r="Z311" s="953" t="str">
        <f t="shared" si="8"/>
        <v/>
      </c>
      <c r="AA311" s="949">
        <f t="shared" si="9"/>
        <v>0</v>
      </c>
      <c r="AB311" s="955"/>
      <c r="AC311" s="949" t="str">
        <f t="shared" si="10"/>
        <v/>
      </c>
      <c r="AD311" s="953">
        <f t="shared" si="11"/>
        <v>0</v>
      </c>
      <c r="AE311" s="956"/>
      <c r="AF311" s="889" t="s">
        <v>2181</v>
      </c>
      <c r="AG311" s="810" t="b">
        <v>0</v>
      </c>
      <c r="AH311" s="780"/>
      <c r="AI311" s="780"/>
      <c r="AJ311" s="780"/>
      <c r="AK311" s="780"/>
      <c r="AL311" s="780"/>
      <c r="AM311" s="780"/>
      <c r="AN311" s="780"/>
      <c r="AO311" s="780"/>
      <c r="AP311" s="780"/>
      <c r="AQ311" s="780"/>
      <c r="AR311" s="780"/>
      <c r="AS311" s="780"/>
      <c r="AT311" s="780"/>
      <c r="AU311" s="780"/>
      <c r="AV311" s="780"/>
      <c r="AW311" s="780"/>
    </row>
    <row r="312">
      <c r="A312" s="941"/>
      <c r="B312" s="941"/>
      <c r="C312" s="995"/>
      <c r="D312" s="995"/>
      <c r="E312" s="995"/>
      <c r="F312" s="946"/>
      <c r="G312" s="946"/>
      <c r="H312" s="946"/>
      <c r="I312" s="947">
        <v>0.00138428</v>
      </c>
      <c r="J312" s="948">
        <v>0.035</v>
      </c>
      <c r="K312" s="949">
        <f t="shared" si="22"/>
        <v>0</v>
      </c>
      <c r="L312" s="950">
        <f t="shared" si="23"/>
        <v>0</v>
      </c>
      <c r="M312" s="948">
        <v>0.0215</v>
      </c>
      <c r="N312" s="951">
        <f t="shared" si="24"/>
        <v>0.00141404202</v>
      </c>
      <c r="O312" s="949">
        <f t="shared" si="25"/>
        <v>15</v>
      </c>
      <c r="P312" s="949">
        <f t="shared" si="77"/>
        <v>0.0215</v>
      </c>
      <c r="Q312" s="952">
        <f t="shared" si="79"/>
        <v>0</v>
      </c>
      <c r="R312" s="952">
        <f t="shared" si="78"/>
        <v>0</v>
      </c>
      <c r="S312" s="953"/>
      <c r="T312" s="949">
        <v>0.06</v>
      </c>
      <c r="U312" s="954"/>
      <c r="V312" s="949"/>
      <c r="W312" s="953"/>
      <c r="X312" s="949">
        <f t="shared" si="7"/>
        <v>0</v>
      </c>
      <c r="Y312" s="955"/>
      <c r="Z312" s="953" t="str">
        <f t="shared" si="8"/>
        <v/>
      </c>
      <c r="AA312" s="949">
        <f t="shared" si="9"/>
        <v>0</v>
      </c>
      <c r="AB312" s="955"/>
      <c r="AC312" s="949" t="str">
        <f t="shared" si="10"/>
        <v/>
      </c>
      <c r="AD312" s="953">
        <f t="shared" si="11"/>
        <v>0</v>
      </c>
      <c r="AE312" s="956"/>
      <c r="AF312" s="889" t="s">
        <v>2181</v>
      </c>
      <c r="AG312" s="810" t="b">
        <v>0</v>
      </c>
      <c r="AH312" s="780"/>
      <c r="AI312" s="780"/>
      <c r="AJ312" s="780"/>
      <c r="AK312" s="780"/>
      <c r="AL312" s="780"/>
      <c r="AM312" s="780"/>
      <c r="AN312" s="780"/>
      <c r="AO312" s="780"/>
      <c r="AP312" s="780"/>
      <c r="AQ312" s="780"/>
      <c r="AR312" s="780"/>
      <c r="AS312" s="780"/>
      <c r="AT312" s="780"/>
      <c r="AU312" s="780"/>
      <c r="AV312" s="780"/>
      <c r="AW312" s="780"/>
    </row>
    <row r="313">
      <c r="A313" s="941"/>
      <c r="B313" s="941"/>
      <c r="C313" s="995"/>
      <c r="D313" s="995"/>
      <c r="E313" s="995"/>
      <c r="F313" s="946"/>
      <c r="G313" s="946"/>
      <c r="H313" s="946"/>
      <c r="I313" s="947">
        <v>0.00138428</v>
      </c>
      <c r="J313" s="948">
        <v>0.035</v>
      </c>
      <c r="K313" s="949">
        <f t="shared" si="22"/>
        <v>0</v>
      </c>
      <c r="L313" s="950">
        <f t="shared" si="23"/>
        <v>0</v>
      </c>
      <c r="M313" s="948">
        <v>0.0215</v>
      </c>
      <c r="N313" s="951">
        <f t="shared" si="24"/>
        <v>0.00141404202</v>
      </c>
      <c r="O313" s="949">
        <f t="shared" si="25"/>
        <v>15</v>
      </c>
      <c r="P313" s="949">
        <f t="shared" si="77"/>
        <v>0.0215</v>
      </c>
      <c r="Q313" s="952">
        <f t="shared" si="79"/>
        <v>0</v>
      </c>
      <c r="R313" s="952">
        <f t="shared" si="78"/>
        <v>0</v>
      </c>
      <c r="S313" s="953"/>
      <c r="T313" s="949">
        <v>0.06</v>
      </c>
      <c r="U313" s="954"/>
      <c r="V313" s="949"/>
      <c r="W313" s="953"/>
      <c r="X313" s="949">
        <f t="shared" si="7"/>
        <v>0</v>
      </c>
      <c r="Y313" s="955"/>
      <c r="Z313" s="953" t="str">
        <f t="shared" si="8"/>
        <v/>
      </c>
      <c r="AA313" s="949">
        <f t="shared" si="9"/>
        <v>0</v>
      </c>
      <c r="AB313" s="955"/>
      <c r="AC313" s="949" t="str">
        <f t="shared" si="10"/>
        <v/>
      </c>
      <c r="AD313" s="953">
        <f t="shared" si="11"/>
        <v>0</v>
      </c>
      <c r="AE313" s="956"/>
      <c r="AF313" s="889" t="s">
        <v>2181</v>
      </c>
      <c r="AG313" s="810" t="b">
        <v>0</v>
      </c>
      <c r="AH313" s="780"/>
      <c r="AI313" s="780"/>
      <c r="AJ313" s="780"/>
      <c r="AK313" s="780"/>
      <c r="AL313" s="780"/>
      <c r="AM313" s="780"/>
      <c r="AN313" s="780"/>
      <c r="AO313" s="780"/>
      <c r="AP313" s="780"/>
      <c r="AQ313" s="780"/>
      <c r="AR313" s="780"/>
      <c r="AS313" s="780"/>
      <c r="AT313" s="780"/>
      <c r="AU313" s="780"/>
      <c r="AV313" s="780"/>
      <c r="AW313" s="780"/>
    </row>
    <row r="314">
      <c r="A314" s="941"/>
      <c r="B314" s="941"/>
      <c r="C314" s="995"/>
      <c r="D314" s="995"/>
      <c r="E314" s="995"/>
      <c r="F314" s="946"/>
      <c r="G314" s="946"/>
      <c r="H314" s="946"/>
      <c r="I314" s="947">
        <v>0.00138428</v>
      </c>
      <c r="J314" s="948">
        <v>0.035</v>
      </c>
      <c r="K314" s="949">
        <f t="shared" si="22"/>
        <v>0</v>
      </c>
      <c r="L314" s="950">
        <f t="shared" si="23"/>
        <v>0</v>
      </c>
      <c r="M314" s="948">
        <v>0.0215</v>
      </c>
      <c r="N314" s="951">
        <f t="shared" si="24"/>
        <v>0.00141404202</v>
      </c>
      <c r="O314" s="949">
        <f t="shared" si="25"/>
        <v>15</v>
      </c>
      <c r="P314" s="949">
        <f t="shared" si="77"/>
        <v>0.0215</v>
      </c>
      <c r="Q314" s="952">
        <f t="shared" si="79"/>
        <v>0</v>
      </c>
      <c r="R314" s="952">
        <f t="shared" si="78"/>
        <v>0</v>
      </c>
      <c r="S314" s="953"/>
      <c r="T314" s="949">
        <v>0.06</v>
      </c>
      <c r="U314" s="954"/>
      <c r="V314" s="949"/>
      <c r="W314" s="953"/>
      <c r="X314" s="949">
        <f t="shared" si="7"/>
        <v>0</v>
      </c>
      <c r="Y314" s="955"/>
      <c r="Z314" s="953" t="str">
        <f t="shared" si="8"/>
        <v/>
      </c>
      <c r="AA314" s="949">
        <f t="shared" si="9"/>
        <v>0</v>
      </c>
      <c r="AB314" s="955"/>
      <c r="AC314" s="949" t="str">
        <f t="shared" si="10"/>
        <v/>
      </c>
      <c r="AD314" s="953">
        <f t="shared" si="11"/>
        <v>0</v>
      </c>
      <c r="AE314" s="956"/>
      <c r="AF314" s="889" t="s">
        <v>2181</v>
      </c>
      <c r="AG314" s="810" t="b">
        <v>0</v>
      </c>
      <c r="AH314" s="780"/>
      <c r="AI314" s="780"/>
      <c r="AJ314" s="780"/>
      <c r="AK314" s="780"/>
      <c r="AL314" s="780"/>
      <c r="AM314" s="780"/>
      <c r="AN314" s="780"/>
      <c r="AO314" s="780"/>
      <c r="AP314" s="780"/>
      <c r="AQ314" s="780"/>
      <c r="AR314" s="780"/>
      <c r="AS314" s="780"/>
      <c r="AT314" s="780"/>
      <c r="AU314" s="780"/>
      <c r="AV314" s="780"/>
      <c r="AW314" s="780"/>
    </row>
    <row r="315">
      <c r="A315" s="941"/>
      <c r="B315" s="941"/>
      <c r="C315" s="995"/>
      <c r="D315" s="995"/>
      <c r="E315" s="995"/>
      <c r="F315" s="946"/>
      <c r="G315" s="946"/>
      <c r="H315" s="946"/>
      <c r="I315" s="947">
        <v>0.00138428</v>
      </c>
      <c r="J315" s="948">
        <v>0.035</v>
      </c>
      <c r="K315" s="949">
        <f t="shared" si="22"/>
        <v>0</v>
      </c>
      <c r="L315" s="950">
        <f t="shared" si="23"/>
        <v>0</v>
      </c>
      <c r="M315" s="948">
        <v>0.0215</v>
      </c>
      <c r="N315" s="951">
        <f t="shared" si="24"/>
        <v>0.00141404202</v>
      </c>
      <c r="O315" s="949">
        <f t="shared" si="25"/>
        <v>15</v>
      </c>
      <c r="P315" s="949">
        <f t="shared" si="77"/>
        <v>0.0215</v>
      </c>
      <c r="Q315" s="952">
        <f t="shared" si="79"/>
        <v>0</v>
      </c>
      <c r="R315" s="952">
        <f t="shared" si="78"/>
        <v>0</v>
      </c>
      <c r="S315" s="953"/>
      <c r="T315" s="949">
        <v>0.06</v>
      </c>
      <c r="U315" s="954"/>
      <c r="V315" s="949"/>
      <c r="W315" s="953"/>
      <c r="X315" s="949">
        <f t="shared" si="7"/>
        <v>0</v>
      </c>
      <c r="Y315" s="955"/>
      <c r="Z315" s="953" t="str">
        <f t="shared" si="8"/>
        <v/>
      </c>
      <c r="AA315" s="949">
        <f t="shared" si="9"/>
        <v>0</v>
      </c>
      <c r="AB315" s="955"/>
      <c r="AC315" s="949" t="str">
        <f t="shared" si="10"/>
        <v/>
      </c>
      <c r="AD315" s="953">
        <f t="shared" si="11"/>
        <v>0</v>
      </c>
      <c r="AE315" s="956"/>
      <c r="AF315" s="889" t="s">
        <v>2181</v>
      </c>
      <c r="AG315" s="810" t="b">
        <v>0</v>
      </c>
      <c r="AH315" s="780"/>
      <c r="AI315" s="780"/>
      <c r="AJ315" s="780"/>
      <c r="AK315" s="780"/>
      <c r="AL315" s="780"/>
      <c r="AM315" s="780"/>
      <c r="AN315" s="780"/>
      <c r="AO315" s="780"/>
      <c r="AP315" s="780"/>
      <c r="AQ315" s="780"/>
      <c r="AR315" s="780"/>
      <c r="AS315" s="780"/>
      <c r="AT315" s="780"/>
      <c r="AU315" s="780"/>
      <c r="AV315" s="780"/>
      <c r="AW315" s="780"/>
    </row>
    <row r="316">
      <c r="A316" s="941"/>
      <c r="B316" s="941"/>
      <c r="C316" s="995"/>
      <c r="D316" s="995"/>
      <c r="E316" s="995"/>
      <c r="F316" s="946"/>
      <c r="G316" s="946"/>
      <c r="H316" s="946"/>
      <c r="I316" s="947">
        <v>0.00138428</v>
      </c>
      <c r="J316" s="948">
        <v>0.035</v>
      </c>
      <c r="K316" s="949">
        <f t="shared" si="22"/>
        <v>0</v>
      </c>
      <c r="L316" s="950">
        <f t="shared" si="23"/>
        <v>0</v>
      </c>
      <c r="M316" s="948">
        <v>0.0215</v>
      </c>
      <c r="N316" s="951">
        <f t="shared" si="24"/>
        <v>0.00141404202</v>
      </c>
      <c r="O316" s="949">
        <f t="shared" si="25"/>
        <v>15</v>
      </c>
      <c r="P316" s="949">
        <f t="shared" si="77"/>
        <v>0.0215</v>
      </c>
      <c r="Q316" s="952">
        <f t="shared" si="79"/>
        <v>0</v>
      </c>
      <c r="R316" s="952">
        <f t="shared" si="78"/>
        <v>0</v>
      </c>
      <c r="S316" s="953"/>
      <c r="T316" s="949">
        <v>0.06</v>
      </c>
      <c r="U316" s="954"/>
      <c r="V316" s="949"/>
      <c r="W316" s="953"/>
      <c r="X316" s="949">
        <f t="shared" si="7"/>
        <v>0</v>
      </c>
      <c r="Y316" s="955"/>
      <c r="Z316" s="953" t="str">
        <f t="shared" si="8"/>
        <v/>
      </c>
      <c r="AA316" s="949">
        <f t="shared" si="9"/>
        <v>0</v>
      </c>
      <c r="AB316" s="955"/>
      <c r="AC316" s="949" t="str">
        <f t="shared" si="10"/>
        <v/>
      </c>
      <c r="AD316" s="953">
        <f t="shared" si="11"/>
        <v>0</v>
      </c>
      <c r="AE316" s="956"/>
      <c r="AF316" s="889" t="s">
        <v>2181</v>
      </c>
      <c r="AG316" s="810" t="b">
        <v>0</v>
      </c>
      <c r="AH316" s="780"/>
      <c r="AI316" s="780"/>
      <c r="AJ316" s="780"/>
      <c r="AK316" s="780"/>
      <c r="AL316" s="780"/>
      <c r="AM316" s="780"/>
      <c r="AN316" s="780"/>
      <c r="AO316" s="780"/>
      <c r="AP316" s="780"/>
      <c r="AQ316" s="780"/>
      <c r="AR316" s="780"/>
      <c r="AS316" s="780"/>
      <c r="AT316" s="780"/>
      <c r="AU316" s="780"/>
      <c r="AV316" s="780"/>
      <c r="AW316" s="780"/>
    </row>
    <row r="317">
      <c r="A317" s="941"/>
      <c r="B317" s="941"/>
      <c r="C317" s="995"/>
      <c r="D317" s="995"/>
      <c r="E317" s="995"/>
      <c r="F317" s="946"/>
      <c r="G317" s="946"/>
      <c r="H317" s="946"/>
      <c r="I317" s="947">
        <v>0.00138428</v>
      </c>
      <c r="J317" s="948">
        <v>0.035</v>
      </c>
      <c r="K317" s="949">
        <f t="shared" si="22"/>
        <v>0</v>
      </c>
      <c r="L317" s="950">
        <f t="shared" si="23"/>
        <v>0</v>
      </c>
      <c r="M317" s="948">
        <v>0.0215</v>
      </c>
      <c r="N317" s="951">
        <f t="shared" si="24"/>
        <v>0.00141404202</v>
      </c>
      <c r="O317" s="949">
        <f t="shared" si="25"/>
        <v>15</v>
      </c>
      <c r="P317" s="949">
        <f t="shared" si="77"/>
        <v>0.0215</v>
      </c>
      <c r="Q317" s="952">
        <f t="shared" si="79"/>
        <v>0</v>
      </c>
      <c r="R317" s="952">
        <f t="shared" si="78"/>
        <v>0</v>
      </c>
      <c r="S317" s="953"/>
      <c r="T317" s="949">
        <v>0.06</v>
      </c>
      <c r="U317" s="954"/>
      <c r="V317" s="949"/>
      <c r="W317" s="953"/>
      <c r="X317" s="949">
        <f t="shared" si="7"/>
        <v>0</v>
      </c>
      <c r="Y317" s="955"/>
      <c r="Z317" s="953" t="str">
        <f t="shared" si="8"/>
        <v/>
      </c>
      <c r="AA317" s="949">
        <f t="shared" si="9"/>
        <v>0</v>
      </c>
      <c r="AB317" s="955"/>
      <c r="AC317" s="949" t="str">
        <f t="shared" si="10"/>
        <v/>
      </c>
      <c r="AD317" s="953">
        <f t="shared" si="11"/>
        <v>0</v>
      </c>
      <c r="AE317" s="956"/>
      <c r="AF317" s="889" t="s">
        <v>2181</v>
      </c>
      <c r="AG317" s="810" t="b">
        <v>0</v>
      </c>
      <c r="AH317" s="780"/>
      <c r="AI317" s="780"/>
      <c r="AJ317" s="780"/>
      <c r="AK317" s="780"/>
      <c r="AL317" s="780"/>
      <c r="AM317" s="780"/>
      <c r="AN317" s="780"/>
      <c r="AO317" s="780"/>
      <c r="AP317" s="780"/>
      <c r="AQ317" s="780"/>
      <c r="AR317" s="780"/>
      <c r="AS317" s="780"/>
      <c r="AT317" s="780"/>
      <c r="AU317" s="780"/>
      <c r="AV317" s="780"/>
      <c r="AW317" s="780"/>
    </row>
    <row r="318">
      <c r="A318" s="941"/>
      <c r="B318" s="941"/>
      <c r="C318" s="995"/>
      <c r="D318" s="1001"/>
      <c r="E318" s="944"/>
      <c r="F318" s="946"/>
      <c r="G318" s="946"/>
      <c r="H318" s="946"/>
      <c r="I318" s="947">
        <v>0.00138428</v>
      </c>
      <c r="J318" s="948">
        <v>0.035</v>
      </c>
      <c r="K318" s="949">
        <f t="shared" si="22"/>
        <v>0</v>
      </c>
      <c r="L318" s="950">
        <f t="shared" si="23"/>
        <v>0</v>
      </c>
      <c r="M318" s="948">
        <v>0.0215</v>
      </c>
      <c r="N318" s="951">
        <f t="shared" si="24"/>
        <v>0.00141404202</v>
      </c>
      <c r="O318" s="949">
        <f t="shared" si="25"/>
        <v>15</v>
      </c>
      <c r="P318" s="949">
        <f t="shared" si="77"/>
        <v>0.0215</v>
      </c>
      <c r="Q318" s="952">
        <f t="shared" si="79"/>
        <v>0</v>
      </c>
      <c r="R318" s="952">
        <f t="shared" si="78"/>
        <v>0</v>
      </c>
      <c r="S318" s="953"/>
      <c r="T318" s="949">
        <v>0.06</v>
      </c>
      <c r="U318" s="954"/>
      <c r="V318" s="949"/>
      <c r="W318" s="953"/>
      <c r="X318" s="949">
        <f t="shared" si="7"/>
        <v>0</v>
      </c>
      <c r="Y318" s="955"/>
      <c r="Z318" s="953" t="str">
        <f t="shared" si="8"/>
        <v/>
      </c>
      <c r="AA318" s="949">
        <f t="shared" si="9"/>
        <v>0</v>
      </c>
      <c r="AB318" s="955"/>
      <c r="AC318" s="949" t="str">
        <f t="shared" si="10"/>
        <v/>
      </c>
      <c r="AD318" s="953">
        <f t="shared" si="11"/>
        <v>0</v>
      </c>
      <c r="AE318" s="956"/>
      <c r="AF318" s="889" t="s">
        <v>2181</v>
      </c>
      <c r="AG318" s="810" t="b">
        <v>0</v>
      </c>
      <c r="AH318" s="780"/>
      <c r="AI318" s="780"/>
      <c r="AJ318" s="780"/>
      <c r="AK318" s="780"/>
      <c r="AL318" s="780"/>
      <c r="AM318" s="780"/>
      <c r="AN318" s="780"/>
      <c r="AO318" s="780"/>
      <c r="AP318" s="780"/>
      <c r="AQ318" s="780"/>
      <c r="AR318" s="780"/>
      <c r="AS318" s="780"/>
      <c r="AT318" s="780"/>
      <c r="AU318" s="780"/>
      <c r="AV318" s="780"/>
      <c r="AW318" s="780"/>
    </row>
    <row r="319">
      <c r="A319" s="941"/>
      <c r="B319" s="941"/>
      <c r="C319" s="995"/>
      <c r="D319" s="995"/>
      <c r="E319" s="995"/>
      <c r="F319" s="946"/>
      <c r="G319" s="946"/>
      <c r="H319" s="946"/>
      <c r="I319" s="947">
        <v>0.00138428</v>
      </c>
      <c r="J319" s="948">
        <v>0.035</v>
      </c>
      <c r="K319" s="949">
        <f t="shared" si="22"/>
        <v>0</v>
      </c>
      <c r="L319" s="950">
        <f t="shared" si="23"/>
        <v>0</v>
      </c>
      <c r="M319" s="948">
        <v>0.0215</v>
      </c>
      <c r="N319" s="951">
        <f t="shared" si="24"/>
        <v>0.00141404202</v>
      </c>
      <c r="O319" s="949">
        <f t="shared" si="25"/>
        <v>15</v>
      </c>
      <c r="P319" s="949">
        <f t="shared" si="77"/>
        <v>0.0215</v>
      </c>
      <c r="Q319" s="952">
        <f t="shared" si="79"/>
        <v>0</v>
      </c>
      <c r="R319" s="952">
        <f t="shared" si="78"/>
        <v>0</v>
      </c>
      <c r="S319" s="953"/>
      <c r="T319" s="949">
        <v>0.06</v>
      </c>
      <c r="U319" s="954"/>
      <c r="V319" s="949"/>
      <c r="W319" s="953"/>
      <c r="X319" s="949">
        <f t="shared" si="7"/>
        <v>0</v>
      </c>
      <c r="Y319" s="955"/>
      <c r="Z319" s="953" t="str">
        <f t="shared" si="8"/>
        <v/>
      </c>
      <c r="AA319" s="949">
        <f t="shared" si="9"/>
        <v>0</v>
      </c>
      <c r="AB319" s="955"/>
      <c r="AC319" s="949" t="str">
        <f t="shared" si="10"/>
        <v/>
      </c>
      <c r="AD319" s="953">
        <f t="shared" si="11"/>
        <v>0</v>
      </c>
      <c r="AE319" s="956"/>
      <c r="AF319" s="889" t="s">
        <v>2181</v>
      </c>
      <c r="AG319" s="810" t="b">
        <v>0</v>
      </c>
      <c r="AH319" s="780"/>
      <c r="AI319" s="780"/>
      <c r="AJ319" s="780"/>
      <c r="AK319" s="780"/>
      <c r="AL319" s="780"/>
      <c r="AM319" s="780"/>
      <c r="AN319" s="780"/>
      <c r="AO319" s="780"/>
      <c r="AP319" s="780"/>
      <c r="AQ319" s="780"/>
      <c r="AR319" s="780"/>
      <c r="AS319" s="780"/>
      <c r="AT319" s="780"/>
      <c r="AU319" s="780"/>
      <c r="AV319" s="780"/>
      <c r="AW319" s="780"/>
    </row>
    <row r="320">
      <c r="A320" s="941"/>
      <c r="B320" s="941"/>
      <c r="C320" s="995"/>
      <c r="D320" s="995"/>
      <c r="E320" s="995"/>
      <c r="F320" s="946"/>
      <c r="G320" s="946"/>
      <c r="H320" s="946"/>
      <c r="I320" s="947">
        <v>0.00138428</v>
      </c>
      <c r="J320" s="948">
        <v>0.035</v>
      </c>
      <c r="K320" s="949">
        <f t="shared" si="22"/>
        <v>0</v>
      </c>
      <c r="L320" s="950">
        <f t="shared" si="23"/>
        <v>0</v>
      </c>
      <c r="M320" s="948">
        <v>0.0215</v>
      </c>
      <c r="N320" s="951">
        <f t="shared" si="24"/>
        <v>0.00141404202</v>
      </c>
      <c r="O320" s="949">
        <f t="shared" si="25"/>
        <v>15</v>
      </c>
      <c r="P320" s="949">
        <f t="shared" si="77"/>
        <v>0.0215</v>
      </c>
      <c r="Q320" s="952">
        <f t="shared" si="79"/>
        <v>0</v>
      </c>
      <c r="R320" s="952">
        <f t="shared" si="78"/>
        <v>0</v>
      </c>
      <c r="S320" s="953"/>
      <c r="T320" s="949">
        <v>0.06</v>
      </c>
      <c r="U320" s="954"/>
      <c r="V320" s="949"/>
      <c r="W320" s="953"/>
      <c r="X320" s="949">
        <f t="shared" si="7"/>
        <v>0</v>
      </c>
      <c r="Y320" s="955"/>
      <c r="Z320" s="953" t="str">
        <f t="shared" si="8"/>
        <v/>
      </c>
      <c r="AA320" s="949">
        <f t="shared" si="9"/>
        <v>0</v>
      </c>
      <c r="AB320" s="955"/>
      <c r="AC320" s="949" t="str">
        <f t="shared" si="10"/>
        <v/>
      </c>
      <c r="AD320" s="953">
        <f t="shared" si="11"/>
        <v>0</v>
      </c>
      <c r="AE320" s="956"/>
      <c r="AF320" s="889" t="s">
        <v>2181</v>
      </c>
      <c r="AG320" s="810" t="b">
        <v>0</v>
      </c>
      <c r="AH320" s="780"/>
      <c r="AI320" s="780"/>
      <c r="AJ320" s="780"/>
      <c r="AK320" s="780"/>
      <c r="AL320" s="780"/>
      <c r="AM320" s="780"/>
      <c r="AN320" s="780"/>
      <c r="AO320" s="780"/>
      <c r="AP320" s="780"/>
      <c r="AQ320" s="780"/>
      <c r="AR320" s="780"/>
      <c r="AS320" s="780"/>
      <c r="AT320" s="780"/>
      <c r="AU320" s="780"/>
      <c r="AV320" s="780"/>
      <c r="AW320" s="780"/>
    </row>
    <row r="321">
      <c r="A321" s="941"/>
      <c r="B321" s="941"/>
      <c r="C321" s="995"/>
      <c r="D321" s="995"/>
      <c r="E321" s="995"/>
      <c r="F321" s="946"/>
      <c r="G321" s="946"/>
      <c r="H321" s="946"/>
      <c r="I321" s="947">
        <v>0.00138428</v>
      </c>
      <c r="J321" s="948">
        <v>0.035</v>
      </c>
      <c r="K321" s="949">
        <f t="shared" si="22"/>
        <v>0</v>
      </c>
      <c r="L321" s="950">
        <f t="shared" si="23"/>
        <v>0</v>
      </c>
      <c r="M321" s="948">
        <v>0.0215</v>
      </c>
      <c r="N321" s="951">
        <f t="shared" si="24"/>
        <v>0.00141404202</v>
      </c>
      <c r="O321" s="949">
        <f t="shared" si="25"/>
        <v>15</v>
      </c>
      <c r="P321" s="949">
        <f t="shared" si="77"/>
        <v>0.0215</v>
      </c>
      <c r="Q321" s="952">
        <f t="shared" si="79"/>
        <v>0</v>
      </c>
      <c r="R321" s="952">
        <f t="shared" si="78"/>
        <v>0</v>
      </c>
      <c r="S321" s="953"/>
      <c r="T321" s="949">
        <v>0.06</v>
      </c>
      <c r="U321" s="954"/>
      <c r="V321" s="949"/>
      <c r="W321" s="953"/>
      <c r="X321" s="949">
        <f t="shared" si="7"/>
        <v>0</v>
      </c>
      <c r="Y321" s="955"/>
      <c r="Z321" s="953" t="str">
        <f t="shared" si="8"/>
        <v/>
      </c>
      <c r="AA321" s="949">
        <f t="shared" si="9"/>
        <v>0</v>
      </c>
      <c r="AB321" s="955"/>
      <c r="AC321" s="949" t="str">
        <f t="shared" si="10"/>
        <v/>
      </c>
      <c r="AD321" s="953">
        <f t="shared" si="11"/>
        <v>0</v>
      </c>
      <c r="AE321" s="956"/>
      <c r="AF321" s="889" t="s">
        <v>2181</v>
      </c>
      <c r="AG321" s="810" t="b">
        <v>0</v>
      </c>
      <c r="AH321" s="780"/>
      <c r="AI321" s="780"/>
      <c r="AJ321" s="780"/>
      <c r="AK321" s="780"/>
      <c r="AL321" s="780"/>
      <c r="AM321" s="780"/>
      <c r="AN321" s="780"/>
      <c r="AO321" s="780"/>
      <c r="AP321" s="780"/>
      <c r="AQ321" s="780"/>
      <c r="AR321" s="780"/>
      <c r="AS321" s="780"/>
      <c r="AT321" s="780"/>
      <c r="AU321" s="780"/>
      <c r="AV321" s="780"/>
      <c r="AW321" s="780"/>
    </row>
    <row r="322">
      <c r="A322" s="941"/>
      <c r="B322" s="941"/>
      <c r="C322" s="995"/>
      <c r="D322" s="995"/>
      <c r="E322" s="995"/>
      <c r="F322" s="946"/>
      <c r="G322" s="946"/>
      <c r="H322" s="946"/>
      <c r="I322" s="947">
        <v>0.00138428</v>
      </c>
      <c r="J322" s="948">
        <v>0.035</v>
      </c>
      <c r="K322" s="949">
        <f t="shared" si="22"/>
        <v>0</v>
      </c>
      <c r="L322" s="950">
        <f t="shared" si="23"/>
        <v>0</v>
      </c>
      <c r="M322" s="948">
        <v>0.0215</v>
      </c>
      <c r="N322" s="951">
        <f t="shared" si="24"/>
        <v>0.00141404202</v>
      </c>
      <c r="O322" s="949">
        <f t="shared" si="25"/>
        <v>15</v>
      </c>
      <c r="P322" s="949">
        <f t="shared" si="77"/>
        <v>0.0215</v>
      </c>
      <c r="Q322" s="952">
        <f t="shared" si="79"/>
        <v>0</v>
      </c>
      <c r="R322" s="952">
        <f t="shared" si="78"/>
        <v>0</v>
      </c>
      <c r="S322" s="953"/>
      <c r="T322" s="949">
        <v>0.06</v>
      </c>
      <c r="U322" s="954"/>
      <c r="V322" s="949"/>
      <c r="W322" s="953"/>
      <c r="X322" s="949">
        <f t="shared" si="7"/>
        <v>0</v>
      </c>
      <c r="Y322" s="955"/>
      <c r="Z322" s="953" t="str">
        <f t="shared" si="8"/>
        <v/>
      </c>
      <c r="AA322" s="949">
        <f t="shared" si="9"/>
        <v>0</v>
      </c>
      <c r="AB322" s="955"/>
      <c r="AC322" s="949" t="str">
        <f t="shared" si="10"/>
        <v/>
      </c>
      <c r="AD322" s="953">
        <f t="shared" si="11"/>
        <v>0</v>
      </c>
      <c r="AE322" s="956"/>
      <c r="AF322" s="889" t="s">
        <v>2181</v>
      </c>
      <c r="AG322" s="810" t="b">
        <v>0</v>
      </c>
      <c r="AH322" s="780"/>
      <c r="AI322" s="780"/>
      <c r="AJ322" s="780"/>
      <c r="AK322" s="780"/>
      <c r="AL322" s="780"/>
      <c r="AM322" s="780"/>
      <c r="AN322" s="780"/>
      <c r="AO322" s="780"/>
      <c r="AP322" s="780"/>
      <c r="AQ322" s="780"/>
      <c r="AR322" s="780"/>
      <c r="AS322" s="780"/>
      <c r="AT322" s="780"/>
      <c r="AU322" s="780"/>
      <c r="AV322" s="780"/>
      <c r="AW322" s="780"/>
    </row>
    <row r="323">
      <c r="A323" s="941"/>
      <c r="B323" s="941"/>
      <c r="C323" s="995"/>
      <c r="D323" s="995"/>
      <c r="E323" s="995"/>
      <c r="F323" s="946"/>
      <c r="G323" s="946"/>
      <c r="H323" s="946"/>
      <c r="I323" s="947">
        <v>0.00138428</v>
      </c>
      <c r="J323" s="948">
        <v>0.035</v>
      </c>
      <c r="K323" s="949">
        <f t="shared" si="22"/>
        <v>0</v>
      </c>
      <c r="L323" s="950">
        <f t="shared" si="23"/>
        <v>0</v>
      </c>
      <c r="M323" s="948">
        <v>0.0215</v>
      </c>
      <c r="N323" s="951">
        <f t="shared" si="24"/>
        <v>0.00141404202</v>
      </c>
      <c r="O323" s="949">
        <f t="shared" si="25"/>
        <v>15</v>
      </c>
      <c r="P323" s="949">
        <f t="shared" si="77"/>
        <v>0.0215</v>
      </c>
      <c r="Q323" s="952">
        <f t="shared" si="79"/>
        <v>0</v>
      </c>
      <c r="R323" s="952">
        <f t="shared" si="78"/>
        <v>0</v>
      </c>
      <c r="S323" s="953"/>
      <c r="T323" s="949">
        <v>0.06</v>
      </c>
      <c r="U323" s="954"/>
      <c r="V323" s="949"/>
      <c r="W323" s="953"/>
      <c r="X323" s="949">
        <f t="shared" si="7"/>
        <v>0</v>
      </c>
      <c r="Y323" s="955"/>
      <c r="Z323" s="953" t="str">
        <f t="shared" si="8"/>
        <v/>
      </c>
      <c r="AA323" s="949">
        <f t="shared" si="9"/>
        <v>0</v>
      </c>
      <c r="AB323" s="955"/>
      <c r="AC323" s="949" t="str">
        <f t="shared" si="10"/>
        <v/>
      </c>
      <c r="AD323" s="953">
        <f t="shared" si="11"/>
        <v>0</v>
      </c>
      <c r="AE323" s="956"/>
      <c r="AF323" s="889" t="s">
        <v>2181</v>
      </c>
      <c r="AG323" s="810" t="b">
        <v>0</v>
      </c>
      <c r="AH323" s="780"/>
      <c r="AI323" s="780"/>
      <c r="AJ323" s="780"/>
      <c r="AK323" s="780"/>
      <c r="AL323" s="780"/>
      <c r="AM323" s="780"/>
      <c r="AN323" s="780"/>
      <c r="AO323" s="780"/>
      <c r="AP323" s="780"/>
      <c r="AQ323" s="780"/>
      <c r="AR323" s="780"/>
      <c r="AS323" s="780"/>
      <c r="AT323" s="780"/>
      <c r="AU323" s="780"/>
      <c r="AV323" s="780"/>
      <c r="AW323" s="780"/>
    </row>
    <row r="324">
      <c r="A324" s="941"/>
      <c r="B324" s="941"/>
      <c r="C324" s="995"/>
      <c r="D324" s="995"/>
      <c r="E324" s="995"/>
      <c r="F324" s="946"/>
      <c r="G324" s="946"/>
      <c r="H324" s="946"/>
      <c r="I324" s="947">
        <v>0.00138428</v>
      </c>
      <c r="J324" s="948">
        <v>0.035</v>
      </c>
      <c r="K324" s="949">
        <f t="shared" si="22"/>
        <v>0</v>
      </c>
      <c r="L324" s="950">
        <f t="shared" si="23"/>
        <v>0</v>
      </c>
      <c r="M324" s="948">
        <v>0.0215</v>
      </c>
      <c r="N324" s="951">
        <f t="shared" si="24"/>
        <v>0.00141404202</v>
      </c>
      <c r="O324" s="949">
        <f t="shared" si="25"/>
        <v>15</v>
      </c>
      <c r="P324" s="949">
        <f t="shared" si="77"/>
        <v>0.0215</v>
      </c>
      <c r="Q324" s="952">
        <f t="shared" si="79"/>
        <v>0</v>
      </c>
      <c r="R324" s="952">
        <f t="shared" si="78"/>
        <v>0</v>
      </c>
      <c r="S324" s="953"/>
      <c r="T324" s="949">
        <v>0.06</v>
      </c>
      <c r="U324" s="954"/>
      <c r="V324" s="949"/>
      <c r="W324" s="953"/>
      <c r="X324" s="949">
        <f t="shared" si="7"/>
        <v>0</v>
      </c>
      <c r="Y324" s="955"/>
      <c r="Z324" s="953" t="str">
        <f t="shared" si="8"/>
        <v/>
      </c>
      <c r="AA324" s="949">
        <f t="shared" si="9"/>
        <v>0</v>
      </c>
      <c r="AB324" s="955"/>
      <c r="AC324" s="949" t="str">
        <f t="shared" si="10"/>
        <v/>
      </c>
      <c r="AD324" s="953">
        <f t="shared" si="11"/>
        <v>0</v>
      </c>
      <c r="AE324" s="956"/>
      <c r="AF324" s="889" t="s">
        <v>2181</v>
      </c>
      <c r="AG324" s="810" t="b">
        <v>0</v>
      </c>
      <c r="AH324" s="780"/>
      <c r="AI324" s="780"/>
      <c r="AJ324" s="780"/>
      <c r="AK324" s="780"/>
      <c r="AL324" s="780"/>
      <c r="AM324" s="780"/>
      <c r="AN324" s="780"/>
      <c r="AO324" s="780"/>
      <c r="AP324" s="780"/>
      <c r="AQ324" s="780"/>
      <c r="AR324" s="780"/>
      <c r="AS324" s="780"/>
      <c r="AT324" s="780"/>
      <c r="AU324" s="780"/>
      <c r="AV324" s="780"/>
      <c r="AW324" s="780"/>
    </row>
    <row r="325">
      <c r="A325" s="941"/>
      <c r="B325" s="941"/>
      <c r="C325" s="995"/>
      <c r="D325" s="944"/>
      <c r="E325" s="944"/>
      <c r="F325" s="946"/>
      <c r="G325" s="946"/>
      <c r="H325" s="946"/>
      <c r="I325" s="947">
        <v>0.00138428</v>
      </c>
      <c r="J325" s="948">
        <v>0.035</v>
      </c>
      <c r="K325" s="949">
        <f t="shared" si="22"/>
        <v>0</v>
      </c>
      <c r="L325" s="950">
        <f t="shared" si="23"/>
        <v>0</v>
      </c>
      <c r="M325" s="948">
        <v>0.0215</v>
      </c>
      <c r="N325" s="951">
        <f t="shared" si="24"/>
        <v>0.00141404202</v>
      </c>
      <c r="O325" s="949">
        <f t="shared" si="25"/>
        <v>15</v>
      </c>
      <c r="P325" s="949">
        <f t="shared" si="77"/>
        <v>0.0215</v>
      </c>
      <c r="Q325" s="952">
        <f t="shared" si="79"/>
        <v>0</v>
      </c>
      <c r="R325" s="952">
        <f t="shared" si="78"/>
        <v>0</v>
      </c>
      <c r="S325" s="953"/>
      <c r="T325" s="949">
        <v>0.06</v>
      </c>
      <c r="U325" s="954"/>
      <c r="V325" s="949"/>
      <c r="W325" s="953"/>
      <c r="X325" s="949">
        <f t="shared" si="7"/>
        <v>0</v>
      </c>
      <c r="Y325" s="955"/>
      <c r="Z325" s="953" t="str">
        <f t="shared" si="8"/>
        <v/>
      </c>
      <c r="AA325" s="949">
        <f t="shared" si="9"/>
        <v>0</v>
      </c>
      <c r="AB325" s="955"/>
      <c r="AC325" s="949" t="str">
        <f t="shared" si="10"/>
        <v/>
      </c>
      <c r="AD325" s="953">
        <f t="shared" si="11"/>
        <v>0</v>
      </c>
      <c r="AE325" s="956"/>
      <c r="AF325" s="889" t="s">
        <v>2181</v>
      </c>
      <c r="AG325" s="810" t="b">
        <v>0</v>
      </c>
      <c r="AH325" s="780"/>
      <c r="AI325" s="780"/>
      <c r="AJ325" s="780"/>
      <c r="AK325" s="780"/>
      <c r="AL325" s="780"/>
      <c r="AM325" s="780"/>
      <c r="AN325" s="780"/>
      <c r="AO325" s="780"/>
      <c r="AP325" s="780"/>
      <c r="AQ325" s="780"/>
      <c r="AR325" s="780"/>
      <c r="AS325" s="780"/>
      <c r="AT325" s="780"/>
      <c r="AU325" s="780"/>
      <c r="AV325" s="780"/>
      <c r="AW325" s="780"/>
    </row>
    <row r="326">
      <c r="A326" s="941"/>
      <c r="B326" s="941"/>
      <c r="C326" s="995"/>
      <c r="D326" s="995"/>
      <c r="E326" s="995"/>
      <c r="F326" s="946"/>
      <c r="G326" s="946"/>
      <c r="H326" s="946"/>
      <c r="I326" s="947">
        <v>0.00138428</v>
      </c>
      <c r="J326" s="948">
        <v>0.035</v>
      </c>
      <c r="K326" s="949">
        <f t="shared" si="22"/>
        <v>0</v>
      </c>
      <c r="L326" s="950">
        <f t="shared" si="23"/>
        <v>0</v>
      </c>
      <c r="M326" s="948">
        <v>0.0215</v>
      </c>
      <c r="N326" s="951">
        <f t="shared" si="24"/>
        <v>0.00141404202</v>
      </c>
      <c r="O326" s="949">
        <f t="shared" si="25"/>
        <v>15</v>
      </c>
      <c r="P326" s="949">
        <f t="shared" si="77"/>
        <v>0.0215</v>
      </c>
      <c r="Q326" s="952">
        <f t="shared" si="79"/>
        <v>0</v>
      </c>
      <c r="R326" s="952">
        <f t="shared" si="78"/>
        <v>0</v>
      </c>
      <c r="S326" s="953"/>
      <c r="T326" s="949">
        <v>0.06</v>
      </c>
      <c r="U326" s="954"/>
      <c r="V326" s="949"/>
      <c r="W326" s="953"/>
      <c r="X326" s="949">
        <f t="shared" si="7"/>
        <v>0</v>
      </c>
      <c r="Y326" s="955"/>
      <c r="Z326" s="953" t="str">
        <f t="shared" si="8"/>
        <v/>
      </c>
      <c r="AA326" s="949">
        <f t="shared" si="9"/>
        <v>0</v>
      </c>
      <c r="AB326" s="955"/>
      <c r="AC326" s="949" t="str">
        <f t="shared" si="10"/>
        <v/>
      </c>
      <c r="AD326" s="953">
        <f t="shared" si="11"/>
        <v>0</v>
      </c>
      <c r="AE326" s="956"/>
      <c r="AF326" s="889" t="s">
        <v>2181</v>
      </c>
      <c r="AG326" s="810" t="b">
        <v>0</v>
      </c>
      <c r="AH326" s="780"/>
      <c r="AI326" s="780"/>
      <c r="AJ326" s="780"/>
      <c r="AK326" s="780"/>
      <c r="AL326" s="780"/>
      <c r="AM326" s="780"/>
      <c r="AN326" s="780"/>
      <c r="AO326" s="780"/>
      <c r="AP326" s="780"/>
      <c r="AQ326" s="780"/>
      <c r="AR326" s="780"/>
      <c r="AS326" s="780"/>
      <c r="AT326" s="780"/>
      <c r="AU326" s="780"/>
      <c r="AV326" s="780"/>
      <c r="AW326" s="780"/>
    </row>
    <row r="327">
      <c r="A327" s="941"/>
      <c r="B327" s="941"/>
      <c r="C327" s="995"/>
      <c r="D327" s="944"/>
      <c r="E327" s="944"/>
      <c r="F327" s="946"/>
      <c r="G327" s="946"/>
      <c r="H327" s="946"/>
      <c r="I327" s="947">
        <v>0.00138428</v>
      </c>
      <c r="J327" s="948">
        <v>0.035</v>
      </c>
      <c r="K327" s="949">
        <f t="shared" si="22"/>
        <v>0</v>
      </c>
      <c r="L327" s="950">
        <f t="shared" si="23"/>
        <v>0</v>
      </c>
      <c r="M327" s="948">
        <v>0.0215</v>
      </c>
      <c r="N327" s="951">
        <f t="shared" si="24"/>
        <v>0.00141404202</v>
      </c>
      <c r="O327" s="949">
        <f t="shared" si="25"/>
        <v>15</v>
      </c>
      <c r="P327" s="949">
        <f t="shared" si="77"/>
        <v>0.0215</v>
      </c>
      <c r="Q327" s="952">
        <f t="shared" si="79"/>
        <v>0</v>
      </c>
      <c r="R327" s="952">
        <f t="shared" si="78"/>
        <v>0</v>
      </c>
      <c r="S327" s="953"/>
      <c r="T327" s="949">
        <v>0.06</v>
      </c>
      <c r="U327" s="954"/>
      <c r="V327" s="949"/>
      <c r="W327" s="953"/>
      <c r="X327" s="949">
        <f t="shared" si="7"/>
        <v>0</v>
      </c>
      <c r="Y327" s="955"/>
      <c r="Z327" s="953" t="str">
        <f t="shared" si="8"/>
        <v/>
      </c>
      <c r="AA327" s="949">
        <f t="shared" si="9"/>
        <v>0</v>
      </c>
      <c r="AB327" s="955"/>
      <c r="AC327" s="949" t="str">
        <f t="shared" si="10"/>
        <v/>
      </c>
      <c r="AD327" s="953">
        <f t="shared" si="11"/>
        <v>0</v>
      </c>
      <c r="AE327" s="956"/>
      <c r="AF327" s="889" t="s">
        <v>2181</v>
      </c>
      <c r="AG327" s="810" t="b">
        <v>0</v>
      </c>
      <c r="AH327" s="780"/>
      <c r="AI327" s="780"/>
      <c r="AJ327" s="780"/>
      <c r="AK327" s="780"/>
      <c r="AL327" s="780"/>
      <c r="AM327" s="780"/>
      <c r="AN327" s="780"/>
      <c r="AO327" s="780"/>
      <c r="AP327" s="780"/>
      <c r="AQ327" s="780"/>
      <c r="AR327" s="780"/>
      <c r="AS327" s="780"/>
      <c r="AT327" s="780"/>
      <c r="AU327" s="780"/>
      <c r="AV327" s="780"/>
      <c r="AW327" s="780"/>
    </row>
    <row r="328">
      <c r="A328" s="941"/>
      <c r="B328" s="941"/>
      <c r="C328" s="995"/>
      <c r="D328" s="995"/>
      <c r="E328" s="995"/>
      <c r="F328" s="946"/>
      <c r="G328" s="946"/>
      <c r="H328" s="946"/>
      <c r="I328" s="947">
        <v>0.00138428</v>
      </c>
      <c r="J328" s="948">
        <v>0.035</v>
      </c>
      <c r="K328" s="949">
        <f t="shared" si="22"/>
        <v>0</v>
      </c>
      <c r="L328" s="950">
        <f t="shared" si="23"/>
        <v>0</v>
      </c>
      <c r="M328" s="948">
        <v>0.0215</v>
      </c>
      <c r="N328" s="951">
        <f t="shared" si="24"/>
        <v>0.00141404202</v>
      </c>
      <c r="O328" s="949">
        <f t="shared" si="25"/>
        <v>15</v>
      </c>
      <c r="P328" s="949">
        <f t="shared" si="77"/>
        <v>0.0215</v>
      </c>
      <c r="Q328" s="952">
        <f t="shared" si="79"/>
        <v>0</v>
      </c>
      <c r="R328" s="952">
        <f t="shared" si="78"/>
        <v>0</v>
      </c>
      <c r="S328" s="953"/>
      <c r="T328" s="949">
        <v>0.06</v>
      </c>
      <c r="U328" s="954"/>
      <c r="V328" s="949"/>
      <c r="W328" s="953"/>
      <c r="X328" s="949">
        <f t="shared" si="7"/>
        <v>0</v>
      </c>
      <c r="Y328" s="955"/>
      <c r="Z328" s="953" t="str">
        <f t="shared" si="8"/>
        <v/>
      </c>
      <c r="AA328" s="949">
        <f t="shared" si="9"/>
        <v>0</v>
      </c>
      <c r="AB328" s="955"/>
      <c r="AC328" s="949" t="str">
        <f t="shared" si="10"/>
        <v/>
      </c>
      <c r="AD328" s="953">
        <f t="shared" si="11"/>
        <v>0</v>
      </c>
      <c r="AE328" s="956"/>
      <c r="AF328" s="889" t="s">
        <v>2181</v>
      </c>
      <c r="AG328" s="810" t="b">
        <v>0</v>
      </c>
      <c r="AH328" s="780"/>
      <c r="AI328" s="780"/>
      <c r="AJ328" s="780"/>
      <c r="AK328" s="780"/>
      <c r="AL328" s="780"/>
      <c r="AM328" s="780"/>
      <c r="AN328" s="780"/>
      <c r="AO328" s="780"/>
      <c r="AP328" s="780"/>
      <c r="AQ328" s="780"/>
      <c r="AR328" s="780"/>
      <c r="AS328" s="780"/>
      <c r="AT328" s="780"/>
      <c r="AU328" s="780"/>
      <c r="AV328" s="780"/>
      <c r="AW328" s="780"/>
    </row>
    <row r="329">
      <c r="A329" s="941"/>
      <c r="B329" s="941"/>
      <c r="C329" s="995"/>
      <c r="D329" s="944"/>
      <c r="E329" s="944"/>
      <c r="F329" s="946"/>
      <c r="G329" s="946"/>
      <c r="H329" s="946"/>
      <c r="I329" s="947">
        <v>0.00138428</v>
      </c>
      <c r="J329" s="948">
        <v>0.035</v>
      </c>
      <c r="K329" s="949">
        <f t="shared" si="22"/>
        <v>0</v>
      </c>
      <c r="L329" s="950">
        <f t="shared" si="23"/>
        <v>0</v>
      </c>
      <c r="M329" s="948">
        <v>0.0215</v>
      </c>
      <c r="N329" s="951">
        <f t="shared" si="24"/>
        <v>0.00141404202</v>
      </c>
      <c r="O329" s="949">
        <f t="shared" si="25"/>
        <v>15</v>
      </c>
      <c r="P329" s="949">
        <f t="shared" si="77"/>
        <v>0.0215</v>
      </c>
      <c r="Q329" s="952">
        <f t="shared" si="79"/>
        <v>0</v>
      </c>
      <c r="R329" s="952">
        <f t="shared" si="78"/>
        <v>0</v>
      </c>
      <c r="S329" s="953"/>
      <c r="T329" s="949">
        <v>0.06</v>
      </c>
      <c r="U329" s="954"/>
      <c r="V329" s="949"/>
      <c r="W329" s="953"/>
      <c r="X329" s="949">
        <f t="shared" si="7"/>
        <v>0</v>
      </c>
      <c r="Y329" s="955"/>
      <c r="Z329" s="953" t="str">
        <f t="shared" si="8"/>
        <v/>
      </c>
      <c r="AA329" s="949">
        <f t="shared" si="9"/>
        <v>0</v>
      </c>
      <c r="AB329" s="955"/>
      <c r="AC329" s="949" t="str">
        <f t="shared" si="10"/>
        <v/>
      </c>
      <c r="AD329" s="953">
        <f t="shared" si="11"/>
        <v>0</v>
      </c>
      <c r="AE329" s="956"/>
      <c r="AF329" s="889" t="s">
        <v>2181</v>
      </c>
      <c r="AG329" s="810" t="b">
        <v>0</v>
      </c>
      <c r="AH329" s="780"/>
      <c r="AI329" s="780"/>
      <c r="AJ329" s="780"/>
      <c r="AK329" s="780"/>
      <c r="AL329" s="780"/>
      <c r="AM329" s="780"/>
      <c r="AN329" s="780"/>
      <c r="AO329" s="780"/>
      <c r="AP329" s="780"/>
      <c r="AQ329" s="780"/>
      <c r="AR329" s="780"/>
      <c r="AS329" s="780"/>
      <c r="AT329" s="780"/>
      <c r="AU329" s="780"/>
      <c r="AV329" s="780"/>
      <c r="AW329" s="780"/>
    </row>
    <row r="330">
      <c r="A330" s="941"/>
      <c r="B330" s="941"/>
      <c r="C330" s="995"/>
      <c r="D330" s="995"/>
      <c r="E330" s="995"/>
      <c r="F330" s="946"/>
      <c r="G330" s="946"/>
      <c r="H330" s="946"/>
      <c r="I330" s="947">
        <v>0.00138428</v>
      </c>
      <c r="J330" s="948">
        <v>0.035</v>
      </c>
      <c r="K330" s="949">
        <f t="shared" si="22"/>
        <v>0</v>
      </c>
      <c r="L330" s="950">
        <f t="shared" si="23"/>
        <v>0</v>
      </c>
      <c r="M330" s="948">
        <v>0.0215</v>
      </c>
      <c r="N330" s="951">
        <f t="shared" si="24"/>
        <v>0.00141404202</v>
      </c>
      <c r="O330" s="949">
        <f t="shared" si="25"/>
        <v>15</v>
      </c>
      <c r="P330" s="949">
        <f t="shared" si="77"/>
        <v>0.0215</v>
      </c>
      <c r="Q330" s="952">
        <f t="shared" si="79"/>
        <v>0</v>
      </c>
      <c r="R330" s="952">
        <f t="shared" si="78"/>
        <v>0</v>
      </c>
      <c r="S330" s="953"/>
      <c r="T330" s="949">
        <v>0.06</v>
      </c>
      <c r="U330" s="954"/>
      <c r="V330" s="949"/>
      <c r="W330" s="953"/>
      <c r="X330" s="949">
        <f t="shared" si="7"/>
        <v>0</v>
      </c>
      <c r="Y330" s="955"/>
      <c r="Z330" s="953" t="str">
        <f t="shared" si="8"/>
        <v/>
      </c>
      <c r="AA330" s="949">
        <f t="shared" si="9"/>
        <v>0</v>
      </c>
      <c r="AB330" s="955"/>
      <c r="AC330" s="949" t="str">
        <f t="shared" si="10"/>
        <v/>
      </c>
      <c r="AD330" s="953">
        <f t="shared" si="11"/>
        <v>0</v>
      </c>
      <c r="AE330" s="956"/>
      <c r="AF330" s="889" t="s">
        <v>2181</v>
      </c>
      <c r="AG330" s="810" t="b">
        <v>0</v>
      </c>
      <c r="AH330" s="780"/>
      <c r="AI330" s="780"/>
      <c r="AJ330" s="780"/>
      <c r="AK330" s="780"/>
      <c r="AL330" s="780"/>
      <c r="AM330" s="780"/>
      <c r="AN330" s="780"/>
      <c r="AO330" s="780"/>
      <c r="AP330" s="780"/>
      <c r="AQ330" s="780"/>
      <c r="AR330" s="780"/>
      <c r="AS330" s="780"/>
      <c r="AT330" s="780"/>
      <c r="AU330" s="780"/>
      <c r="AV330" s="780"/>
      <c r="AW330" s="780"/>
    </row>
    <row r="331">
      <c r="A331" s="941"/>
      <c r="B331" s="941"/>
      <c r="C331" s="995"/>
      <c r="D331" s="944"/>
      <c r="E331" s="944"/>
      <c r="F331" s="946"/>
      <c r="G331" s="946"/>
      <c r="H331" s="946"/>
      <c r="I331" s="947">
        <v>0.00138428</v>
      </c>
      <c r="J331" s="948">
        <v>0.035</v>
      </c>
      <c r="K331" s="949">
        <f t="shared" si="22"/>
        <v>0</v>
      </c>
      <c r="L331" s="950">
        <f t="shared" si="23"/>
        <v>0</v>
      </c>
      <c r="M331" s="948">
        <v>0.0215</v>
      </c>
      <c r="N331" s="951">
        <f t="shared" si="24"/>
        <v>0.00141404202</v>
      </c>
      <c r="O331" s="949">
        <f t="shared" si="25"/>
        <v>15</v>
      </c>
      <c r="P331" s="949">
        <f t="shared" si="77"/>
        <v>0.0215</v>
      </c>
      <c r="Q331" s="952">
        <f t="shared" si="79"/>
        <v>0</v>
      </c>
      <c r="R331" s="952">
        <f t="shared" si="78"/>
        <v>0</v>
      </c>
      <c r="S331" s="953"/>
      <c r="T331" s="949">
        <v>0.06</v>
      </c>
      <c r="U331" s="954"/>
      <c r="V331" s="949"/>
      <c r="W331" s="953"/>
      <c r="X331" s="949">
        <f t="shared" si="7"/>
        <v>0</v>
      </c>
      <c r="Y331" s="955"/>
      <c r="Z331" s="953" t="str">
        <f t="shared" si="8"/>
        <v/>
      </c>
      <c r="AA331" s="949">
        <f t="shared" si="9"/>
        <v>0</v>
      </c>
      <c r="AB331" s="955"/>
      <c r="AC331" s="949" t="str">
        <f t="shared" si="10"/>
        <v/>
      </c>
      <c r="AD331" s="953">
        <f t="shared" si="11"/>
        <v>0</v>
      </c>
      <c r="AE331" s="956"/>
      <c r="AF331" s="889" t="s">
        <v>2181</v>
      </c>
      <c r="AG331" s="810" t="b">
        <v>0</v>
      </c>
      <c r="AH331" s="780"/>
      <c r="AI331" s="780"/>
      <c r="AJ331" s="780"/>
      <c r="AK331" s="780"/>
      <c r="AL331" s="780"/>
      <c r="AM331" s="780"/>
      <c r="AN331" s="780"/>
      <c r="AO331" s="780"/>
      <c r="AP331" s="780"/>
      <c r="AQ331" s="780"/>
      <c r="AR331" s="780"/>
      <c r="AS331" s="780"/>
      <c r="AT331" s="780"/>
      <c r="AU331" s="780"/>
      <c r="AV331" s="780"/>
      <c r="AW331" s="780"/>
    </row>
    <row r="332">
      <c r="A332" s="941"/>
      <c r="B332" s="941"/>
      <c r="C332" s="995"/>
      <c r="D332" s="995"/>
      <c r="E332" s="995"/>
      <c r="F332" s="946"/>
      <c r="G332" s="946"/>
      <c r="H332" s="946"/>
      <c r="I332" s="947">
        <v>0.00138428</v>
      </c>
      <c r="J332" s="948">
        <v>0.035</v>
      </c>
      <c r="K332" s="949">
        <f t="shared" si="22"/>
        <v>0</v>
      </c>
      <c r="L332" s="950">
        <f t="shared" si="23"/>
        <v>0</v>
      </c>
      <c r="M332" s="948">
        <v>0.0215</v>
      </c>
      <c r="N332" s="951">
        <f t="shared" si="24"/>
        <v>0.00141404202</v>
      </c>
      <c r="O332" s="949">
        <f t="shared" si="25"/>
        <v>15</v>
      </c>
      <c r="P332" s="949">
        <f t="shared" si="77"/>
        <v>0.0215</v>
      </c>
      <c r="Q332" s="952">
        <f t="shared" si="79"/>
        <v>0</v>
      </c>
      <c r="R332" s="952">
        <f t="shared" si="78"/>
        <v>0</v>
      </c>
      <c r="S332" s="953"/>
      <c r="T332" s="949">
        <v>0.06</v>
      </c>
      <c r="U332" s="954"/>
      <c r="V332" s="949"/>
      <c r="W332" s="953"/>
      <c r="X332" s="949">
        <f t="shared" si="7"/>
        <v>0</v>
      </c>
      <c r="Y332" s="955"/>
      <c r="Z332" s="953" t="str">
        <f t="shared" si="8"/>
        <v/>
      </c>
      <c r="AA332" s="949">
        <f t="shared" si="9"/>
        <v>0</v>
      </c>
      <c r="AB332" s="955"/>
      <c r="AC332" s="949" t="str">
        <f t="shared" si="10"/>
        <v/>
      </c>
      <c r="AD332" s="953">
        <f t="shared" si="11"/>
        <v>0</v>
      </c>
      <c r="AE332" s="956"/>
      <c r="AF332" s="889" t="s">
        <v>2181</v>
      </c>
      <c r="AG332" s="810" t="b">
        <v>0</v>
      </c>
      <c r="AH332" s="780"/>
      <c r="AI332" s="780"/>
      <c r="AJ332" s="780"/>
      <c r="AK332" s="780"/>
      <c r="AL332" s="780"/>
      <c r="AM332" s="780"/>
      <c r="AN332" s="780"/>
      <c r="AO332" s="780"/>
      <c r="AP332" s="780"/>
      <c r="AQ332" s="780"/>
      <c r="AR332" s="780"/>
      <c r="AS332" s="780"/>
      <c r="AT332" s="780"/>
      <c r="AU332" s="780"/>
      <c r="AV332" s="780"/>
      <c r="AW332" s="780"/>
    </row>
    <row r="333">
      <c r="A333" s="941"/>
      <c r="B333" s="941"/>
      <c r="C333" s="995"/>
      <c r="D333" s="944"/>
      <c r="E333" s="944"/>
      <c r="F333" s="946"/>
      <c r="G333" s="946"/>
      <c r="H333" s="946"/>
      <c r="I333" s="947">
        <v>0.00138428</v>
      </c>
      <c r="J333" s="948">
        <v>0.035</v>
      </c>
      <c r="K333" s="949">
        <f t="shared" si="22"/>
        <v>0</v>
      </c>
      <c r="L333" s="950">
        <f t="shared" si="23"/>
        <v>0</v>
      </c>
      <c r="M333" s="948">
        <v>0.0215</v>
      </c>
      <c r="N333" s="951">
        <f t="shared" si="24"/>
        <v>0.00141404202</v>
      </c>
      <c r="O333" s="949">
        <f t="shared" si="25"/>
        <v>15</v>
      </c>
      <c r="P333" s="949">
        <f t="shared" si="77"/>
        <v>0.0215</v>
      </c>
      <c r="Q333" s="952">
        <f t="shared" si="79"/>
        <v>0</v>
      </c>
      <c r="R333" s="952">
        <f t="shared" si="78"/>
        <v>0</v>
      </c>
      <c r="S333" s="953"/>
      <c r="T333" s="949">
        <v>0.06</v>
      </c>
      <c r="U333" s="954"/>
      <c r="V333" s="949"/>
      <c r="W333" s="953"/>
      <c r="X333" s="949">
        <f t="shared" si="7"/>
        <v>0</v>
      </c>
      <c r="Y333" s="955"/>
      <c r="Z333" s="953" t="str">
        <f t="shared" si="8"/>
        <v/>
      </c>
      <c r="AA333" s="949">
        <f t="shared" si="9"/>
        <v>0</v>
      </c>
      <c r="AB333" s="955"/>
      <c r="AC333" s="949" t="str">
        <f t="shared" si="10"/>
        <v/>
      </c>
      <c r="AD333" s="953">
        <f t="shared" si="11"/>
        <v>0</v>
      </c>
      <c r="AE333" s="956"/>
      <c r="AF333" s="889" t="s">
        <v>2181</v>
      </c>
      <c r="AG333" s="810" t="b">
        <v>0</v>
      </c>
      <c r="AH333" s="780"/>
      <c r="AI333" s="780"/>
      <c r="AJ333" s="780"/>
      <c r="AK333" s="780"/>
      <c r="AL333" s="780"/>
      <c r="AM333" s="780"/>
      <c r="AN333" s="780"/>
      <c r="AO333" s="780"/>
      <c r="AP333" s="780"/>
      <c r="AQ333" s="780"/>
      <c r="AR333" s="780"/>
      <c r="AS333" s="780"/>
      <c r="AT333" s="780"/>
      <c r="AU333" s="780"/>
      <c r="AV333" s="780"/>
      <c r="AW333" s="780"/>
    </row>
    <row r="334">
      <c r="A334" s="941"/>
      <c r="B334" s="941"/>
      <c r="C334" s="995"/>
      <c r="D334" s="995"/>
      <c r="E334" s="995"/>
      <c r="F334" s="946"/>
      <c r="G334" s="946"/>
      <c r="H334" s="946"/>
      <c r="I334" s="947">
        <v>0.00138428</v>
      </c>
      <c r="J334" s="948">
        <v>0.035</v>
      </c>
      <c r="K334" s="949">
        <f t="shared" si="22"/>
        <v>0</v>
      </c>
      <c r="L334" s="950">
        <f t="shared" si="23"/>
        <v>0</v>
      </c>
      <c r="M334" s="948">
        <v>0.0215</v>
      </c>
      <c r="N334" s="951">
        <f t="shared" si="24"/>
        <v>0.00141404202</v>
      </c>
      <c r="O334" s="949">
        <f t="shared" si="25"/>
        <v>15</v>
      </c>
      <c r="P334" s="949">
        <f t="shared" si="77"/>
        <v>0.0215</v>
      </c>
      <c r="Q334" s="952">
        <f t="shared" si="79"/>
        <v>0</v>
      </c>
      <c r="R334" s="952">
        <f t="shared" si="78"/>
        <v>0</v>
      </c>
      <c r="S334" s="953"/>
      <c r="T334" s="949">
        <v>0.06</v>
      </c>
      <c r="U334" s="954"/>
      <c r="V334" s="949"/>
      <c r="W334" s="953"/>
      <c r="X334" s="949">
        <f t="shared" si="7"/>
        <v>0</v>
      </c>
      <c r="Y334" s="955"/>
      <c r="Z334" s="953" t="str">
        <f t="shared" si="8"/>
        <v/>
      </c>
      <c r="AA334" s="949">
        <f t="shared" si="9"/>
        <v>0</v>
      </c>
      <c r="AB334" s="955"/>
      <c r="AC334" s="949" t="str">
        <f t="shared" si="10"/>
        <v/>
      </c>
      <c r="AD334" s="953">
        <f t="shared" si="11"/>
        <v>0</v>
      </c>
      <c r="AE334" s="956"/>
      <c r="AF334" s="889" t="s">
        <v>2181</v>
      </c>
      <c r="AG334" s="810" t="b">
        <v>0</v>
      </c>
      <c r="AH334" s="780"/>
      <c r="AI334" s="780"/>
      <c r="AJ334" s="780"/>
      <c r="AK334" s="780"/>
      <c r="AL334" s="780"/>
      <c r="AM334" s="780"/>
      <c r="AN334" s="780"/>
      <c r="AO334" s="780"/>
      <c r="AP334" s="780"/>
      <c r="AQ334" s="780"/>
      <c r="AR334" s="780"/>
      <c r="AS334" s="780"/>
      <c r="AT334" s="780"/>
      <c r="AU334" s="780"/>
      <c r="AV334" s="780"/>
      <c r="AW334" s="780"/>
    </row>
    <row r="335">
      <c r="A335" s="941"/>
      <c r="B335" s="941"/>
      <c r="C335" s="995"/>
      <c r="D335" s="944"/>
      <c r="E335" s="944"/>
      <c r="F335" s="946"/>
      <c r="G335" s="946"/>
      <c r="H335" s="946"/>
      <c r="I335" s="947">
        <v>0.00138428</v>
      </c>
      <c r="J335" s="948">
        <v>0.035</v>
      </c>
      <c r="K335" s="949">
        <f t="shared" si="22"/>
        <v>0</v>
      </c>
      <c r="L335" s="950">
        <f t="shared" si="23"/>
        <v>0</v>
      </c>
      <c r="M335" s="948">
        <v>0.0215</v>
      </c>
      <c r="N335" s="951">
        <f t="shared" si="24"/>
        <v>0.00141404202</v>
      </c>
      <c r="O335" s="949">
        <f t="shared" si="25"/>
        <v>15</v>
      </c>
      <c r="P335" s="949">
        <f t="shared" si="77"/>
        <v>0.0215</v>
      </c>
      <c r="Q335" s="952">
        <f t="shared" si="79"/>
        <v>0</v>
      </c>
      <c r="R335" s="952">
        <f t="shared" si="78"/>
        <v>0</v>
      </c>
      <c r="S335" s="953"/>
      <c r="T335" s="949">
        <v>0.06</v>
      </c>
      <c r="U335" s="954"/>
      <c r="V335" s="949"/>
      <c r="W335" s="953"/>
      <c r="X335" s="949">
        <f t="shared" si="7"/>
        <v>0</v>
      </c>
      <c r="Y335" s="955"/>
      <c r="Z335" s="953" t="str">
        <f t="shared" si="8"/>
        <v/>
      </c>
      <c r="AA335" s="949">
        <f t="shared" si="9"/>
        <v>0</v>
      </c>
      <c r="AB335" s="955"/>
      <c r="AC335" s="949" t="str">
        <f t="shared" si="10"/>
        <v/>
      </c>
      <c r="AD335" s="953">
        <f t="shared" si="11"/>
        <v>0</v>
      </c>
      <c r="AE335" s="956"/>
      <c r="AF335" s="889" t="s">
        <v>2181</v>
      </c>
      <c r="AG335" s="810" t="b">
        <v>0</v>
      </c>
      <c r="AH335" s="780"/>
      <c r="AI335" s="780"/>
      <c r="AJ335" s="780"/>
      <c r="AK335" s="780"/>
      <c r="AL335" s="780"/>
      <c r="AM335" s="780"/>
      <c r="AN335" s="780"/>
      <c r="AO335" s="780"/>
      <c r="AP335" s="780"/>
      <c r="AQ335" s="780"/>
      <c r="AR335" s="780"/>
      <c r="AS335" s="780"/>
      <c r="AT335" s="780"/>
      <c r="AU335" s="780"/>
      <c r="AV335" s="780"/>
      <c r="AW335" s="780"/>
    </row>
    <row r="336">
      <c r="A336" s="941"/>
      <c r="B336" s="941"/>
      <c r="C336" s="995"/>
      <c r="D336" s="995"/>
      <c r="E336" s="995"/>
      <c r="F336" s="946"/>
      <c r="G336" s="946"/>
      <c r="H336" s="946"/>
      <c r="I336" s="947">
        <v>0.00138428</v>
      </c>
      <c r="J336" s="948">
        <v>0.035</v>
      </c>
      <c r="K336" s="949">
        <f t="shared" si="22"/>
        <v>0</v>
      </c>
      <c r="L336" s="950">
        <f t="shared" si="23"/>
        <v>0</v>
      </c>
      <c r="M336" s="948">
        <v>0.0215</v>
      </c>
      <c r="N336" s="951">
        <f t="shared" si="24"/>
        <v>0.00141404202</v>
      </c>
      <c r="O336" s="949">
        <f t="shared" si="25"/>
        <v>15</v>
      </c>
      <c r="P336" s="949">
        <f t="shared" si="77"/>
        <v>0.0215</v>
      </c>
      <c r="Q336" s="952">
        <f t="shared" si="79"/>
        <v>0</v>
      </c>
      <c r="R336" s="952">
        <f t="shared" si="78"/>
        <v>0</v>
      </c>
      <c r="S336" s="953"/>
      <c r="T336" s="949">
        <v>0.06</v>
      </c>
      <c r="U336" s="954"/>
      <c r="V336" s="949"/>
      <c r="W336" s="953"/>
      <c r="X336" s="949">
        <f t="shared" si="7"/>
        <v>0</v>
      </c>
      <c r="Y336" s="955"/>
      <c r="Z336" s="953" t="str">
        <f t="shared" si="8"/>
        <v/>
      </c>
      <c r="AA336" s="949">
        <f t="shared" si="9"/>
        <v>0</v>
      </c>
      <c r="AB336" s="955"/>
      <c r="AC336" s="949" t="str">
        <f t="shared" si="10"/>
        <v/>
      </c>
      <c r="AD336" s="953">
        <f t="shared" si="11"/>
        <v>0</v>
      </c>
      <c r="AE336" s="956"/>
      <c r="AF336" s="889" t="s">
        <v>2181</v>
      </c>
      <c r="AG336" s="810" t="b">
        <v>0</v>
      </c>
      <c r="AH336" s="780"/>
      <c r="AI336" s="780"/>
      <c r="AJ336" s="780"/>
      <c r="AK336" s="780"/>
      <c r="AL336" s="780"/>
      <c r="AM336" s="780"/>
      <c r="AN336" s="780"/>
      <c r="AO336" s="780"/>
      <c r="AP336" s="780"/>
      <c r="AQ336" s="780"/>
      <c r="AR336" s="780"/>
      <c r="AS336" s="780"/>
      <c r="AT336" s="780"/>
      <c r="AU336" s="780"/>
      <c r="AV336" s="780"/>
      <c r="AW336" s="780"/>
    </row>
    <row r="337">
      <c r="A337" s="941"/>
      <c r="B337" s="941"/>
      <c r="C337" s="995"/>
      <c r="D337" s="944"/>
      <c r="E337" s="944"/>
      <c r="F337" s="946"/>
      <c r="G337" s="946"/>
      <c r="H337" s="946"/>
      <c r="I337" s="947">
        <v>0.00138428</v>
      </c>
      <c r="J337" s="948">
        <v>0.035</v>
      </c>
      <c r="K337" s="949">
        <f t="shared" si="22"/>
        <v>0</v>
      </c>
      <c r="L337" s="950">
        <f t="shared" si="23"/>
        <v>0</v>
      </c>
      <c r="M337" s="948">
        <v>0.0215</v>
      </c>
      <c r="N337" s="951">
        <f t="shared" si="24"/>
        <v>0.00141404202</v>
      </c>
      <c r="O337" s="949">
        <f t="shared" si="25"/>
        <v>15</v>
      </c>
      <c r="P337" s="949">
        <f t="shared" si="77"/>
        <v>0.0215</v>
      </c>
      <c r="Q337" s="952">
        <f t="shared" si="79"/>
        <v>0</v>
      </c>
      <c r="R337" s="952">
        <f t="shared" si="78"/>
        <v>0</v>
      </c>
      <c r="S337" s="953"/>
      <c r="T337" s="949">
        <v>0.06</v>
      </c>
      <c r="U337" s="954"/>
      <c r="V337" s="949"/>
      <c r="W337" s="953"/>
      <c r="X337" s="949">
        <f t="shared" si="7"/>
        <v>0</v>
      </c>
      <c r="Y337" s="955"/>
      <c r="Z337" s="953" t="str">
        <f t="shared" si="8"/>
        <v/>
      </c>
      <c r="AA337" s="949">
        <f t="shared" si="9"/>
        <v>0</v>
      </c>
      <c r="AB337" s="955"/>
      <c r="AC337" s="949" t="str">
        <f t="shared" si="10"/>
        <v/>
      </c>
      <c r="AD337" s="953">
        <f t="shared" si="11"/>
        <v>0</v>
      </c>
      <c r="AE337" s="956"/>
      <c r="AF337" s="889" t="s">
        <v>2181</v>
      </c>
      <c r="AG337" s="810" t="b">
        <v>0</v>
      </c>
      <c r="AH337" s="780"/>
      <c r="AI337" s="780"/>
      <c r="AJ337" s="780"/>
      <c r="AK337" s="780"/>
      <c r="AL337" s="780"/>
      <c r="AM337" s="780"/>
      <c r="AN337" s="780"/>
      <c r="AO337" s="780"/>
      <c r="AP337" s="780"/>
      <c r="AQ337" s="780"/>
      <c r="AR337" s="780"/>
      <c r="AS337" s="780"/>
      <c r="AT337" s="780"/>
      <c r="AU337" s="780"/>
      <c r="AV337" s="780"/>
      <c r="AW337" s="780"/>
    </row>
    <row r="338">
      <c r="A338" s="941"/>
      <c r="B338" s="941"/>
      <c r="C338" s="995"/>
      <c r="D338" s="995"/>
      <c r="E338" s="995"/>
      <c r="F338" s="946"/>
      <c r="G338" s="946"/>
      <c r="H338" s="946"/>
      <c r="I338" s="947">
        <v>0.00138428</v>
      </c>
      <c r="J338" s="948">
        <v>0.035</v>
      </c>
      <c r="K338" s="949">
        <f t="shared" si="22"/>
        <v>0</v>
      </c>
      <c r="L338" s="950">
        <f t="shared" si="23"/>
        <v>0</v>
      </c>
      <c r="M338" s="948">
        <v>0.0215</v>
      </c>
      <c r="N338" s="951">
        <f t="shared" si="24"/>
        <v>0.00141404202</v>
      </c>
      <c r="O338" s="949">
        <f t="shared" si="25"/>
        <v>15</v>
      </c>
      <c r="P338" s="949">
        <f t="shared" si="77"/>
        <v>0.0215</v>
      </c>
      <c r="Q338" s="952">
        <f t="shared" si="79"/>
        <v>0</v>
      </c>
      <c r="R338" s="952">
        <f t="shared" si="78"/>
        <v>0</v>
      </c>
      <c r="S338" s="953"/>
      <c r="T338" s="949">
        <v>0.06</v>
      </c>
      <c r="U338" s="954"/>
      <c r="V338" s="949"/>
      <c r="W338" s="953"/>
      <c r="X338" s="949">
        <f t="shared" si="7"/>
        <v>0</v>
      </c>
      <c r="Y338" s="955"/>
      <c r="Z338" s="953" t="str">
        <f t="shared" si="8"/>
        <v/>
      </c>
      <c r="AA338" s="949">
        <f t="shared" si="9"/>
        <v>0</v>
      </c>
      <c r="AB338" s="955"/>
      <c r="AC338" s="949" t="str">
        <f t="shared" si="10"/>
        <v/>
      </c>
      <c r="AD338" s="953">
        <f t="shared" si="11"/>
        <v>0</v>
      </c>
      <c r="AE338" s="956"/>
      <c r="AF338" s="889" t="s">
        <v>2181</v>
      </c>
      <c r="AG338" s="810" t="b">
        <v>0</v>
      </c>
      <c r="AH338" s="780"/>
      <c r="AI338" s="780"/>
      <c r="AJ338" s="780"/>
      <c r="AK338" s="780"/>
      <c r="AL338" s="780"/>
      <c r="AM338" s="780"/>
      <c r="AN338" s="780"/>
      <c r="AO338" s="780"/>
      <c r="AP338" s="780"/>
      <c r="AQ338" s="780"/>
      <c r="AR338" s="780"/>
      <c r="AS338" s="780"/>
      <c r="AT338" s="780"/>
      <c r="AU338" s="780"/>
      <c r="AV338" s="780"/>
      <c r="AW338" s="780"/>
    </row>
    <row r="339">
      <c r="A339" s="941"/>
      <c r="B339" s="941"/>
      <c r="C339" s="995"/>
      <c r="D339" s="944"/>
      <c r="E339" s="944"/>
      <c r="F339" s="946"/>
      <c r="G339" s="946"/>
      <c r="H339" s="946"/>
      <c r="I339" s="947">
        <v>0.00138428</v>
      </c>
      <c r="J339" s="948">
        <v>0.035</v>
      </c>
      <c r="K339" s="949">
        <f t="shared" si="22"/>
        <v>0</v>
      </c>
      <c r="L339" s="950">
        <f t="shared" si="23"/>
        <v>0</v>
      </c>
      <c r="M339" s="948">
        <v>0.0215</v>
      </c>
      <c r="N339" s="951">
        <f t="shared" si="24"/>
        <v>0.00141404202</v>
      </c>
      <c r="O339" s="949">
        <f t="shared" si="25"/>
        <v>15</v>
      </c>
      <c r="P339" s="949">
        <f t="shared" si="77"/>
        <v>0.0215</v>
      </c>
      <c r="Q339" s="952">
        <f t="shared" si="79"/>
        <v>0</v>
      </c>
      <c r="R339" s="952">
        <f t="shared" si="78"/>
        <v>0</v>
      </c>
      <c r="S339" s="953"/>
      <c r="T339" s="949">
        <v>0.06</v>
      </c>
      <c r="U339" s="954"/>
      <c r="V339" s="949"/>
      <c r="W339" s="953"/>
      <c r="X339" s="949">
        <f t="shared" si="7"/>
        <v>0</v>
      </c>
      <c r="Y339" s="955"/>
      <c r="Z339" s="953" t="str">
        <f t="shared" si="8"/>
        <v/>
      </c>
      <c r="AA339" s="949">
        <f t="shared" si="9"/>
        <v>0</v>
      </c>
      <c r="AB339" s="955"/>
      <c r="AC339" s="949" t="str">
        <f t="shared" si="10"/>
        <v/>
      </c>
      <c r="AD339" s="953">
        <f t="shared" si="11"/>
        <v>0</v>
      </c>
      <c r="AE339" s="956"/>
      <c r="AF339" s="889"/>
      <c r="AG339" s="810" t="b">
        <v>0</v>
      </c>
      <c r="AH339" s="780"/>
      <c r="AI339" s="780"/>
      <c r="AJ339" s="780"/>
      <c r="AK339" s="780"/>
      <c r="AL339" s="780"/>
      <c r="AM339" s="780"/>
      <c r="AN339" s="780"/>
      <c r="AO339" s="780"/>
      <c r="AP339" s="780"/>
      <c r="AQ339" s="780"/>
      <c r="AR339" s="780"/>
      <c r="AS339" s="780"/>
      <c r="AT339" s="780"/>
      <c r="AU339" s="780"/>
      <c r="AV339" s="780"/>
      <c r="AW339" s="780"/>
    </row>
    <row r="340">
      <c r="A340" s="941"/>
      <c r="B340" s="941"/>
      <c r="C340" s="995"/>
      <c r="D340" s="995"/>
      <c r="E340" s="995"/>
      <c r="F340" s="946"/>
      <c r="G340" s="946"/>
      <c r="H340" s="946"/>
      <c r="I340" s="947">
        <v>0.00138428</v>
      </c>
      <c r="J340" s="948">
        <v>0.035</v>
      </c>
      <c r="K340" s="949">
        <f t="shared" si="22"/>
        <v>0</v>
      </c>
      <c r="L340" s="950">
        <f t="shared" si="23"/>
        <v>0</v>
      </c>
      <c r="M340" s="948">
        <v>0.0215</v>
      </c>
      <c r="N340" s="951">
        <f t="shared" si="24"/>
        <v>0.00141404202</v>
      </c>
      <c r="O340" s="949">
        <f t="shared" si="25"/>
        <v>15</v>
      </c>
      <c r="P340" s="949">
        <f t="shared" si="77"/>
        <v>0.0215</v>
      </c>
      <c r="Q340" s="952">
        <f t="shared" si="79"/>
        <v>0</v>
      </c>
      <c r="R340" s="952">
        <f t="shared" si="78"/>
        <v>0</v>
      </c>
      <c r="S340" s="953"/>
      <c r="T340" s="949">
        <v>0.06</v>
      </c>
      <c r="U340" s="954"/>
      <c r="V340" s="949"/>
      <c r="W340" s="953"/>
      <c r="X340" s="949">
        <f t="shared" si="7"/>
        <v>0</v>
      </c>
      <c r="Y340" s="955"/>
      <c r="Z340" s="953" t="str">
        <f t="shared" si="8"/>
        <v/>
      </c>
      <c r="AA340" s="949">
        <f t="shared" si="9"/>
        <v>0</v>
      </c>
      <c r="AB340" s="955"/>
      <c r="AC340" s="949" t="str">
        <f t="shared" si="10"/>
        <v/>
      </c>
      <c r="AD340" s="953">
        <f t="shared" si="11"/>
        <v>0</v>
      </c>
      <c r="AE340" s="956"/>
      <c r="AF340" s="889"/>
      <c r="AG340" s="810" t="b">
        <v>0</v>
      </c>
      <c r="AH340" s="780"/>
      <c r="AI340" s="780"/>
      <c r="AJ340" s="780"/>
      <c r="AK340" s="780"/>
      <c r="AL340" s="780"/>
      <c r="AM340" s="780"/>
      <c r="AN340" s="780"/>
      <c r="AO340" s="780"/>
      <c r="AP340" s="780"/>
      <c r="AQ340" s="780"/>
      <c r="AR340" s="780"/>
      <c r="AS340" s="780"/>
      <c r="AT340" s="780"/>
      <c r="AU340" s="780"/>
      <c r="AV340" s="780"/>
      <c r="AW340" s="780"/>
    </row>
    <row r="341">
      <c r="A341" s="941"/>
      <c r="B341" s="941"/>
      <c r="C341" s="995"/>
      <c r="D341" s="944"/>
      <c r="E341" s="944"/>
      <c r="F341" s="946"/>
      <c r="G341" s="946"/>
      <c r="H341" s="946"/>
      <c r="I341" s="947">
        <v>0.00138428</v>
      </c>
      <c r="J341" s="948">
        <v>0.035</v>
      </c>
      <c r="K341" s="949">
        <f t="shared" si="22"/>
        <v>0</v>
      </c>
      <c r="L341" s="950">
        <f t="shared" si="23"/>
        <v>0</v>
      </c>
      <c r="M341" s="948">
        <v>0.0215</v>
      </c>
      <c r="N341" s="951">
        <f t="shared" si="24"/>
        <v>0.00141404202</v>
      </c>
      <c r="O341" s="949">
        <f t="shared" si="25"/>
        <v>15</v>
      </c>
      <c r="P341" s="949">
        <f t="shared" si="77"/>
        <v>0.0215</v>
      </c>
      <c r="Q341" s="952">
        <f t="shared" si="79"/>
        <v>0</v>
      </c>
      <c r="R341" s="952">
        <f t="shared" si="78"/>
        <v>0</v>
      </c>
      <c r="S341" s="953"/>
      <c r="T341" s="949">
        <v>0.06</v>
      </c>
      <c r="U341" s="954"/>
      <c r="V341" s="949"/>
      <c r="W341" s="953"/>
      <c r="X341" s="949">
        <f t="shared" si="7"/>
        <v>0</v>
      </c>
      <c r="Y341" s="955"/>
      <c r="Z341" s="953" t="str">
        <f t="shared" si="8"/>
        <v/>
      </c>
      <c r="AA341" s="949">
        <f t="shared" si="9"/>
        <v>0</v>
      </c>
      <c r="AB341" s="955"/>
      <c r="AC341" s="949" t="str">
        <f t="shared" si="10"/>
        <v/>
      </c>
      <c r="AD341" s="953">
        <f t="shared" si="11"/>
        <v>0</v>
      </c>
      <c r="AE341" s="956"/>
      <c r="AF341" s="889"/>
      <c r="AG341" s="810" t="b">
        <v>0</v>
      </c>
      <c r="AH341" s="780"/>
      <c r="AI341" s="780"/>
      <c r="AJ341" s="780"/>
      <c r="AK341" s="780"/>
      <c r="AL341" s="780"/>
      <c r="AM341" s="780"/>
      <c r="AN341" s="780"/>
      <c r="AO341" s="780"/>
      <c r="AP341" s="780"/>
      <c r="AQ341" s="780"/>
      <c r="AR341" s="780"/>
      <c r="AS341" s="780"/>
      <c r="AT341" s="780"/>
      <c r="AU341" s="780"/>
      <c r="AV341" s="780"/>
      <c r="AW341" s="780"/>
    </row>
    <row r="342">
      <c r="A342" s="941"/>
      <c r="B342" s="941"/>
      <c r="C342" s="995"/>
      <c r="D342" s="995"/>
      <c r="E342" s="995"/>
      <c r="F342" s="946"/>
      <c r="G342" s="946"/>
      <c r="H342" s="946"/>
      <c r="I342" s="947">
        <v>0.00138428</v>
      </c>
      <c r="J342" s="948">
        <v>0.035</v>
      </c>
      <c r="K342" s="949">
        <f t="shared" si="22"/>
        <v>0</v>
      </c>
      <c r="L342" s="950">
        <f t="shared" si="23"/>
        <v>0</v>
      </c>
      <c r="M342" s="948">
        <v>0.0215</v>
      </c>
      <c r="N342" s="951">
        <f t="shared" si="24"/>
        <v>0.00141404202</v>
      </c>
      <c r="O342" s="949">
        <f t="shared" si="25"/>
        <v>15</v>
      </c>
      <c r="P342" s="949">
        <f t="shared" si="77"/>
        <v>0.0215</v>
      </c>
      <c r="Q342" s="952">
        <f t="shared" si="79"/>
        <v>0</v>
      </c>
      <c r="R342" s="952">
        <f t="shared" si="78"/>
        <v>0</v>
      </c>
      <c r="S342" s="953"/>
      <c r="T342" s="949">
        <v>0.06</v>
      </c>
      <c r="U342" s="954"/>
      <c r="V342" s="949"/>
      <c r="W342" s="953"/>
      <c r="X342" s="949">
        <f t="shared" si="7"/>
        <v>0</v>
      </c>
      <c r="Y342" s="955"/>
      <c r="Z342" s="953" t="str">
        <f t="shared" si="8"/>
        <v/>
      </c>
      <c r="AA342" s="949">
        <f t="shared" si="9"/>
        <v>0</v>
      </c>
      <c r="AB342" s="955"/>
      <c r="AC342" s="949" t="str">
        <f t="shared" si="10"/>
        <v/>
      </c>
      <c r="AD342" s="953">
        <f t="shared" si="11"/>
        <v>0</v>
      </c>
      <c r="AE342" s="956"/>
      <c r="AF342" s="889"/>
      <c r="AG342" s="810" t="b">
        <v>0</v>
      </c>
      <c r="AH342" s="780"/>
      <c r="AI342" s="780"/>
      <c r="AJ342" s="780"/>
      <c r="AK342" s="780"/>
      <c r="AL342" s="780"/>
      <c r="AM342" s="780"/>
      <c r="AN342" s="780"/>
      <c r="AO342" s="780"/>
      <c r="AP342" s="780"/>
      <c r="AQ342" s="780"/>
      <c r="AR342" s="780"/>
      <c r="AS342" s="780"/>
      <c r="AT342" s="780"/>
      <c r="AU342" s="780"/>
      <c r="AV342" s="780"/>
      <c r="AW342" s="780"/>
    </row>
    <row r="343">
      <c r="A343" s="941"/>
      <c r="B343" s="941"/>
      <c r="C343" s="995"/>
      <c r="D343" s="944"/>
      <c r="E343" s="944"/>
      <c r="F343" s="946"/>
      <c r="G343" s="946"/>
      <c r="H343" s="946"/>
      <c r="I343" s="947">
        <v>0.00138428</v>
      </c>
      <c r="J343" s="948">
        <v>0.035</v>
      </c>
      <c r="K343" s="949">
        <f t="shared" si="22"/>
        <v>0</v>
      </c>
      <c r="L343" s="950">
        <f t="shared" si="23"/>
        <v>0</v>
      </c>
      <c r="M343" s="948">
        <v>0.0215</v>
      </c>
      <c r="N343" s="951">
        <f t="shared" si="24"/>
        <v>0.00141404202</v>
      </c>
      <c r="O343" s="949">
        <f t="shared" si="25"/>
        <v>15</v>
      </c>
      <c r="P343" s="949">
        <f t="shared" si="77"/>
        <v>0.0215</v>
      </c>
      <c r="Q343" s="952">
        <f t="shared" si="79"/>
        <v>0</v>
      </c>
      <c r="R343" s="952">
        <f t="shared" si="78"/>
        <v>0</v>
      </c>
      <c r="S343" s="953"/>
      <c r="T343" s="949">
        <v>0.06</v>
      </c>
      <c r="U343" s="954"/>
      <c r="V343" s="949"/>
      <c r="W343" s="953"/>
      <c r="X343" s="949">
        <f t="shared" si="7"/>
        <v>0</v>
      </c>
      <c r="Y343" s="955"/>
      <c r="Z343" s="953" t="str">
        <f t="shared" si="8"/>
        <v/>
      </c>
      <c r="AA343" s="949">
        <f t="shared" si="9"/>
        <v>0</v>
      </c>
      <c r="AB343" s="955"/>
      <c r="AC343" s="949" t="str">
        <f t="shared" si="10"/>
        <v/>
      </c>
      <c r="AD343" s="953">
        <f t="shared" si="11"/>
        <v>0</v>
      </c>
      <c r="AE343" s="956"/>
      <c r="AF343" s="889"/>
      <c r="AG343" s="810" t="b">
        <v>0</v>
      </c>
      <c r="AH343" s="780"/>
      <c r="AI343" s="780"/>
      <c r="AJ343" s="780"/>
      <c r="AK343" s="780"/>
      <c r="AL343" s="780"/>
      <c r="AM343" s="780"/>
      <c r="AN343" s="780"/>
      <c r="AO343" s="780"/>
      <c r="AP343" s="780"/>
      <c r="AQ343" s="780"/>
      <c r="AR343" s="780"/>
      <c r="AS343" s="780"/>
      <c r="AT343" s="780"/>
      <c r="AU343" s="780"/>
      <c r="AV343" s="780"/>
      <c r="AW343" s="780"/>
    </row>
    <row r="344">
      <c r="A344" s="941"/>
      <c r="B344" s="941"/>
      <c r="C344" s="995"/>
      <c r="D344" s="995"/>
      <c r="E344" s="995"/>
      <c r="F344" s="946"/>
      <c r="G344" s="946"/>
      <c r="H344" s="946"/>
      <c r="I344" s="947">
        <v>0.00138428</v>
      </c>
      <c r="J344" s="948">
        <v>0.035</v>
      </c>
      <c r="K344" s="949">
        <f t="shared" si="22"/>
        <v>0</v>
      </c>
      <c r="L344" s="950">
        <f t="shared" si="23"/>
        <v>0</v>
      </c>
      <c r="M344" s="948">
        <v>0.0215</v>
      </c>
      <c r="N344" s="951">
        <f t="shared" si="24"/>
        <v>0.00141404202</v>
      </c>
      <c r="O344" s="949">
        <f t="shared" si="25"/>
        <v>15</v>
      </c>
      <c r="P344" s="949">
        <f t="shared" si="77"/>
        <v>0.0215</v>
      </c>
      <c r="Q344" s="952">
        <f t="shared" si="79"/>
        <v>0</v>
      </c>
      <c r="R344" s="952">
        <f t="shared" si="78"/>
        <v>0</v>
      </c>
      <c r="S344" s="953"/>
      <c r="T344" s="949">
        <v>0.06</v>
      </c>
      <c r="U344" s="954"/>
      <c r="V344" s="949"/>
      <c r="W344" s="953"/>
      <c r="X344" s="949">
        <f t="shared" si="7"/>
        <v>0</v>
      </c>
      <c r="Y344" s="955"/>
      <c r="Z344" s="953" t="str">
        <f t="shared" si="8"/>
        <v/>
      </c>
      <c r="AA344" s="949">
        <f t="shared" si="9"/>
        <v>0</v>
      </c>
      <c r="AB344" s="955"/>
      <c r="AC344" s="949" t="str">
        <f t="shared" si="10"/>
        <v/>
      </c>
      <c r="AD344" s="953">
        <f t="shared" si="11"/>
        <v>0</v>
      </c>
      <c r="AE344" s="956"/>
      <c r="AF344" s="889"/>
      <c r="AG344" s="810" t="b">
        <v>0</v>
      </c>
      <c r="AH344" s="780"/>
      <c r="AI344" s="780"/>
      <c r="AJ344" s="780"/>
      <c r="AK344" s="780"/>
      <c r="AL344" s="780"/>
      <c r="AM344" s="780"/>
      <c r="AN344" s="780"/>
      <c r="AO344" s="780"/>
      <c r="AP344" s="780"/>
      <c r="AQ344" s="780"/>
      <c r="AR344" s="780"/>
      <c r="AS344" s="780"/>
      <c r="AT344" s="780"/>
      <c r="AU344" s="780"/>
      <c r="AV344" s="780"/>
      <c r="AW344" s="780"/>
    </row>
    <row r="345">
      <c r="A345" s="941"/>
      <c r="B345" s="941"/>
      <c r="C345" s="995"/>
      <c r="D345" s="944"/>
      <c r="E345" s="944"/>
      <c r="F345" s="946"/>
      <c r="G345" s="946"/>
      <c r="H345" s="946"/>
      <c r="I345" s="947">
        <v>0.00138428</v>
      </c>
      <c r="J345" s="948">
        <v>0.035</v>
      </c>
      <c r="K345" s="949">
        <f t="shared" si="22"/>
        <v>0</v>
      </c>
      <c r="L345" s="950">
        <f t="shared" si="23"/>
        <v>0</v>
      </c>
      <c r="M345" s="948">
        <v>0.0215</v>
      </c>
      <c r="N345" s="951">
        <f t="shared" si="24"/>
        <v>0.00141404202</v>
      </c>
      <c r="O345" s="949">
        <f t="shared" si="25"/>
        <v>15</v>
      </c>
      <c r="P345" s="949">
        <f t="shared" si="77"/>
        <v>0.0215</v>
      </c>
      <c r="Q345" s="952">
        <f t="shared" si="79"/>
        <v>0</v>
      </c>
      <c r="R345" s="952">
        <f t="shared" si="78"/>
        <v>0</v>
      </c>
      <c r="S345" s="953"/>
      <c r="T345" s="949">
        <v>0.06</v>
      </c>
      <c r="U345" s="954"/>
      <c r="V345" s="949"/>
      <c r="W345" s="953"/>
      <c r="X345" s="949">
        <f t="shared" si="7"/>
        <v>0</v>
      </c>
      <c r="Y345" s="955"/>
      <c r="Z345" s="953" t="str">
        <f t="shared" si="8"/>
        <v/>
      </c>
      <c r="AA345" s="949">
        <f t="shared" si="9"/>
        <v>0</v>
      </c>
      <c r="AB345" s="955"/>
      <c r="AC345" s="949" t="str">
        <f t="shared" si="10"/>
        <v/>
      </c>
      <c r="AD345" s="953">
        <f t="shared" si="11"/>
        <v>0</v>
      </c>
      <c r="AE345" s="956"/>
      <c r="AF345" s="889"/>
      <c r="AG345" s="810" t="b">
        <v>0</v>
      </c>
      <c r="AH345" s="780"/>
      <c r="AI345" s="780"/>
      <c r="AJ345" s="780"/>
      <c r="AK345" s="780"/>
      <c r="AL345" s="780"/>
      <c r="AM345" s="780"/>
      <c r="AN345" s="780"/>
      <c r="AO345" s="780"/>
      <c r="AP345" s="780"/>
      <c r="AQ345" s="780"/>
      <c r="AR345" s="780"/>
      <c r="AS345" s="780"/>
      <c r="AT345" s="780"/>
      <c r="AU345" s="780"/>
      <c r="AV345" s="780"/>
      <c r="AW345" s="780"/>
    </row>
    <row r="346">
      <c r="A346" s="941"/>
      <c r="B346" s="941"/>
      <c r="C346" s="995"/>
      <c r="D346" s="995"/>
      <c r="E346" s="995"/>
      <c r="F346" s="946"/>
      <c r="G346" s="946"/>
      <c r="H346" s="946"/>
      <c r="I346" s="947">
        <v>0.00138428</v>
      </c>
      <c r="J346" s="948">
        <v>0.035</v>
      </c>
      <c r="K346" s="949">
        <f t="shared" si="22"/>
        <v>0</v>
      </c>
      <c r="L346" s="950">
        <f t="shared" si="23"/>
        <v>0</v>
      </c>
      <c r="M346" s="948">
        <v>0.0215</v>
      </c>
      <c r="N346" s="951">
        <f t="shared" si="24"/>
        <v>0.00141404202</v>
      </c>
      <c r="O346" s="949">
        <f t="shared" si="25"/>
        <v>15</v>
      </c>
      <c r="P346" s="949">
        <f t="shared" si="77"/>
        <v>0.0215</v>
      </c>
      <c r="Q346" s="952">
        <f t="shared" si="79"/>
        <v>0</v>
      </c>
      <c r="R346" s="952">
        <f t="shared" si="78"/>
        <v>0</v>
      </c>
      <c r="S346" s="953"/>
      <c r="T346" s="949">
        <v>0.06</v>
      </c>
      <c r="U346" s="954"/>
      <c r="V346" s="949"/>
      <c r="W346" s="953"/>
      <c r="X346" s="949">
        <f t="shared" si="7"/>
        <v>0</v>
      </c>
      <c r="Y346" s="955"/>
      <c r="Z346" s="953" t="str">
        <f t="shared" si="8"/>
        <v/>
      </c>
      <c r="AA346" s="949">
        <f t="shared" si="9"/>
        <v>0</v>
      </c>
      <c r="AB346" s="955"/>
      <c r="AC346" s="949" t="str">
        <f t="shared" si="10"/>
        <v/>
      </c>
      <c r="AD346" s="953">
        <f t="shared" si="11"/>
        <v>0</v>
      </c>
      <c r="AE346" s="956"/>
      <c r="AF346" s="889"/>
      <c r="AG346" s="810" t="b">
        <v>0</v>
      </c>
      <c r="AH346" s="780"/>
      <c r="AI346" s="780"/>
      <c r="AJ346" s="780"/>
      <c r="AK346" s="780"/>
      <c r="AL346" s="780"/>
      <c r="AM346" s="780"/>
      <c r="AN346" s="780"/>
      <c r="AO346" s="780"/>
      <c r="AP346" s="780"/>
      <c r="AQ346" s="780"/>
      <c r="AR346" s="780"/>
      <c r="AS346" s="780"/>
      <c r="AT346" s="780"/>
      <c r="AU346" s="780"/>
      <c r="AV346" s="780"/>
      <c r="AW346" s="780"/>
    </row>
    <row r="347">
      <c r="A347" s="941"/>
      <c r="B347" s="941"/>
      <c r="C347" s="995"/>
      <c r="D347" s="944"/>
      <c r="E347" s="944"/>
      <c r="F347" s="946"/>
      <c r="G347" s="946"/>
      <c r="H347" s="946"/>
      <c r="I347" s="947">
        <v>0.00138428</v>
      </c>
      <c r="J347" s="948">
        <v>0.035</v>
      </c>
      <c r="K347" s="949">
        <f t="shared" si="22"/>
        <v>0</v>
      </c>
      <c r="L347" s="950">
        <f t="shared" si="23"/>
        <v>0</v>
      </c>
      <c r="M347" s="948">
        <v>0.0215</v>
      </c>
      <c r="N347" s="951">
        <f t="shared" si="24"/>
        <v>0.00141404202</v>
      </c>
      <c r="O347" s="949">
        <f t="shared" si="25"/>
        <v>15</v>
      </c>
      <c r="P347" s="949">
        <f t="shared" si="77"/>
        <v>0.0215</v>
      </c>
      <c r="Q347" s="952">
        <f t="shared" si="79"/>
        <v>0</v>
      </c>
      <c r="R347" s="952">
        <f t="shared" si="78"/>
        <v>0</v>
      </c>
      <c r="S347" s="953"/>
      <c r="T347" s="949">
        <v>0.06</v>
      </c>
      <c r="U347" s="954"/>
      <c r="V347" s="949"/>
      <c r="W347" s="953"/>
      <c r="X347" s="949">
        <f t="shared" si="7"/>
        <v>0</v>
      </c>
      <c r="Y347" s="955"/>
      <c r="Z347" s="953" t="str">
        <f t="shared" si="8"/>
        <v/>
      </c>
      <c r="AA347" s="949">
        <f t="shared" si="9"/>
        <v>0</v>
      </c>
      <c r="AB347" s="955"/>
      <c r="AC347" s="949" t="str">
        <f t="shared" si="10"/>
        <v/>
      </c>
      <c r="AD347" s="953">
        <f t="shared" si="11"/>
        <v>0</v>
      </c>
      <c r="AE347" s="956"/>
      <c r="AF347" s="889"/>
      <c r="AG347" s="810" t="b">
        <v>0</v>
      </c>
      <c r="AH347" s="780"/>
      <c r="AI347" s="780"/>
      <c r="AJ347" s="780"/>
      <c r="AK347" s="780"/>
      <c r="AL347" s="780"/>
      <c r="AM347" s="780"/>
      <c r="AN347" s="780"/>
      <c r="AO347" s="780"/>
      <c r="AP347" s="780"/>
      <c r="AQ347" s="780"/>
      <c r="AR347" s="780"/>
      <c r="AS347" s="780"/>
      <c r="AT347" s="780"/>
      <c r="AU347" s="780"/>
      <c r="AV347" s="780"/>
      <c r="AW347" s="780"/>
    </row>
    <row r="348">
      <c r="A348" s="941"/>
      <c r="B348" s="941"/>
      <c r="C348" s="995"/>
      <c r="D348" s="995"/>
      <c r="E348" s="995"/>
      <c r="F348" s="946"/>
      <c r="G348" s="946"/>
      <c r="H348" s="946"/>
      <c r="I348" s="947">
        <v>0.00138428</v>
      </c>
      <c r="J348" s="948">
        <v>0.035</v>
      </c>
      <c r="K348" s="949">
        <f t="shared" si="22"/>
        <v>0</v>
      </c>
      <c r="L348" s="950">
        <f t="shared" si="23"/>
        <v>0</v>
      </c>
      <c r="M348" s="948">
        <v>0.0215</v>
      </c>
      <c r="N348" s="951">
        <f t="shared" si="24"/>
        <v>0.00141404202</v>
      </c>
      <c r="O348" s="949">
        <f t="shared" si="25"/>
        <v>15</v>
      </c>
      <c r="P348" s="949">
        <f t="shared" si="77"/>
        <v>0.0215</v>
      </c>
      <c r="Q348" s="952">
        <f t="shared" si="79"/>
        <v>0</v>
      </c>
      <c r="R348" s="952">
        <f t="shared" si="78"/>
        <v>0</v>
      </c>
      <c r="S348" s="953"/>
      <c r="T348" s="949">
        <v>0.06</v>
      </c>
      <c r="U348" s="954"/>
      <c r="V348" s="949"/>
      <c r="W348" s="953"/>
      <c r="X348" s="949">
        <f t="shared" si="7"/>
        <v>0</v>
      </c>
      <c r="Y348" s="955"/>
      <c r="Z348" s="953" t="str">
        <f t="shared" si="8"/>
        <v/>
      </c>
      <c r="AA348" s="949">
        <f t="shared" si="9"/>
        <v>0</v>
      </c>
      <c r="AB348" s="955"/>
      <c r="AC348" s="949" t="str">
        <f t="shared" si="10"/>
        <v/>
      </c>
      <c r="AD348" s="953">
        <f t="shared" si="11"/>
        <v>0</v>
      </c>
      <c r="AE348" s="956"/>
      <c r="AF348" s="889"/>
      <c r="AG348" s="810" t="b">
        <v>0</v>
      </c>
      <c r="AH348" s="780"/>
      <c r="AI348" s="780"/>
      <c r="AJ348" s="780"/>
      <c r="AK348" s="780"/>
      <c r="AL348" s="780"/>
      <c r="AM348" s="780"/>
      <c r="AN348" s="780"/>
      <c r="AO348" s="780"/>
      <c r="AP348" s="780"/>
      <c r="AQ348" s="780"/>
      <c r="AR348" s="780"/>
      <c r="AS348" s="780"/>
      <c r="AT348" s="780"/>
      <c r="AU348" s="780"/>
      <c r="AV348" s="780"/>
      <c r="AW348" s="780"/>
    </row>
    <row r="349">
      <c r="A349" s="941"/>
      <c r="B349" s="941"/>
      <c r="C349" s="995"/>
      <c r="D349" s="944"/>
      <c r="E349" s="944"/>
      <c r="F349" s="946"/>
      <c r="G349" s="946"/>
      <c r="H349" s="946"/>
      <c r="I349" s="947">
        <v>0.00138428</v>
      </c>
      <c r="J349" s="948">
        <v>0.035</v>
      </c>
      <c r="K349" s="949">
        <f t="shared" si="22"/>
        <v>0</v>
      </c>
      <c r="L349" s="950">
        <f t="shared" si="23"/>
        <v>0</v>
      </c>
      <c r="M349" s="948">
        <v>0.0215</v>
      </c>
      <c r="N349" s="951">
        <f t="shared" si="24"/>
        <v>0.00141404202</v>
      </c>
      <c r="O349" s="949">
        <f t="shared" si="25"/>
        <v>15</v>
      </c>
      <c r="P349" s="949">
        <f t="shared" si="77"/>
        <v>0.0215</v>
      </c>
      <c r="Q349" s="952">
        <f t="shared" si="79"/>
        <v>0</v>
      </c>
      <c r="R349" s="952">
        <f t="shared" si="78"/>
        <v>0</v>
      </c>
      <c r="S349" s="953"/>
      <c r="T349" s="949">
        <v>0.06</v>
      </c>
      <c r="U349" s="954"/>
      <c r="V349" s="949"/>
      <c r="W349" s="953"/>
      <c r="X349" s="949">
        <f t="shared" si="7"/>
        <v>0</v>
      </c>
      <c r="Y349" s="955"/>
      <c r="Z349" s="953" t="str">
        <f t="shared" si="8"/>
        <v/>
      </c>
      <c r="AA349" s="949">
        <f t="shared" si="9"/>
        <v>0</v>
      </c>
      <c r="AB349" s="955"/>
      <c r="AC349" s="949" t="str">
        <f t="shared" si="10"/>
        <v/>
      </c>
      <c r="AD349" s="953">
        <f t="shared" si="11"/>
        <v>0</v>
      </c>
      <c r="AE349" s="956"/>
      <c r="AF349" s="889"/>
      <c r="AG349" s="810" t="b">
        <v>0</v>
      </c>
      <c r="AH349" s="780"/>
      <c r="AI349" s="780"/>
      <c r="AJ349" s="780"/>
      <c r="AK349" s="780"/>
      <c r="AL349" s="780"/>
      <c r="AM349" s="780"/>
      <c r="AN349" s="780"/>
      <c r="AO349" s="780"/>
      <c r="AP349" s="780"/>
      <c r="AQ349" s="780"/>
      <c r="AR349" s="780"/>
      <c r="AS349" s="780"/>
      <c r="AT349" s="780"/>
      <c r="AU349" s="780"/>
      <c r="AV349" s="780"/>
      <c r="AW349" s="780"/>
    </row>
    <row r="350">
      <c r="A350" s="941"/>
      <c r="B350" s="941"/>
      <c r="C350" s="995"/>
      <c r="D350" s="995"/>
      <c r="E350" s="995"/>
      <c r="F350" s="946"/>
      <c r="G350" s="946"/>
      <c r="H350" s="946"/>
      <c r="I350" s="947">
        <v>0.00138428</v>
      </c>
      <c r="J350" s="948">
        <v>0.035</v>
      </c>
      <c r="K350" s="949">
        <f t="shared" si="22"/>
        <v>0</v>
      </c>
      <c r="L350" s="950">
        <f t="shared" si="23"/>
        <v>0</v>
      </c>
      <c r="M350" s="948">
        <v>0.0215</v>
      </c>
      <c r="N350" s="951">
        <f t="shared" si="24"/>
        <v>0.00141404202</v>
      </c>
      <c r="O350" s="949">
        <f t="shared" si="25"/>
        <v>15</v>
      </c>
      <c r="P350" s="949">
        <f t="shared" si="77"/>
        <v>0.0215</v>
      </c>
      <c r="Q350" s="952">
        <f t="shared" si="79"/>
        <v>0</v>
      </c>
      <c r="R350" s="952">
        <f t="shared" si="78"/>
        <v>0</v>
      </c>
      <c r="S350" s="953"/>
      <c r="T350" s="949">
        <v>0.06</v>
      </c>
      <c r="U350" s="954"/>
      <c r="V350" s="949"/>
      <c r="W350" s="953"/>
      <c r="X350" s="949">
        <f t="shared" si="7"/>
        <v>0</v>
      </c>
      <c r="Y350" s="955"/>
      <c r="Z350" s="953" t="str">
        <f t="shared" si="8"/>
        <v/>
      </c>
      <c r="AA350" s="949">
        <f t="shared" si="9"/>
        <v>0</v>
      </c>
      <c r="AB350" s="955"/>
      <c r="AC350" s="949" t="str">
        <f t="shared" si="10"/>
        <v/>
      </c>
      <c r="AD350" s="953">
        <f t="shared" si="11"/>
        <v>0</v>
      </c>
      <c r="AE350" s="956"/>
      <c r="AF350" s="889"/>
      <c r="AG350" s="810" t="b">
        <v>0</v>
      </c>
      <c r="AH350" s="780"/>
      <c r="AI350" s="780"/>
      <c r="AJ350" s="780"/>
      <c r="AK350" s="780"/>
      <c r="AL350" s="780"/>
      <c r="AM350" s="780"/>
      <c r="AN350" s="780"/>
      <c r="AO350" s="780"/>
      <c r="AP350" s="780"/>
      <c r="AQ350" s="780"/>
      <c r="AR350" s="780"/>
      <c r="AS350" s="780"/>
      <c r="AT350" s="780"/>
      <c r="AU350" s="780"/>
      <c r="AV350" s="780"/>
      <c r="AW350" s="780"/>
    </row>
    <row r="351">
      <c r="A351" s="941"/>
      <c r="B351" s="941"/>
      <c r="C351" s="995"/>
      <c r="D351" s="944"/>
      <c r="E351" s="944"/>
      <c r="F351" s="946"/>
      <c r="G351" s="946"/>
      <c r="H351" s="946"/>
      <c r="I351" s="947">
        <v>0.00138428</v>
      </c>
      <c r="J351" s="948">
        <v>0.035</v>
      </c>
      <c r="K351" s="949">
        <f t="shared" si="22"/>
        <v>0</v>
      </c>
      <c r="L351" s="950">
        <f t="shared" si="23"/>
        <v>0</v>
      </c>
      <c r="M351" s="948">
        <v>0.0215</v>
      </c>
      <c r="N351" s="951">
        <f t="shared" si="24"/>
        <v>0.00141404202</v>
      </c>
      <c r="O351" s="949">
        <f t="shared" si="25"/>
        <v>15</v>
      </c>
      <c r="P351" s="949">
        <f t="shared" si="77"/>
        <v>0.0215</v>
      </c>
      <c r="Q351" s="952">
        <f t="shared" si="79"/>
        <v>0</v>
      </c>
      <c r="R351" s="952">
        <f t="shared" si="78"/>
        <v>0</v>
      </c>
      <c r="S351" s="953"/>
      <c r="T351" s="949">
        <v>0.06</v>
      </c>
      <c r="U351" s="954"/>
      <c r="V351" s="949"/>
      <c r="W351" s="953"/>
      <c r="X351" s="949">
        <f t="shared" si="7"/>
        <v>0</v>
      </c>
      <c r="Y351" s="955"/>
      <c r="Z351" s="953" t="str">
        <f t="shared" si="8"/>
        <v/>
      </c>
      <c r="AA351" s="949">
        <f t="shared" si="9"/>
        <v>0</v>
      </c>
      <c r="AB351" s="955"/>
      <c r="AC351" s="949" t="str">
        <f t="shared" si="10"/>
        <v/>
      </c>
      <c r="AD351" s="953">
        <f t="shared" si="11"/>
        <v>0</v>
      </c>
      <c r="AE351" s="956"/>
      <c r="AF351" s="889"/>
      <c r="AG351" s="810" t="b">
        <v>0</v>
      </c>
      <c r="AH351" s="780"/>
      <c r="AI351" s="780"/>
      <c r="AJ351" s="780"/>
      <c r="AK351" s="780"/>
      <c r="AL351" s="780"/>
      <c r="AM351" s="780"/>
      <c r="AN351" s="780"/>
      <c r="AO351" s="780"/>
      <c r="AP351" s="780"/>
      <c r="AQ351" s="780"/>
      <c r="AR351" s="780"/>
      <c r="AS351" s="780"/>
      <c r="AT351" s="780"/>
      <c r="AU351" s="780"/>
      <c r="AV351" s="780"/>
      <c r="AW351" s="780"/>
    </row>
    <row r="352">
      <c r="A352" s="941"/>
      <c r="B352" s="941"/>
      <c r="C352" s="995"/>
      <c r="D352" s="995"/>
      <c r="E352" s="995"/>
      <c r="F352" s="946"/>
      <c r="G352" s="946"/>
      <c r="H352" s="946"/>
      <c r="I352" s="947">
        <v>0.00138428</v>
      </c>
      <c r="J352" s="948">
        <v>0.035</v>
      </c>
      <c r="K352" s="949">
        <f t="shared" si="22"/>
        <v>0</v>
      </c>
      <c r="L352" s="950">
        <f t="shared" si="23"/>
        <v>0</v>
      </c>
      <c r="M352" s="948">
        <v>0.0215</v>
      </c>
      <c r="N352" s="951">
        <f t="shared" si="24"/>
        <v>0.00141404202</v>
      </c>
      <c r="O352" s="949">
        <f t="shared" si="25"/>
        <v>15</v>
      </c>
      <c r="P352" s="949">
        <f t="shared" si="77"/>
        <v>0.0215</v>
      </c>
      <c r="Q352" s="952">
        <f t="shared" si="79"/>
        <v>0</v>
      </c>
      <c r="R352" s="952">
        <f t="shared" si="78"/>
        <v>0</v>
      </c>
      <c r="S352" s="953"/>
      <c r="T352" s="949">
        <v>0.06</v>
      </c>
      <c r="U352" s="954"/>
      <c r="V352" s="949"/>
      <c r="W352" s="953"/>
      <c r="X352" s="949">
        <f t="shared" si="7"/>
        <v>0</v>
      </c>
      <c r="Y352" s="955"/>
      <c r="Z352" s="953" t="str">
        <f t="shared" si="8"/>
        <v/>
      </c>
      <c r="AA352" s="949">
        <f t="shared" si="9"/>
        <v>0</v>
      </c>
      <c r="AB352" s="955"/>
      <c r="AC352" s="949" t="str">
        <f t="shared" si="10"/>
        <v/>
      </c>
      <c r="AD352" s="953">
        <f t="shared" si="11"/>
        <v>0</v>
      </c>
      <c r="AE352" s="956"/>
      <c r="AF352" s="889"/>
      <c r="AG352" s="810" t="b">
        <v>0</v>
      </c>
      <c r="AH352" s="780"/>
      <c r="AI352" s="780"/>
      <c r="AJ352" s="780"/>
      <c r="AK352" s="780"/>
      <c r="AL352" s="780"/>
      <c r="AM352" s="780"/>
      <c r="AN352" s="780"/>
      <c r="AO352" s="780"/>
      <c r="AP352" s="780"/>
      <c r="AQ352" s="780"/>
      <c r="AR352" s="780"/>
      <c r="AS352" s="780"/>
      <c r="AT352" s="780"/>
      <c r="AU352" s="780"/>
      <c r="AV352" s="780"/>
      <c r="AW352" s="780"/>
    </row>
    <row r="353">
      <c r="A353" s="941"/>
      <c r="B353" s="941"/>
      <c r="C353" s="995"/>
      <c r="D353" s="944"/>
      <c r="E353" s="944"/>
      <c r="F353" s="946"/>
      <c r="G353" s="946"/>
      <c r="H353" s="946"/>
      <c r="I353" s="947">
        <v>0.00138428</v>
      </c>
      <c r="J353" s="948">
        <v>0.035</v>
      </c>
      <c r="K353" s="949">
        <f t="shared" si="22"/>
        <v>0</v>
      </c>
      <c r="L353" s="950">
        <f t="shared" si="23"/>
        <v>0</v>
      </c>
      <c r="M353" s="948">
        <v>0.0215</v>
      </c>
      <c r="N353" s="951">
        <f t="shared" si="24"/>
        <v>0.00141404202</v>
      </c>
      <c r="O353" s="949">
        <f t="shared" si="25"/>
        <v>15</v>
      </c>
      <c r="P353" s="949">
        <f t="shared" si="77"/>
        <v>0.0215</v>
      </c>
      <c r="Q353" s="952">
        <f t="shared" si="79"/>
        <v>0</v>
      </c>
      <c r="R353" s="952">
        <f t="shared" si="78"/>
        <v>0</v>
      </c>
      <c r="S353" s="953"/>
      <c r="T353" s="949">
        <v>0.06</v>
      </c>
      <c r="U353" s="954"/>
      <c r="V353" s="949"/>
      <c r="W353" s="953"/>
      <c r="X353" s="949">
        <f t="shared" si="7"/>
        <v>0</v>
      </c>
      <c r="Y353" s="955"/>
      <c r="Z353" s="953" t="str">
        <f t="shared" si="8"/>
        <v/>
      </c>
      <c r="AA353" s="949">
        <f t="shared" si="9"/>
        <v>0</v>
      </c>
      <c r="AB353" s="955"/>
      <c r="AC353" s="949" t="str">
        <f t="shared" si="10"/>
        <v/>
      </c>
      <c r="AD353" s="953">
        <f t="shared" si="11"/>
        <v>0</v>
      </c>
      <c r="AE353" s="956"/>
      <c r="AF353" s="889"/>
      <c r="AG353" s="810" t="b">
        <v>0</v>
      </c>
      <c r="AH353" s="780"/>
      <c r="AI353" s="780"/>
      <c r="AJ353" s="780"/>
      <c r="AK353" s="780"/>
      <c r="AL353" s="780"/>
      <c r="AM353" s="780"/>
      <c r="AN353" s="780"/>
      <c r="AO353" s="780"/>
      <c r="AP353" s="780"/>
      <c r="AQ353" s="780"/>
      <c r="AR353" s="780"/>
      <c r="AS353" s="780"/>
      <c r="AT353" s="780"/>
      <c r="AU353" s="780"/>
      <c r="AV353" s="780"/>
      <c r="AW353" s="780"/>
    </row>
    <row r="354">
      <c r="A354" s="941"/>
      <c r="B354" s="941"/>
      <c r="C354" s="995"/>
      <c r="D354" s="995"/>
      <c r="E354" s="995"/>
      <c r="F354" s="946"/>
      <c r="G354" s="946"/>
      <c r="H354" s="946"/>
      <c r="I354" s="947">
        <v>0.00138428</v>
      </c>
      <c r="J354" s="948">
        <v>0.035</v>
      </c>
      <c r="K354" s="949">
        <f t="shared" si="22"/>
        <v>0</v>
      </c>
      <c r="L354" s="950">
        <f t="shared" si="23"/>
        <v>0</v>
      </c>
      <c r="M354" s="948">
        <v>0.0215</v>
      </c>
      <c r="N354" s="951">
        <f t="shared" si="24"/>
        <v>0.00141404202</v>
      </c>
      <c r="O354" s="949">
        <f t="shared" si="25"/>
        <v>15</v>
      </c>
      <c r="P354" s="949">
        <f t="shared" si="77"/>
        <v>0.0215</v>
      </c>
      <c r="Q354" s="952">
        <f t="shared" si="79"/>
        <v>0</v>
      </c>
      <c r="R354" s="952">
        <f t="shared" si="78"/>
        <v>0</v>
      </c>
      <c r="S354" s="953"/>
      <c r="T354" s="949">
        <v>0.06</v>
      </c>
      <c r="U354" s="954"/>
      <c r="V354" s="949"/>
      <c r="W354" s="953"/>
      <c r="X354" s="949">
        <f t="shared" si="7"/>
        <v>0</v>
      </c>
      <c r="Y354" s="955"/>
      <c r="Z354" s="953" t="str">
        <f t="shared" si="8"/>
        <v/>
      </c>
      <c r="AA354" s="949">
        <f t="shared" si="9"/>
        <v>0</v>
      </c>
      <c r="AB354" s="955"/>
      <c r="AC354" s="949" t="str">
        <f t="shared" si="10"/>
        <v/>
      </c>
      <c r="AD354" s="953">
        <f t="shared" si="11"/>
        <v>0</v>
      </c>
      <c r="AE354" s="956"/>
      <c r="AF354" s="889"/>
      <c r="AG354" s="810" t="b">
        <v>0</v>
      </c>
      <c r="AH354" s="780"/>
      <c r="AI354" s="780"/>
      <c r="AJ354" s="780"/>
      <c r="AK354" s="780"/>
      <c r="AL354" s="780"/>
      <c r="AM354" s="780"/>
      <c r="AN354" s="780"/>
      <c r="AO354" s="780"/>
      <c r="AP354" s="780"/>
      <c r="AQ354" s="780"/>
      <c r="AR354" s="780"/>
      <c r="AS354" s="780"/>
      <c r="AT354" s="780"/>
      <c r="AU354" s="780"/>
      <c r="AV354" s="780"/>
      <c r="AW354" s="780"/>
    </row>
    <row r="355">
      <c r="A355" s="941"/>
      <c r="B355" s="941"/>
      <c r="C355" s="995"/>
      <c r="D355" s="944"/>
      <c r="E355" s="944"/>
      <c r="F355" s="946"/>
      <c r="G355" s="946"/>
      <c r="H355" s="946"/>
      <c r="I355" s="947">
        <v>0.00138428</v>
      </c>
      <c r="J355" s="948">
        <v>0.035</v>
      </c>
      <c r="K355" s="949">
        <f t="shared" si="22"/>
        <v>0</v>
      </c>
      <c r="L355" s="950">
        <f t="shared" si="23"/>
        <v>0</v>
      </c>
      <c r="M355" s="948">
        <v>0.0215</v>
      </c>
      <c r="N355" s="951">
        <f t="shared" si="24"/>
        <v>0.00141404202</v>
      </c>
      <c r="O355" s="949">
        <f t="shared" si="25"/>
        <v>15</v>
      </c>
      <c r="P355" s="949">
        <f t="shared" si="77"/>
        <v>0.0215</v>
      </c>
      <c r="Q355" s="952">
        <f t="shared" si="79"/>
        <v>0</v>
      </c>
      <c r="R355" s="952">
        <f t="shared" si="78"/>
        <v>0</v>
      </c>
      <c r="S355" s="953"/>
      <c r="T355" s="949">
        <v>0.06</v>
      </c>
      <c r="U355" s="954"/>
      <c r="V355" s="949"/>
      <c r="W355" s="953"/>
      <c r="X355" s="949">
        <f t="shared" si="7"/>
        <v>0</v>
      </c>
      <c r="Y355" s="955"/>
      <c r="Z355" s="953" t="str">
        <f t="shared" si="8"/>
        <v/>
      </c>
      <c r="AA355" s="949">
        <f t="shared" si="9"/>
        <v>0</v>
      </c>
      <c r="AB355" s="955"/>
      <c r="AC355" s="949" t="str">
        <f t="shared" si="10"/>
        <v/>
      </c>
      <c r="AD355" s="953">
        <f t="shared" si="11"/>
        <v>0</v>
      </c>
      <c r="AE355" s="956"/>
      <c r="AF355" s="889"/>
      <c r="AG355" s="810" t="b">
        <v>0</v>
      </c>
      <c r="AH355" s="780"/>
      <c r="AI355" s="780"/>
      <c r="AJ355" s="780"/>
      <c r="AK355" s="780"/>
      <c r="AL355" s="780"/>
      <c r="AM355" s="780"/>
      <c r="AN355" s="780"/>
      <c r="AO355" s="780"/>
      <c r="AP355" s="780"/>
      <c r="AQ355" s="780"/>
      <c r="AR355" s="780"/>
      <c r="AS355" s="780"/>
      <c r="AT355" s="780"/>
      <c r="AU355" s="780"/>
      <c r="AV355" s="780"/>
      <c r="AW355" s="780"/>
    </row>
    <row r="356">
      <c r="A356" s="941"/>
      <c r="B356" s="941"/>
      <c r="C356" s="995"/>
      <c r="D356" s="995"/>
      <c r="E356" s="995"/>
      <c r="F356" s="946"/>
      <c r="G356" s="946"/>
      <c r="H356" s="946"/>
      <c r="I356" s="947">
        <v>0.00138428</v>
      </c>
      <c r="J356" s="948">
        <v>0.035</v>
      </c>
      <c r="K356" s="949">
        <f t="shared" si="22"/>
        <v>0</v>
      </c>
      <c r="L356" s="950">
        <f t="shared" si="23"/>
        <v>0</v>
      </c>
      <c r="M356" s="948">
        <v>0.0215</v>
      </c>
      <c r="N356" s="951">
        <f t="shared" si="24"/>
        <v>0.00141404202</v>
      </c>
      <c r="O356" s="949">
        <f t="shared" si="25"/>
        <v>15</v>
      </c>
      <c r="P356" s="949">
        <f t="shared" si="77"/>
        <v>0.0215</v>
      </c>
      <c r="Q356" s="952">
        <f t="shared" si="79"/>
        <v>0</v>
      </c>
      <c r="R356" s="952">
        <f t="shared" si="78"/>
        <v>0</v>
      </c>
      <c r="S356" s="953"/>
      <c r="T356" s="949">
        <v>0.06</v>
      </c>
      <c r="U356" s="954"/>
      <c r="V356" s="949"/>
      <c r="W356" s="953"/>
      <c r="X356" s="949">
        <f t="shared" si="7"/>
        <v>0</v>
      </c>
      <c r="Y356" s="955"/>
      <c r="Z356" s="953" t="str">
        <f t="shared" si="8"/>
        <v/>
      </c>
      <c r="AA356" s="949">
        <f t="shared" si="9"/>
        <v>0</v>
      </c>
      <c r="AB356" s="955"/>
      <c r="AC356" s="949" t="str">
        <f t="shared" si="10"/>
        <v/>
      </c>
      <c r="AD356" s="953">
        <f t="shared" si="11"/>
        <v>0</v>
      </c>
      <c r="AE356" s="956"/>
      <c r="AF356" s="889"/>
      <c r="AG356" s="810" t="b">
        <v>0</v>
      </c>
      <c r="AH356" s="780"/>
      <c r="AI356" s="780"/>
      <c r="AJ356" s="780"/>
      <c r="AK356" s="780"/>
      <c r="AL356" s="780"/>
      <c r="AM356" s="780"/>
      <c r="AN356" s="780"/>
      <c r="AO356" s="780"/>
      <c r="AP356" s="780"/>
      <c r="AQ356" s="780"/>
      <c r="AR356" s="780"/>
      <c r="AS356" s="780"/>
      <c r="AT356" s="780"/>
      <c r="AU356" s="780"/>
      <c r="AV356" s="780"/>
      <c r="AW356" s="780"/>
    </row>
    <row r="357">
      <c r="A357" s="941"/>
      <c r="B357" s="941"/>
      <c r="C357" s="995"/>
      <c r="D357" s="944"/>
      <c r="E357" s="944"/>
      <c r="F357" s="946"/>
      <c r="G357" s="946"/>
      <c r="H357" s="946"/>
      <c r="I357" s="947">
        <v>0.00138428</v>
      </c>
      <c r="J357" s="948">
        <v>0.035</v>
      </c>
      <c r="K357" s="949">
        <f t="shared" si="22"/>
        <v>0</v>
      </c>
      <c r="L357" s="950">
        <f t="shared" si="23"/>
        <v>0</v>
      </c>
      <c r="M357" s="948">
        <v>0.0215</v>
      </c>
      <c r="N357" s="951">
        <f t="shared" si="24"/>
        <v>0.00141404202</v>
      </c>
      <c r="O357" s="949">
        <f t="shared" si="25"/>
        <v>15</v>
      </c>
      <c r="P357" s="949">
        <f t="shared" si="77"/>
        <v>0.0215</v>
      </c>
      <c r="Q357" s="952">
        <f t="shared" si="79"/>
        <v>0</v>
      </c>
      <c r="R357" s="952">
        <f t="shared" si="78"/>
        <v>0</v>
      </c>
      <c r="S357" s="953"/>
      <c r="T357" s="949">
        <v>0.06</v>
      </c>
      <c r="U357" s="954"/>
      <c r="V357" s="949"/>
      <c r="W357" s="953"/>
      <c r="X357" s="949">
        <f t="shared" si="7"/>
        <v>0</v>
      </c>
      <c r="Y357" s="955"/>
      <c r="Z357" s="953" t="str">
        <f t="shared" si="8"/>
        <v/>
      </c>
      <c r="AA357" s="949">
        <f t="shared" si="9"/>
        <v>0</v>
      </c>
      <c r="AB357" s="955"/>
      <c r="AC357" s="949" t="str">
        <f t="shared" si="10"/>
        <v/>
      </c>
      <c r="AD357" s="953">
        <f t="shared" si="11"/>
        <v>0</v>
      </c>
      <c r="AE357" s="956"/>
      <c r="AF357" s="889"/>
      <c r="AG357" s="810" t="b">
        <v>0</v>
      </c>
      <c r="AH357" s="780"/>
      <c r="AI357" s="780"/>
      <c r="AJ357" s="780"/>
      <c r="AK357" s="780"/>
      <c r="AL357" s="780"/>
      <c r="AM357" s="780"/>
      <c r="AN357" s="780"/>
      <c r="AO357" s="780"/>
      <c r="AP357" s="780"/>
      <c r="AQ357" s="780"/>
      <c r="AR357" s="780"/>
      <c r="AS357" s="780"/>
      <c r="AT357" s="780"/>
      <c r="AU357" s="780"/>
      <c r="AV357" s="780"/>
      <c r="AW357" s="780"/>
    </row>
    <row r="358">
      <c r="A358" s="941"/>
      <c r="B358" s="941"/>
      <c r="C358" s="995"/>
      <c r="D358" s="995"/>
      <c r="E358" s="995"/>
      <c r="F358" s="946"/>
      <c r="G358" s="946"/>
      <c r="H358" s="946"/>
      <c r="I358" s="947">
        <v>0.00138428</v>
      </c>
      <c r="J358" s="948">
        <v>0.035</v>
      </c>
      <c r="K358" s="949">
        <f t="shared" si="22"/>
        <v>0</v>
      </c>
      <c r="L358" s="950">
        <f t="shared" si="23"/>
        <v>0</v>
      </c>
      <c r="M358" s="948">
        <v>0.0215</v>
      </c>
      <c r="N358" s="951">
        <f t="shared" si="24"/>
        <v>0.00141404202</v>
      </c>
      <c r="O358" s="949">
        <f t="shared" si="25"/>
        <v>15</v>
      </c>
      <c r="P358" s="949">
        <f t="shared" si="77"/>
        <v>0.0215</v>
      </c>
      <c r="Q358" s="952">
        <f t="shared" si="79"/>
        <v>0</v>
      </c>
      <c r="R358" s="952">
        <f t="shared" si="78"/>
        <v>0</v>
      </c>
      <c r="S358" s="953"/>
      <c r="T358" s="949">
        <v>0.06</v>
      </c>
      <c r="U358" s="954"/>
      <c r="V358" s="949"/>
      <c r="W358" s="953"/>
      <c r="X358" s="949">
        <f t="shared" si="7"/>
        <v>0</v>
      </c>
      <c r="Y358" s="955"/>
      <c r="Z358" s="953" t="str">
        <f t="shared" si="8"/>
        <v/>
      </c>
      <c r="AA358" s="949">
        <f t="shared" si="9"/>
        <v>0</v>
      </c>
      <c r="AB358" s="955"/>
      <c r="AC358" s="949" t="str">
        <f t="shared" si="10"/>
        <v/>
      </c>
      <c r="AD358" s="953">
        <f t="shared" si="11"/>
        <v>0</v>
      </c>
      <c r="AE358" s="956"/>
      <c r="AF358" s="889"/>
      <c r="AG358" s="810" t="b">
        <v>0</v>
      </c>
      <c r="AH358" s="780"/>
      <c r="AI358" s="780"/>
      <c r="AJ358" s="780"/>
      <c r="AK358" s="780"/>
      <c r="AL358" s="780"/>
      <c r="AM358" s="780"/>
      <c r="AN358" s="780"/>
      <c r="AO358" s="780"/>
      <c r="AP358" s="780"/>
      <c r="AQ358" s="780"/>
      <c r="AR358" s="780"/>
      <c r="AS358" s="780"/>
      <c r="AT358" s="780"/>
      <c r="AU358" s="780"/>
      <c r="AV358" s="780"/>
      <c r="AW358" s="780"/>
    </row>
    <row r="359">
      <c r="A359" s="941"/>
      <c r="B359" s="941"/>
      <c r="C359" s="995"/>
      <c r="D359" s="944"/>
      <c r="E359" s="944"/>
      <c r="F359" s="946"/>
      <c r="G359" s="946"/>
      <c r="H359" s="946"/>
      <c r="I359" s="947">
        <v>0.00138428</v>
      </c>
      <c r="J359" s="948">
        <v>0.035</v>
      </c>
      <c r="K359" s="949">
        <f t="shared" si="22"/>
        <v>0</v>
      </c>
      <c r="L359" s="950">
        <f t="shared" si="23"/>
        <v>0</v>
      </c>
      <c r="M359" s="948">
        <v>0.0215</v>
      </c>
      <c r="N359" s="951">
        <f t="shared" si="24"/>
        <v>0.00141404202</v>
      </c>
      <c r="O359" s="949">
        <f t="shared" si="25"/>
        <v>15</v>
      </c>
      <c r="P359" s="949">
        <f t="shared" si="77"/>
        <v>0.0215</v>
      </c>
      <c r="Q359" s="952">
        <f t="shared" si="79"/>
        <v>0</v>
      </c>
      <c r="R359" s="952">
        <f t="shared" si="78"/>
        <v>0</v>
      </c>
      <c r="S359" s="953"/>
      <c r="T359" s="949">
        <v>0.06</v>
      </c>
      <c r="U359" s="954"/>
      <c r="V359" s="949"/>
      <c r="W359" s="953"/>
      <c r="X359" s="949">
        <f t="shared" si="7"/>
        <v>0</v>
      </c>
      <c r="Y359" s="955"/>
      <c r="Z359" s="953" t="str">
        <f t="shared" si="8"/>
        <v/>
      </c>
      <c r="AA359" s="949">
        <f t="shared" si="9"/>
        <v>0</v>
      </c>
      <c r="AB359" s="955"/>
      <c r="AC359" s="949" t="str">
        <f t="shared" si="10"/>
        <v/>
      </c>
      <c r="AD359" s="953">
        <f t="shared" si="11"/>
        <v>0</v>
      </c>
      <c r="AE359" s="956"/>
      <c r="AF359" s="889"/>
      <c r="AG359" s="810" t="b">
        <v>0</v>
      </c>
      <c r="AH359" s="780"/>
      <c r="AI359" s="780"/>
      <c r="AJ359" s="780"/>
      <c r="AK359" s="780"/>
      <c r="AL359" s="780"/>
      <c r="AM359" s="780"/>
      <c r="AN359" s="780"/>
      <c r="AO359" s="780"/>
      <c r="AP359" s="780"/>
      <c r="AQ359" s="780"/>
      <c r="AR359" s="780"/>
      <c r="AS359" s="780"/>
      <c r="AT359" s="780"/>
      <c r="AU359" s="780"/>
      <c r="AV359" s="780"/>
      <c r="AW359" s="780"/>
    </row>
    <row r="360">
      <c r="A360" s="941"/>
      <c r="B360" s="941"/>
      <c r="C360" s="995"/>
      <c r="D360" s="995"/>
      <c r="E360" s="995"/>
      <c r="F360" s="946"/>
      <c r="G360" s="946"/>
      <c r="H360" s="946"/>
      <c r="I360" s="947">
        <v>0.00138428</v>
      </c>
      <c r="J360" s="948">
        <v>0.035</v>
      </c>
      <c r="K360" s="949">
        <f t="shared" si="22"/>
        <v>0</v>
      </c>
      <c r="L360" s="950">
        <f t="shared" si="23"/>
        <v>0</v>
      </c>
      <c r="M360" s="948">
        <v>0.0215</v>
      </c>
      <c r="N360" s="951">
        <f t="shared" si="24"/>
        <v>0.00141404202</v>
      </c>
      <c r="O360" s="949">
        <f t="shared" si="25"/>
        <v>15</v>
      </c>
      <c r="P360" s="949">
        <f t="shared" si="77"/>
        <v>0.0215</v>
      </c>
      <c r="Q360" s="952">
        <f t="shared" si="79"/>
        <v>0</v>
      </c>
      <c r="R360" s="952">
        <f t="shared" si="78"/>
        <v>0</v>
      </c>
      <c r="S360" s="953"/>
      <c r="T360" s="949">
        <v>0.06</v>
      </c>
      <c r="U360" s="954"/>
      <c r="V360" s="949"/>
      <c r="W360" s="953"/>
      <c r="X360" s="949">
        <f t="shared" si="7"/>
        <v>0</v>
      </c>
      <c r="Y360" s="955"/>
      <c r="Z360" s="953" t="str">
        <f t="shared" si="8"/>
        <v/>
      </c>
      <c r="AA360" s="949">
        <f t="shared" si="9"/>
        <v>0</v>
      </c>
      <c r="AB360" s="955"/>
      <c r="AC360" s="949" t="str">
        <f t="shared" si="10"/>
        <v/>
      </c>
      <c r="AD360" s="953">
        <f t="shared" si="11"/>
        <v>0</v>
      </c>
      <c r="AE360" s="956"/>
      <c r="AF360" s="889"/>
      <c r="AG360" s="810" t="b">
        <v>0</v>
      </c>
      <c r="AH360" s="780"/>
      <c r="AI360" s="780"/>
      <c r="AJ360" s="780"/>
      <c r="AK360" s="780"/>
      <c r="AL360" s="780"/>
      <c r="AM360" s="780"/>
      <c r="AN360" s="780"/>
      <c r="AO360" s="780"/>
      <c r="AP360" s="780"/>
      <c r="AQ360" s="780"/>
      <c r="AR360" s="780"/>
      <c r="AS360" s="780"/>
      <c r="AT360" s="780"/>
      <c r="AU360" s="780"/>
      <c r="AV360" s="780"/>
      <c r="AW360" s="780"/>
    </row>
    <row r="361">
      <c r="A361" s="941"/>
      <c r="B361" s="941"/>
      <c r="C361" s="995"/>
      <c r="D361" s="944"/>
      <c r="E361" s="944"/>
      <c r="F361" s="946"/>
      <c r="G361" s="946"/>
      <c r="H361" s="946"/>
      <c r="I361" s="947">
        <v>0.00138428</v>
      </c>
      <c r="J361" s="948">
        <v>0.035</v>
      </c>
      <c r="K361" s="949">
        <f t="shared" si="22"/>
        <v>0</v>
      </c>
      <c r="L361" s="950">
        <f t="shared" si="23"/>
        <v>0</v>
      </c>
      <c r="M361" s="948">
        <v>0.0215</v>
      </c>
      <c r="N361" s="951">
        <f t="shared" si="24"/>
        <v>0.00141404202</v>
      </c>
      <c r="O361" s="949">
        <f t="shared" si="25"/>
        <v>15</v>
      </c>
      <c r="P361" s="949">
        <f t="shared" si="77"/>
        <v>0.0215</v>
      </c>
      <c r="Q361" s="952">
        <f t="shared" si="79"/>
        <v>0</v>
      </c>
      <c r="R361" s="952">
        <f t="shared" si="78"/>
        <v>0</v>
      </c>
      <c r="S361" s="953"/>
      <c r="T361" s="949">
        <v>0.06</v>
      </c>
      <c r="U361" s="954"/>
      <c r="V361" s="949"/>
      <c r="W361" s="953"/>
      <c r="X361" s="949">
        <f t="shared" si="7"/>
        <v>0</v>
      </c>
      <c r="Y361" s="955"/>
      <c r="Z361" s="953" t="str">
        <f t="shared" si="8"/>
        <v/>
      </c>
      <c r="AA361" s="949">
        <f t="shared" si="9"/>
        <v>0</v>
      </c>
      <c r="AB361" s="955"/>
      <c r="AC361" s="949" t="str">
        <f t="shared" si="10"/>
        <v/>
      </c>
      <c r="AD361" s="953">
        <f t="shared" si="11"/>
        <v>0</v>
      </c>
      <c r="AE361" s="956"/>
      <c r="AF361" s="889"/>
      <c r="AG361" s="810" t="b">
        <v>0</v>
      </c>
      <c r="AH361" s="780"/>
      <c r="AI361" s="780"/>
      <c r="AJ361" s="780"/>
      <c r="AK361" s="780"/>
      <c r="AL361" s="780"/>
      <c r="AM361" s="780"/>
      <c r="AN361" s="780"/>
      <c r="AO361" s="780"/>
      <c r="AP361" s="780"/>
      <c r="AQ361" s="780"/>
      <c r="AR361" s="780"/>
      <c r="AS361" s="780"/>
      <c r="AT361" s="780"/>
      <c r="AU361" s="780"/>
      <c r="AV361" s="780"/>
      <c r="AW361" s="780"/>
    </row>
    <row r="362">
      <c r="A362" s="941"/>
      <c r="B362" s="941"/>
      <c r="C362" s="995"/>
      <c r="D362" s="995"/>
      <c r="E362" s="995"/>
      <c r="F362" s="946"/>
      <c r="G362" s="946"/>
      <c r="H362" s="946"/>
      <c r="I362" s="947">
        <v>0.00138428</v>
      </c>
      <c r="J362" s="948">
        <v>0.035</v>
      </c>
      <c r="K362" s="949">
        <f t="shared" si="22"/>
        <v>0</v>
      </c>
      <c r="L362" s="950">
        <f t="shared" si="23"/>
        <v>0</v>
      </c>
      <c r="M362" s="948">
        <v>0.0215</v>
      </c>
      <c r="N362" s="951">
        <f t="shared" si="24"/>
        <v>0.00141404202</v>
      </c>
      <c r="O362" s="949">
        <f t="shared" si="25"/>
        <v>15</v>
      </c>
      <c r="P362" s="949">
        <f t="shared" si="77"/>
        <v>0.0215</v>
      </c>
      <c r="Q362" s="952">
        <f t="shared" si="79"/>
        <v>0</v>
      </c>
      <c r="R362" s="952">
        <f t="shared" si="78"/>
        <v>0</v>
      </c>
      <c r="S362" s="953"/>
      <c r="T362" s="949">
        <v>0.06</v>
      </c>
      <c r="U362" s="954"/>
      <c r="V362" s="949"/>
      <c r="W362" s="953"/>
      <c r="X362" s="949">
        <f t="shared" si="7"/>
        <v>0</v>
      </c>
      <c r="Y362" s="955"/>
      <c r="Z362" s="953" t="str">
        <f t="shared" si="8"/>
        <v/>
      </c>
      <c r="AA362" s="949">
        <f t="shared" si="9"/>
        <v>0</v>
      </c>
      <c r="AB362" s="955"/>
      <c r="AC362" s="949" t="str">
        <f t="shared" si="10"/>
        <v/>
      </c>
      <c r="AD362" s="953">
        <f t="shared" si="11"/>
        <v>0</v>
      </c>
      <c r="AE362" s="956"/>
      <c r="AF362" s="889"/>
      <c r="AG362" s="810" t="b">
        <v>0</v>
      </c>
      <c r="AH362" s="780"/>
      <c r="AI362" s="780"/>
      <c r="AJ362" s="780"/>
      <c r="AK362" s="780"/>
      <c r="AL362" s="780"/>
      <c r="AM362" s="780"/>
      <c r="AN362" s="780"/>
      <c r="AO362" s="780"/>
      <c r="AP362" s="780"/>
      <c r="AQ362" s="780"/>
      <c r="AR362" s="780"/>
      <c r="AS362" s="780"/>
      <c r="AT362" s="780"/>
      <c r="AU362" s="780"/>
      <c r="AV362" s="780"/>
      <c r="AW362" s="780"/>
    </row>
    <row r="363">
      <c r="A363" s="941"/>
      <c r="B363" s="941"/>
      <c r="C363" s="995"/>
      <c r="D363" s="944"/>
      <c r="E363" s="944"/>
      <c r="F363" s="1000"/>
      <c r="G363" s="1000"/>
      <c r="H363" s="1000"/>
      <c r="I363" s="947">
        <v>0.00138428</v>
      </c>
      <c r="J363" s="948">
        <v>0.035</v>
      </c>
      <c r="K363" s="949">
        <f t="shared" si="22"/>
        <v>0</v>
      </c>
      <c r="L363" s="950">
        <f t="shared" si="23"/>
        <v>0</v>
      </c>
      <c r="M363" s="948">
        <v>0.0215</v>
      </c>
      <c r="N363" s="951">
        <f t="shared" si="24"/>
        <v>0.00141404202</v>
      </c>
      <c r="O363" s="949">
        <f t="shared" si="25"/>
        <v>15</v>
      </c>
      <c r="P363" s="949">
        <f t="shared" si="77"/>
        <v>0.0215</v>
      </c>
      <c r="Q363" s="952">
        <f t="shared" si="79"/>
        <v>0</v>
      </c>
      <c r="R363" s="952">
        <f t="shared" si="78"/>
        <v>0</v>
      </c>
      <c r="S363" s="953"/>
      <c r="T363" s="949">
        <v>0.06</v>
      </c>
      <c r="U363" s="954"/>
      <c r="V363" s="949"/>
      <c r="W363" s="953"/>
      <c r="X363" s="949">
        <f t="shared" si="7"/>
        <v>0</v>
      </c>
      <c r="Y363" s="955"/>
      <c r="Z363" s="953" t="str">
        <f t="shared" si="8"/>
        <v/>
      </c>
      <c r="AA363" s="949">
        <f t="shared" si="9"/>
        <v>0</v>
      </c>
      <c r="AB363" s="955"/>
      <c r="AC363" s="949" t="str">
        <f t="shared" si="10"/>
        <v/>
      </c>
      <c r="AD363" s="953">
        <f t="shared" si="11"/>
        <v>0</v>
      </c>
      <c r="AE363" s="956"/>
      <c r="AF363" s="889"/>
      <c r="AG363" s="810" t="b">
        <v>0</v>
      </c>
      <c r="AH363" s="780"/>
      <c r="AI363" s="780"/>
      <c r="AJ363" s="780"/>
      <c r="AK363" s="780"/>
      <c r="AL363" s="780"/>
      <c r="AM363" s="780"/>
      <c r="AN363" s="780"/>
      <c r="AO363" s="780"/>
      <c r="AP363" s="780"/>
      <c r="AQ363" s="780"/>
      <c r="AR363" s="780"/>
      <c r="AS363" s="780"/>
      <c r="AT363" s="780"/>
      <c r="AU363" s="780"/>
      <c r="AV363" s="780"/>
      <c r="AW363" s="780"/>
    </row>
    <row r="364">
      <c r="A364" s="941"/>
      <c r="B364" s="941"/>
      <c r="C364" s="995"/>
      <c r="D364" s="995"/>
      <c r="E364" s="995"/>
      <c r="F364" s="946"/>
      <c r="G364" s="946"/>
      <c r="H364" s="946"/>
      <c r="I364" s="947">
        <v>0.00138428</v>
      </c>
      <c r="J364" s="948">
        <v>0.035</v>
      </c>
      <c r="K364" s="949">
        <f t="shared" si="22"/>
        <v>0</v>
      </c>
      <c r="L364" s="950">
        <f t="shared" si="23"/>
        <v>0</v>
      </c>
      <c r="M364" s="948">
        <v>0.0215</v>
      </c>
      <c r="N364" s="951">
        <f t="shared" si="24"/>
        <v>0.00141404202</v>
      </c>
      <c r="O364" s="949">
        <f t="shared" si="25"/>
        <v>15</v>
      </c>
      <c r="P364" s="949">
        <f t="shared" si="77"/>
        <v>0.0215</v>
      </c>
      <c r="Q364" s="952">
        <f t="shared" si="79"/>
        <v>0</v>
      </c>
      <c r="R364" s="952">
        <f t="shared" si="78"/>
        <v>0</v>
      </c>
      <c r="S364" s="953"/>
      <c r="T364" s="949">
        <v>0.06</v>
      </c>
      <c r="U364" s="954"/>
      <c r="V364" s="949"/>
      <c r="W364" s="953"/>
      <c r="X364" s="949">
        <f t="shared" si="7"/>
        <v>0</v>
      </c>
      <c r="Y364" s="955"/>
      <c r="Z364" s="953" t="str">
        <f t="shared" si="8"/>
        <v/>
      </c>
      <c r="AA364" s="949">
        <f t="shared" si="9"/>
        <v>0</v>
      </c>
      <c r="AB364" s="955"/>
      <c r="AC364" s="949" t="str">
        <f t="shared" si="10"/>
        <v/>
      </c>
      <c r="AD364" s="953">
        <f t="shared" si="11"/>
        <v>0</v>
      </c>
      <c r="AE364" s="956"/>
      <c r="AF364" s="889"/>
      <c r="AG364" s="810" t="b">
        <v>0</v>
      </c>
      <c r="AH364" s="780"/>
      <c r="AI364" s="780"/>
      <c r="AJ364" s="780"/>
      <c r="AK364" s="780"/>
      <c r="AL364" s="780"/>
      <c r="AM364" s="780"/>
      <c r="AN364" s="780"/>
      <c r="AO364" s="780"/>
      <c r="AP364" s="780"/>
      <c r="AQ364" s="780"/>
      <c r="AR364" s="780"/>
      <c r="AS364" s="780"/>
      <c r="AT364" s="780"/>
      <c r="AU364" s="780"/>
      <c r="AV364" s="780"/>
      <c r="AW364" s="780"/>
    </row>
    <row r="365">
      <c r="A365" s="941"/>
      <c r="B365" s="941"/>
      <c r="C365" s="995"/>
      <c r="D365" s="995"/>
      <c r="E365" s="995"/>
      <c r="F365" s="946"/>
      <c r="G365" s="946"/>
      <c r="H365" s="946"/>
      <c r="I365" s="947">
        <v>0.00138428</v>
      </c>
      <c r="J365" s="948">
        <v>0.035</v>
      </c>
      <c r="K365" s="949">
        <f t="shared" si="22"/>
        <v>0</v>
      </c>
      <c r="L365" s="950">
        <f t="shared" si="23"/>
        <v>0</v>
      </c>
      <c r="M365" s="948">
        <v>0.0215</v>
      </c>
      <c r="N365" s="951">
        <f t="shared" si="24"/>
        <v>0.00141404202</v>
      </c>
      <c r="O365" s="949">
        <f t="shared" si="25"/>
        <v>15</v>
      </c>
      <c r="P365" s="949">
        <f t="shared" si="77"/>
        <v>0.0215</v>
      </c>
      <c r="Q365" s="952">
        <f t="shared" si="79"/>
        <v>0</v>
      </c>
      <c r="R365" s="952">
        <f t="shared" si="78"/>
        <v>0</v>
      </c>
      <c r="S365" s="953"/>
      <c r="T365" s="949">
        <v>0.06</v>
      </c>
      <c r="U365" s="954"/>
      <c r="V365" s="949"/>
      <c r="W365" s="953"/>
      <c r="X365" s="949">
        <f t="shared" si="7"/>
        <v>0</v>
      </c>
      <c r="Y365" s="955"/>
      <c r="Z365" s="953" t="str">
        <f t="shared" si="8"/>
        <v/>
      </c>
      <c r="AA365" s="949">
        <f t="shared" si="9"/>
        <v>0</v>
      </c>
      <c r="AB365" s="955"/>
      <c r="AC365" s="949" t="str">
        <f t="shared" si="10"/>
        <v/>
      </c>
      <c r="AD365" s="953">
        <f t="shared" si="11"/>
        <v>0</v>
      </c>
      <c r="AE365" s="956"/>
      <c r="AF365" s="889"/>
      <c r="AG365" s="810" t="b">
        <v>0</v>
      </c>
      <c r="AH365" s="780"/>
      <c r="AI365" s="780"/>
      <c r="AJ365" s="780"/>
      <c r="AK365" s="780"/>
      <c r="AL365" s="780"/>
      <c r="AM365" s="780"/>
      <c r="AN365" s="780"/>
      <c r="AO365" s="780"/>
      <c r="AP365" s="780"/>
      <c r="AQ365" s="780"/>
      <c r="AR365" s="780"/>
      <c r="AS365" s="780"/>
      <c r="AT365" s="780"/>
      <c r="AU365" s="780"/>
      <c r="AV365" s="780"/>
      <c r="AW365" s="780"/>
    </row>
    <row r="366">
      <c r="A366" s="941"/>
      <c r="B366" s="941"/>
      <c r="C366" s="995"/>
      <c r="D366" s="995"/>
      <c r="E366" s="995"/>
      <c r="F366" s="946"/>
      <c r="G366" s="946"/>
      <c r="H366" s="946"/>
      <c r="I366" s="947">
        <v>0.00138428</v>
      </c>
      <c r="J366" s="948">
        <v>0.035</v>
      </c>
      <c r="K366" s="949">
        <f t="shared" si="22"/>
        <v>0</v>
      </c>
      <c r="L366" s="950">
        <f t="shared" si="23"/>
        <v>0</v>
      </c>
      <c r="M366" s="948">
        <v>0.0215</v>
      </c>
      <c r="N366" s="951">
        <f t="shared" si="24"/>
        <v>0.00141404202</v>
      </c>
      <c r="O366" s="949">
        <f t="shared" si="25"/>
        <v>15</v>
      </c>
      <c r="P366" s="949">
        <f t="shared" si="77"/>
        <v>0.0215</v>
      </c>
      <c r="Q366" s="952">
        <f t="shared" si="79"/>
        <v>0</v>
      </c>
      <c r="R366" s="952">
        <f t="shared" si="78"/>
        <v>0</v>
      </c>
      <c r="S366" s="953"/>
      <c r="T366" s="949">
        <v>0.06</v>
      </c>
      <c r="U366" s="954"/>
      <c r="V366" s="949"/>
      <c r="W366" s="953"/>
      <c r="X366" s="949">
        <f t="shared" si="7"/>
        <v>0</v>
      </c>
      <c r="Y366" s="955"/>
      <c r="Z366" s="953" t="str">
        <f t="shared" si="8"/>
        <v/>
      </c>
      <c r="AA366" s="949">
        <f t="shared" si="9"/>
        <v>0</v>
      </c>
      <c r="AB366" s="955"/>
      <c r="AC366" s="949" t="str">
        <f t="shared" si="10"/>
        <v/>
      </c>
      <c r="AD366" s="953">
        <f t="shared" si="11"/>
        <v>0</v>
      </c>
      <c r="AE366" s="956"/>
      <c r="AF366" s="889"/>
      <c r="AG366" s="810" t="b">
        <v>0</v>
      </c>
      <c r="AH366" s="780"/>
      <c r="AI366" s="780"/>
      <c r="AJ366" s="780"/>
      <c r="AK366" s="780"/>
      <c r="AL366" s="780"/>
      <c r="AM366" s="780"/>
      <c r="AN366" s="780"/>
      <c r="AO366" s="780"/>
      <c r="AP366" s="780"/>
      <c r="AQ366" s="780"/>
      <c r="AR366" s="780"/>
      <c r="AS366" s="780"/>
      <c r="AT366" s="780"/>
      <c r="AU366" s="780"/>
      <c r="AV366" s="780"/>
      <c r="AW366" s="780"/>
    </row>
    <row r="367">
      <c r="A367" s="941"/>
      <c r="B367" s="941"/>
      <c r="C367" s="995"/>
      <c r="D367" s="1001"/>
      <c r="E367" s="944"/>
      <c r="F367" s="946"/>
      <c r="G367" s="946"/>
      <c r="H367" s="946"/>
      <c r="I367" s="947">
        <v>0.00138428</v>
      </c>
      <c r="J367" s="948">
        <v>0.035</v>
      </c>
      <c r="K367" s="949">
        <f t="shared" si="22"/>
        <v>0</v>
      </c>
      <c r="L367" s="950">
        <f t="shared" si="23"/>
        <v>0</v>
      </c>
      <c r="M367" s="948">
        <v>0.0215</v>
      </c>
      <c r="N367" s="951">
        <f t="shared" si="24"/>
        <v>0.00141404202</v>
      </c>
      <c r="O367" s="949">
        <f t="shared" si="25"/>
        <v>15</v>
      </c>
      <c r="P367" s="949">
        <f t="shared" si="77"/>
        <v>0.0215</v>
      </c>
      <c r="Q367" s="952">
        <f t="shared" si="79"/>
        <v>0</v>
      </c>
      <c r="R367" s="952">
        <f t="shared" si="78"/>
        <v>0</v>
      </c>
      <c r="S367" s="953"/>
      <c r="T367" s="949">
        <v>0.06</v>
      </c>
      <c r="U367" s="954"/>
      <c r="V367" s="949"/>
      <c r="W367" s="953"/>
      <c r="X367" s="949">
        <f t="shared" si="7"/>
        <v>0</v>
      </c>
      <c r="Y367" s="955"/>
      <c r="Z367" s="953" t="str">
        <f t="shared" si="8"/>
        <v/>
      </c>
      <c r="AA367" s="949">
        <f t="shared" si="9"/>
        <v>0</v>
      </c>
      <c r="AB367" s="955"/>
      <c r="AC367" s="949" t="str">
        <f t="shared" si="10"/>
        <v/>
      </c>
      <c r="AD367" s="953">
        <f t="shared" si="11"/>
        <v>0</v>
      </c>
      <c r="AE367" s="956"/>
      <c r="AF367" s="889"/>
      <c r="AG367" s="810" t="b">
        <v>0</v>
      </c>
      <c r="AH367" s="780"/>
      <c r="AI367" s="780"/>
      <c r="AJ367" s="780"/>
      <c r="AK367" s="780"/>
      <c r="AL367" s="780"/>
      <c r="AM367" s="780"/>
      <c r="AN367" s="780"/>
      <c r="AO367" s="780"/>
      <c r="AP367" s="780"/>
      <c r="AQ367" s="780"/>
      <c r="AR367" s="780"/>
      <c r="AS367" s="780"/>
      <c r="AT367" s="780"/>
      <c r="AU367" s="780"/>
      <c r="AV367" s="780"/>
      <c r="AW367" s="780"/>
    </row>
    <row r="368">
      <c r="A368" s="941"/>
      <c r="B368" s="941"/>
      <c r="C368" s="995"/>
      <c r="D368" s="995"/>
      <c r="E368" s="995"/>
      <c r="F368" s="946"/>
      <c r="G368" s="946"/>
      <c r="H368" s="946"/>
      <c r="I368" s="947">
        <v>0.00138428</v>
      </c>
      <c r="J368" s="948">
        <v>0.035</v>
      </c>
      <c r="K368" s="949">
        <f t="shared" si="22"/>
        <v>0</v>
      </c>
      <c r="L368" s="950">
        <f t="shared" si="23"/>
        <v>0</v>
      </c>
      <c r="M368" s="948">
        <v>0.0215</v>
      </c>
      <c r="N368" s="951">
        <f t="shared" si="24"/>
        <v>0.00141404202</v>
      </c>
      <c r="O368" s="949">
        <f t="shared" si="25"/>
        <v>15</v>
      </c>
      <c r="P368" s="949">
        <f t="shared" si="77"/>
        <v>0.0215</v>
      </c>
      <c r="Q368" s="952">
        <f t="shared" si="79"/>
        <v>0</v>
      </c>
      <c r="R368" s="952">
        <f t="shared" si="78"/>
        <v>0</v>
      </c>
      <c r="S368" s="953"/>
      <c r="T368" s="949">
        <v>0.06</v>
      </c>
      <c r="U368" s="954"/>
      <c r="V368" s="949"/>
      <c r="W368" s="953"/>
      <c r="X368" s="949">
        <f t="shared" si="7"/>
        <v>0</v>
      </c>
      <c r="Y368" s="955"/>
      <c r="Z368" s="953" t="str">
        <f t="shared" si="8"/>
        <v/>
      </c>
      <c r="AA368" s="949">
        <f t="shared" si="9"/>
        <v>0</v>
      </c>
      <c r="AB368" s="955"/>
      <c r="AC368" s="949" t="str">
        <f t="shared" si="10"/>
        <v/>
      </c>
      <c r="AD368" s="953">
        <f t="shared" si="11"/>
        <v>0</v>
      </c>
      <c r="AE368" s="956"/>
      <c r="AF368" s="889"/>
      <c r="AG368" s="810" t="b">
        <v>0</v>
      </c>
      <c r="AH368" s="780"/>
      <c r="AI368" s="780"/>
      <c r="AJ368" s="780"/>
      <c r="AK368" s="780"/>
      <c r="AL368" s="780"/>
      <c r="AM368" s="780"/>
      <c r="AN368" s="780"/>
      <c r="AO368" s="780"/>
      <c r="AP368" s="780"/>
      <c r="AQ368" s="780"/>
      <c r="AR368" s="780"/>
      <c r="AS368" s="780"/>
      <c r="AT368" s="780"/>
      <c r="AU368" s="780"/>
      <c r="AV368" s="780"/>
      <c r="AW368" s="780"/>
    </row>
    <row r="369">
      <c r="A369" s="941"/>
      <c r="B369" s="941"/>
      <c r="C369" s="995"/>
      <c r="D369" s="995"/>
      <c r="E369" s="995"/>
      <c r="F369" s="946"/>
      <c r="G369" s="946"/>
      <c r="H369" s="946"/>
      <c r="I369" s="947">
        <v>0.00138428</v>
      </c>
      <c r="J369" s="948">
        <v>0.035</v>
      </c>
      <c r="K369" s="949">
        <f t="shared" si="22"/>
        <v>0</v>
      </c>
      <c r="L369" s="950">
        <f t="shared" si="23"/>
        <v>0</v>
      </c>
      <c r="M369" s="948">
        <v>0.0215</v>
      </c>
      <c r="N369" s="951">
        <f t="shared" si="24"/>
        <v>0.00141404202</v>
      </c>
      <c r="O369" s="949">
        <f t="shared" si="25"/>
        <v>15</v>
      </c>
      <c r="P369" s="949">
        <f t="shared" si="77"/>
        <v>0.0215</v>
      </c>
      <c r="Q369" s="952">
        <f t="shared" si="79"/>
        <v>0</v>
      </c>
      <c r="R369" s="952">
        <f t="shared" si="78"/>
        <v>0</v>
      </c>
      <c r="S369" s="953"/>
      <c r="T369" s="949">
        <v>0.06</v>
      </c>
      <c r="U369" s="954"/>
      <c r="V369" s="949"/>
      <c r="W369" s="953"/>
      <c r="X369" s="949">
        <f t="shared" si="7"/>
        <v>0</v>
      </c>
      <c r="Y369" s="955"/>
      <c r="Z369" s="953" t="str">
        <f t="shared" si="8"/>
        <v/>
      </c>
      <c r="AA369" s="949">
        <f t="shared" si="9"/>
        <v>0</v>
      </c>
      <c r="AB369" s="955"/>
      <c r="AC369" s="949" t="str">
        <f t="shared" si="10"/>
        <v/>
      </c>
      <c r="AD369" s="953">
        <f t="shared" si="11"/>
        <v>0</v>
      </c>
      <c r="AE369" s="956"/>
      <c r="AF369" s="889"/>
      <c r="AG369" s="810" t="b">
        <v>0</v>
      </c>
      <c r="AH369" s="780"/>
      <c r="AI369" s="780"/>
      <c r="AJ369" s="780"/>
      <c r="AK369" s="780"/>
      <c r="AL369" s="780"/>
      <c r="AM369" s="780"/>
      <c r="AN369" s="780"/>
      <c r="AO369" s="780"/>
      <c r="AP369" s="780"/>
      <c r="AQ369" s="780"/>
      <c r="AR369" s="780"/>
      <c r="AS369" s="780"/>
      <c r="AT369" s="780"/>
      <c r="AU369" s="780"/>
      <c r="AV369" s="780"/>
      <c r="AW369" s="780"/>
    </row>
    <row r="370">
      <c r="A370" s="941"/>
      <c r="B370" s="941"/>
      <c r="C370" s="995"/>
      <c r="D370" s="995"/>
      <c r="E370" s="995"/>
      <c r="F370" s="946"/>
      <c r="G370" s="946"/>
      <c r="H370" s="946"/>
      <c r="I370" s="947">
        <v>0.00138428</v>
      </c>
      <c r="J370" s="948">
        <v>0.035</v>
      </c>
      <c r="K370" s="949">
        <f t="shared" si="22"/>
        <v>0</v>
      </c>
      <c r="L370" s="950">
        <f t="shared" si="23"/>
        <v>0</v>
      </c>
      <c r="M370" s="948">
        <v>0.0215</v>
      </c>
      <c r="N370" s="951">
        <f t="shared" si="24"/>
        <v>0.00141404202</v>
      </c>
      <c r="O370" s="949">
        <f t="shared" si="25"/>
        <v>15</v>
      </c>
      <c r="P370" s="949">
        <f t="shared" si="77"/>
        <v>0.0215</v>
      </c>
      <c r="Q370" s="952">
        <f t="shared" si="79"/>
        <v>0</v>
      </c>
      <c r="R370" s="952">
        <f t="shared" si="78"/>
        <v>0</v>
      </c>
      <c r="S370" s="953"/>
      <c r="T370" s="949">
        <v>0.06</v>
      </c>
      <c r="U370" s="954"/>
      <c r="V370" s="949"/>
      <c r="W370" s="953"/>
      <c r="X370" s="949">
        <f t="shared" si="7"/>
        <v>0</v>
      </c>
      <c r="Y370" s="955"/>
      <c r="Z370" s="953" t="str">
        <f t="shared" si="8"/>
        <v/>
      </c>
      <c r="AA370" s="949">
        <f t="shared" si="9"/>
        <v>0</v>
      </c>
      <c r="AB370" s="955"/>
      <c r="AC370" s="949" t="str">
        <f t="shared" si="10"/>
        <v/>
      </c>
      <c r="AD370" s="953">
        <f t="shared" si="11"/>
        <v>0</v>
      </c>
      <c r="AE370" s="956"/>
      <c r="AF370" s="889"/>
      <c r="AG370" s="810" t="b">
        <v>0</v>
      </c>
      <c r="AH370" s="780"/>
      <c r="AI370" s="780"/>
      <c r="AJ370" s="780"/>
      <c r="AK370" s="780"/>
      <c r="AL370" s="780"/>
      <c r="AM370" s="780"/>
      <c r="AN370" s="780"/>
      <c r="AO370" s="780"/>
      <c r="AP370" s="780"/>
      <c r="AQ370" s="780"/>
      <c r="AR370" s="780"/>
      <c r="AS370" s="780"/>
      <c r="AT370" s="780"/>
      <c r="AU370" s="780"/>
      <c r="AV370" s="780"/>
      <c r="AW370" s="780"/>
    </row>
    <row r="371">
      <c r="A371" s="941"/>
      <c r="B371" s="941"/>
      <c r="C371" s="995"/>
      <c r="D371" s="995"/>
      <c r="E371" s="995"/>
      <c r="F371" s="946"/>
      <c r="G371" s="946"/>
      <c r="H371" s="946"/>
      <c r="I371" s="947">
        <v>0.00138428</v>
      </c>
      <c r="J371" s="948">
        <v>0.035</v>
      </c>
      <c r="K371" s="949">
        <f t="shared" si="22"/>
        <v>0</v>
      </c>
      <c r="L371" s="950">
        <f t="shared" si="23"/>
        <v>0</v>
      </c>
      <c r="M371" s="948">
        <v>0.0215</v>
      </c>
      <c r="N371" s="951">
        <f t="shared" si="24"/>
        <v>0.00141404202</v>
      </c>
      <c r="O371" s="949">
        <f t="shared" si="25"/>
        <v>15</v>
      </c>
      <c r="P371" s="949">
        <f t="shared" si="77"/>
        <v>0.0215</v>
      </c>
      <c r="Q371" s="952">
        <f t="shared" si="79"/>
        <v>0</v>
      </c>
      <c r="R371" s="952">
        <f t="shared" si="78"/>
        <v>0</v>
      </c>
      <c r="S371" s="953"/>
      <c r="T371" s="949">
        <v>0.06</v>
      </c>
      <c r="U371" s="954"/>
      <c r="V371" s="949"/>
      <c r="W371" s="953"/>
      <c r="X371" s="949">
        <f t="shared" si="7"/>
        <v>0</v>
      </c>
      <c r="Y371" s="955"/>
      <c r="Z371" s="953" t="str">
        <f t="shared" si="8"/>
        <v/>
      </c>
      <c r="AA371" s="949">
        <f t="shared" si="9"/>
        <v>0</v>
      </c>
      <c r="AB371" s="955"/>
      <c r="AC371" s="949" t="str">
        <f t="shared" si="10"/>
        <v/>
      </c>
      <c r="AD371" s="953">
        <f t="shared" si="11"/>
        <v>0</v>
      </c>
      <c r="AE371" s="956"/>
      <c r="AF371" s="889"/>
      <c r="AG371" s="810" t="b">
        <v>0</v>
      </c>
      <c r="AH371" s="780"/>
      <c r="AI371" s="780"/>
      <c r="AJ371" s="780"/>
      <c r="AK371" s="780"/>
      <c r="AL371" s="780"/>
      <c r="AM371" s="780"/>
      <c r="AN371" s="780"/>
      <c r="AO371" s="780"/>
      <c r="AP371" s="780"/>
      <c r="AQ371" s="780"/>
      <c r="AR371" s="780"/>
      <c r="AS371" s="780"/>
      <c r="AT371" s="780"/>
      <c r="AU371" s="780"/>
      <c r="AV371" s="780"/>
      <c r="AW371" s="780"/>
    </row>
    <row r="372">
      <c r="A372" s="941"/>
      <c r="B372" s="941"/>
      <c r="C372" s="995"/>
      <c r="D372" s="995"/>
      <c r="E372" s="995"/>
      <c r="F372" s="946"/>
      <c r="G372" s="946"/>
      <c r="H372" s="946"/>
      <c r="I372" s="947">
        <v>0.00138428</v>
      </c>
      <c r="J372" s="948">
        <v>0.035</v>
      </c>
      <c r="K372" s="949">
        <f t="shared" si="22"/>
        <v>0</v>
      </c>
      <c r="L372" s="950">
        <f t="shared" si="23"/>
        <v>0</v>
      </c>
      <c r="M372" s="948">
        <v>0.0215</v>
      </c>
      <c r="N372" s="951">
        <f t="shared" si="24"/>
        <v>0.00141404202</v>
      </c>
      <c r="O372" s="949">
        <f t="shared" si="25"/>
        <v>15</v>
      </c>
      <c r="P372" s="949">
        <f t="shared" si="77"/>
        <v>0.0215</v>
      </c>
      <c r="Q372" s="952">
        <f t="shared" si="79"/>
        <v>0</v>
      </c>
      <c r="R372" s="952">
        <f t="shared" si="78"/>
        <v>0</v>
      </c>
      <c r="S372" s="953"/>
      <c r="T372" s="949">
        <v>0.06</v>
      </c>
      <c r="U372" s="954"/>
      <c r="V372" s="949"/>
      <c r="W372" s="953"/>
      <c r="X372" s="949">
        <f t="shared" si="7"/>
        <v>0</v>
      </c>
      <c r="Y372" s="955"/>
      <c r="Z372" s="953" t="str">
        <f t="shared" si="8"/>
        <v/>
      </c>
      <c r="AA372" s="949">
        <f t="shared" si="9"/>
        <v>0</v>
      </c>
      <c r="AB372" s="955"/>
      <c r="AC372" s="949" t="str">
        <f t="shared" si="10"/>
        <v/>
      </c>
      <c r="AD372" s="953">
        <f t="shared" si="11"/>
        <v>0</v>
      </c>
      <c r="AE372" s="956"/>
      <c r="AF372" s="889"/>
      <c r="AG372" s="810" t="b">
        <v>0</v>
      </c>
      <c r="AH372" s="780"/>
      <c r="AI372" s="780"/>
      <c r="AJ372" s="780"/>
      <c r="AK372" s="780"/>
      <c r="AL372" s="780"/>
      <c r="AM372" s="780"/>
      <c r="AN372" s="780"/>
      <c r="AO372" s="780"/>
      <c r="AP372" s="780"/>
      <c r="AQ372" s="780"/>
      <c r="AR372" s="780"/>
      <c r="AS372" s="780"/>
      <c r="AT372" s="780"/>
      <c r="AU372" s="780"/>
      <c r="AV372" s="780"/>
      <c r="AW372" s="780"/>
    </row>
    <row r="373">
      <c r="A373" s="941"/>
      <c r="B373" s="941"/>
      <c r="C373" s="995"/>
      <c r="D373" s="995"/>
      <c r="E373" s="995"/>
      <c r="F373" s="946"/>
      <c r="G373" s="946"/>
      <c r="H373" s="946"/>
      <c r="I373" s="947">
        <v>0.00138428</v>
      </c>
      <c r="J373" s="948">
        <v>0.035</v>
      </c>
      <c r="K373" s="949">
        <f t="shared" si="22"/>
        <v>0</v>
      </c>
      <c r="L373" s="950">
        <f t="shared" si="23"/>
        <v>0</v>
      </c>
      <c r="M373" s="948">
        <v>0.0215</v>
      </c>
      <c r="N373" s="951">
        <f t="shared" si="24"/>
        <v>0.00141404202</v>
      </c>
      <c r="O373" s="949">
        <f t="shared" si="25"/>
        <v>15</v>
      </c>
      <c r="P373" s="949">
        <f t="shared" si="77"/>
        <v>0.0215</v>
      </c>
      <c r="Q373" s="952">
        <f t="shared" si="79"/>
        <v>0</v>
      </c>
      <c r="R373" s="952">
        <f t="shared" si="78"/>
        <v>0</v>
      </c>
      <c r="S373" s="953"/>
      <c r="T373" s="949">
        <v>0.06</v>
      </c>
      <c r="U373" s="954"/>
      <c r="V373" s="949"/>
      <c r="W373" s="953"/>
      <c r="X373" s="949">
        <f t="shared" si="7"/>
        <v>0</v>
      </c>
      <c r="Y373" s="955"/>
      <c r="Z373" s="953" t="str">
        <f t="shared" si="8"/>
        <v/>
      </c>
      <c r="AA373" s="949">
        <f t="shared" si="9"/>
        <v>0</v>
      </c>
      <c r="AB373" s="955"/>
      <c r="AC373" s="949" t="str">
        <f t="shared" si="10"/>
        <v/>
      </c>
      <c r="AD373" s="953">
        <f t="shared" si="11"/>
        <v>0</v>
      </c>
      <c r="AE373" s="956"/>
      <c r="AF373" s="889"/>
      <c r="AG373" s="810" t="b">
        <v>0</v>
      </c>
      <c r="AH373" s="780"/>
      <c r="AI373" s="780"/>
      <c r="AJ373" s="780"/>
      <c r="AK373" s="780"/>
      <c r="AL373" s="780"/>
      <c r="AM373" s="780"/>
      <c r="AN373" s="780"/>
      <c r="AO373" s="780"/>
      <c r="AP373" s="780"/>
      <c r="AQ373" s="780"/>
      <c r="AR373" s="780"/>
      <c r="AS373" s="780"/>
      <c r="AT373" s="780"/>
      <c r="AU373" s="780"/>
      <c r="AV373" s="780"/>
      <c r="AW373" s="780"/>
    </row>
    <row r="374">
      <c r="A374" s="941"/>
      <c r="B374" s="941"/>
      <c r="C374" s="995"/>
      <c r="D374" s="995"/>
      <c r="E374" s="995"/>
      <c r="F374" s="946"/>
      <c r="G374" s="946"/>
      <c r="H374" s="946"/>
      <c r="I374" s="947">
        <v>0.00138428</v>
      </c>
      <c r="J374" s="948">
        <v>0.035</v>
      </c>
      <c r="K374" s="949">
        <f t="shared" si="22"/>
        <v>0</v>
      </c>
      <c r="L374" s="950">
        <f t="shared" si="23"/>
        <v>0</v>
      </c>
      <c r="M374" s="948">
        <v>0.0215</v>
      </c>
      <c r="N374" s="951">
        <f t="shared" si="24"/>
        <v>0.00141404202</v>
      </c>
      <c r="O374" s="949">
        <f t="shared" si="25"/>
        <v>15</v>
      </c>
      <c r="P374" s="949">
        <f t="shared" si="77"/>
        <v>0.0215</v>
      </c>
      <c r="Q374" s="952">
        <f t="shared" si="79"/>
        <v>0</v>
      </c>
      <c r="R374" s="952">
        <f t="shared" si="78"/>
        <v>0</v>
      </c>
      <c r="S374" s="953"/>
      <c r="T374" s="949">
        <v>0.06</v>
      </c>
      <c r="U374" s="954"/>
      <c r="V374" s="949"/>
      <c r="W374" s="953"/>
      <c r="X374" s="949">
        <f t="shared" si="7"/>
        <v>0</v>
      </c>
      <c r="Y374" s="955"/>
      <c r="Z374" s="953" t="str">
        <f t="shared" si="8"/>
        <v/>
      </c>
      <c r="AA374" s="949">
        <f t="shared" si="9"/>
        <v>0</v>
      </c>
      <c r="AB374" s="955"/>
      <c r="AC374" s="949" t="str">
        <f t="shared" si="10"/>
        <v/>
      </c>
      <c r="AD374" s="953">
        <f t="shared" si="11"/>
        <v>0</v>
      </c>
      <c r="AE374" s="956"/>
      <c r="AF374" s="889"/>
      <c r="AG374" s="810" t="b">
        <v>0</v>
      </c>
      <c r="AH374" s="780"/>
      <c r="AI374" s="780"/>
      <c r="AJ374" s="780"/>
      <c r="AK374" s="780"/>
      <c r="AL374" s="780"/>
      <c r="AM374" s="780"/>
      <c r="AN374" s="780"/>
      <c r="AO374" s="780"/>
      <c r="AP374" s="780"/>
      <c r="AQ374" s="780"/>
      <c r="AR374" s="780"/>
      <c r="AS374" s="780"/>
      <c r="AT374" s="780"/>
      <c r="AU374" s="780"/>
      <c r="AV374" s="780"/>
      <c r="AW374" s="780"/>
    </row>
    <row r="375">
      <c r="A375" s="941"/>
      <c r="B375" s="941"/>
      <c r="C375" s="995"/>
      <c r="D375" s="995"/>
      <c r="E375" s="995"/>
      <c r="F375" s="946"/>
      <c r="G375" s="946"/>
      <c r="H375" s="946"/>
      <c r="I375" s="947">
        <v>0.00138428</v>
      </c>
      <c r="J375" s="948">
        <v>0.035</v>
      </c>
      <c r="K375" s="949">
        <f t="shared" si="22"/>
        <v>0</v>
      </c>
      <c r="L375" s="950">
        <f t="shared" si="23"/>
        <v>0</v>
      </c>
      <c r="M375" s="948">
        <v>0.0215</v>
      </c>
      <c r="N375" s="951">
        <f t="shared" si="24"/>
        <v>0.00141404202</v>
      </c>
      <c r="O375" s="949">
        <f t="shared" si="25"/>
        <v>15</v>
      </c>
      <c r="P375" s="949">
        <f t="shared" si="77"/>
        <v>0.0215</v>
      </c>
      <c r="Q375" s="952">
        <f t="shared" si="79"/>
        <v>0</v>
      </c>
      <c r="R375" s="952">
        <f t="shared" si="78"/>
        <v>0</v>
      </c>
      <c r="S375" s="953"/>
      <c r="T375" s="949">
        <v>0.06</v>
      </c>
      <c r="U375" s="954"/>
      <c r="V375" s="949"/>
      <c r="W375" s="953"/>
      <c r="X375" s="949">
        <f t="shared" si="7"/>
        <v>0</v>
      </c>
      <c r="Y375" s="955"/>
      <c r="Z375" s="953" t="str">
        <f t="shared" si="8"/>
        <v/>
      </c>
      <c r="AA375" s="949">
        <f t="shared" si="9"/>
        <v>0</v>
      </c>
      <c r="AB375" s="955"/>
      <c r="AC375" s="949" t="str">
        <f t="shared" si="10"/>
        <v/>
      </c>
      <c r="AD375" s="953">
        <f t="shared" si="11"/>
        <v>0</v>
      </c>
      <c r="AE375" s="956"/>
      <c r="AF375" s="889"/>
      <c r="AG375" s="810" t="b">
        <v>0</v>
      </c>
      <c r="AH375" s="780"/>
      <c r="AI375" s="780"/>
      <c r="AJ375" s="780"/>
      <c r="AK375" s="780"/>
      <c r="AL375" s="780"/>
      <c r="AM375" s="780"/>
      <c r="AN375" s="780"/>
      <c r="AO375" s="780"/>
      <c r="AP375" s="780"/>
      <c r="AQ375" s="780"/>
      <c r="AR375" s="780"/>
      <c r="AS375" s="780"/>
      <c r="AT375" s="780"/>
      <c r="AU375" s="780"/>
      <c r="AV375" s="780"/>
      <c r="AW375" s="780"/>
    </row>
    <row r="376">
      <c r="A376" s="941"/>
      <c r="B376" s="941"/>
      <c r="C376" s="995"/>
      <c r="D376" s="995"/>
      <c r="E376" s="995"/>
      <c r="F376" s="946"/>
      <c r="G376" s="946"/>
      <c r="H376" s="946"/>
      <c r="I376" s="947">
        <v>0.00138428</v>
      </c>
      <c r="J376" s="948">
        <v>0.035</v>
      </c>
      <c r="K376" s="949">
        <f t="shared" si="22"/>
        <v>0</v>
      </c>
      <c r="L376" s="950">
        <f t="shared" si="23"/>
        <v>0</v>
      </c>
      <c r="M376" s="948">
        <v>0.0215</v>
      </c>
      <c r="N376" s="951">
        <f t="shared" si="24"/>
        <v>0.00141404202</v>
      </c>
      <c r="O376" s="949">
        <f t="shared" si="25"/>
        <v>15</v>
      </c>
      <c r="P376" s="949">
        <f t="shared" si="77"/>
        <v>0.0215</v>
      </c>
      <c r="Q376" s="952">
        <f t="shared" si="79"/>
        <v>0</v>
      </c>
      <c r="R376" s="952">
        <f t="shared" si="78"/>
        <v>0</v>
      </c>
      <c r="S376" s="953"/>
      <c r="T376" s="949">
        <v>0.06</v>
      </c>
      <c r="U376" s="954"/>
      <c r="V376" s="949"/>
      <c r="W376" s="953"/>
      <c r="X376" s="949">
        <f t="shared" si="7"/>
        <v>0</v>
      </c>
      <c r="Y376" s="955"/>
      <c r="Z376" s="953" t="str">
        <f t="shared" si="8"/>
        <v/>
      </c>
      <c r="AA376" s="949">
        <f t="shared" si="9"/>
        <v>0</v>
      </c>
      <c r="AB376" s="955"/>
      <c r="AC376" s="949" t="str">
        <f t="shared" si="10"/>
        <v/>
      </c>
      <c r="AD376" s="953">
        <f t="shared" si="11"/>
        <v>0</v>
      </c>
      <c r="AE376" s="956"/>
      <c r="AF376" s="889"/>
      <c r="AG376" s="810" t="b">
        <v>0</v>
      </c>
      <c r="AH376" s="780"/>
      <c r="AI376" s="780"/>
      <c r="AJ376" s="780"/>
      <c r="AK376" s="780"/>
      <c r="AL376" s="780"/>
      <c r="AM376" s="780"/>
      <c r="AN376" s="780"/>
      <c r="AO376" s="780"/>
      <c r="AP376" s="780"/>
      <c r="AQ376" s="780"/>
      <c r="AR376" s="780"/>
      <c r="AS376" s="780"/>
      <c r="AT376" s="780"/>
      <c r="AU376" s="780"/>
      <c r="AV376" s="780"/>
      <c r="AW376" s="780"/>
    </row>
    <row r="377">
      <c r="A377" s="941"/>
      <c r="B377" s="941"/>
      <c r="C377" s="995"/>
      <c r="D377" s="995"/>
      <c r="E377" s="995"/>
      <c r="F377" s="946"/>
      <c r="G377" s="946"/>
      <c r="H377" s="946"/>
      <c r="I377" s="947">
        <v>0.00138428</v>
      </c>
      <c r="J377" s="948">
        <v>0.035</v>
      </c>
      <c r="K377" s="949">
        <f t="shared" si="22"/>
        <v>0</v>
      </c>
      <c r="L377" s="950">
        <f t="shared" si="23"/>
        <v>0</v>
      </c>
      <c r="M377" s="948">
        <v>0.0215</v>
      </c>
      <c r="N377" s="951">
        <f t="shared" si="24"/>
        <v>0.00141404202</v>
      </c>
      <c r="O377" s="949">
        <f t="shared" si="25"/>
        <v>15</v>
      </c>
      <c r="P377" s="949">
        <f t="shared" si="77"/>
        <v>0.0215</v>
      </c>
      <c r="Q377" s="952">
        <f t="shared" si="79"/>
        <v>0</v>
      </c>
      <c r="R377" s="952">
        <f t="shared" si="78"/>
        <v>0</v>
      </c>
      <c r="S377" s="953"/>
      <c r="T377" s="949">
        <v>0.06</v>
      </c>
      <c r="U377" s="954"/>
      <c r="V377" s="949"/>
      <c r="W377" s="953"/>
      <c r="X377" s="949">
        <f t="shared" si="7"/>
        <v>0</v>
      </c>
      <c r="Y377" s="955"/>
      <c r="Z377" s="953" t="str">
        <f t="shared" si="8"/>
        <v/>
      </c>
      <c r="AA377" s="949">
        <f t="shared" si="9"/>
        <v>0</v>
      </c>
      <c r="AB377" s="955"/>
      <c r="AC377" s="949" t="str">
        <f t="shared" si="10"/>
        <v/>
      </c>
      <c r="AD377" s="953">
        <f t="shared" si="11"/>
        <v>0</v>
      </c>
      <c r="AE377" s="956"/>
      <c r="AF377" s="889"/>
      <c r="AG377" s="810" t="b">
        <v>0</v>
      </c>
      <c r="AH377" s="780"/>
      <c r="AI377" s="780"/>
      <c r="AJ377" s="780"/>
      <c r="AK377" s="780"/>
      <c r="AL377" s="780"/>
      <c r="AM377" s="780"/>
      <c r="AN377" s="780"/>
      <c r="AO377" s="780"/>
      <c r="AP377" s="780"/>
      <c r="AQ377" s="780"/>
      <c r="AR377" s="780"/>
      <c r="AS377" s="780"/>
      <c r="AT377" s="780"/>
      <c r="AU377" s="780"/>
      <c r="AV377" s="780"/>
      <c r="AW377" s="780"/>
    </row>
    <row r="378">
      <c r="A378" s="941"/>
      <c r="B378" s="941"/>
      <c r="C378" s="995"/>
      <c r="D378" s="1001"/>
      <c r="E378" s="944"/>
      <c r="F378" s="946"/>
      <c r="G378" s="946"/>
      <c r="H378" s="946"/>
      <c r="I378" s="947">
        <v>0.00138428</v>
      </c>
      <c r="J378" s="948">
        <v>0.035</v>
      </c>
      <c r="K378" s="949">
        <f t="shared" si="22"/>
        <v>0</v>
      </c>
      <c r="L378" s="950">
        <f t="shared" si="23"/>
        <v>0</v>
      </c>
      <c r="M378" s="948">
        <v>0.0215</v>
      </c>
      <c r="N378" s="951">
        <f t="shared" si="24"/>
        <v>0.00141404202</v>
      </c>
      <c r="O378" s="949">
        <f t="shared" si="25"/>
        <v>15</v>
      </c>
      <c r="P378" s="949">
        <f t="shared" si="77"/>
        <v>0.0215</v>
      </c>
      <c r="Q378" s="952">
        <f t="shared" si="79"/>
        <v>0</v>
      </c>
      <c r="R378" s="952">
        <f t="shared" si="78"/>
        <v>0</v>
      </c>
      <c r="S378" s="953"/>
      <c r="T378" s="949">
        <v>0.06</v>
      </c>
      <c r="U378" s="954"/>
      <c r="V378" s="949"/>
      <c r="W378" s="953"/>
      <c r="X378" s="949">
        <f t="shared" si="7"/>
        <v>0</v>
      </c>
      <c r="Y378" s="955"/>
      <c r="Z378" s="953" t="str">
        <f t="shared" si="8"/>
        <v/>
      </c>
      <c r="AA378" s="949">
        <f t="shared" si="9"/>
        <v>0</v>
      </c>
      <c r="AB378" s="955"/>
      <c r="AC378" s="949" t="str">
        <f t="shared" si="10"/>
        <v/>
      </c>
      <c r="AD378" s="953">
        <f t="shared" si="11"/>
        <v>0</v>
      </c>
      <c r="AE378" s="956"/>
      <c r="AF378" s="889"/>
      <c r="AG378" s="810" t="b">
        <v>0</v>
      </c>
      <c r="AH378" s="780"/>
      <c r="AI378" s="780"/>
      <c r="AJ378" s="780"/>
      <c r="AK378" s="780"/>
      <c r="AL378" s="780"/>
      <c r="AM378" s="780"/>
      <c r="AN378" s="780"/>
      <c r="AO378" s="780"/>
      <c r="AP378" s="780"/>
      <c r="AQ378" s="780"/>
      <c r="AR378" s="780"/>
      <c r="AS378" s="780"/>
      <c r="AT378" s="780"/>
      <c r="AU378" s="780"/>
      <c r="AV378" s="780"/>
      <c r="AW378" s="780"/>
    </row>
    <row r="379">
      <c r="A379" s="941"/>
      <c r="B379" s="941"/>
      <c r="C379" s="995"/>
      <c r="D379" s="995"/>
      <c r="E379" s="995"/>
      <c r="F379" s="946"/>
      <c r="G379" s="946"/>
      <c r="H379" s="946"/>
      <c r="I379" s="947">
        <v>0.00138428</v>
      </c>
      <c r="J379" s="948">
        <v>0.035</v>
      </c>
      <c r="K379" s="949">
        <f t="shared" si="22"/>
        <v>0</v>
      </c>
      <c r="L379" s="950">
        <f t="shared" si="23"/>
        <v>0</v>
      </c>
      <c r="M379" s="948">
        <v>0.0215</v>
      </c>
      <c r="N379" s="951">
        <f t="shared" si="24"/>
        <v>0.00141404202</v>
      </c>
      <c r="O379" s="949">
        <f t="shared" si="25"/>
        <v>15</v>
      </c>
      <c r="P379" s="949">
        <f t="shared" si="77"/>
        <v>0.0215</v>
      </c>
      <c r="Q379" s="952">
        <f t="shared" si="79"/>
        <v>0</v>
      </c>
      <c r="R379" s="952">
        <f t="shared" si="78"/>
        <v>0</v>
      </c>
      <c r="S379" s="953"/>
      <c r="T379" s="949">
        <v>0.06</v>
      </c>
      <c r="U379" s="954"/>
      <c r="V379" s="949"/>
      <c r="W379" s="953"/>
      <c r="X379" s="949">
        <f t="shared" si="7"/>
        <v>0</v>
      </c>
      <c r="Y379" s="955"/>
      <c r="Z379" s="953" t="str">
        <f t="shared" si="8"/>
        <v/>
      </c>
      <c r="AA379" s="949">
        <f t="shared" si="9"/>
        <v>0</v>
      </c>
      <c r="AB379" s="955"/>
      <c r="AC379" s="949" t="str">
        <f t="shared" si="10"/>
        <v/>
      </c>
      <c r="AD379" s="953">
        <f t="shared" si="11"/>
        <v>0</v>
      </c>
      <c r="AE379" s="956"/>
      <c r="AF379" s="889"/>
      <c r="AG379" s="810" t="b">
        <v>0</v>
      </c>
      <c r="AH379" s="780"/>
      <c r="AI379" s="780"/>
      <c r="AJ379" s="780"/>
      <c r="AK379" s="780"/>
      <c r="AL379" s="780"/>
      <c r="AM379" s="780"/>
      <c r="AN379" s="780"/>
      <c r="AO379" s="780"/>
      <c r="AP379" s="780"/>
      <c r="AQ379" s="780"/>
      <c r="AR379" s="780"/>
      <c r="AS379" s="780"/>
      <c r="AT379" s="780"/>
      <c r="AU379" s="780"/>
      <c r="AV379" s="780"/>
      <c r="AW379" s="780"/>
    </row>
    <row r="380">
      <c r="A380" s="941"/>
      <c r="B380" s="941"/>
      <c r="C380" s="995"/>
      <c r="D380" s="995"/>
      <c r="E380" s="995"/>
      <c r="F380" s="946"/>
      <c r="G380" s="946"/>
      <c r="H380" s="946"/>
      <c r="I380" s="947">
        <v>0.00138428</v>
      </c>
      <c r="J380" s="948">
        <v>0.035</v>
      </c>
      <c r="K380" s="949">
        <f t="shared" si="22"/>
        <v>0</v>
      </c>
      <c r="L380" s="950">
        <f t="shared" si="23"/>
        <v>0</v>
      </c>
      <c r="M380" s="948">
        <v>0.0215</v>
      </c>
      <c r="N380" s="951">
        <f t="shared" si="24"/>
        <v>0.00141404202</v>
      </c>
      <c r="O380" s="949">
        <f t="shared" si="25"/>
        <v>15</v>
      </c>
      <c r="P380" s="949">
        <f t="shared" si="77"/>
        <v>0.0215</v>
      </c>
      <c r="Q380" s="952">
        <f t="shared" si="79"/>
        <v>0</v>
      </c>
      <c r="R380" s="952">
        <f t="shared" si="78"/>
        <v>0</v>
      </c>
      <c r="S380" s="953"/>
      <c r="T380" s="949">
        <v>0.06</v>
      </c>
      <c r="U380" s="954"/>
      <c r="V380" s="949"/>
      <c r="W380" s="953"/>
      <c r="X380" s="949">
        <f t="shared" si="7"/>
        <v>0</v>
      </c>
      <c r="Y380" s="955"/>
      <c r="Z380" s="953" t="str">
        <f t="shared" si="8"/>
        <v/>
      </c>
      <c r="AA380" s="949">
        <f t="shared" si="9"/>
        <v>0</v>
      </c>
      <c r="AB380" s="955"/>
      <c r="AC380" s="949" t="str">
        <f t="shared" si="10"/>
        <v/>
      </c>
      <c r="AD380" s="953">
        <f t="shared" si="11"/>
        <v>0</v>
      </c>
      <c r="AE380" s="956"/>
      <c r="AF380" s="889"/>
      <c r="AG380" s="810" t="b">
        <v>0</v>
      </c>
      <c r="AH380" s="780"/>
      <c r="AI380" s="780"/>
      <c r="AJ380" s="780"/>
      <c r="AK380" s="780"/>
      <c r="AL380" s="780"/>
      <c r="AM380" s="780"/>
      <c r="AN380" s="780"/>
      <c r="AO380" s="780"/>
      <c r="AP380" s="780"/>
      <c r="AQ380" s="780"/>
      <c r="AR380" s="780"/>
      <c r="AS380" s="780"/>
      <c r="AT380" s="780"/>
      <c r="AU380" s="780"/>
      <c r="AV380" s="780"/>
      <c r="AW380" s="780"/>
    </row>
    <row r="381">
      <c r="A381" s="941"/>
      <c r="B381" s="941"/>
      <c r="C381" s="995"/>
      <c r="D381" s="995"/>
      <c r="E381" s="995"/>
      <c r="F381" s="946"/>
      <c r="G381" s="946"/>
      <c r="H381" s="946"/>
      <c r="I381" s="947">
        <v>0.00138428</v>
      </c>
      <c r="J381" s="948">
        <v>0.035</v>
      </c>
      <c r="K381" s="949">
        <f t="shared" si="22"/>
        <v>0</v>
      </c>
      <c r="L381" s="950">
        <f t="shared" si="23"/>
        <v>0</v>
      </c>
      <c r="M381" s="948">
        <v>0.0215</v>
      </c>
      <c r="N381" s="951">
        <f t="shared" si="24"/>
        <v>0.00141404202</v>
      </c>
      <c r="O381" s="949">
        <f t="shared" si="25"/>
        <v>15</v>
      </c>
      <c r="P381" s="949">
        <f t="shared" si="77"/>
        <v>0.0215</v>
      </c>
      <c r="Q381" s="952">
        <f t="shared" si="79"/>
        <v>0</v>
      </c>
      <c r="R381" s="952">
        <f t="shared" si="78"/>
        <v>0</v>
      </c>
      <c r="S381" s="953"/>
      <c r="T381" s="949">
        <v>0.06</v>
      </c>
      <c r="U381" s="954"/>
      <c r="V381" s="949"/>
      <c r="W381" s="953"/>
      <c r="X381" s="949">
        <f t="shared" si="7"/>
        <v>0</v>
      </c>
      <c r="Y381" s="955"/>
      <c r="Z381" s="953" t="str">
        <f t="shared" si="8"/>
        <v/>
      </c>
      <c r="AA381" s="949">
        <f t="shared" si="9"/>
        <v>0</v>
      </c>
      <c r="AB381" s="955"/>
      <c r="AC381" s="949" t="str">
        <f t="shared" si="10"/>
        <v/>
      </c>
      <c r="AD381" s="953">
        <f t="shared" si="11"/>
        <v>0</v>
      </c>
      <c r="AE381" s="956"/>
      <c r="AF381" s="889"/>
      <c r="AG381" s="810" t="b">
        <v>0</v>
      </c>
      <c r="AH381" s="780"/>
      <c r="AI381" s="780"/>
      <c r="AJ381" s="780"/>
      <c r="AK381" s="780"/>
      <c r="AL381" s="780"/>
      <c r="AM381" s="780"/>
      <c r="AN381" s="780"/>
      <c r="AO381" s="780"/>
      <c r="AP381" s="780"/>
      <c r="AQ381" s="780"/>
      <c r="AR381" s="780"/>
      <c r="AS381" s="780"/>
      <c r="AT381" s="780"/>
      <c r="AU381" s="780"/>
      <c r="AV381" s="780"/>
      <c r="AW381" s="780"/>
    </row>
    <row r="382">
      <c r="A382" s="941"/>
      <c r="B382" s="941"/>
      <c r="C382" s="995"/>
      <c r="D382" s="995"/>
      <c r="E382" s="995"/>
      <c r="F382" s="946"/>
      <c r="G382" s="946"/>
      <c r="H382" s="946"/>
      <c r="I382" s="947">
        <v>0.00138428</v>
      </c>
      <c r="J382" s="948">
        <v>0.035</v>
      </c>
      <c r="K382" s="949">
        <f t="shared" si="22"/>
        <v>0</v>
      </c>
      <c r="L382" s="950">
        <f t="shared" si="23"/>
        <v>0</v>
      </c>
      <c r="M382" s="948">
        <v>0.0215</v>
      </c>
      <c r="N382" s="951">
        <f t="shared" si="24"/>
        <v>0.00141404202</v>
      </c>
      <c r="O382" s="949">
        <f t="shared" si="25"/>
        <v>15</v>
      </c>
      <c r="P382" s="949">
        <f t="shared" si="77"/>
        <v>0.0215</v>
      </c>
      <c r="Q382" s="952">
        <f t="shared" si="79"/>
        <v>0</v>
      </c>
      <c r="R382" s="952">
        <f t="shared" si="78"/>
        <v>0</v>
      </c>
      <c r="S382" s="953"/>
      <c r="T382" s="949">
        <v>0.06</v>
      </c>
      <c r="U382" s="954"/>
      <c r="V382" s="949"/>
      <c r="W382" s="953"/>
      <c r="X382" s="949">
        <f t="shared" si="7"/>
        <v>0</v>
      </c>
      <c r="Y382" s="955"/>
      <c r="Z382" s="953" t="str">
        <f t="shared" si="8"/>
        <v/>
      </c>
      <c r="AA382" s="949">
        <f t="shared" si="9"/>
        <v>0</v>
      </c>
      <c r="AB382" s="955"/>
      <c r="AC382" s="949" t="str">
        <f t="shared" si="10"/>
        <v/>
      </c>
      <c r="AD382" s="953">
        <f t="shared" si="11"/>
        <v>0</v>
      </c>
      <c r="AE382" s="956"/>
      <c r="AF382" s="889"/>
      <c r="AG382" s="810" t="b">
        <v>0</v>
      </c>
      <c r="AH382" s="780"/>
      <c r="AI382" s="780"/>
      <c r="AJ382" s="780"/>
      <c r="AK382" s="780"/>
      <c r="AL382" s="780"/>
      <c r="AM382" s="780"/>
      <c r="AN382" s="780"/>
      <c r="AO382" s="780"/>
      <c r="AP382" s="780"/>
      <c r="AQ382" s="780"/>
      <c r="AR382" s="780"/>
      <c r="AS382" s="780"/>
      <c r="AT382" s="780"/>
      <c r="AU382" s="780"/>
      <c r="AV382" s="780"/>
      <c r="AW382" s="780"/>
    </row>
    <row r="383">
      <c r="A383" s="941"/>
      <c r="B383" s="941"/>
      <c r="C383" s="995"/>
      <c r="D383" s="995"/>
      <c r="E383" s="995"/>
      <c r="F383" s="946"/>
      <c r="G383" s="946"/>
      <c r="H383" s="946"/>
      <c r="I383" s="947">
        <v>0.00138428</v>
      </c>
      <c r="J383" s="948">
        <v>0.035</v>
      </c>
      <c r="K383" s="949">
        <f t="shared" si="22"/>
        <v>0</v>
      </c>
      <c r="L383" s="950">
        <f t="shared" si="23"/>
        <v>0</v>
      </c>
      <c r="M383" s="948">
        <v>0.0215</v>
      </c>
      <c r="N383" s="951">
        <f t="shared" si="24"/>
        <v>0.00141404202</v>
      </c>
      <c r="O383" s="949">
        <f t="shared" si="25"/>
        <v>15</v>
      </c>
      <c r="P383" s="949">
        <f t="shared" si="77"/>
        <v>0.0215</v>
      </c>
      <c r="Q383" s="952">
        <f t="shared" si="79"/>
        <v>0</v>
      </c>
      <c r="R383" s="952">
        <f t="shared" si="78"/>
        <v>0</v>
      </c>
      <c r="S383" s="953"/>
      <c r="T383" s="949">
        <v>0.06</v>
      </c>
      <c r="U383" s="954"/>
      <c r="V383" s="949"/>
      <c r="W383" s="953"/>
      <c r="X383" s="949">
        <f t="shared" si="7"/>
        <v>0</v>
      </c>
      <c r="Y383" s="955"/>
      <c r="Z383" s="953" t="str">
        <f t="shared" si="8"/>
        <v/>
      </c>
      <c r="AA383" s="949">
        <f t="shared" si="9"/>
        <v>0</v>
      </c>
      <c r="AB383" s="955"/>
      <c r="AC383" s="949" t="str">
        <f t="shared" si="10"/>
        <v/>
      </c>
      <c r="AD383" s="953">
        <f t="shared" si="11"/>
        <v>0</v>
      </c>
      <c r="AE383" s="956"/>
      <c r="AF383" s="889"/>
      <c r="AG383" s="810" t="b">
        <v>0</v>
      </c>
      <c r="AH383" s="780"/>
      <c r="AI383" s="780"/>
      <c r="AJ383" s="780"/>
      <c r="AK383" s="780"/>
      <c r="AL383" s="780"/>
      <c r="AM383" s="780"/>
      <c r="AN383" s="780"/>
      <c r="AO383" s="780"/>
      <c r="AP383" s="780"/>
      <c r="AQ383" s="780"/>
      <c r="AR383" s="780"/>
      <c r="AS383" s="780"/>
      <c r="AT383" s="780"/>
      <c r="AU383" s="780"/>
      <c r="AV383" s="780"/>
      <c r="AW383" s="780"/>
    </row>
    <row r="384">
      <c r="A384" s="941"/>
      <c r="B384" s="941"/>
      <c r="C384" s="995"/>
      <c r="D384" s="995"/>
      <c r="E384" s="995"/>
      <c r="F384" s="946"/>
      <c r="G384" s="946"/>
      <c r="H384" s="946"/>
      <c r="I384" s="947">
        <v>0.00138428</v>
      </c>
      <c r="J384" s="948">
        <v>0.035</v>
      </c>
      <c r="K384" s="949">
        <f t="shared" si="22"/>
        <v>0</v>
      </c>
      <c r="L384" s="950">
        <f t="shared" si="23"/>
        <v>0</v>
      </c>
      <c r="M384" s="948">
        <v>0.0215</v>
      </c>
      <c r="N384" s="951">
        <f t="shared" si="24"/>
        <v>0.00141404202</v>
      </c>
      <c r="O384" s="949">
        <f t="shared" si="25"/>
        <v>15</v>
      </c>
      <c r="P384" s="949">
        <f t="shared" si="77"/>
        <v>0.0215</v>
      </c>
      <c r="Q384" s="952">
        <f t="shared" si="79"/>
        <v>0</v>
      </c>
      <c r="R384" s="952">
        <f t="shared" si="78"/>
        <v>0</v>
      </c>
      <c r="S384" s="953"/>
      <c r="T384" s="949">
        <v>0.06</v>
      </c>
      <c r="U384" s="954"/>
      <c r="V384" s="949"/>
      <c r="W384" s="953"/>
      <c r="X384" s="949">
        <f t="shared" si="7"/>
        <v>0</v>
      </c>
      <c r="Y384" s="955"/>
      <c r="Z384" s="953" t="str">
        <f t="shared" si="8"/>
        <v/>
      </c>
      <c r="AA384" s="949">
        <f t="shared" si="9"/>
        <v>0</v>
      </c>
      <c r="AB384" s="955"/>
      <c r="AC384" s="949" t="str">
        <f t="shared" si="10"/>
        <v/>
      </c>
      <c r="AD384" s="953">
        <f t="shared" si="11"/>
        <v>0</v>
      </c>
      <c r="AE384" s="956"/>
      <c r="AF384" s="889"/>
      <c r="AG384" s="810" t="b">
        <v>0</v>
      </c>
      <c r="AH384" s="780"/>
      <c r="AI384" s="780"/>
      <c r="AJ384" s="780"/>
      <c r="AK384" s="780"/>
      <c r="AL384" s="780"/>
      <c r="AM384" s="780"/>
      <c r="AN384" s="780"/>
      <c r="AO384" s="780"/>
      <c r="AP384" s="780"/>
      <c r="AQ384" s="780"/>
      <c r="AR384" s="780"/>
      <c r="AS384" s="780"/>
      <c r="AT384" s="780"/>
      <c r="AU384" s="780"/>
      <c r="AV384" s="780"/>
      <c r="AW384" s="780"/>
    </row>
    <row r="385">
      <c r="A385" s="941"/>
      <c r="B385" s="941"/>
      <c r="C385" s="995"/>
      <c r="D385" s="944"/>
      <c r="E385" s="944"/>
      <c r="F385" s="946"/>
      <c r="G385" s="946"/>
      <c r="H385" s="946"/>
      <c r="I385" s="947">
        <v>0.00138428</v>
      </c>
      <c r="J385" s="948">
        <v>0.035</v>
      </c>
      <c r="K385" s="949">
        <f t="shared" si="22"/>
        <v>0</v>
      </c>
      <c r="L385" s="950">
        <f t="shared" si="23"/>
        <v>0</v>
      </c>
      <c r="M385" s="948">
        <v>0.0215</v>
      </c>
      <c r="N385" s="951">
        <f t="shared" si="24"/>
        <v>0.00141404202</v>
      </c>
      <c r="O385" s="949">
        <f t="shared" si="25"/>
        <v>15</v>
      </c>
      <c r="P385" s="949">
        <f t="shared" si="77"/>
        <v>0.0215</v>
      </c>
      <c r="Q385" s="952">
        <f t="shared" si="79"/>
        <v>0</v>
      </c>
      <c r="R385" s="952">
        <f t="shared" si="78"/>
        <v>0</v>
      </c>
      <c r="S385" s="953"/>
      <c r="T385" s="949">
        <v>0.06</v>
      </c>
      <c r="U385" s="954"/>
      <c r="V385" s="949"/>
      <c r="W385" s="953"/>
      <c r="X385" s="949">
        <f t="shared" si="7"/>
        <v>0</v>
      </c>
      <c r="Y385" s="955"/>
      <c r="Z385" s="953" t="str">
        <f t="shared" si="8"/>
        <v/>
      </c>
      <c r="AA385" s="949">
        <f t="shared" si="9"/>
        <v>0</v>
      </c>
      <c r="AB385" s="955"/>
      <c r="AC385" s="949" t="str">
        <f t="shared" si="10"/>
        <v/>
      </c>
      <c r="AD385" s="953">
        <f t="shared" si="11"/>
        <v>0</v>
      </c>
      <c r="AE385" s="956"/>
      <c r="AF385" s="889"/>
      <c r="AG385" s="810" t="b">
        <v>0</v>
      </c>
      <c r="AH385" s="780"/>
      <c r="AI385" s="780"/>
      <c r="AJ385" s="780"/>
      <c r="AK385" s="780"/>
      <c r="AL385" s="780"/>
      <c r="AM385" s="780"/>
      <c r="AN385" s="780"/>
      <c r="AO385" s="780"/>
      <c r="AP385" s="780"/>
      <c r="AQ385" s="780"/>
      <c r="AR385" s="780"/>
      <c r="AS385" s="780"/>
      <c r="AT385" s="780"/>
      <c r="AU385" s="780"/>
      <c r="AV385" s="780"/>
      <c r="AW385" s="780"/>
    </row>
    <row r="386">
      <c r="A386" s="941"/>
      <c r="B386" s="941"/>
      <c r="C386" s="995"/>
      <c r="D386" s="995"/>
      <c r="E386" s="995"/>
      <c r="F386" s="946"/>
      <c r="G386" s="946"/>
      <c r="H386" s="946"/>
      <c r="I386" s="947">
        <v>0.00138428</v>
      </c>
      <c r="J386" s="948">
        <v>0.035</v>
      </c>
      <c r="K386" s="949">
        <f t="shared" si="22"/>
        <v>0</v>
      </c>
      <c r="L386" s="950">
        <f t="shared" si="23"/>
        <v>0</v>
      </c>
      <c r="M386" s="948">
        <v>0.0215</v>
      </c>
      <c r="N386" s="951">
        <f t="shared" si="24"/>
        <v>0.00141404202</v>
      </c>
      <c r="O386" s="949">
        <f t="shared" si="25"/>
        <v>15</v>
      </c>
      <c r="P386" s="949">
        <f t="shared" si="77"/>
        <v>0.0215</v>
      </c>
      <c r="Q386" s="952">
        <f t="shared" si="79"/>
        <v>0</v>
      </c>
      <c r="R386" s="952">
        <f t="shared" si="78"/>
        <v>0</v>
      </c>
      <c r="S386" s="953"/>
      <c r="T386" s="949">
        <v>0.06</v>
      </c>
      <c r="U386" s="954"/>
      <c r="V386" s="949"/>
      <c r="W386" s="953"/>
      <c r="X386" s="949">
        <f t="shared" si="7"/>
        <v>0</v>
      </c>
      <c r="Y386" s="955"/>
      <c r="Z386" s="953" t="str">
        <f t="shared" si="8"/>
        <v/>
      </c>
      <c r="AA386" s="949">
        <f t="shared" si="9"/>
        <v>0</v>
      </c>
      <c r="AB386" s="955"/>
      <c r="AC386" s="949" t="str">
        <f t="shared" si="10"/>
        <v/>
      </c>
      <c r="AD386" s="953">
        <f t="shared" si="11"/>
        <v>0</v>
      </c>
      <c r="AE386" s="956"/>
      <c r="AF386" s="889"/>
      <c r="AG386" s="810" t="b">
        <v>0</v>
      </c>
      <c r="AH386" s="780"/>
      <c r="AI386" s="780"/>
      <c r="AJ386" s="780"/>
      <c r="AK386" s="780"/>
      <c r="AL386" s="780"/>
      <c r="AM386" s="780"/>
      <c r="AN386" s="780"/>
      <c r="AO386" s="780"/>
      <c r="AP386" s="780"/>
      <c r="AQ386" s="780"/>
      <c r="AR386" s="780"/>
      <c r="AS386" s="780"/>
      <c r="AT386" s="780"/>
      <c r="AU386" s="780"/>
      <c r="AV386" s="780"/>
      <c r="AW386" s="780"/>
    </row>
    <row r="387">
      <c r="A387" s="941"/>
      <c r="B387" s="941"/>
      <c r="C387" s="995"/>
      <c r="D387" s="944"/>
      <c r="E387" s="944"/>
      <c r="F387" s="946"/>
      <c r="G387" s="946"/>
      <c r="H387" s="946"/>
      <c r="I387" s="947">
        <v>0.00138428</v>
      </c>
      <c r="J387" s="948">
        <v>0.035</v>
      </c>
      <c r="K387" s="949">
        <f t="shared" si="22"/>
        <v>0</v>
      </c>
      <c r="L387" s="950">
        <f t="shared" si="23"/>
        <v>0</v>
      </c>
      <c r="M387" s="948">
        <v>0.0215</v>
      </c>
      <c r="N387" s="951">
        <f t="shared" si="24"/>
        <v>0.00141404202</v>
      </c>
      <c r="O387" s="949">
        <f t="shared" si="25"/>
        <v>15</v>
      </c>
      <c r="P387" s="949">
        <f t="shared" si="77"/>
        <v>0.0215</v>
      </c>
      <c r="Q387" s="952">
        <f t="shared" si="79"/>
        <v>0</v>
      </c>
      <c r="R387" s="952">
        <f t="shared" si="78"/>
        <v>0</v>
      </c>
      <c r="S387" s="953"/>
      <c r="T387" s="949">
        <v>0.06</v>
      </c>
      <c r="U387" s="954"/>
      <c r="V387" s="949"/>
      <c r="W387" s="953"/>
      <c r="X387" s="949">
        <f t="shared" si="7"/>
        <v>0</v>
      </c>
      <c r="Y387" s="955"/>
      <c r="Z387" s="953" t="str">
        <f t="shared" si="8"/>
        <v/>
      </c>
      <c r="AA387" s="949">
        <f t="shared" si="9"/>
        <v>0</v>
      </c>
      <c r="AB387" s="955"/>
      <c r="AC387" s="949" t="str">
        <f t="shared" si="10"/>
        <v/>
      </c>
      <c r="AD387" s="953">
        <f t="shared" si="11"/>
        <v>0</v>
      </c>
      <c r="AE387" s="956"/>
      <c r="AF387" s="889"/>
      <c r="AG387" s="810" t="b">
        <v>0</v>
      </c>
      <c r="AH387" s="780"/>
      <c r="AI387" s="780"/>
      <c r="AJ387" s="780"/>
      <c r="AK387" s="780"/>
      <c r="AL387" s="780"/>
      <c r="AM387" s="780"/>
      <c r="AN387" s="780"/>
      <c r="AO387" s="780"/>
      <c r="AP387" s="780"/>
      <c r="AQ387" s="780"/>
      <c r="AR387" s="780"/>
      <c r="AS387" s="780"/>
      <c r="AT387" s="780"/>
      <c r="AU387" s="780"/>
      <c r="AV387" s="780"/>
      <c r="AW387" s="780"/>
    </row>
    <row r="388">
      <c r="A388" s="941"/>
      <c r="B388" s="941"/>
      <c r="C388" s="995"/>
      <c r="D388" s="995"/>
      <c r="E388" s="995"/>
      <c r="F388" s="946"/>
      <c r="G388" s="946"/>
      <c r="H388" s="946"/>
      <c r="I388" s="947">
        <v>0.00138428</v>
      </c>
      <c r="J388" s="948">
        <v>0.035</v>
      </c>
      <c r="K388" s="949">
        <f t="shared" si="22"/>
        <v>0</v>
      </c>
      <c r="L388" s="950">
        <f t="shared" si="23"/>
        <v>0</v>
      </c>
      <c r="M388" s="948">
        <v>0.0215</v>
      </c>
      <c r="N388" s="951">
        <f t="shared" si="24"/>
        <v>0.00141404202</v>
      </c>
      <c r="O388" s="949">
        <f t="shared" si="25"/>
        <v>15</v>
      </c>
      <c r="P388" s="949">
        <f t="shared" si="77"/>
        <v>0.0215</v>
      </c>
      <c r="Q388" s="952">
        <f t="shared" si="79"/>
        <v>0</v>
      </c>
      <c r="R388" s="952">
        <f t="shared" si="78"/>
        <v>0</v>
      </c>
      <c r="S388" s="953"/>
      <c r="T388" s="949">
        <v>0.06</v>
      </c>
      <c r="U388" s="954"/>
      <c r="V388" s="949"/>
      <c r="W388" s="953"/>
      <c r="X388" s="949">
        <f t="shared" si="7"/>
        <v>0</v>
      </c>
      <c r="Y388" s="955"/>
      <c r="Z388" s="953" t="str">
        <f t="shared" si="8"/>
        <v/>
      </c>
      <c r="AA388" s="949">
        <f t="shared" si="9"/>
        <v>0</v>
      </c>
      <c r="AB388" s="955"/>
      <c r="AC388" s="949" t="str">
        <f t="shared" si="10"/>
        <v/>
      </c>
      <c r="AD388" s="953">
        <f t="shared" si="11"/>
        <v>0</v>
      </c>
      <c r="AE388" s="956"/>
      <c r="AF388" s="889"/>
      <c r="AG388" s="810" t="b">
        <v>0</v>
      </c>
      <c r="AH388" s="780"/>
      <c r="AI388" s="780"/>
      <c r="AJ388" s="780"/>
      <c r="AK388" s="780"/>
      <c r="AL388" s="780"/>
      <c r="AM388" s="780"/>
      <c r="AN388" s="780"/>
      <c r="AO388" s="780"/>
      <c r="AP388" s="780"/>
      <c r="AQ388" s="780"/>
      <c r="AR388" s="780"/>
      <c r="AS388" s="780"/>
      <c r="AT388" s="780"/>
      <c r="AU388" s="780"/>
      <c r="AV388" s="780"/>
      <c r="AW388" s="780"/>
    </row>
    <row r="389">
      <c r="A389" s="941"/>
      <c r="B389" s="941"/>
      <c r="C389" s="995"/>
      <c r="D389" s="944"/>
      <c r="E389" s="944"/>
      <c r="F389" s="946"/>
      <c r="G389" s="946"/>
      <c r="H389" s="946"/>
      <c r="I389" s="947">
        <v>0.00138428</v>
      </c>
      <c r="J389" s="948">
        <v>0.035</v>
      </c>
      <c r="K389" s="949">
        <f t="shared" si="22"/>
        <v>0</v>
      </c>
      <c r="L389" s="950">
        <f t="shared" si="23"/>
        <v>0</v>
      </c>
      <c r="M389" s="948">
        <v>0.0215</v>
      </c>
      <c r="N389" s="951">
        <f t="shared" si="24"/>
        <v>0.00141404202</v>
      </c>
      <c r="O389" s="949">
        <f t="shared" si="25"/>
        <v>15</v>
      </c>
      <c r="P389" s="949">
        <f t="shared" si="77"/>
        <v>0.0215</v>
      </c>
      <c r="Q389" s="952">
        <f t="shared" si="79"/>
        <v>0</v>
      </c>
      <c r="R389" s="952">
        <f t="shared" si="78"/>
        <v>0</v>
      </c>
      <c r="S389" s="953"/>
      <c r="T389" s="949">
        <v>0.06</v>
      </c>
      <c r="U389" s="954"/>
      <c r="V389" s="949"/>
      <c r="W389" s="953"/>
      <c r="X389" s="949">
        <f t="shared" si="7"/>
        <v>0</v>
      </c>
      <c r="Y389" s="955"/>
      <c r="Z389" s="953" t="str">
        <f t="shared" si="8"/>
        <v/>
      </c>
      <c r="AA389" s="949">
        <f t="shared" si="9"/>
        <v>0</v>
      </c>
      <c r="AB389" s="955"/>
      <c r="AC389" s="949" t="str">
        <f t="shared" si="10"/>
        <v/>
      </c>
      <c r="AD389" s="953">
        <f t="shared" si="11"/>
        <v>0</v>
      </c>
      <c r="AE389" s="956"/>
      <c r="AF389" s="889"/>
      <c r="AG389" s="810" t="b">
        <v>0</v>
      </c>
      <c r="AH389" s="780"/>
      <c r="AI389" s="780"/>
      <c r="AJ389" s="780"/>
      <c r="AK389" s="780"/>
      <c r="AL389" s="780"/>
      <c r="AM389" s="780"/>
      <c r="AN389" s="780"/>
      <c r="AO389" s="780"/>
      <c r="AP389" s="780"/>
      <c r="AQ389" s="780"/>
      <c r="AR389" s="780"/>
      <c r="AS389" s="780"/>
      <c r="AT389" s="780"/>
      <c r="AU389" s="780"/>
      <c r="AV389" s="780"/>
      <c r="AW389" s="780"/>
    </row>
    <row r="390">
      <c r="A390" s="941"/>
      <c r="B390" s="941"/>
      <c r="C390" s="995"/>
      <c r="D390" s="995"/>
      <c r="E390" s="995"/>
      <c r="F390" s="946"/>
      <c r="G390" s="946"/>
      <c r="H390" s="946"/>
      <c r="I390" s="947">
        <v>0.00138428</v>
      </c>
      <c r="J390" s="948">
        <v>0.035</v>
      </c>
      <c r="K390" s="949">
        <f t="shared" si="22"/>
        <v>0</v>
      </c>
      <c r="L390" s="950">
        <f t="shared" si="23"/>
        <v>0</v>
      </c>
      <c r="M390" s="948">
        <v>0.0215</v>
      </c>
      <c r="N390" s="951">
        <f t="shared" si="24"/>
        <v>0.00141404202</v>
      </c>
      <c r="O390" s="949">
        <f t="shared" si="25"/>
        <v>15</v>
      </c>
      <c r="P390" s="949">
        <f t="shared" si="77"/>
        <v>0.0215</v>
      </c>
      <c r="Q390" s="952">
        <f t="shared" si="79"/>
        <v>0</v>
      </c>
      <c r="R390" s="952">
        <f t="shared" si="78"/>
        <v>0</v>
      </c>
      <c r="S390" s="953"/>
      <c r="T390" s="949">
        <v>0.06</v>
      </c>
      <c r="U390" s="954"/>
      <c r="V390" s="949"/>
      <c r="W390" s="953"/>
      <c r="X390" s="949">
        <f t="shared" si="7"/>
        <v>0</v>
      </c>
      <c r="Y390" s="955"/>
      <c r="Z390" s="953" t="str">
        <f t="shared" si="8"/>
        <v/>
      </c>
      <c r="AA390" s="949">
        <f t="shared" si="9"/>
        <v>0</v>
      </c>
      <c r="AB390" s="955"/>
      <c r="AC390" s="949" t="str">
        <f t="shared" si="10"/>
        <v/>
      </c>
      <c r="AD390" s="953">
        <f t="shared" si="11"/>
        <v>0</v>
      </c>
      <c r="AE390" s="956"/>
      <c r="AF390" s="889"/>
      <c r="AG390" s="810" t="b">
        <v>0</v>
      </c>
      <c r="AH390" s="780"/>
      <c r="AI390" s="780"/>
      <c r="AJ390" s="780"/>
      <c r="AK390" s="780"/>
      <c r="AL390" s="780"/>
      <c r="AM390" s="780"/>
      <c r="AN390" s="780"/>
      <c r="AO390" s="780"/>
      <c r="AP390" s="780"/>
      <c r="AQ390" s="780"/>
      <c r="AR390" s="780"/>
      <c r="AS390" s="780"/>
      <c r="AT390" s="780"/>
      <c r="AU390" s="780"/>
      <c r="AV390" s="780"/>
      <c r="AW390" s="780"/>
    </row>
    <row r="391">
      <c r="A391" s="941"/>
      <c r="B391" s="941"/>
      <c r="C391" s="995"/>
      <c r="D391" s="944"/>
      <c r="E391" s="944"/>
      <c r="F391" s="946"/>
      <c r="G391" s="946"/>
      <c r="H391" s="946"/>
      <c r="I391" s="947">
        <v>0.00138428</v>
      </c>
      <c r="J391" s="948">
        <v>0.035</v>
      </c>
      <c r="K391" s="949">
        <f t="shared" si="22"/>
        <v>0</v>
      </c>
      <c r="L391" s="950">
        <f t="shared" si="23"/>
        <v>0</v>
      </c>
      <c r="M391" s="948">
        <v>0.0215</v>
      </c>
      <c r="N391" s="951">
        <f t="shared" si="24"/>
        <v>0.00141404202</v>
      </c>
      <c r="O391" s="949">
        <f t="shared" si="25"/>
        <v>15</v>
      </c>
      <c r="P391" s="949">
        <f t="shared" si="77"/>
        <v>0.0215</v>
      </c>
      <c r="Q391" s="952">
        <f t="shared" si="79"/>
        <v>0</v>
      </c>
      <c r="R391" s="952">
        <f t="shared" si="78"/>
        <v>0</v>
      </c>
      <c r="S391" s="953"/>
      <c r="T391" s="949">
        <v>0.06</v>
      </c>
      <c r="U391" s="954"/>
      <c r="V391" s="949"/>
      <c r="W391" s="953"/>
      <c r="X391" s="949">
        <f t="shared" si="7"/>
        <v>0</v>
      </c>
      <c r="Y391" s="955"/>
      <c r="Z391" s="953" t="str">
        <f t="shared" si="8"/>
        <v/>
      </c>
      <c r="AA391" s="949">
        <f t="shared" si="9"/>
        <v>0</v>
      </c>
      <c r="AB391" s="955"/>
      <c r="AC391" s="949" t="str">
        <f t="shared" si="10"/>
        <v/>
      </c>
      <c r="AD391" s="953">
        <f t="shared" si="11"/>
        <v>0</v>
      </c>
      <c r="AE391" s="956"/>
      <c r="AF391" s="889"/>
      <c r="AG391" s="810" t="b">
        <v>0</v>
      </c>
      <c r="AH391" s="780"/>
      <c r="AI391" s="780"/>
      <c r="AJ391" s="780"/>
      <c r="AK391" s="780"/>
      <c r="AL391" s="780"/>
      <c r="AM391" s="780"/>
      <c r="AN391" s="780"/>
      <c r="AO391" s="780"/>
      <c r="AP391" s="780"/>
      <c r="AQ391" s="780"/>
      <c r="AR391" s="780"/>
      <c r="AS391" s="780"/>
      <c r="AT391" s="780"/>
      <c r="AU391" s="780"/>
      <c r="AV391" s="780"/>
      <c r="AW391" s="780"/>
    </row>
    <row r="392">
      <c r="A392" s="941"/>
      <c r="B392" s="941"/>
      <c r="C392" s="995"/>
      <c r="D392" s="995"/>
      <c r="E392" s="995"/>
      <c r="F392" s="946"/>
      <c r="G392" s="946"/>
      <c r="H392" s="946"/>
      <c r="I392" s="947">
        <v>0.00138428</v>
      </c>
      <c r="J392" s="948">
        <v>0.035</v>
      </c>
      <c r="K392" s="949">
        <f t="shared" si="22"/>
        <v>0</v>
      </c>
      <c r="L392" s="950">
        <f t="shared" si="23"/>
        <v>0</v>
      </c>
      <c r="M392" s="948">
        <v>0.0215</v>
      </c>
      <c r="N392" s="951">
        <f t="shared" si="24"/>
        <v>0.00141404202</v>
      </c>
      <c r="O392" s="949">
        <f t="shared" si="25"/>
        <v>15</v>
      </c>
      <c r="P392" s="949">
        <f t="shared" si="77"/>
        <v>0.0215</v>
      </c>
      <c r="Q392" s="952">
        <f t="shared" si="79"/>
        <v>0</v>
      </c>
      <c r="R392" s="952">
        <f t="shared" si="78"/>
        <v>0</v>
      </c>
      <c r="S392" s="953"/>
      <c r="T392" s="949">
        <v>0.06</v>
      </c>
      <c r="U392" s="954"/>
      <c r="V392" s="949"/>
      <c r="W392" s="953"/>
      <c r="X392" s="949">
        <f t="shared" si="7"/>
        <v>0</v>
      </c>
      <c r="Y392" s="955"/>
      <c r="Z392" s="953" t="str">
        <f t="shared" si="8"/>
        <v/>
      </c>
      <c r="AA392" s="949">
        <f t="shared" si="9"/>
        <v>0</v>
      </c>
      <c r="AB392" s="955"/>
      <c r="AC392" s="949" t="str">
        <f t="shared" si="10"/>
        <v/>
      </c>
      <c r="AD392" s="953">
        <f t="shared" si="11"/>
        <v>0</v>
      </c>
      <c r="AE392" s="956"/>
      <c r="AF392" s="889"/>
      <c r="AG392" s="810" t="b">
        <v>0</v>
      </c>
      <c r="AH392" s="780"/>
      <c r="AI392" s="780"/>
      <c r="AJ392" s="780"/>
      <c r="AK392" s="780"/>
      <c r="AL392" s="780"/>
      <c r="AM392" s="780"/>
      <c r="AN392" s="780"/>
      <c r="AO392" s="780"/>
      <c r="AP392" s="780"/>
      <c r="AQ392" s="780"/>
      <c r="AR392" s="780"/>
      <c r="AS392" s="780"/>
      <c r="AT392" s="780"/>
      <c r="AU392" s="780"/>
      <c r="AV392" s="780"/>
      <c r="AW392" s="780"/>
    </row>
    <row r="393">
      <c r="A393" s="941"/>
      <c r="B393" s="941"/>
      <c r="C393" s="995"/>
      <c r="D393" s="944"/>
      <c r="E393" s="944"/>
      <c r="F393" s="946"/>
      <c r="G393" s="946"/>
      <c r="H393" s="946"/>
      <c r="I393" s="947">
        <v>0.00138428</v>
      </c>
      <c r="J393" s="948">
        <v>0.035</v>
      </c>
      <c r="K393" s="949">
        <f t="shared" si="22"/>
        <v>0</v>
      </c>
      <c r="L393" s="950">
        <f t="shared" si="23"/>
        <v>0</v>
      </c>
      <c r="M393" s="948">
        <v>0.0215</v>
      </c>
      <c r="N393" s="951">
        <f t="shared" si="24"/>
        <v>0.00141404202</v>
      </c>
      <c r="O393" s="949">
        <f t="shared" si="25"/>
        <v>15</v>
      </c>
      <c r="P393" s="949">
        <f t="shared" si="77"/>
        <v>0.0215</v>
      </c>
      <c r="Q393" s="952">
        <f t="shared" si="79"/>
        <v>0</v>
      </c>
      <c r="R393" s="952">
        <f t="shared" si="78"/>
        <v>0</v>
      </c>
      <c r="S393" s="953"/>
      <c r="T393" s="949">
        <v>0.06</v>
      </c>
      <c r="U393" s="954"/>
      <c r="V393" s="949"/>
      <c r="W393" s="953"/>
      <c r="X393" s="949">
        <f t="shared" si="7"/>
        <v>0</v>
      </c>
      <c r="Y393" s="955"/>
      <c r="Z393" s="953" t="str">
        <f t="shared" si="8"/>
        <v/>
      </c>
      <c r="AA393" s="949">
        <f t="shared" si="9"/>
        <v>0</v>
      </c>
      <c r="AB393" s="955"/>
      <c r="AC393" s="949" t="str">
        <f t="shared" si="10"/>
        <v/>
      </c>
      <c r="AD393" s="953">
        <f t="shared" si="11"/>
        <v>0</v>
      </c>
      <c r="AE393" s="956"/>
      <c r="AF393" s="889"/>
      <c r="AG393" s="810" t="b">
        <v>0</v>
      </c>
      <c r="AH393" s="780"/>
      <c r="AI393" s="780"/>
      <c r="AJ393" s="780"/>
      <c r="AK393" s="780"/>
      <c r="AL393" s="780"/>
      <c r="AM393" s="780"/>
      <c r="AN393" s="780"/>
      <c r="AO393" s="780"/>
      <c r="AP393" s="780"/>
      <c r="AQ393" s="780"/>
      <c r="AR393" s="780"/>
      <c r="AS393" s="780"/>
      <c r="AT393" s="780"/>
      <c r="AU393" s="780"/>
      <c r="AV393" s="780"/>
      <c r="AW393" s="780"/>
    </row>
    <row r="394">
      <c r="A394" s="941"/>
      <c r="B394" s="941"/>
      <c r="C394" s="995"/>
      <c r="D394" s="995"/>
      <c r="E394" s="995"/>
      <c r="F394" s="946"/>
      <c r="G394" s="946"/>
      <c r="H394" s="946"/>
      <c r="I394" s="947">
        <v>0.00138428</v>
      </c>
      <c r="J394" s="948">
        <v>0.035</v>
      </c>
      <c r="K394" s="949">
        <f t="shared" si="22"/>
        <v>0</v>
      </c>
      <c r="L394" s="950">
        <f t="shared" si="23"/>
        <v>0</v>
      </c>
      <c r="M394" s="948">
        <v>0.0215</v>
      </c>
      <c r="N394" s="951">
        <f t="shared" si="24"/>
        <v>0.00141404202</v>
      </c>
      <c r="O394" s="949">
        <f t="shared" si="25"/>
        <v>15</v>
      </c>
      <c r="P394" s="949">
        <f t="shared" si="77"/>
        <v>0.0215</v>
      </c>
      <c r="Q394" s="952">
        <f t="shared" si="79"/>
        <v>0</v>
      </c>
      <c r="R394" s="952">
        <f t="shared" si="78"/>
        <v>0</v>
      </c>
      <c r="S394" s="953"/>
      <c r="T394" s="949">
        <v>0.06</v>
      </c>
      <c r="U394" s="954"/>
      <c r="V394" s="949"/>
      <c r="W394" s="953"/>
      <c r="X394" s="949">
        <f t="shared" si="7"/>
        <v>0</v>
      </c>
      <c r="Y394" s="955"/>
      <c r="Z394" s="953" t="str">
        <f t="shared" si="8"/>
        <v/>
      </c>
      <c r="AA394" s="949">
        <f t="shared" si="9"/>
        <v>0</v>
      </c>
      <c r="AB394" s="955"/>
      <c r="AC394" s="949" t="str">
        <f t="shared" si="10"/>
        <v/>
      </c>
      <c r="AD394" s="953">
        <f t="shared" si="11"/>
        <v>0</v>
      </c>
      <c r="AE394" s="956"/>
      <c r="AF394" s="889"/>
      <c r="AG394" s="810" t="b">
        <v>0</v>
      </c>
      <c r="AH394" s="780"/>
      <c r="AI394" s="780"/>
      <c r="AJ394" s="780"/>
      <c r="AK394" s="780"/>
      <c r="AL394" s="780"/>
      <c r="AM394" s="780"/>
      <c r="AN394" s="780"/>
      <c r="AO394" s="780"/>
      <c r="AP394" s="780"/>
      <c r="AQ394" s="780"/>
      <c r="AR394" s="780"/>
      <c r="AS394" s="780"/>
      <c r="AT394" s="780"/>
      <c r="AU394" s="780"/>
      <c r="AV394" s="780"/>
      <c r="AW394" s="780"/>
    </row>
    <row r="395">
      <c r="A395" s="941"/>
      <c r="B395" s="941"/>
      <c r="C395" s="995"/>
      <c r="D395" s="944"/>
      <c r="E395" s="944"/>
      <c r="F395" s="946"/>
      <c r="G395" s="946"/>
      <c r="H395" s="946"/>
      <c r="I395" s="947">
        <v>0.00138428</v>
      </c>
      <c r="J395" s="948">
        <v>0.035</v>
      </c>
      <c r="K395" s="949">
        <f t="shared" si="22"/>
        <v>0</v>
      </c>
      <c r="L395" s="950">
        <f t="shared" si="23"/>
        <v>0</v>
      </c>
      <c r="M395" s="948">
        <v>0.0215</v>
      </c>
      <c r="N395" s="951">
        <f t="shared" si="24"/>
        <v>0.00141404202</v>
      </c>
      <c r="O395" s="949">
        <f t="shared" si="25"/>
        <v>15</v>
      </c>
      <c r="P395" s="949">
        <f t="shared" si="77"/>
        <v>0.0215</v>
      </c>
      <c r="Q395" s="952">
        <f t="shared" si="79"/>
        <v>0</v>
      </c>
      <c r="R395" s="952">
        <f t="shared" si="78"/>
        <v>0</v>
      </c>
      <c r="S395" s="953"/>
      <c r="T395" s="949">
        <v>0.06</v>
      </c>
      <c r="U395" s="954"/>
      <c r="V395" s="949"/>
      <c r="W395" s="953"/>
      <c r="X395" s="949">
        <f t="shared" si="7"/>
        <v>0</v>
      </c>
      <c r="Y395" s="955"/>
      <c r="Z395" s="953" t="str">
        <f t="shared" si="8"/>
        <v/>
      </c>
      <c r="AA395" s="949">
        <f t="shared" si="9"/>
        <v>0</v>
      </c>
      <c r="AB395" s="955"/>
      <c r="AC395" s="949" t="str">
        <f t="shared" si="10"/>
        <v/>
      </c>
      <c r="AD395" s="953">
        <f t="shared" si="11"/>
        <v>0</v>
      </c>
      <c r="AE395" s="956"/>
      <c r="AF395" s="889"/>
      <c r="AG395" s="810" t="b">
        <v>0</v>
      </c>
      <c r="AH395" s="780"/>
      <c r="AI395" s="780"/>
      <c r="AJ395" s="780"/>
      <c r="AK395" s="780"/>
      <c r="AL395" s="780"/>
      <c r="AM395" s="780"/>
      <c r="AN395" s="780"/>
      <c r="AO395" s="780"/>
      <c r="AP395" s="780"/>
      <c r="AQ395" s="780"/>
      <c r="AR395" s="780"/>
      <c r="AS395" s="780"/>
      <c r="AT395" s="780"/>
      <c r="AU395" s="780"/>
      <c r="AV395" s="780"/>
      <c r="AW395" s="780"/>
    </row>
    <row r="396">
      <c r="A396" s="941"/>
      <c r="B396" s="941"/>
      <c r="C396" s="995"/>
      <c r="D396" s="995"/>
      <c r="E396" s="995"/>
      <c r="F396" s="946"/>
      <c r="G396" s="946"/>
      <c r="H396" s="946"/>
      <c r="I396" s="947">
        <v>0.00138428</v>
      </c>
      <c r="J396" s="948">
        <v>0.035</v>
      </c>
      <c r="K396" s="949">
        <f t="shared" si="22"/>
        <v>0</v>
      </c>
      <c r="L396" s="950">
        <f t="shared" si="23"/>
        <v>0</v>
      </c>
      <c r="M396" s="948">
        <v>0.0215</v>
      </c>
      <c r="N396" s="951">
        <f t="shared" si="24"/>
        <v>0.00141404202</v>
      </c>
      <c r="O396" s="949">
        <f t="shared" si="25"/>
        <v>15</v>
      </c>
      <c r="P396" s="949">
        <f t="shared" si="77"/>
        <v>0.0215</v>
      </c>
      <c r="Q396" s="952">
        <f t="shared" si="79"/>
        <v>0</v>
      </c>
      <c r="R396" s="952">
        <f t="shared" si="78"/>
        <v>0</v>
      </c>
      <c r="S396" s="953"/>
      <c r="T396" s="949">
        <v>0.06</v>
      </c>
      <c r="U396" s="954"/>
      <c r="V396" s="949"/>
      <c r="W396" s="953"/>
      <c r="X396" s="949">
        <f t="shared" si="7"/>
        <v>0</v>
      </c>
      <c r="Y396" s="955"/>
      <c r="Z396" s="953" t="str">
        <f t="shared" si="8"/>
        <v/>
      </c>
      <c r="AA396" s="949">
        <f t="shared" si="9"/>
        <v>0</v>
      </c>
      <c r="AB396" s="955"/>
      <c r="AC396" s="949" t="str">
        <f t="shared" si="10"/>
        <v/>
      </c>
      <c r="AD396" s="953">
        <f t="shared" si="11"/>
        <v>0</v>
      </c>
      <c r="AE396" s="956"/>
      <c r="AF396" s="889"/>
      <c r="AG396" s="810" t="b">
        <v>0</v>
      </c>
      <c r="AH396" s="780"/>
      <c r="AI396" s="780"/>
      <c r="AJ396" s="780"/>
      <c r="AK396" s="780"/>
      <c r="AL396" s="780"/>
      <c r="AM396" s="780"/>
      <c r="AN396" s="780"/>
      <c r="AO396" s="780"/>
      <c r="AP396" s="780"/>
      <c r="AQ396" s="780"/>
      <c r="AR396" s="780"/>
      <c r="AS396" s="780"/>
      <c r="AT396" s="780"/>
      <c r="AU396" s="780"/>
      <c r="AV396" s="780"/>
      <c r="AW396" s="780"/>
    </row>
    <row r="397">
      <c r="A397" s="941"/>
      <c r="B397" s="941"/>
      <c r="C397" s="995"/>
      <c r="D397" s="944"/>
      <c r="E397" s="944"/>
      <c r="F397" s="946"/>
      <c r="G397" s="946"/>
      <c r="H397" s="946"/>
      <c r="I397" s="947">
        <v>0.00138428</v>
      </c>
      <c r="J397" s="948">
        <v>0.035</v>
      </c>
      <c r="K397" s="949">
        <f t="shared" si="22"/>
        <v>0</v>
      </c>
      <c r="L397" s="950">
        <f t="shared" si="23"/>
        <v>0</v>
      </c>
      <c r="M397" s="948">
        <v>0.0215</v>
      </c>
      <c r="N397" s="951">
        <f t="shared" si="24"/>
        <v>0.00141404202</v>
      </c>
      <c r="O397" s="949">
        <f t="shared" si="25"/>
        <v>15</v>
      </c>
      <c r="P397" s="949">
        <f t="shared" si="77"/>
        <v>0.0215</v>
      </c>
      <c r="Q397" s="952">
        <f t="shared" si="79"/>
        <v>0</v>
      </c>
      <c r="R397" s="952">
        <f t="shared" si="78"/>
        <v>0</v>
      </c>
      <c r="S397" s="953"/>
      <c r="T397" s="949">
        <v>0.06</v>
      </c>
      <c r="U397" s="954"/>
      <c r="V397" s="949"/>
      <c r="W397" s="953"/>
      <c r="X397" s="949">
        <f t="shared" si="7"/>
        <v>0</v>
      </c>
      <c r="Y397" s="955"/>
      <c r="Z397" s="953" t="str">
        <f t="shared" si="8"/>
        <v/>
      </c>
      <c r="AA397" s="949">
        <f t="shared" si="9"/>
        <v>0</v>
      </c>
      <c r="AB397" s="955"/>
      <c r="AC397" s="949" t="str">
        <f t="shared" si="10"/>
        <v/>
      </c>
      <c r="AD397" s="953">
        <f t="shared" si="11"/>
        <v>0</v>
      </c>
      <c r="AE397" s="956"/>
      <c r="AF397" s="889"/>
      <c r="AG397" s="810" t="b">
        <v>0</v>
      </c>
      <c r="AH397" s="780"/>
      <c r="AI397" s="780"/>
      <c r="AJ397" s="780"/>
      <c r="AK397" s="780"/>
      <c r="AL397" s="780"/>
      <c r="AM397" s="780"/>
      <c r="AN397" s="780"/>
      <c r="AO397" s="780"/>
      <c r="AP397" s="780"/>
      <c r="AQ397" s="780"/>
      <c r="AR397" s="780"/>
      <c r="AS397" s="780"/>
      <c r="AT397" s="780"/>
      <c r="AU397" s="780"/>
      <c r="AV397" s="780"/>
      <c r="AW397" s="780"/>
    </row>
    <row r="398">
      <c r="A398" s="941"/>
      <c r="B398" s="941"/>
      <c r="C398" s="995"/>
      <c r="D398" s="995"/>
      <c r="E398" s="995"/>
      <c r="F398" s="946"/>
      <c r="G398" s="946"/>
      <c r="H398" s="946"/>
      <c r="I398" s="947">
        <v>0.00138428</v>
      </c>
      <c r="J398" s="948">
        <v>0.035</v>
      </c>
      <c r="K398" s="949">
        <f t="shared" si="22"/>
        <v>0</v>
      </c>
      <c r="L398" s="950">
        <f t="shared" si="23"/>
        <v>0</v>
      </c>
      <c r="M398" s="948">
        <v>0.0215</v>
      </c>
      <c r="N398" s="951">
        <f t="shared" si="24"/>
        <v>0.00141404202</v>
      </c>
      <c r="O398" s="949">
        <f t="shared" si="25"/>
        <v>15</v>
      </c>
      <c r="P398" s="949">
        <f t="shared" si="77"/>
        <v>0.0215</v>
      </c>
      <c r="Q398" s="952">
        <f t="shared" si="79"/>
        <v>0</v>
      </c>
      <c r="R398" s="952">
        <f t="shared" si="78"/>
        <v>0</v>
      </c>
      <c r="S398" s="953"/>
      <c r="T398" s="949">
        <v>0.06</v>
      </c>
      <c r="U398" s="954"/>
      <c r="V398" s="949"/>
      <c r="W398" s="953"/>
      <c r="X398" s="949">
        <f t="shared" si="7"/>
        <v>0</v>
      </c>
      <c r="Y398" s="955"/>
      <c r="Z398" s="953" t="str">
        <f t="shared" si="8"/>
        <v/>
      </c>
      <c r="AA398" s="949">
        <f t="shared" si="9"/>
        <v>0</v>
      </c>
      <c r="AB398" s="955"/>
      <c r="AC398" s="949" t="str">
        <f t="shared" si="10"/>
        <v/>
      </c>
      <c r="AD398" s="953">
        <f t="shared" si="11"/>
        <v>0</v>
      </c>
      <c r="AE398" s="956"/>
      <c r="AF398" s="889"/>
      <c r="AG398" s="810" t="b">
        <v>0</v>
      </c>
      <c r="AH398" s="780"/>
      <c r="AI398" s="780"/>
      <c r="AJ398" s="780"/>
      <c r="AK398" s="780"/>
      <c r="AL398" s="780"/>
      <c r="AM398" s="780"/>
      <c r="AN398" s="780"/>
      <c r="AO398" s="780"/>
      <c r="AP398" s="780"/>
      <c r="AQ398" s="780"/>
      <c r="AR398" s="780"/>
      <c r="AS398" s="780"/>
      <c r="AT398" s="780"/>
      <c r="AU398" s="780"/>
      <c r="AV398" s="780"/>
      <c r="AW398" s="780"/>
    </row>
    <row r="399">
      <c r="A399" s="941"/>
      <c r="B399" s="941"/>
      <c r="C399" s="995"/>
      <c r="D399" s="944"/>
      <c r="E399" s="944"/>
      <c r="F399" s="946"/>
      <c r="G399" s="946"/>
      <c r="H399" s="946"/>
      <c r="I399" s="947">
        <v>0.00138428</v>
      </c>
      <c r="J399" s="948">
        <v>0.035</v>
      </c>
      <c r="K399" s="949">
        <f t="shared" si="22"/>
        <v>0</v>
      </c>
      <c r="L399" s="950">
        <f t="shared" si="23"/>
        <v>0</v>
      </c>
      <c r="M399" s="948">
        <v>0.0215</v>
      </c>
      <c r="N399" s="951">
        <f t="shared" si="24"/>
        <v>0.00141404202</v>
      </c>
      <c r="O399" s="949">
        <f t="shared" si="25"/>
        <v>15</v>
      </c>
      <c r="P399" s="949">
        <f t="shared" si="77"/>
        <v>0.0215</v>
      </c>
      <c r="Q399" s="952">
        <f t="shared" si="79"/>
        <v>0</v>
      </c>
      <c r="R399" s="952">
        <f t="shared" si="78"/>
        <v>0</v>
      </c>
      <c r="S399" s="953"/>
      <c r="T399" s="949">
        <v>0.06</v>
      </c>
      <c r="U399" s="954"/>
      <c r="V399" s="949"/>
      <c r="W399" s="953"/>
      <c r="X399" s="949">
        <f t="shared" si="7"/>
        <v>0</v>
      </c>
      <c r="Y399" s="955"/>
      <c r="Z399" s="953" t="str">
        <f t="shared" si="8"/>
        <v/>
      </c>
      <c r="AA399" s="949">
        <f t="shared" si="9"/>
        <v>0</v>
      </c>
      <c r="AB399" s="955"/>
      <c r="AC399" s="949" t="str">
        <f t="shared" si="10"/>
        <v/>
      </c>
      <c r="AD399" s="953">
        <f t="shared" si="11"/>
        <v>0</v>
      </c>
      <c r="AE399" s="956"/>
      <c r="AF399" s="889"/>
      <c r="AG399" s="810" t="b">
        <v>0</v>
      </c>
      <c r="AH399" s="780"/>
      <c r="AI399" s="780"/>
      <c r="AJ399" s="780"/>
      <c r="AK399" s="780"/>
      <c r="AL399" s="780"/>
      <c r="AM399" s="780"/>
      <c r="AN399" s="780"/>
      <c r="AO399" s="780"/>
      <c r="AP399" s="780"/>
      <c r="AQ399" s="780"/>
      <c r="AR399" s="780"/>
      <c r="AS399" s="780"/>
      <c r="AT399" s="780"/>
      <c r="AU399" s="780"/>
      <c r="AV399" s="780"/>
      <c r="AW399" s="780"/>
    </row>
    <row r="400">
      <c r="A400" s="941"/>
      <c r="B400" s="941"/>
      <c r="C400" s="995"/>
      <c r="D400" s="995"/>
      <c r="E400" s="995"/>
      <c r="F400" s="946"/>
      <c r="G400" s="946"/>
      <c r="H400" s="946"/>
      <c r="I400" s="947">
        <v>0.00138428</v>
      </c>
      <c r="J400" s="948">
        <v>0.035</v>
      </c>
      <c r="K400" s="949">
        <f t="shared" si="22"/>
        <v>0</v>
      </c>
      <c r="L400" s="950">
        <f t="shared" si="23"/>
        <v>0</v>
      </c>
      <c r="M400" s="948">
        <v>0.0215</v>
      </c>
      <c r="N400" s="951">
        <f t="shared" si="24"/>
        <v>0.00141404202</v>
      </c>
      <c r="O400" s="949">
        <f t="shared" si="25"/>
        <v>15</v>
      </c>
      <c r="P400" s="949">
        <f t="shared" si="77"/>
        <v>0.0215</v>
      </c>
      <c r="Q400" s="952">
        <f t="shared" si="79"/>
        <v>0</v>
      </c>
      <c r="R400" s="952">
        <f t="shared" si="78"/>
        <v>0</v>
      </c>
      <c r="S400" s="953"/>
      <c r="T400" s="949">
        <v>0.06</v>
      </c>
      <c r="U400" s="954"/>
      <c r="V400" s="949"/>
      <c r="W400" s="953"/>
      <c r="X400" s="949">
        <f t="shared" si="7"/>
        <v>0</v>
      </c>
      <c r="Y400" s="955"/>
      <c r="Z400" s="953" t="str">
        <f t="shared" si="8"/>
        <v/>
      </c>
      <c r="AA400" s="949">
        <f t="shared" si="9"/>
        <v>0</v>
      </c>
      <c r="AB400" s="955"/>
      <c r="AC400" s="949" t="str">
        <f t="shared" si="10"/>
        <v/>
      </c>
      <c r="AD400" s="953">
        <f t="shared" si="11"/>
        <v>0</v>
      </c>
      <c r="AE400" s="956"/>
      <c r="AF400" s="889"/>
      <c r="AG400" s="810" t="b">
        <v>0</v>
      </c>
      <c r="AH400" s="780"/>
      <c r="AI400" s="780"/>
      <c r="AJ400" s="780"/>
      <c r="AK400" s="780"/>
      <c r="AL400" s="780"/>
      <c r="AM400" s="780"/>
      <c r="AN400" s="780"/>
      <c r="AO400" s="780"/>
      <c r="AP400" s="780"/>
      <c r="AQ400" s="780"/>
      <c r="AR400" s="780"/>
      <c r="AS400" s="780"/>
      <c r="AT400" s="780"/>
      <c r="AU400" s="780"/>
      <c r="AV400" s="780"/>
      <c r="AW400" s="780"/>
    </row>
    <row r="401">
      <c r="A401" s="941"/>
      <c r="B401" s="941"/>
      <c r="C401" s="995"/>
      <c r="D401" s="944"/>
      <c r="E401" s="944"/>
      <c r="F401" s="946"/>
      <c r="G401" s="946"/>
      <c r="H401" s="946"/>
      <c r="I401" s="947">
        <v>0.00138428</v>
      </c>
      <c r="J401" s="948">
        <v>0.035</v>
      </c>
      <c r="K401" s="949">
        <f t="shared" si="22"/>
        <v>0</v>
      </c>
      <c r="L401" s="950">
        <f t="shared" si="23"/>
        <v>0</v>
      </c>
      <c r="M401" s="948">
        <v>0.0215</v>
      </c>
      <c r="N401" s="951">
        <f t="shared" si="24"/>
        <v>0.00141404202</v>
      </c>
      <c r="O401" s="949">
        <f t="shared" si="25"/>
        <v>15</v>
      </c>
      <c r="P401" s="949">
        <f t="shared" si="77"/>
        <v>0.0215</v>
      </c>
      <c r="Q401" s="952">
        <f t="shared" si="79"/>
        <v>0</v>
      </c>
      <c r="R401" s="952">
        <f t="shared" si="78"/>
        <v>0</v>
      </c>
      <c r="S401" s="953"/>
      <c r="T401" s="949">
        <v>0.06</v>
      </c>
      <c r="U401" s="954"/>
      <c r="V401" s="949"/>
      <c r="W401" s="953"/>
      <c r="X401" s="949">
        <f t="shared" si="7"/>
        <v>0</v>
      </c>
      <c r="Y401" s="955"/>
      <c r="Z401" s="953" t="str">
        <f t="shared" si="8"/>
        <v/>
      </c>
      <c r="AA401" s="949">
        <f t="shared" si="9"/>
        <v>0</v>
      </c>
      <c r="AB401" s="955"/>
      <c r="AC401" s="949" t="str">
        <f t="shared" si="10"/>
        <v/>
      </c>
      <c r="AD401" s="953">
        <f t="shared" si="11"/>
        <v>0</v>
      </c>
      <c r="AE401" s="956"/>
      <c r="AF401" s="889"/>
      <c r="AG401" s="810" t="b">
        <v>0</v>
      </c>
      <c r="AH401" s="780"/>
      <c r="AI401" s="780"/>
      <c r="AJ401" s="780"/>
      <c r="AK401" s="780"/>
      <c r="AL401" s="780"/>
      <c r="AM401" s="780"/>
      <c r="AN401" s="780"/>
      <c r="AO401" s="780"/>
      <c r="AP401" s="780"/>
      <c r="AQ401" s="780"/>
      <c r="AR401" s="780"/>
      <c r="AS401" s="780"/>
      <c r="AT401" s="780"/>
      <c r="AU401" s="780"/>
      <c r="AV401" s="780"/>
      <c r="AW401" s="780"/>
    </row>
    <row r="402">
      <c r="A402" s="941"/>
      <c r="B402" s="941"/>
      <c r="C402" s="995"/>
      <c r="D402" s="995"/>
      <c r="E402" s="995"/>
      <c r="F402" s="946"/>
      <c r="G402" s="946"/>
      <c r="H402" s="946"/>
      <c r="I402" s="947">
        <v>0.00138428</v>
      </c>
      <c r="J402" s="948">
        <v>0.035</v>
      </c>
      <c r="K402" s="949">
        <f t="shared" si="22"/>
        <v>0</v>
      </c>
      <c r="L402" s="950">
        <f t="shared" si="23"/>
        <v>0</v>
      </c>
      <c r="M402" s="948">
        <v>0.0215</v>
      </c>
      <c r="N402" s="951">
        <f t="shared" si="24"/>
        <v>0.00141404202</v>
      </c>
      <c r="O402" s="949">
        <f t="shared" si="25"/>
        <v>15</v>
      </c>
      <c r="P402" s="949">
        <f t="shared" si="77"/>
        <v>0.0215</v>
      </c>
      <c r="Q402" s="952">
        <f t="shared" si="79"/>
        <v>0</v>
      </c>
      <c r="R402" s="952">
        <f t="shared" si="78"/>
        <v>0</v>
      </c>
      <c r="S402" s="953"/>
      <c r="T402" s="949">
        <v>0.06</v>
      </c>
      <c r="U402" s="954"/>
      <c r="V402" s="949"/>
      <c r="W402" s="953"/>
      <c r="X402" s="949">
        <f t="shared" si="7"/>
        <v>0</v>
      </c>
      <c r="Y402" s="955"/>
      <c r="Z402" s="953" t="str">
        <f t="shared" si="8"/>
        <v/>
      </c>
      <c r="AA402" s="949">
        <f t="shared" si="9"/>
        <v>0</v>
      </c>
      <c r="AB402" s="955"/>
      <c r="AC402" s="949" t="str">
        <f t="shared" si="10"/>
        <v/>
      </c>
      <c r="AD402" s="953">
        <f t="shared" si="11"/>
        <v>0</v>
      </c>
      <c r="AE402" s="956"/>
      <c r="AF402" s="889"/>
      <c r="AG402" s="810" t="b">
        <v>0</v>
      </c>
      <c r="AH402" s="780"/>
      <c r="AI402" s="780"/>
      <c r="AJ402" s="780"/>
      <c r="AK402" s="780"/>
      <c r="AL402" s="780"/>
      <c r="AM402" s="780"/>
      <c r="AN402" s="780"/>
      <c r="AO402" s="780"/>
      <c r="AP402" s="780"/>
      <c r="AQ402" s="780"/>
      <c r="AR402" s="780"/>
      <c r="AS402" s="780"/>
      <c r="AT402" s="780"/>
      <c r="AU402" s="780"/>
      <c r="AV402" s="780"/>
      <c r="AW402" s="780"/>
    </row>
    <row r="403">
      <c r="A403" s="941"/>
      <c r="B403" s="941"/>
      <c r="C403" s="995"/>
      <c r="D403" s="944"/>
      <c r="E403" s="944"/>
      <c r="F403" s="946"/>
      <c r="G403" s="946"/>
      <c r="H403" s="946"/>
      <c r="I403" s="947">
        <v>0.00138428</v>
      </c>
      <c r="J403" s="948">
        <v>0.035</v>
      </c>
      <c r="K403" s="949">
        <f t="shared" si="22"/>
        <v>0</v>
      </c>
      <c r="L403" s="950">
        <f t="shared" si="23"/>
        <v>0</v>
      </c>
      <c r="M403" s="948">
        <v>0.0215</v>
      </c>
      <c r="N403" s="951">
        <f t="shared" si="24"/>
        <v>0.00141404202</v>
      </c>
      <c r="O403" s="949">
        <f t="shared" si="25"/>
        <v>15</v>
      </c>
      <c r="P403" s="949">
        <f t="shared" si="77"/>
        <v>0.0215</v>
      </c>
      <c r="Q403" s="952">
        <f t="shared" si="79"/>
        <v>0</v>
      </c>
      <c r="R403" s="952">
        <f t="shared" si="78"/>
        <v>0</v>
      </c>
      <c r="S403" s="953"/>
      <c r="T403" s="949">
        <v>0.06</v>
      </c>
      <c r="U403" s="954"/>
      <c r="V403" s="949"/>
      <c r="W403" s="953"/>
      <c r="X403" s="949">
        <f t="shared" si="7"/>
        <v>0</v>
      </c>
      <c r="Y403" s="955"/>
      <c r="Z403" s="953" t="str">
        <f t="shared" si="8"/>
        <v/>
      </c>
      <c r="AA403" s="949">
        <f t="shared" si="9"/>
        <v>0</v>
      </c>
      <c r="AB403" s="955"/>
      <c r="AC403" s="949" t="str">
        <f t="shared" si="10"/>
        <v/>
      </c>
      <c r="AD403" s="953">
        <f t="shared" si="11"/>
        <v>0</v>
      </c>
      <c r="AE403" s="956"/>
      <c r="AF403" s="889"/>
      <c r="AG403" s="810" t="b">
        <v>0</v>
      </c>
      <c r="AH403" s="780"/>
      <c r="AI403" s="780"/>
      <c r="AJ403" s="780"/>
      <c r="AK403" s="780"/>
      <c r="AL403" s="780"/>
      <c r="AM403" s="780"/>
      <c r="AN403" s="780"/>
      <c r="AO403" s="780"/>
      <c r="AP403" s="780"/>
      <c r="AQ403" s="780"/>
      <c r="AR403" s="780"/>
      <c r="AS403" s="780"/>
      <c r="AT403" s="780"/>
      <c r="AU403" s="780"/>
      <c r="AV403" s="780"/>
      <c r="AW403" s="780"/>
    </row>
    <row r="404">
      <c r="A404" s="941"/>
      <c r="B404" s="941"/>
      <c r="C404" s="995"/>
      <c r="D404" s="995"/>
      <c r="E404" s="995"/>
      <c r="F404" s="946"/>
      <c r="G404" s="946"/>
      <c r="H404" s="946"/>
      <c r="I404" s="947">
        <v>0.00138428</v>
      </c>
      <c r="J404" s="948">
        <v>0.035</v>
      </c>
      <c r="K404" s="949">
        <f t="shared" si="22"/>
        <v>0</v>
      </c>
      <c r="L404" s="950">
        <f t="shared" si="23"/>
        <v>0</v>
      </c>
      <c r="M404" s="948">
        <v>0.0215</v>
      </c>
      <c r="N404" s="951">
        <f t="shared" si="24"/>
        <v>0.00141404202</v>
      </c>
      <c r="O404" s="949">
        <f t="shared" si="25"/>
        <v>15</v>
      </c>
      <c r="P404" s="949">
        <f t="shared" si="77"/>
        <v>0.0215</v>
      </c>
      <c r="Q404" s="952">
        <f t="shared" si="79"/>
        <v>0</v>
      </c>
      <c r="R404" s="952">
        <f t="shared" si="78"/>
        <v>0</v>
      </c>
      <c r="S404" s="953"/>
      <c r="T404" s="949">
        <v>0.06</v>
      </c>
      <c r="U404" s="954"/>
      <c r="V404" s="949"/>
      <c r="W404" s="953"/>
      <c r="X404" s="949">
        <f t="shared" si="7"/>
        <v>0</v>
      </c>
      <c r="Y404" s="955"/>
      <c r="Z404" s="953" t="str">
        <f t="shared" si="8"/>
        <v/>
      </c>
      <c r="AA404" s="949">
        <f t="shared" si="9"/>
        <v>0</v>
      </c>
      <c r="AB404" s="955"/>
      <c r="AC404" s="949" t="str">
        <f t="shared" si="10"/>
        <v/>
      </c>
      <c r="AD404" s="953">
        <f t="shared" si="11"/>
        <v>0</v>
      </c>
      <c r="AE404" s="956"/>
      <c r="AF404" s="889"/>
      <c r="AG404" s="810" t="b">
        <v>0</v>
      </c>
      <c r="AH404" s="780"/>
      <c r="AI404" s="780"/>
      <c r="AJ404" s="780"/>
      <c r="AK404" s="780"/>
      <c r="AL404" s="780"/>
      <c r="AM404" s="780"/>
      <c r="AN404" s="780"/>
      <c r="AO404" s="780"/>
      <c r="AP404" s="780"/>
      <c r="AQ404" s="780"/>
      <c r="AR404" s="780"/>
      <c r="AS404" s="780"/>
      <c r="AT404" s="780"/>
      <c r="AU404" s="780"/>
      <c r="AV404" s="780"/>
      <c r="AW404" s="780"/>
    </row>
    <row r="405">
      <c r="A405" s="941"/>
      <c r="B405" s="941"/>
      <c r="C405" s="995"/>
      <c r="D405" s="944"/>
      <c r="E405" s="944"/>
      <c r="F405" s="946"/>
      <c r="G405" s="946"/>
      <c r="H405" s="946"/>
      <c r="I405" s="947">
        <v>0.00138428</v>
      </c>
      <c r="J405" s="948">
        <v>0.035</v>
      </c>
      <c r="K405" s="949">
        <f t="shared" si="22"/>
        <v>0</v>
      </c>
      <c r="L405" s="950">
        <f t="shared" si="23"/>
        <v>0</v>
      </c>
      <c r="M405" s="948">
        <v>0.0215</v>
      </c>
      <c r="N405" s="951">
        <f t="shared" si="24"/>
        <v>0.00141404202</v>
      </c>
      <c r="O405" s="949">
        <f t="shared" si="25"/>
        <v>15</v>
      </c>
      <c r="P405" s="949">
        <f t="shared" si="77"/>
        <v>0.0215</v>
      </c>
      <c r="Q405" s="952">
        <f t="shared" si="79"/>
        <v>0</v>
      </c>
      <c r="R405" s="952">
        <f t="shared" si="78"/>
        <v>0</v>
      </c>
      <c r="S405" s="953"/>
      <c r="T405" s="949">
        <v>0.06</v>
      </c>
      <c r="U405" s="954"/>
      <c r="V405" s="949"/>
      <c r="W405" s="953"/>
      <c r="X405" s="949">
        <f t="shared" si="7"/>
        <v>0</v>
      </c>
      <c r="Y405" s="955"/>
      <c r="Z405" s="953" t="str">
        <f t="shared" si="8"/>
        <v/>
      </c>
      <c r="AA405" s="949">
        <f t="shared" si="9"/>
        <v>0</v>
      </c>
      <c r="AB405" s="955"/>
      <c r="AC405" s="949" t="str">
        <f t="shared" si="10"/>
        <v/>
      </c>
      <c r="AD405" s="953">
        <f t="shared" si="11"/>
        <v>0</v>
      </c>
      <c r="AE405" s="956"/>
      <c r="AF405" s="889"/>
      <c r="AG405" s="810" t="b">
        <v>0</v>
      </c>
      <c r="AH405" s="780"/>
      <c r="AI405" s="780"/>
      <c r="AJ405" s="780"/>
      <c r="AK405" s="780"/>
      <c r="AL405" s="780"/>
      <c r="AM405" s="780"/>
      <c r="AN405" s="780"/>
      <c r="AO405" s="780"/>
      <c r="AP405" s="780"/>
      <c r="AQ405" s="780"/>
      <c r="AR405" s="780"/>
      <c r="AS405" s="780"/>
      <c r="AT405" s="780"/>
      <c r="AU405" s="780"/>
      <c r="AV405" s="780"/>
      <c r="AW405" s="780"/>
    </row>
    <row r="406">
      <c r="A406" s="941"/>
      <c r="B406" s="941"/>
      <c r="C406" s="995"/>
      <c r="D406" s="995"/>
      <c r="E406" s="995"/>
      <c r="F406" s="946"/>
      <c r="G406" s="946"/>
      <c r="H406" s="946"/>
      <c r="I406" s="947">
        <v>0.00138428</v>
      </c>
      <c r="J406" s="948">
        <v>0.035</v>
      </c>
      <c r="K406" s="949">
        <f t="shared" si="22"/>
        <v>0</v>
      </c>
      <c r="L406" s="950">
        <f t="shared" si="23"/>
        <v>0</v>
      </c>
      <c r="M406" s="948">
        <v>0.0215</v>
      </c>
      <c r="N406" s="951">
        <f t="shared" si="24"/>
        <v>0.00141404202</v>
      </c>
      <c r="O406" s="949">
        <f t="shared" si="25"/>
        <v>15</v>
      </c>
      <c r="P406" s="949">
        <f t="shared" si="77"/>
        <v>0.0215</v>
      </c>
      <c r="Q406" s="952">
        <f t="shared" si="79"/>
        <v>0</v>
      </c>
      <c r="R406" s="952">
        <f t="shared" si="78"/>
        <v>0</v>
      </c>
      <c r="S406" s="953"/>
      <c r="T406" s="949">
        <v>0.06</v>
      </c>
      <c r="U406" s="954"/>
      <c r="V406" s="949"/>
      <c r="W406" s="953"/>
      <c r="X406" s="949">
        <f t="shared" si="7"/>
        <v>0</v>
      </c>
      <c r="Y406" s="955"/>
      <c r="Z406" s="953" t="str">
        <f t="shared" si="8"/>
        <v/>
      </c>
      <c r="AA406" s="949">
        <f t="shared" si="9"/>
        <v>0</v>
      </c>
      <c r="AB406" s="955"/>
      <c r="AC406" s="949" t="str">
        <f t="shared" si="10"/>
        <v/>
      </c>
      <c r="AD406" s="953">
        <f t="shared" si="11"/>
        <v>0</v>
      </c>
      <c r="AE406" s="956"/>
      <c r="AF406" s="889"/>
      <c r="AG406" s="810" t="b">
        <v>0</v>
      </c>
      <c r="AH406" s="780"/>
      <c r="AI406" s="780"/>
      <c r="AJ406" s="780"/>
      <c r="AK406" s="780"/>
      <c r="AL406" s="780"/>
      <c r="AM406" s="780"/>
      <c r="AN406" s="780"/>
      <c r="AO406" s="780"/>
      <c r="AP406" s="780"/>
      <c r="AQ406" s="780"/>
      <c r="AR406" s="780"/>
      <c r="AS406" s="780"/>
      <c r="AT406" s="780"/>
      <c r="AU406" s="780"/>
      <c r="AV406" s="780"/>
      <c r="AW406" s="780"/>
    </row>
    <row r="407">
      <c r="A407" s="941"/>
      <c r="B407" s="941"/>
      <c r="C407" s="995"/>
      <c r="D407" s="944"/>
      <c r="E407" s="944"/>
      <c r="F407" s="946"/>
      <c r="G407" s="946"/>
      <c r="H407" s="946"/>
      <c r="I407" s="947">
        <v>0.00138428</v>
      </c>
      <c r="J407" s="948">
        <v>0.035</v>
      </c>
      <c r="K407" s="949">
        <f t="shared" si="22"/>
        <v>0</v>
      </c>
      <c r="L407" s="950">
        <f t="shared" si="23"/>
        <v>0</v>
      </c>
      <c r="M407" s="948">
        <v>0.0215</v>
      </c>
      <c r="N407" s="951">
        <f t="shared" si="24"/>
        <v>0.00141404202</v>
      </c>
      <c r="O407" s="949">
        <f t="shared" si="25"/>
        <v>15</v>
      </c>
      <c r="P407" s="949">
        <f t="shared" si="77"/>
        <v>0.0215</v>
      </c>
      <c r="Q407" s="952">
        <f t="shared" si="79"/>
        <v>0</v>
      </c>
      <c r="R407" s="952">
        <f t="shared" si="78"/>
        <v>0</v>
      </c>
      <c r="S407" s="953"/>
      <c r="T407" s="949">
        <v>0.06</v>
      </c>
      <c r="U407" s="954"/>
      <c r="V407" s="949"/>
      <c r="W407" s="953"/>
      <c r="X407" s="949">
        <f t="shared" si="7"/>
        <v>0</v>
      </c>
      <c r="Y407" s="955"/>
      <c r="Z407" s="953" t="str">
        <f t="shared" si="8"/>
        <v/>
      </c>
      <c r="AA407" s="949">
        <f t="shared" si="9"/>
        <v>0</v>
      </c>
      <c r="AB407" s="955"/>
      <c r="AC407" s="949" t="str">
        <f t="shared" si="10"/>
        <v/>
      </c>
      <c r="AD407" s="953">
        <f t="shared" si="11"/>
        <v>0</v>
      </c>
      <c r="AE407" s="956"/>
      <c r="AF407" s="889"/>
      <c r="AG407" s="810" t="b">
        <v>0</v>
      </c>
      <c r="AH407" s="780"/>
      <c r="AI407" s="780"/>
      <c r="AJ407" s="780"/>
      <c r="AK407" s="780"/>
      <c r="AL407" s="780"/>
      <c r="AM407" s="780"/>
      <c r="AN407" s="780"/>
      <c r="AO407" s="780"/>
      <c r="AP407" s="780"/>
      <c r="AQ407" s="780"/>
      <c r="AR407" s="780"/>
      <c r="AS407" s="780"/>
      <c r="AT407" s="780"/>
      <c r="AU407" s="780"/>
      <c r="AV407" s="780"/>
      <c r="AW407" s="780"/>
    </row>
    <row r="408">
      <c r="A408" s="941"/>
      <c r="B408" s="941"/>
      <c r="C408" s="995"/>
      <c r="D408" s="995"/>
      <c r="E408" s="995"/>
      <c r="F408" s="946"/>
      <c r="G408" s="946"/>
      <c r="H408" s="946"/>
      <c r="I408" s="947">
        <v>0.00138428</v>
      </c>
      <c r="J408" s="948">
        <v>0.035</v>
      </c>
      <c r="K408" s="949">
        <f t="shared" si="22"/>
        <v>0</v>
      </c>
      <c r="L408" s="950">
        <f t="shared" si="23"/>
        <v>0</v>
      </c>
      <c r="M408" s="948">
        <v>0.0215</v>
      </c>
      <c r="N408" s="951">
        <f t="shared" si="24"/>
        <v>0.00141404202</v>
      </c>
      <c r="O408" s="949">
        <f t="shared" si="25"/>
        <v>15</v>
      </c>
      <c r="P408" s="949">
        <f t="shared" si="77"/>
        <v>0.0215</v>
      </c>
      <c r="Q408" s="952">
        <f t="shared" si="79"/>
        <v>0</v>
      </c>
      <c r="R408" s="952">
        <f t="shared" si="78"/>
        <v>0</v>
      </c>
      <c r="S408" s="953"/>
      <c r="T408" s="949">
        <v>0.06</v>
      </c>
      <c r="U408" s="954"/>
      <c r="V408" s="949"/>
      <c r="W408" s="953"/>
      <c r="X408" s="949">
        <f t="shared" si="7"/>
        <v>0</v>
      </c>
      <c r="Y408" s="955"/>
      <c r="Z408" s="953" t="str">
        <f t="shared" si="8"/>
        <v/>
      </c>
      <c r="AA408" s="949">
        <f t="shared" si="9"/>
        <v>0</v>
      </c>
      <c r="AB408" s="955"/>
      <c r="AC408" s="949" t="str">
        <f t="shared" si="10"/>
        <v/>
      </c>
      <c r="AD408" s="953">
        <f t="shared" si="11"/>
        <v>0</v>
      </c>
      <c r="AE408" s="956"/>
      <c r="AF408" s="889"/>
      <c r="AG408" s="810" t="b">
        <v>0</v>
      </c>
      <c r="AH408" s="780"/>
      <c r="AI408" s="780"/>
      <c r="AJ408" s="780"/>
      <c r="AK408" s="780"/>
      <c r="AL408" s="780"/>
      <c r="AM408" s="780"/>
      <c r="AN408" s="780"/>
      <c r="AO408" s="780"/>
      <c r="AP408" s="780"/>
      <c r="AQ408" s="780"/>
      <c r="AR408" s="780"/>
      <c r="AS408" s="780"/>
      <c r="AT408" s="780"/>
      <c r="AU408" s="780"/>
      <c r="AV408" s="780"/>
      <c r="AW408" s="780"/>
    </row>
    <row r="409">
      <c r="A409" s="941"/>
      <c r="B409" s="941"/>
      <c r="C409" s="995"/>
      <c r="D409" s="944"/>
      <c r="E409" s="944"/>
      <c r="F409" s="946"/>
      <c r="G409" s="946"/>
      <c r="H409" s="946"/>
      <c r="I409" s="947">
        <v>0.00138428</v>
      </c>
      <c r="J409" s="948">
        <v>0.035</v>
      </c>
      <c r="K409" s="949">
        <f t="shared" si="22"/>
        <v>0</v>
      </c>
      <c r="L409" s="950">
        <f t="shared" si="23"/>
        <v>0</v>
      </c>
      <c r="M409" s="948">
        <v>0.0215</v>
      </c>
      <c r="N409" s="951">
        <f t="shared" si="24"/>
        <v>0.00141404202</v>
      </c>
      <c r="O409" s="949">
        <f t="shared" si="25"/>
        <v>15</v>
      </c>
      <c r="P409" s="949">
        <f t="shared" si="77"/>
        <v>0.0215</v>
      </c>
      <c r="Q409" s="952">
        <f t="shared" si="79"/>
        <v>0</v>
      </c>
      <c r="R409" s="952">
        <f t="shared" si="78"/>
        <v>0</v>
      </c>
      <c r="S409" s="953"/>
      <c r="T409" s="949">
        <v>0.06</v>
      </c>
      <c r="U409" s="954"/>
      <c r="V409" s="949"/>
      <c r="W409" s="953"/>
      <c r="X409" s="949">
        <f t="shared" si="7"/>
        <v>0</v>
      </c>
      <c r="Y409" s="955"/>
      <c r="Z409" s="953" t="str">
        <f t="shared" si="8"/>
        <v/>
      </c>
      <c r="AA409" s="949">
        <f t="shared" si="9"/>
        <v>0</v>
      </c>
      <c r="AB409" s="955"/>
      <c r="AC409" s="949" t="str">
        <f t="shared" si="10"/>
        <v/>
      </c>
      <c r="AD409" s="953">
        <f t="shared" si="11"/>
        <v>0</v>
      </c>
      <c r="AE409" s="956"/>
      <c r="AF409" s="889"/>
      <c r="AG409" s="810" t="b">
        <v>0</v>
      </c>
      <c r="AH409" s="780"/>
      <c r="AI409" s="780"/>
      <c r="AJ409" s="780"/>
      <c r="AK409" s="780"/>
      <c r="AL409" s="780"/>
      <c r="AM409" s="780"/>
      <c r="AN409" s="780"/>
      <c r="AO409" s="780"/>
      <c r="AP409" s="780"/>
      <c r="AQ409" s="780"/>
      <c r="AR409" s="780"/>
      <c r="AS409" s="780"/>
      <c r="AT409" s="780"/>
      <c r="AU409" s="780"/>
      <c r="AV409" s="780"/>
      <c r="AW409" s="780"/>
    </row>
    <row r="410">
      <c r="A410" s="941"/>
      <c r="B410" s="941"/>
      <c r="C410" s="995"/>
      <c r="D410" s="995"/>
      <c r="E410" s="995"/>
      <c r="F410" s="946"/>
      <c r="G410" s="946"/>
      <c r="H410" s="946"/>
      <c r="I410" s="947">
        <v>0.00138428</v>
      </c>
      <c r="J410" s="948">
        <v>0.035</v>
      </c>
      <c r="K410" s="949">
        <f t="shared" si="22"/>
        <v>0</v>
      </c>
      <c r="L410" s="950">
        <f t="shared" si="23"/>
        <v>0</v>
      </c>
      <c r="M410" s="948">
        <v>0.0215</v>
      </c>
      <c r="N410" s="951">
        <f t="shared" si="24"/>
        <v>0.00141404202</v>
      </c>
      <c r="O410" s="949">
        <f t="shared" si="25"/>
        <v>15</v>
      </c>
      <c r="P410" s="949">
        <f t="shared" si="77"/>
        <v>0.0215</v>
      </c>
      <c r="Q410" s="952">
        <f t="shared" si="79"/>
        <v>0</v>
      </c>
      <c r="R410" s="952">
        <f t="shared" si="78"/>
        <v>0</v>
      </c>
      <c r="S410" s="953"/>
      <c r="T410" s="949">
        <v>0.06</v>
      </c>
      <c r="U410" s="954"/>
      <c r="V410" s="949"/>
      <c r="W410" s="953"/>
      <c r="X410" s="949">
        <f t="shared" si="7"/>
        <v>0</v>
      </c>
      <c r="Y410" s="955"/>
      <c r="Z410" s="953" t="str">
        <f t="shared" si="8"/>
        <v/>
      </c>
      <c r="AA410" s="949">
        <f t="shared" si="9"/>
        <v>0</v>
      </c>
      <c r="AB410" s="955"/>
      <c r="AC410" s="949" t="str">
        <f t="shared" si="10"/>
        <v/>
      </c>
      <c r="AD410" s="953">
        <f t="shared" si="11"/>
        <v>0</v>
      </c>
      <c r="AE410" s="956"/>
      <c r="AF410" s="889"/>
      <c r="AG410" s="810" t="b">
        <v>0</v>
      </c>
      <c r="AH410" s="780"/>
      <c r="AI410" s="780"/>
      <c r="AJ410" s="780"/>
      <c r="AK410" s="780"/>
      <c r="AL410" s="780"/>
      <c r="AM410" s="780"/>
      <c r="AN410" s="780"/>
      <c r="AO410" s="780"/>
      <c r="AP410" s="780"/>
      <c r="AQ410" s="780"/>
      <c r="AR410" s="780"/>
      <c r="AS410" s="780"/>
      <c r="AT410" s="780"/>
      <c r="AU410" s="780"/>
      <c r="AV410" s="780"/>
      <c r="AW410" s="780"/>
    </row>
    <row r="411">
      <c r="A411" s="941"/>
      <c r="B411" s="941"/>
      <c r="C411" s="995"/>
      <c r="D411" s="944"/>
      <c r="E411" s="944"/>
      <c r="F411" s="946"/>
      <c r="G411" s="946"/>
      <c r="H411" s="946"/>
      <c r="I411" s="947">
        <v>0.00138428</v>
      </c>
      <c r="J411" s="948">
        <v>0.035</v>
      </c>
      <c r="K411" s="949">
        <f t="shared" si="22"/>
        <v>0</v>
      </c>
      <c r="L411" s="950">
        <f t="shared" si="23"/>
        <v>0</v>
      </c>
      <c r="M411" s="948">
        <v>0.0215</v>
      </c>
      <c r="N411" s="951">
        <f t="shared" si="24"/>
        <v>0.00141404202</v>
      </c>
      <c r="O411" s="949">
        <f t="shared" si="25"/>
        <v>15</v>
      </c>
      <c r="P411" s="949">
        <f t="shared" si="77"/>
        <v>0.0215</v>
      </c>
      <c r="Q411" s="952">
        <f t="shared" si="79"/>
        <v>0</v>
      </c>
      <c r="R411" s="952">
        <f t="shared" si="78"/>
        <v>0</v>
      </c>
      <c r="S411" s="953"/>
      <c r="T411" s="949">
        <v>0.06</v>
      </c>
      <c r="U411" s="954"/>
      <c r="V411" s="949"/>
      <c r="W411" s="953"/>
      <c r="X411" s="949">
        <f t="shared" si="7"/>
        <v>0</v>
      </c>
      <c r="Y411" s="955"/>
      <c r="Z411" s="953" t="str">
        <f t="shared" si="8"/>
        <v/>
      </c>
      <c r="AA411" s="949">
        <f t="shared" si="9"/>
        <v>0</v>
      </c>
      <c r="AB411" s="955"/>
      <c r="AC411" s="949" t="str">
        <f t="shared" si="10"/>
        <v/>
      </c>
      <c r="AD411" s="953">
        <f t="shared" si="11"/>
        <v>0</v>
      </c>
      <c r="AE411" s="956"/>
      <c r="AF411" s="889"/>
      <c r="AG411" s="810" t="b">
        <v>0</v>
      </c>
      <c r="AH411" s="780"/>
      <c r="AI411" s="780"/>
      <c r="AJ411" s="780"/>
      <c r="AK411" s="780"/>
      <c r="AL411" s="780"/>
      <c r="AM411" s="780"/>
      <c r="AN411" s="780"/>
      <c r="AO411" s="780"/>
      <c r="AP411" s="780"/>
      <c r="AQ411" s="780"/>
      <c r="AR411" s="780"/>
      <c r="AS411" s="780"/>
      <c r="AT411" s="780"/>
      <c r="AU411" s="780"/>
      <c r="AV411" s="780"/>
      <c r="AW411" s="780"/>
    </row>
    <row r="412">
      <c r="A412" s="941"/>
      <c r="B412" s="941"/>
      <c r="C412" s="995"/>
      <c r="D412" s="995"/>
      <c r="E412" s="995"/>
      <c r="F412" s="946"/>
      <c r="G412" s="946"/>
      <c r="H412" s="946"/>
      <c r="I412" s="947">
        <v>0.00138428</v>
      </c>
      <c r="J412" s="948">
        <v>0.035</v>
      </c>
      <c r="K412" s="949">
        <f t="shared" si="22"/>
        <v>0</v>
      </c>
      <c r="L412" s="950">
        <f t="shared" si="23"/>
        <v>0</v>
      </c>
      <c r="M412" s="948">
        <v>0.0215</v>
      </c>
      <c r="N412" s="951">
        <f t="shared" si="24"/>
        <v>0.00141404202</v>
      </c>
      <c r="O412" s="949">
        <f t="shared" si="25"/>
        <v>15</v>
      </c>
      <c r="P412" s="949">
        <f t="shared" si="77"/>
        <v>0.0215</v>
      </c>
      <c r="Q412" s="952">
        <f t="shared" si="79"/>
        <v>0</v>
      </c>
      <c r="R412" s="952">
        <f t="shared" si="78"/>
        <v>0</v>
      </c>
      <c r="S412" s="953"/>
      <c r="T412" s="949">
        <v>0.06</v>
      </c>
      <c r="U412" s="954"/>
      <c r="V412" s="949"/>
      <c r="W412" s="953"/>
      <c r="X412" s="949">
        <f t="shared" si="7"/>
        <v>0</v>
      </c>
      <c r="Y412" s="955"/>
      <c r="Z412" s="953" t="str">
        <f t="shared" si="8"/>
        <v/>
      </c>
      <c r="AA412" s="949">
        <f t="shared" si="9"/>
        <v>0</v>
      </c>
      <c r="AB412" s="955"/>
      <c r="AC412" s="949" t="str">
        <f t="shared" si="10"/>
        <v/>
      </c>
      <c r="AD412" s="953">
        <f t="shared" si="11"/>
        <v>0</v>
      </c>
      <c r="AE412" s="956"/>
      <c r="AF412" s="889"/>
      <c r="AG412" s="810" t="b">
        <v>0</v>
      </c>
      <c r="AH412" s="780"/>
      <c r="AI412" s="780"/>
      <c r="AJ412" s="780"/>
      <c r="AK412" s="780"/>
      <c r="AL412" s="780"/>
      <c r="AM412" s="780"/>
      <c r="AN412" s="780"/>
      <c r="AO412" s="780"/>
      <c r="AP412" s="780"/>
      <c r="AQ412" s="780"/>
      <c r="AR412" s="780"/>
      <c r="AS412" s="780"/>
      <c r="AT412" s="780"/>
      <c r="AU412" s="780"/>
      <c r="AV412" s="780"/>
      <c r="AW412" s="780"/>
    </row>
    <row r="413">
      <c r="A413" s="941"/>
      <c r="B413" s="941"/>
      <c r="C413" s="995"/>
      <c r="D413" s="944"/>
      <c r="E413" s="944"/>
      <c r="F413" s="946"/>
      <c r="G413" s="946"/>
      <c r="H413" s="946"/>
      <c r="I413" s="947">
        <v>0.00138428</v>
      </c>
      <c r="J413" s="948">
        <v>0.035</v>
      </c>
      <c r="K413" s="949">
        <f t="shared" si="22"/>
        <v>0</v>
      </c>
      <c r="L413" s="950">
        <f t="shared" si="23"/>
        <v>0</v>
      </c>
      <c r="M413" s="948">
        <v>0.0215</v>
      </c>
      <c r="N413" s="951">
        <f t="shared" si="24"/>
        <v>0.00141404202</v>
      </c>
      <c r="O413" s="949">
        <f t="shared" si="25"/>
        <v>15</v>
      </c>
      <c r="P413" s="949">
        <f t="shared" si="77"/>
        <v>0.0215</v>
      </c>
      <c r="Q413" s="952">
        <f t="shared" si="79"/>
        <v>0</v>
      </c>
      <c r="R413" s="952">
        <f t="shared" si="78"/>
        <v>0</v>
      </c>
      <c r="S413" s="953"/>
      <c r="T413" s="949">
        <v>0.06</v>
      </c>
      <c r="U413" s="954"/>
      <c r="V413" s="949"/>
      <c r="W413" s="953"/>
      <c r="X413" s="949">
        <f t="shared" si="7"/>
        <v>0</v>
      </c>
      <c r="Y413" s="955"/>
      <c r="Z413" s="953" t="str">
        <f t="shared" si="8"/>
        <v/>
      </c>
      <c r="AA413" s="949">
        <f t="shared" si="9"/>
        <v>0</v>
      </c>
      <c r="AB413" s="955"/>
      <c r="AC413" s="949" t="str">
        <f t="shared" si="10"/>
        <v/>
      </c>
      <c r="AD413" s="953">
        <f t="shared" si="11"/>
        <v>0</v>
      </c>
      <c r="AE413" s="956"/>
      <c r="AF413" s="889"/>
      <c r="AG413" s="810" t="b">
        <v>0</v>
      </c>
      <c r="AH413" s="780"/>
      <c r="AI413" s="780"/>
      <c r="AJ413" s="780"/>
      <c r="AK413" s="780"/>
      <c r="AL413" s="780"/>
      <c r="AM413" s="780"/>
      <c r="AN413" s="780"/>
      <c r="AO413" s="780"/>
      <c r="AP413" s="780"/>
      <c r="AQ413" s="780"/>
      <c r="AR413" s="780"/>
      <c r="AS413" s="780"/>
      <c r="AT413" s="780"/>
      <c r="AU413" s="780"/>
      <c r="AV413" s="780"/>
      <c r="AW413" s="780"/>
    </row>
    <row r="414">
      <c r="A414" s="941"/>
      <c r="B414" s="941"/>
      <c r="C414" s="995"/>
      <c r="D414" s="995"/>
      <c r="E414" s="995"/>
      <c r="F414" s="946"/>
      <c r="G414" s="946"/>
      <c r="H414" s="946"/>
      <c r="I414" s="947">
        <v>0.00138428</v>
      </c>
      <c r="J414" s="948">
        <v>0.035</v>
      </c>
      <c r="K414" s="949">
        <f t="shared" si="22"/>
        <v>0</v>
      </c>
      <c r="L414" s="950">
        <f t="shared" si="23"/>
        <v>0</v>
      </c>
      <c r="M414" s="948">
        <v>0.0215</v>
      </c>
      <c r="N414" s="951">
        <f t="shared" si="24"/>
        <v>0.00141404202</v>
      </c>
      <c r="O414" s="949">
        <f t="shared" si="25"/>
        <v>15</v>
      </c>
      <c r="P414" s="949">
        <f t="shared" si="77"/>
        <v>0.0215</v>
      </c>
      <c r="Q414" s="952">
        <f t="shared" si="79"/>
        <v>0</v>
      </c>
      <c r="R414" s="952">
        <f t="shared" si="78"/>
        <v>0</v>
      </c>
      <c r="S414" s="953"/>
      <c r="T414" s="949">
        <v>0.06</v>
      </c>
      <c r="U414" s="954"/>
      <c r="V414" s="949"/>
      <c r="W414" s="953"/>
      <c r="X414" s="949">
        <f t="shared" si="7"/>
        <v>0</v>
      </c>
      <c r="Y414" s="955"/>
      <c r="Z414" s="953" t="str">
        <f t="shared" si="8"/>
        <v/>
      </c>
      <c r="AA414" s="949">
        <f t="shared" si="9"/>
        <v>0</v>
      </c>
      <c r="AB414" s="955"/>
      <c r="AC414" s="949" t="str">
        <f t="shared" si="10"/>
        <v/>
      </c>
      <c r="AD414" s="953">
        <f t="shared" si="11"/>
        <v>0</v>
      </c>
      <c r="AE414" s="956"/>
      <c r="AF414" s="889"/>
      <c r="AG414" s="810" t="b">
        <v>0</v>
      </c>
      <c r="AH414" s="780"/>
      <c r="AI414" s="780"/>
      <c r="AJ414" s="780"/>
      <c r="AK414" s="780"/>
      <c r="AL414" s="780"/>
      <c r="AM414" s="780"/>
      <c r="AN414" s="780"/>
      <c r="AO414" s="780"/>
      <c r="AP414" s="780"/>
      <c r="AQ414" s="780"/>
      <c r="AR414" s="780"/>
      <c r="AS414" s="780"/>
      <c r="AT414" s="780"/>
      <c r="AU414" s="780"/>
      <c r="AV414" s="780"/>
      <c r="AW414" s="780"/>
    </row>
    <row r="415">
      <c r="A415" s="941"/>
      <c r="B415" s="941"/>
      <c r="C415" s="995"/>
      <c r="D415" s="944"/>
      <c r="E415" s="944"/>
      <c r="F415" s="946"/>
      <c r="G415" s="946"/>
      <c r="H415" s="946"/>
      <c r="I415" s="947">
        <v>0.00138428</v>
      </c>
      <c r="J415" s="948">
        <v>0.035</v>
      </c>
      <c r="K415" s="949">
        <f t="shared" si="22"/>
        <v>0</v>
      </c>
      <c r="L415" s="950">
        <f t="shared" si="23"/>
        <v>0</v>
      </c>
      <c r="M415" s="948">
        <v>0.0215</v>
      </c>
      <c r="N415" s="951">
        <f t="shared" si="24"/>
        <v>0.00141404202</v>
      </c>
      <c r="O415" s="949">
        <f t="shared" si="25"/>
        <v>15</v>
      </c>
      <c r="P415" s="949">
        <f t="shared" si="77"/>
        <v>0.0215</v>
      </c>
      <c r="Q415" s="952">
        <f t="shared" si="79"/>
        <v>0</v>
      </c>
      <c r="R415" s="952">
        <f t="shared" si="78"/>
        <v>0</v>
      </c>
      <c r="S415" s="953"/>
      <c r="T415" s="949">
        <v>0.06</v>
      </c>
      <c r="U415" s="954"/>
      <c r="V415" s="949"/>
      <c r="W415" s="953"/>
      <c r="X415" s="949">
        <f t="shared" si="7"/>
        <v>0</v>
      </c>
      <c r="Y415" s="955"/>
      <c r="Z415" s="953" t="str">
        <f t="shared" si="8"/>
        <v/>
      </c>
      <c r="AA415" s="949">
        <f t="shared" si="9"/>
        <v>0</v>
      </c>
      <c r="AB415" s="955"/>
      <c r="AC415" s="949" t="str">
        <f t="shared" si="10"/>
        <v/>
      </c>
      <c r="AD415" s="953">
        <f t="shared" si="11"/>
        <v>0</v>
      </c>
      <c r="AE415" s="956"/>
      <c r="AF415" s="889"/>
      <c r="AG415" s="810" t="b">
        <v>0</v>
      </c>
      <c r="AH415" s="780"/>
      <c r="AI415" s="780"/>
      <c r="AJ415" s="780"/>
      <c r="AK415" s="780"/>
      <c r="AL415" s="780"/>
      <c r="AM415" s="780"/>
      <c r="AN415" s="780"/>
      <c r="AO415" s="780"/>
      <c r="AP415" s="780"/>
      <c r="AQ415" s="780"/>
      <c r="AR415" s="780"/>
      <c r="AS415" s="780"/>
      <c r="AT415" s="780"/>
      <c r="AU415" s="780"/>
      <c r="AV415" s="780"/>
      <c r="AW415" s="780"/>
    </row>
    <row r="416">
      <c r="A416" s="941"/>
      <c r="B416" s="941"/>
      <c r="C416" s="995"/>
      <c r="D416" s="995"/>
      <c r="E416" s="995"/>
      <c r="F416" s="946"/>
      <c r="G416" s="946"/>
      <c r="H416" s="946"/>
      <c r="I416" s="947">
        <v>0.00138428</v>
      </c>
      <c r="J416" s="948">
        <v>0.035</v>
      </c>
      <c r="K416" s="949">
        <f t="shared" si="22"/>
        <v>0</v>
      </c>
      <c r="L416" s="950">
        <f t="shared" si="23"/>
        <v>0</v>
      </c>
      <c r="M416" s="948">
        <v>0.0215</v>
      </c>
      <c r="N416" s="951">
        <f t="shared" si="24"/>
        <v>0.00141404202</v>
      </c>
      <c r="O416" s="949">
        <f t="shared" si="25"/>
        <v>15</v>
      </c>
      <c r="P416" s="949">
        <f t="shared" si="77"/>
        <v>0.0215</v>
      </c>
      <c r="Q416" s="952">
        <f t="shared" si="79"/>
        <v>0</v>
      </c>
      <c r="R416" s="952">
        <f t="shared" si="78"/>
        <v>0</v>
      </c>
      <c r="S416" s="953"/>
      <c r="T416" s="949">
        <v>0.06</v>
      </c>
      <c r="U416" s="954"/>
      <c r="V416" s="949"/>
      <c r="W416" s="953"/>
      <c r="X416" s="949">
        <f t="shared" si="7"/>
        <v>0</v>
      </c>
      <c r="Y416" s="955"/>
      <c r="Z416" s="953" t="str">
        <f t="shared" si="8"/>
        <v/>
      </c>
      <c r="AA416" s="949">
        <f t="shared" si="9"/>
        <v>0</v>
      </c>
      <c r="AB416" s="955"/>
      <c r="AC416" s="949" t="str">
        <f t="shared" si="10"/>
        <v/>
      </c>
      <c r="AD416" s="953">
        <f t="shared" si="11"/>
        <v>0</v>
      </c>
      <c r="AE416" s="956"/>
      <c r="AF416" s="889"/>
      <c r="AG416" s="810" t="b">
        <v>0</v>
      </c>
      <c r="AH416" s="780"/>
      <c r="AI416" s="780"/>
      <c r="AJ416" s="780"/>
      <c r="AK416" s="780"/>
      <c r="AL416" s="780"/>
      <c r="AM416" s="780"/>
      <c r="AN416" s="780"/>
      <c r="AO416" s="780"/>
      <c r="AP416" s="780"/>
      <c r="AQ416" s="780"/>
      <c r="AR416" s="780"/>
      <c r="AS416" s="780"/>
      <c r="AT416" s="780"/>
      <c r="AU416" s="780"/>
      <c r="AV416" s="780"/>
      <c r="AW416" s="780"/>
    </row>
    <row r="417">
      <c r="A417" s="941"/>
      <c r="B417" s="941"/>
      <c r="C417" s="995"/>
      <c r="D417" s="944"/>
      <c r="E417" s="944"/>
      <c r="F417" s="946"/>
      <c r="G417" s="946"/>
      <c r="H417" s="946"/>
      <c r="I417" s="947">
        <v>0.00138428</v>
      </c>
      <c r="J417" s="948">
        <v>0.035</v>
      </c>
      <c r="K417" s="949">
        <f t="shared" si="22"/>
        <v>0</v>
      </c>
      <c r="L417" s="950">
        <f t="shared" si="23"/>
        <v>0</v>
      </c>
      <c r="M417" s="948">
        <v>0.0215</v>
      </c>
      <c r="N417" s="951">
        <f t="shared" si="24"/>
        <v>0.00141404202</v>
      </c>
      <c r="O417" s="949">
        <f t="shared" si="25"/>
        <v>15</v>
      </c>
      <c r="P417" s="949">
        <f t="shared" si="77"/>
        <v>0.0215</v>
      </c>
      <c r="Q417" s="952">
        <f t="shared" si="79"/>
        <v>0</v>
      </c>
      <c r="R417" s="952">
        <f t="shared" si="78"/>
        <v>0</v>
      </c>
      <c r="S417" s="953"/>
      <c r="T417" s="949">
        <v>0.06</v>
      </c>
      <c r="U417" s="954"/>
      <c r="V417" s="949"/>
      <c r="W417" s="953"/>
      <c r="X417" s="949">
        <f t="shared" si="7"/>
        <v>0</v>
      </c>
      <c r="Y417" s="955"/>
      <c r="Z417" s="953" t="str">
        <f t="shared" si="8"/>
        <v/>
      </c>
      <c r="AA417" s="949">
        <f t="shared" si="9"/>
        <v>0</v>
      </c>
      <c r="AB417" s="955"/>
      <c r="AC417" s="949" t="str">
        <f t="shared" si="10"/>
        <v/>
      </c>
      <c r="AD417" s="953">
        <f t="shared" si="11"/>
        <v>0</v>
      </c>
      <c r="AE417" s="956"/>
      <c r="AF417" s="889"/>
      <c r="AG417" s="810" t="b">
        <v>0</v>
      </c>
      <c r="AH417" s="780"/>
      <c r="AI417" s="780"/>
      <c r="AJ417" s="780"/>
      <c r="AK417" s="780"/>
      <c r="AL417" s="780"/>
      <c r="AM417" s="780"/>
      <c r="AN417" s="780"/>
      <c r="AO417" s="780"/>
      <c r="AP417" s="780"/>
      <c r="AQ417" s="780"/>
      <c r="AR417" s="780"/>
      <c r="AS417" s="780"/>
      <c r="AT417" s="780"/>
      <c r="AU417" s="780"/>
      <c r="AV417" s="780"/>
      <c r="AW417" s="780"/>
    </row>
    <row r="418">
      <c r="A418" s="941"/>
      <c r="B418" s="941"/>
      <c r="C418" s="995"/>
      <c r="D418" s="995"/>
      <c r="E418" s="995"/>
      <c r="F418" s="946"/>
      <c r="G418" s="946"/>
      <c r="H418" s="946"/>
      <c r="I418" s="947">
        <v>0.00138428</v>
      </c>
      <c r="J418" s="948">
        <v>0.035</v>
      </c>
      <c r="K418" s="949">
        <f t="shared" si="22"/>
        <v>0</v>
      </c>
      <c r="L418" s="950">
        <f t="shared" si="23"/>
        <v>0</v>
      </c>
      <c r="M418" s="948">
        <v>0.0215</v>
      </c>
      <c r="N418" s="951">
        <f t="shared" si="24"/>
        <v>0.00141404202</v>
      </c>
      <c r="O418" s="949">
        <f t="shared" si="25"/>
        <v>15</v>
      </c>
      <c r="P418" s="949">
        <f t="shared" si="77"/>
        <v>0.0215</v>
      </c>
      <c r="Q418" s="952">
        <f t="shared" si="79"/>
        <v>0</v>
      </c>
      <c r="R418" s="952">
        <f t="shared" si="78"/>
        <v>0</v>
      </c>
      <c r="S418" s="953"/>
      <c r="T418" s="949">
        <v>0.06</v>
      </c>
      <c r="U418" s="954"/>
      <c r="V418" s="949"/>
      <c r="W418" s="953"/>
      <c r="X418" s="949">
        <f t="shared" si="7"/>
        <v>0</v>
      </c>
      <c r="Y418" s="955"/>
      <c r="Z418" s="953" t="str">
        <f t="shared" si="8"/>
        <v/>
      </c>
      <c r="AA418" s="949">
        <f t="shared" si="9"/>
        <v>0</v>
      </c>
      <c r="AB418" s="955"/>
      <c r="AC418" s="949" t="str">
        <f t="shared" si="10"/>
        <v/>
      </c>
      <c r="AD418" s="953">
        <f t="shared" si="11"/>
        <v>0</v>
      </c>
      <c r="AE418" s="956"/>
      <c r="AF418" s="889"/>
      <c r="AG418" s="810" t="b">
        <v>0</v>
      </c>
      <c r="AH418" s="780"/>
      <c r="AI418" s="780"/>
      <c r="AJ418" s="780"/>
      <c r="AK418" s="780"/>
      <c r="AL418" s="780"/>
      <c r="AM418" s="780"/>
      <c r="AN418" s="780"/>
      <c r="AO418" s="780"/>
      <c r="AP418" s="780"/>
      <c r="AQ418" s="780"/>
      <c r="AR418" s="780"/>
      <c r="AS418" s="780"/>
      <c r="AT418" s="780"/>
      <c r="AU418" s="780"/>
      <c r="AV418" s="780"/>
      <c r="AW418" s="780"/>
    </row>
    <row r="419">
      <c r="A419" s="941"/>
      <c r="B419" s="941"/>
      <c r="C419" s="995"/>
      <c r="D419" s="944"/>
      <c r="E419" s="944"/>
      <c r="F419" s="946"/>
      <c r="G419" s="946"/>
      <c r="H419" s="946"/>
      <c r="I419" s="947">
        <v>0.00138428</v>
      </c>
      <c r="J419" s="948">
        <v>0.035</v>
      </c>
      <c r="K419" s="949">
        <f t="shared" si="22"/>
        <v>0</v>
      </c>
      <c r="L419" s="950">
        <f t="shared" si="23"/>
        <v>0</v>
      </c>
      <c r="M419" s="948">
        <v>0.0215</v>
      </c>
      <c r="N419" s="951">
        <f t="shared" si="24"/>
        <v>0.00141404202</v>
      </c>
      <c r="O419" s="949">
        <f t="shared" si="25"/>
        <v>15</v>
      </c>
      <c r="P419" s="949">
        <f t="shared" si="77"/>
        <v>0.0215</v>
      </c>
      <c r="Q419" s="952">
        <f t="shared" si="79"/>
        <v>0</v>
      </c>
      <c r="R419" s="952">
        <f t="shared" si="78"/>
        <v>0</v>
      </c>
      <c r="S419" s="953"/>
      <c r="T419" s="949">
        <v>0.06</v>
      </c>
      <c r="U419" s="954"/>
      <c r="V419" s="949"/>
      <c r="W419" s="953"/>
      <c r="X419" s="949">
        <f t="shared" si="7"/>
        <v>0</v>
      </c>
      <c r="Y419" s="955"/>
      <c r="Z419" s="953" t="str">
        <f t="shared" si="8"/>
        <v/>
      </c>
      <c r="AA419" s="949">
        <f t="shared" si="9"/>
        <v>0</v>
      </c>
      <c r="AB419" s="955"/>
      <c r="AC419" s="949" t="str">
        <f t="shared" si="10"/>
        <v/>
      </c>
      <c r="AD419" s="953">
        <f t="shared" si="11"/>
        <v>0</v>
      </c>
      <c r="AE419" s="956"/>
      <c r="AF419" s="889"/>
      <c r="AG419" s="810" t="b">
        <v>0</v>
      </c>
      <c r="AH419" s="780"/>
      <c r="AI419" s="780"/>
      <c r="AJ419" s="780"/>
      <c r="AK419" s="780"/>
      <c r="AL419" s="780"/>
      <c r="AM419" s="780"/>
      <c r="AN419" s="780"/>
      <c r="AO419" s="780"/>
      <c r="AP419" s="780"/>
      <c r="AQ419" s="780"/>
      <c r="AR419" s="780"/>
      <c r="AS419" s="780"/>
      <c r="AT419" s="780"/>
      <c r="AU419" s="780"/>
      <c r="AV419" s="780"/>
      <c r="AW419" s="780"/>
    </row>
    <row r="420">
      <c r="A420" s="941"/>
      <c r="B420" s="941"/>
      <c r="C420" s="995"/>
      <c r="D420" s="995"/>
      <c r="E420" s="995"/>
      <c r="F420" s="946"/>
      <c r="G420" s="946"/>
      <c r="H420" s="946"/>
      <c r="I420" s="947">
        <v>0.00138428</v>
      </c>
      <c r="J420" s="948">
        <v>0.035</v>
      </c>
      <c r="K420" s="949">
        <f t="shared" si="22"/>
        <v>0</v>
      </c>
      <c r="L420" s="950">
        <f t="shared" si="23"/>
        <v>0</v>
      </c>
      <c r="M420" s="948">
        <v>0.0215</v>
      </c>
      <c r="N420" s="951">
        <f t="shared" si="24"/>
        <v>0.00141404202</v>
      </c>
      <c r="O420" s="949">
        <f t="shared" si="25"/>
        <v>15</v>
      </c>
      <c r="P420" s="949">
        <f t="shared" si="77"/>
        <v>0.0215</v>
      </c>
      <c r="Q420" s="952">
        <f t="shared" si="79"/>
        <v>0</v>
      </c>
      <c r="R420" s="952">
        <f t="shared" si="78"/>
        <v>0</v>
      </c>
      <c r="S420" s="953"/>
      <c r="T420" s="949">
        <v>0.06</v>
      </c>
      <c r="U420" s="954"/>
      <c r="V420" s="949"/>
      <c r="W420" s="953"/>
      <c r="X420" s="949">
        <f t="shared" si="7"/>
        <v>0</v>
      </c>
      <c r="Y420" s="955"/>
      <c r="Z420" s="953" t="str">
        <f t="shared" si="8"/>
        <v/>
      </c>
      <c r="AA420" s="949">
        <f t="shared" si="9"/>
        <v>0</v>
      </c>
      <c r="AB420" s="955"/>
      <c r="AC420" s="949" t="str">
        <f t="shared" si="10"/>
        <v/>
      </c>
      <c r="AD420" s="953">
        <f t="shared" si="11"/>
        <v>0</v>
      </c>
      <c r="AE420" s="956"/>
      <c r="AF420" s="889"/>
      <c r="AG420" s="810" t="b">
        <v>0</v>
      </c>
      <c r="AH420" s="780"/>
      <c r="AI420" s="780"/>
      <c r="AJ420" s="780"/>
      <c r="AK420" s="780"/>
      <c r="AL420" s="780"/>
      <c r="AM420" s="780"/>
      <c r="AN420" s="780"/>
      <c r="AO420" s="780"/>
      <c r="AP420" s="780"/>
      <c r="AQ420" s="780"/>
      <c r="AR420" s="780"/>
      <c r="AS420" s="780"/>
      <c r="AT420" s="780"/>
      <c r="AU420" s="780"/>
      <c r="AV420" s="780"/>
      <c r="AW420" s="780"/>
    </row>
    <row r="421">
      <c r="A421" s="941"/>
      <c r="B421" s="941"/>
      <c r="C421" s="995"/>
      <c r="D421" s="944"/>
      <c r="E421" s="944"/>
      <c r="F421" s="946"/>
      <c r="G421" s="946"/>
      <c r="H421" s="946"/>
      <c r="I421" s="947">
        <v>0.00138428</v>
      </c>
      <c r="J421" s="948">
        <v>0.035</v>
      </c>
      <c r="K421" s="949">
        <f t="shared" si="22"/>
        <v>0</v>
      </c>
      <c r="L421" s="950">
        <f t="shared" si="23"/>
        <v>0</v>
      </c>
      <c r="M421" s="948">
        <v>0.0215</v>
      </c>
      <c r="N421" s="951">
        <f t="shared" si="24"/>
        <v>0.00141404202</v>
      </c>
      <c r="O421" s="949">
        <f t="shared" si="25"/>
        <v>15</v>
      </c>
      <c r="P421" s="949">
        <f t="shared" si="77"/>
        <v>0.0215</v>
      </c>
      <c r="Q421" s="952">
        <f t="shared" si="79"/>
        <v>0</v>
      </c>
      <c r="R421" s="952">
        <f t="shared" si="78"/>
        <v>0</v>
      </c>
      <c r="S421" s="953"/>
      <c r="T421" s="949">
        <v>0.06</v>
      </c>
      <c r="U421" s="954"/>
      <c r="V421" s="949"/>
      <c r="W421" s="953"/>
      <c r="X421" s="949">
        <f t="shared" si="7"/>
        <v>0</v>
      </c>
      <c r="Y421" s="955"/>
      <c r="Z421" s="953" t="str">
        <f t="shared" si="8"/>
        <v/>
      </c>
      <c r="AA421" s="949">
        <f t="shared" si="9"/>
        <v>0</v>
      </c>
      <c r="AB421" s="955"/>
      <c r="AC421" s="949" t="str">
        <f t="shared" si="10"/>
        <v/>
      </c>
      <c r="AD421" s="953">
        <f t="shared" si="11"/>
        <v>0</v>
      </c>
      <c r="AE421" s="956"/>
      <c r="AF421" s="889"/>
      <c r="AG421" s="810" t="b">
        <v>0</v>
      </c>
      <c r="AH421" s="780"/>
      <c r="AI421" s="780"/>
      <c r="AJ421" s="780"/>
      <c r="AK421" s="780"/>
      <c r="AL421" s="780"/>
      <c r="AM421" s="780"/>
      <c r="AN421" s="780"/>
      <c r="AO421" s="780"/>
      <c r="AP421" s="780"/>
      <c r="AQ421" s="780"/>
      <c r="AR421" s="780"/>
      <c r="AS421" s="780"/>
      <c r="AT421" s="780"/>
      <c r="AU421" s="780"/>
      <c r="AV421" s="780"/>
      <c r="AW421" s="780"/>
    </row>
    <row r="422">
      <c r="A422" s="941"/>
      <c r="B422" s="941"/>
      <c r="C422" s="995"/>
      <c r="D422" s="995"/>
      <c r="E422" s="995"/>
      <c r="F422" s="946"/>
      <c r="G422" s="946"/>
      <c r="H422" s="946"/>
      <c r="I422" s="947">
        <v>0.00138428</v>
      </c>
      <c r="J422" s="948">
        <v>0.035</v>
      </c>
      <c r="K422" s="949">
        <f t="shared" si="22"/>
        <v>0</v>
      </c>
      <c r="L422" s="950">
        <f t="shared" si="23"/>
        <v>0</v>
      </c>
      <c r="M422" s="948">
        <v>0.0215</v>
      </c>
      <c r="N422" s="951">
        <f t="shared" si="24"/>
        <v>0.00141404202</v>
      </c>
      <c r="O422" s="949">
        <f t="shared" si="25"/>
        <v>15</v>
      </c>
      <c r="P422" s="949">
        <f t="shared" si="77"/>
        <v>0.0215</v>
      </c>
      <c r="Q422" s="952">
        <f t="shared" si="79"/>
        <v>0</v>
      </c>
      <c r="R422" s="952">
        <f t="shared" si="78"/>
        <v>0</v>
      </c>
      <c r="S422" s="953"/>
      <c r="T422" s="949">
        <v>0.06</v>
      </c>
      <c r="U422" s="954"/>
      <c r="V422" s="949"/>
      <c r="W422" s="953"/>
      <c r="X422" s="949">
        <f t="shared" si="7"/>
        <v>0</v>
      </c>
      <c r="Y422" s="955"/>
      <c r="Z422" s="953" t="str">
        <f t="shared" si="8"/>
        <v/>
      </c>
      <c r="AA422" s="949">
        <f t="shared" si="9"/>
        <v>0</v>
      </c>
      <c r="AB422" s="955"/>
      <c r="AC422" s="949" t="str">
        <f t="shared" si="10"/>
        <v/>
      </c>
      <c r="AD422" s="953">
        <f t="shared" si="11"/>
        <v>0</v>
      </c>
      <c r="AE422" s="956"/>
      <c r="AF422" s="889"/>
      <c r="AG422" s="810" t="b">
        <v>0</v>
      </c>
      <c r="AH422" s="780"/>
      <c r="AI422" s="780"/>
      <c r="AJ422" s="780"/>
      <c r="AK422" s="780"/>
      <c r="AL422" s="780"/>
      <c r="AM422" s="780"/>
      <c r="AN422" s="780"/>
      <c r="AO422" s="780"/>
      <c r="AP422" s="780"/>
      <c r="AQ422" s="780"/>
      <c r="AR422" s="780"/>
      <c r="AS422" s="780"/>
      <c r="AT422" s="780"/>
      <c r="AU422" s="780"/>
      <c r="AV422" s="780"/>
      <c r="AW422" s="780"/>
    </row>
    <row r="423">
      <c r="A423" s="941"/>
      <c r="B423" s="941"/>
      <c r="C423" s="995"/>
      <c r="D423" s="944"/>
      <c r="E423" s="944"/>
      <c r="F423" s="1000"/>
      <c r="G423" s="1000"/>
      <c r="H423" s="1000"/>
      <c r="I423" s="947">
        <v>0.00138428</v>
      </c>
      <c r="J423" s="948">
        <v>0.035</v>
      </c>
      <c r="K423" s="949">
        <f t="shared" si="22"/>
        <v>0</v>
      </c>
      <c r="L423" s="950">
        <f t="shared" si="23"/>
        <v>0</v>
      </c>
      <c r="M423" s="948">
        <v>0.0215</v>
      </c>
      <c r="N423" s="951">
        <f t="shared" si="24"/>
        <v>0.00141404202</v>
      </c>
      <c r="O423" s="949">
        <f t="shared" si="25"/>
        <v>15</v>
      </c>
      <c r="P423" s="949">
        <f t="shared" si="77"/>
        <v>0.0215</v>
      </c>
      <c r="Q423" s="952">
        <f t="shared" si="79"/>
        <v>0</v>
      </c>
      <c r="R423" s="952">
        <f t="shared" si="78"/>
        <v>0</v>
      </c>
      <c r="S423" s="953"/>
      <c r="T423" s="949">
        <v>0.06</v>
      </c>
      <c r="U423" s="954"/>
      <c r="V423" s="949"/>
      <c r="W423" s="953"/>
      <c r="X423" s="949">
        <f t="shared" si="7"/>
        <v>0</v>
      </c>
      <c r="Y423" s="955"/>
      <c r="Z423" s="953" t="str">
        <f t="shared" si="8"/>
        <v/>
      </c>
      <c r="AA423" s="949">
        <f t="shared" si="9"/>
        <v>0</v>
      </c>
      <c r="AB423" s="955"/>
      <c r="AC423" s="949" t="str">
        <f t="shared" si="10"/>
        <v/>
      </c>
      <c r="AD423" s="953">
        <f t="shared" si="11"/>
        <v>0</v>
      </c>
      <c r="AE423" s="956"/>
      <c r="AF423" s="889"/>
      <c r="AG423" s="810" t="b">
        <v>0</v>
      </c>
      <c r="AH423" s="780"/>
      <c r="AI423" s="780"/>
      <c r="AJ423" s="780"/>
      <c r="AK423" s="780"/>
      <c r="AL423" s="780"/>
      <c r="AM423" s="780"/>
      <c r="AN423" s="780"/>
      <c r="AO423" s="780"/>
      <c r="AP423" s="780"/>
      <c r="AQ423" s="780"/>
      <c r="AR423" s="780"/>
      <c r="AS423" s="780"/>
      <c r="AT423" s="780"/>
      <c r="AU423" s="780"/>
      <c r="AV423" s="780"/>
      <c r="AW423" s="780"/>
    </row>
    <row r="424">
      <c r="A424" s="941"/>
      <c r="B424" s="941"/>
      <c r="C424" s="995"/>
      <c r="D424" s="995"/>
      <c r="E424" s="995"/>
      <c r="F424" s="946"/>
      <c r="G424" s="946"/>
      <c r="H424" s="946"/>
      <c r="I424" s="947">
        <v>0.00138428</v>
      </c>
      <c r="J424" s="948">
        <v>0.035</v>
      </c>
      <c r="K424" s="949">
        <f t="shared" si="22"/>
        <v>0</v>
      </c>
      <c r="L424" s="950">
        <f t="shared" si="23"/>
        <v>0</v>
      </c>
      <c r="M424" s="948">
        <v>0.0215</v>
      </c>
      <c r="N424" s="951">
        <f t="shared" si="24"/>
        <v>0.00141404202</v>
      </c>
      <c r="O424" s="949">
        <f t="shared" si="25"/>
        <v>15</v>
      </c>
      <c r="P424" s="949">
        <f t="shared" si="77"/>
        <v>0.0215</v>
      </c>
      <c r="Q424" s="952">
        <f t="shared" si="79"/>
        <v>0</v>
      </c>
      <c r="R424" s="952">
        <f t="shared" si="78"/>
        <v>0</v>
      </c>
      <c r="S424" s="953"/>
      <c r="T424" s="949">
        <v>0.06</v>
      </c>
      <c r="U424" s="954"/>
      <c r="V424" s="949"/>
      <c r="W424" s="953"/>
      <c r="X424" s="949">
        <f t="shared" si="7"/>
        <v>0</v>
      </c>
      <c r="Y424" s="955"/>
      <c r="Z424" s="953" t="str">
        <f t="shared" si="8"/>
        <v/>
      </c>
      <c r="AA424" s="949">
        <f t="shared" si="9"/>
        <v>0</v>
      </c>
      <c r="AB424" s="955"/>
      <c r="AC424" s="949" t="str">
        <f t="shared" si="10"/>
        <v/>
      </c>
      <c r="AD424" s="953">
        <f t="shared" si="11"/>
        <v>0</v>
      </c>
      <c r="AE424" s="956"/>
      <c r="AF424" s="889"/>
      <c r="AG424" s="810" t="b">
        <v>0</v>
      </c>
      <c r="AH424" s="780"/>
      <c r="AI424" s="780"/>
      <c r="AJ424" s="780"/>
      <c r="AK424" s="780"/>
      <c r="AL424" s="780"/>
      <c r="AM424" s="780"/>
      <c r="AN424" s="780"/>
      <c r="AO424" s="780"/>
      <c r="AP424" s="780"/>
      <c r="AQ424" s="780"/>
      <c r="AR424" s="780"/>
      <c r="AS424" s="780"/>
      <c r="AT424" s="780"/>
      <c r="AU424" s="780"/>
      <c r="AV424" s="780"/>
      <c r="AW424" s="780"/>
    </row>
    <row r="425">
      <c r="A425" s="941"/>
      <c r="B425" s="941"/>
      <c r="C425" s="995"/>
      <c r="D425" s="995"/>
      <c r="E425" s="995"/>
      <c r="F425" s="946"/>
      <c r="G425" s="946"/>
      <c r="H425" s="946"/>
      <c r="I425" s="947">
        <v>0.00138428</v>
      </c>
      <c r="J425" s="948">
        <v>0.035</v>
      </c>
      <c r="K425" s="949">
        <f t="shared" si="22"/>
        <v>0</v>
      </c>
      <c r="L425" s="950">
        <f t="shared" si="23"/>
        <v>0</v>
      </c>
      <c r="M425" s="948">
        <v>0.0215</v>
      </c>
      <c r="N425" s="951">
        <f t="shared" si="24"/>
        <v>0.00141404202</v>
      </c>
      <c r="O425" s="949">
        <f t="shared" si="25"/>
        <v>15</v>
      </c>
      <c r="P425" s="949">
        <f t="shared" si="77"/>
        <v>0.0215</v>
      </c>
      <c r="Q425" s="952">
        <f t="shared" si="79"/>
        <v>0</v>
      </c>
      <c r="R425" s="952">
        <f t="shared" si="78"/>
        <v>0</v>
      </c>
      <c r="S425" s="953"/>
      <c r="T425" s="949">
        <v>0.06</v>
      </c>
      <c r="U425" s="954"/>
      <c r="V425" s="949"/>
      <c r="W425" s="953"/>
      <c r="X425" s="949">
        <f t="shared" si="7"/>
        <v>0</v>
      </c>
      <c r="Y425" s="955"/>
      <c r="Z425" s="953" t="str">
        <f t="shared" si="8"/>
        <v/>
      </c>
      <c r="AA425" s="949">
        <f t="shared" si="9"/>
        <v>0</v>
      </c>
      <c r="AB425" s="955"/>
      <c r="AC425" s="949" t="str">
        <f t="shared" si="10"/>
        <v/>
      </c>
      <c r="AD425" s="953">
        <f t="shared" si="11"/>
        <v>0</v>
      </c>
      <c r="AE425" s="956"/>
      <c r="AF425" s="889"/>
      <c r="AG425" s="810" t="b">
        <v>0</v>
      </c>
      <c r="AH425" s="780"/>
      <c r="AI425" s="780"/>
      <c r="AJ425" s="780"/>
      <c r="AK425" s="780"/>
      <c r="AL425" s="780"/>
      <c r="AM425" s="780"/>
      <c r="AN425" s="780"/>
      <c r="AO425" s="780"/>
      <c r="AP425" s="780"/>
      <c r="AQ425" s="780"/>
      <c r="AR425" s="780"/>
      <c r="AS425" s="780"/>
      <c r="AT425" s="780"/>
      <c r="AU425" s="780"/>
      <c r="AV425" s="780"/>
      <c r="AW425" s="780"/>
    </row>
    <row r="426">
      <c r="A426" s="941"/>
      <c r="B426" s="941"/>
      <c r="C426" s="995"/>
      <c r="D426" s="995"/>
      <c r="E426" s="995"/>
      <c r="F426" s="946"/>
      <c r="G426" s="946"/>
      <c r="H426" s="946"/>
      <c r="I426" s="947">
        <v>0.00138428</v>
      </c>
      <c r="J426" s="948">
        <v>0.035</v>
      </c>
      <c r="K426" s="949">
        <f t="shared" si="22"/>
        <v>0</v>
      </c>
      <c r="L426" s="950">
        <f t="shared" si="23"/>
        <v>0</v>
      </c>
      <c r="M426" s="948">
        <v>0.0215</v>
      </c>
      <c r="N426" s="951">
        <f t="shared" si="24"/>
        <v>0.00141404202</v>
      </c>
      <c r="O426" s="949">
        <f t="shared" si="25"/>
        <v>15</v>
      </c>
      <c r="P426" s="949">
        <f t="shared" si="77"/>
        <v>0.0215</v>
      </c>
      <c r="Q426" s="952">
        <f t="shared" si="79"/>
        <v>0</v>
      </c>
      <c r="R426" s="952">
        <f t="shared" si="78"/>
        <v>0</v>
      </c>
      <c r="S426" s="953"/>
      <c r="T426" s="949">
        <v>0.06</v>
      </c>
      <c r="U426" s="954"/>
      <c r="V426" s="949"/>
      <c r="W426" s="953"/>
      <c r="X426" s="949">
        <f t="shared" si="7"/>
        <v>0</v>
      </c>
      <c r="Y426" s="955"/>
      <c r="Z426" s="953" t="str">
        <f t="shared" si="8"/>
        <v/>
      </c>
      <c r="AA426" s="949">
        <f t="shared" si="9"/>
        <v>0</v>
      </c>
      <c r="AB426" s="955"/>
      <c r="AC426" s="949" t="str">
        <f t="shared" si="10"/>
        <v/>
      </c>
      <c r="AD426" s="953">
        <f t="shared" si="11"/>
        <v>0</v>
      </c>
      <c r="AE426" s="956"/>
      <c r="AF426" s="889"/>
      <c r="AG426" s="810" t="b">
        <v>0</v>
      </c>
      <c r="AH426" s="780"/>
      <c r="AI426" s="780"/>
      <c r="AJ426" s="780"/>
      <c r="AK426" s="780"/>
      <c r="AL426" s="780"/>
      <c r="AM426" s="780"/>
      <c r="AN426" s="780"/>
      <c r="AO426" s="780"/>
      <c r="AP426" s="780"/>
      <c r="AQ426" s="780"/>
      <c r="AR426" s="780"/>
      <c r="AS426" s="780"/>
      <c r="AT426" s="780"/>
      <c r="AU426" s="780"/>
      <c r="AV426" s="780"/>
      <c r="AW426" s="780"/>
    </row>
    <row r="427">
      <c r="A427" s="941"/>
      <c r="B427" s="941"/>
      <c r="C427" s="995"/>
      <c r="D427" s="1001"/>
      <c r="E427" s="944"/>
      <c r="F427" s="946"/>
      <c r="G427" s="946"/>
      <c r="H427" s="946"/>
      <c r="I427" s="947">
        <v>0.00138428</v>
      </c>
      <c r="J427" s="948">
        <v>0.035</v>
      </c>
      <c r="K427" s="949">
        <f t="shared" si="22"/>
        <v>0</v>
      </c>
      <c r="L427" s="950">
        <f t="shared" si="23"/>
        <v>0</v>
      </c>
      <c r="M427" s="948">
        <v>0.0215</v>
      </c>
      <c r="N427" s="951">
        <f t="shared" si="24"/>
        <v>0.00141404202</v>
      </c>
      <c r="O427" s="949">
        <f t="shared" si="25"/>
        <v>15</v>
      </c>
      <c r="P427" s="949">
        <f t="shared" si="77"/>
        <v>0.0215</v>
      </c>
      <c r="Q427" s="952">
        <f t="shared" si="79"/>
        <v>0</v>
      </c>
      <c r="R427" s="952">
        <f t="shared" si="78"/>
        <v>0</v>
      </c>
      <c r="S427" s="953"/>
      <c r="T427" s="949">
        <v>0.06</v>
      </c>
      <c r="U427" s="954"/>
      <c r="V427" s="949"/>
      <c r="W427" s="953"/>
      <c r="X427" s="949">
        <f t="shared" si="7"/>
        <v>0</v>
      </c>
      <c r="Y427" s="955"/>
      <c r="Z427" s="953" t="str">
        <f t="shared" si="8"/>
        <v/>
      </c>
      <c r="AA427" s="949">
        <f t="shared" si="9"/>
        <v>0</v>
      </c>
      <c r="AB427" s="955"/>
      <c r="AC427" s="949" t="str">
        <f t="shared" si="10"/>
        <v/>
      </c>
      <c r="AD427" s="953">
        <f t="shared" si="11"/>
        <v>0</v>
      </c>
      <c r="AE427" s="956"/>
      <c r="AF427" s="889"/>
      <c r="AG427" s="810" t="b">
        <v>0</v>
      </c>
      <c r="AH427" s="780"/>
      <c r="AI427" s="780"/>
      <c r="AJ427" s="780"/>
      <c r="AK427" s="780"/>
      <c r="AL427" s="780"/>
      <c r="AM427" s="780"/>
      <c r="AN427" s="780"/>
      <c r="AO427" s="780"/>
      <c r="AP427" s="780"/>
      <c r="AQ427" s="780"/>
      <c r="AR427" s="780"/>
      <c r="AS427" s="780"/>
      <c r="AT427" s="780"/>
      <c r="AU427" s="780"/>
      <c r="AV427" s="780"/>
      <c r="AW427" s="780"/>
    </row>
    <row r="428">
      <c r="A428" s="941"/>
      <c r="B428" s="941"/>
      <c r="C428" s="995"/>
      <c r="D428" s="995"/>
      <c r="E428" s="995"/>
      <c r="F428" s="946"/>
      <c r="G428" s="946"/>
      <c r="H428" s="946"/>
      <c r="I428" s="947">
        <v>0.00138428</v>
      </c>
      <c r="J428" s="948">
        <v>0.035</v>
      </c>
      <c r="K428" s="949">
        <f t="shared" si="22"/>
        <v>0</v>
      </c>
      <c r="L428" s="950">
        <f t="shared" si="23"/>
        <v>0</v>
      </c>
      <c r="M428" s="948">
        <v>0.0215</v>
      </c>
      <c r="N428" s="951">
        <f t="shared" si="24"/>
        <v>0.00141404202</v>
      </c>
      <c r="O428" s="949">
        <f t="shared" si="25"/>
        <v>15</v>
      </c>
      <c r="P428" s="949">
        <f t="shared" si="77"/>
        <v>0.0215</v>
      </c>
      <c r="Q428" s="952">
        <f t="shared" si="79"/>
        <v>0</v>
      </c>
      <c r="R428" s="952">
        <f t="shared" si="78"/>
        <v>0</v>
      </c>
      <c r="S428" s="953"/>
      <c r="T428" s="949">
        <v>0.06</v>
      </c>
      <c r="U428" s="954"/>
      <c r="V428" s="949"/>
      <c r="W428" s="953"/>
      <c r="X428" s="949">
        <f t="shared" si="7"/>
        <v>0</v>
      </c>
      <c r="Y428" s="955"/>
      <c r="Z428" s="953" t="str">
        <f t="shared" si="8"/>
        <v/>
      </c>
      <c r="AA428" s="949">
        <f t="shared" si="9"/>
        <v>0</v>
      </c>
      <c r="AB428" s="955"/>
      <c r="AC428" s="949" t="str">
        <f t="shared" si="10"/>
        <v/>
      </c>
      <c r="AD428" s="953">
        <f t="shared" si="11"/>
        <v>0</v>
      </c>
      <c r="AE428" s="956"/>
      <c r="AF428" s="889"/>
      <c r="AG428" s="810" t="b">
        <v>0</v>
      </c>
      <c r="AH428" s="780"/>
      <c r="AI428" s="780"/>
      <c r="AJ428" s="780"/>
      <c r="AK428" s="780"/>
      <c r="AL428" s="780"/>
      <c r="AM428" s="780"/>
      <c r="AN428" s="780"/>
      <c r="AO428" s="780"/>
      <c r="AP428" s="780"/>
      <c r="AQ428" s="780"/>
      <c r="AR428" s="780"/>
      <c r="AS428" s="780"/>
      <c r="AT428" s="780"/>
      <c r="AU428" s="780"/>
      <c r="AV428" s="780"/>
      <c r="AW428" s="780"/>
    </row>
    <row r="429">
      <c r="A429" s="941"/>
      <c r="B429" s="941"/>
      <c r="C429" s="995"/>
      <c r="D429" s="995"/>
      <c r="E429" s="995"/>
      <c r="F429" s="946"/>
      <c r="G429" s="946"/>
      <c r="H429" s="946"/>
      <c r="I429" s="947">
        <v>0.00138428</v>
      </c>
      <c r="J429" s="948">
        <v>0.035</v>
      </c>
      <c r="K429" s="949">
        <f t="shared" si="22"/>
        <v>0</v>
      </c>
      <c r="L429" s="950">
        <f t="shared" si="23"/>
        <v>0</v>
      </c>
      <c r="M429" s="948">
        <v>0.0215</v>
      </c>
      <c r="N429" s="951">
        <f t="shared" si="24"/>
        <v>0.00141404202</v>
      </c>
      <c r="O429" s="949">
        <f t="shared" si="25"/>
        <v>15</v>
      </c>
      <c r="P429" s="949">
        <f t="shared" si="77"/>
        <v>0.0215</v>
      </c>
      <c r="Q429" s="952">
        <f t="shared" si="79"/>
        <v>0</v>
      </c>
      <c r="R429" s="952">
        <f t="shared" si="78"/>
        <v>0</v>
      </c>
      <c r="S429" s="953"/>
      <c r="T429" s="949">
        <v>0.06</v>
      </c>
      <c r="U429" s="954"/>
      <c r="V429" s="949"/>
      <c r="W429" s="953"/>
      <c r="X429" s="949">
        <f t="shared" si="7"/>
        <v>0</v>
      </c>
      <c r="Y429" s="955"/>
      <c r="Z429" s="953" t="str">
        <f t="shared" si="8"/>
        <v/>
      </c>
      <c r="AA429" s="949">
        <f t="shared" si="9"/>
        <v>0</v>
      </c>
      <c r="AB429" s="955"/>
      <c r="AC429" s="949" t="str">
        <f t="shared" si="10"/>
        <v/>
      </c>
      <c r="AD429" s="953">
        <f t="shared" si="11"/>
        <v>0</v>
      </c>
      <c r="AE429" s="956"/>
      <c r="AF429" s="889"/>
      <c r="AG429" s="810" t="b">
        <v>0</v>
      </c>
      <c r="AH429" s="780"/>
      <c r="AI429" s="780"/>
      <c r="AJ429" s="780"/>
      <c r="AK429" s="780"/>
      <c r="AL429" s="780"/>
      <c r="AM429" s="780"/>
      <c r="AN429" s="780"/>
      <c r="AO429" s="780"/>
      <c r="AP429" s="780"/>
      <c r="AQ429" s="780"/>
      <c r="AR429" s="780"/>
      <c r="AS429" s="780"/>
      <c r="AT429" s="780"/>
      <c r="AU429" s="780"/>
      <c r="AV429" s="780"/>
      <c r="AW429" s="780"/>
    </row>
    <row r="430">
      <c r="A430" s="941"/>
      <c r="B430" s="941"/>
      <c r="C430" s="995"/>
      <c r="D430" s="995"/>
      <c r="E430" s="995"/>
      <c r="F430" s="946"/>
      <c r="G430" s="946"/>
      <c r="H430" s="946"/>
      <c r="I430" s="947">
        <v>0.00138428</v>
      </c>
      <c r="J430" s="948">
        <v>0.035</v>
      </c>
      <c r="K430" s="949">
        <f t="shared" si="22"/>
        <v>0</v>
      </c>
      <c r="L430" s="950">
        <f t="shared" si="23"/>
        <v>0</v>
      </c>
      <c r="M430" s="948">
        <v>0.0215</v>
      </c>
      <c r="N430" s="951">
        <f t="shared" si="24"/>
        <v>0.00141404202</v>
      </c>
      <c r="O430" s="949">
        <f t="shared" si="25"/>
        <v>15</v>
      </c>
      <c r="P430" s="949">
        <f t="shared" si="77"/>
        <v>0.0215</v>
      </c>
      <c r="Q430" s="952">
        <f t="shared" si="79"/>
        <v>0</v>
      </c>
      <c r="R430" s="952">
        <f t="shared" si="78"/>
        <v>0</v>
      </c>
      <c r="S430" s="953"/>
      <c r="T430" s="949">
        <v>0.06</v>
      </c>
      <c r="U430" s="954"/>
      <c r="V430" s="949"/>
      <c r="W430" s="953"/>
      <c r="X430" s="949">
        <f t="shared" si="7"/>
        <v>0</v>
      </c>
      <c r="Y430" s="955"/>
      <c r="Z430" s="953" t="str">
        <f t="shared" si="8"/>
        <v/>
      </c>
      <c r="AA430" s="949">
        <f t="shared" si="9"/>
        <v>0</v>
      </c>
      <c r="AB430" s="955"/>
      <c r="AC430" s="949" t="str">
        <f t="shared" si="10"/>
        <v/>
      </c>
      <c r="AD430" s="953">
        <f t="shared" si="11"/>
        <v>0</v>
      </c>
      <c r="AE430" s="956"/>
      <c r="AF430" s="889"/>
      <c r="AG430" s="810" t="b">
        <v>0</v>
      </c>
      <c r="AH430" s="780"/>
      <c r="AI430" s="780"/>
      <c r="AJ430" s="780"/>
      <c r="AK430" s="780"/>
      <c r="AL430" s="780"/>
      <c r="AM430" s="780"/>
      <c r="AN430" s="780"/>
      <c r="AO430" s="780"/>
      <c r="AP430" s="780"/>
      <c r="AQ430" s="780"/>
      <c r="AR430" s="780"/>
      <c r="AS430" s="780"/>
      <c r="AT430" s="780"/>
      <c r="AU430" s="780"/>
      <c r="AV430" s="780"/>
      <c r="AW430" s="780"/>
    </row>
    <row r="431">
      <c r="A431" s="941"/>
      <c r="B431" s="941"/>
      <c r="C431" s="995"/>
      <c r="D431" s="995"/>
      <c r="E431" s="995"/>
      <c r="F431" s="946"/>
      <c r="G431" s="946"/>
      <c r="H431" s="946"/>
      <c r="I431" s="947">
        <v>0.00138428</v>
      </c>
      <c r="J431" s="948">
        <v>0.035</v>
      </c>
      <c r="K431" s="949">
        <f t="shared" si="22"/>
        <v>0</v>
      </c>
      <c r="L431" s="950">
        <f t="shared" si="23"/>
        <v>0</v>
      </c>
      <c r="M431" s="948">
        <v>0.0215</v>
      </c>
      <c r="N431" s="951">
        <f t="shared" si="24"/>
        <v>0.00141404202</v>
      </c>
      <c r="O431" s="949">
        <f t="shared" si="25"/>
        <v>15</v>
      </c>
      <c r="P431" s="949">
        <f t="shared" si="77"/>
        <v>0.0215</v>
      </c>
      <c r="Q431" s="952">
        <f t="shared" si="79"/>
        <v>0</v>
      </c>
      <c r="R431" s="952">
        <f t="shared" si="78"/>
        <v>0</v>
      </c>
      <c r="S431" s="953"/>
      <c r="T431" s="949">
        <v>0.06</v>
      </c>
      <c r="U431" s="954"/>
      <c r="V431" s="949"/>
      <c r="W431" s="953"/>
      <c r="X431" s="949">
        <f t="shared" si="7"/>
        <v>0</v>
      </c>
      <c r="Y431" s="955"/>
      <c r="Z431" s="953" t="str">
        <f t="shared" si="8"/>
        <v/>
      </c>
      <c r="AA431" s="949">
        <f t="shared" si="9"/>
        <v>0</v>
      </c>
      <c r="AB431" s="955"/>
      <c r="AC431" s="949" t="str">
        <f t="shared" si="10"/>
        <v/>
      </c>
      <c r="AD431" s="953">
        <f t="shared" si="11"/>
        <v>0</v>
      </c>
      <c r="AE431" s="956"/>
      <c r="AF431" s="889"/>
      <c r="AG431" s="810" t="b">
        <v>0</v>
      </c>
      <c r="AH431" s="780"/>
      <c r="AI431" s="780"/>
      <c r="AJ431" s="780"/>
      <c r="AK431" s="780"/>
      <c r="AL431" s="780"/>
      <c r="AM431" s="780"/>
      <c r="AN431" s="780"/>
      <c r="AO431" s="780"/>
      <c r="AP431" s="780"/>
      <c r="AQ431" s="780"/>
      <c r="AR431" s="780"/>
      <c r="AS431" s="780"/>
      <c r="AT431" s="780"/>
      <c r="AU431" s="780"/>
      <c r="AV431" s="780"/>
      <c r="AW431" s="780"/>
    </row>
    <row r="432">
      <c r="A432" s="941"/>
      <c r="B432" s="941"/>
      <c r="C432" s="995"/>
      <c r="D432" s="995"/>
      <c r="E432" s="995"/>
      <c r="F432" s="946"/>
      <c r="G432" s="946"/>
      <c r="H432" s="946"/>
      <c r="I432" s="947">
        <v>0.00138428</v>
      </c>
      <c r="J432" s="948">
        <v>0.035</v>
      </c>
      <c r="K432" s="949">
        <f t="shared" si="22"/>
        <v>0</v>
      </c>
      <c r="L432" s="950">
        <f t="shared" si="23"/>
        <v>0</v>
      </c>
      <c r="M432" s="948">
        <v>0.0215</v>
      </c>
      <c r="N432" s="951">
        <f t="shared" si="24"/>
        <v>0.00141404202</v>
      </c>
      <c r="O432" s="949">
        <f t="shared" si="25"/>
        <v>15</v>
      </c>
      <c r="P432" s="949">
        <f t="shared" si="77"/>
        <v>0.0215</v>
      </c>
      <c r="Q432" s="952">
        <f t="shared" si="79"/>
        <v>0</v>
      </c>
      <c r="R432" s="952">
        <f t="shared" si="78"/>
        <v>0</v>
      </c>
      <c r="S432" s="953"/>
      <c r="T432" s="949">
        <v>0.06</v>
      </c>
      <c r="U432" s="954"/>
      <c r="V432" s="949"/>
      <c r="W432" s="953"/>
      <c r="X432" s="949">
        <f t="shared" si="7"/>
        <v>0</v>
      </c>
      <c r="Y432" s="955"/>
      <c r="Z432" s="953" t="str">
        <f t="shared" si="8"/>
        <v/>
      </c>
      <c r="AA432" s="949">
        <f t="shared" si="9"/>
        <v>0</v>
      </c>
      <c r="AB432" s="955"/>
      <c r="AC432" s="949" t="str">
        <f t="shared" si="10"/>
        <v/>
      </c>
      <c r="AD432" s="953">
        <f t="shared" si="11"/>
        <v>0</v>
      </c>
      <c r="AE432" s="956"/>
      <c r="AF432" s="889"/>
      <c r="AG432" s="810" t="b">
        <v>0</v>
      </c>
      <c r="AH432" s="780"/>
      <c r="AI432" s="780"/>
      <c r="AJ432" s="780"/>
      <c r="AK432" s="780"/>
      <c r="AL432" s="780"/>
      <c r="AM432" s="780"/>
      <c r="AN432" s="780"/>
      <c r="AO432" s="780"/>
      <c r="AP432" s="780"/>
      <c r="AQ432" s="780"/>
      <c r="AR432" s="780"/>
      <c r="AS432" s="780"/>
      <c r="AT432" s="780"/>
      <c r="AU432" s="780"/>
      <c r="AV432" s="780"/>
      <c r="AW432" s="780"/>
    </row>
    <row r="433">
      <c r="A433" s="941"/>
      <c r="B433" s="941"/>
      <c r="C433" s="995"/>
      <c r="D433" s="995"/>
      <c r="E433" s="995"/>
      <c r="F433" s="946"/>
      <c r="G433" s="946"/>
      <c r="H433" s="946"/>
      <c r="I433" s="947">
        <v>0.00138428</v>
      </c>
      <c r="J433" s="948">
        <v>0.035</v>
      </c>
      <c r="K433" s="949">
        <f t="shared" si="22"/>
        <v>0</v>
      </c>
      <c r="L433" s="950">
        <f t="shared" si="23"/>
        <v>0</v>
      </c>
      <c r="M433" s="948">
        <v>0.0215</v>
      </c>
      <c r="N433" s="951">
        <f t="shared" si="24"/>
        <v>0.00141404202</v>
      </c>
      <c r="O433" s="949">
        <f t="shared" si="25"/>
        <v>15</v>
      </c>
      <c r="P433" s="949">
        <f t="shared" si="77"/>
        <v>0.0215</v>
      </c>
      <c r="Q433" s="952">
        <f t="shared" si="79"/>
        <v>0</v>
      </c>
      <c r="R433" s="952">
        <f t="shared" si="78"/>
        <v>0</v>
      </c>
      <c r="S433" s="953"/>
      <c r="T433" s="949">
        <v>0.06</v>
      </c>
      <c r="U433" s="954"/>
      <c r="V433" s="949"/>
      <c r="W433" s="953"/>
      <c r="X433" s="949">
        <f t="shared" si="7"/>
        <v>0</v>
      </c>
      <c r="Y433" s="955"/>
      <c r="Z433" s="953" t="str">
        <f t="shared" si="8"/>
        <v/>
      </c>
      <c r="AA433" s="949">
        <f t="shared" si="9"/>
        <v>0</v>
      </c>
      <c r="AB433" s="955"/>
      <c r="AC433" s="949" t="str">
        <f t="shared" si="10"/>
        <v/>
      </c>
      <c r="AD433" s="953">
        <f t="shared" si="11"/>
        <v>0</v>
      </c>
      <c r="AE433" s="956"/>
      <c r="AF433" s="889"/>
      <c r="AG433" s="810" t="b">
        <v>0</v>
      </c>
      <c r="AH433" s="780"/>
      <c r="AI433" s="780"/>
      <c r="AJ433" s="780"/>
      <c r="AK433" s="780"/>
      <c r="AL433" s="780"/>
      <c r="AM433" s="780"/>
      <c r="AN433" s="780"/>
      <c r="AO433" s="780"/>
      <c r="AP433" s="780"/>
      <c r="AQ433" s="780"/>
      <c r="AR433" s="780"/>
      <c r="AS433" s="780"/>
      <c r="AT433" s="780"/>
      <c r="AU433" s="780"/>
      <c r="AV433" s="780"/>
      <c r="AW433" s="780"/>
    </row>
    <row r="434">
      <c r="A434" s="941"/>
      <c r="B434" s="941"/>
      <c r="C434" s="995"/>
      <c r="D434" s="995"/>
      <c r="E434" s="995"/>
      <c r="F434" s="946"/>
      <c r="G434" s="946"/>
      <c r="H434" s="946"/>
      <c r="I434" s="947">
        <v>0.00138428</v>
      </c>
      <c r="J434" s="948">
        <v>0.035</v>
      </c>
      <c r="K434" s="949">
        <f t="shared" si="22"/>
        <v>0</v>
      </c>
      <c r="L434" s="950">
        <f t="shared" si="23"/>
        <v>0</v>
      </c>
      <c r="M434" s="948">
        <v>0.0215</v>
      </c>
      <c r="N434" s="951">
        <f t="shared" si="24"/>
        <v>0.00141404202</v>
      </c>
      <c r="O434" s="949">
        <f t="shared" si="25"/>
        <v>15</v>
      </c>
      <c r="P434" s="949">
        <f t="shared" si="77"/>
        <v>0.0215</v>
      </c>
      <c r="Q434" s="952">
        <f t="shared" si="79"/>
        <v>0</v>
      </c>
      <c r="R434" s="952">
        <f t="shared" si="78"/>
        <v>0</v>
      </c>
      <c r="S434" s="953"/>
      <c r="T434" s="949">
        <v>0.06</v>
      </c>
      <c r="U434" s="954"/>
      <c r="V434" s="949"/>
      <c r="W434" s="953"/>
      <c r="X434" s="949">
        <f t="shared" si="7"/>
        <v>0</v>
      </c>
      <c r="Y434" s="955"/>
      <c r="Z434" s="953" t="str">
        <f t="shared" si="8"/>
        <v/>
      </c>
      <c r="AA434" s="949">
        <f t="shared" si="9"/>
        <v>0</v>
      </c>
      <c r="AB434" s="955"/>
      <c r="AC434" s="949" t="str">
        <f t="shared" si="10"/>
        <v/>
      </c>
      <c r="AD434" s="953">
        <f t="shared" si="11"/>
        <v>0</v>
      </c>
      <c r="AE434" s="956"/>
      <c r="AF434" s="889"/>
      <c r="AG434" s="810" t="b">
        <v>0</v>
      </c>
      <c r="AH434" s="780"/>
      <c r="AI434" s="780"/>
      <c r="AJ434" s="780"/>
      <c r="AK434" s="780"/>
      <c r="AL434" s="780"/>
      <c r="AM434" s="780"/>
      <c r="AN434" s="780"/>
      <c r="AO434" s="780"/>
      <c r="AP434" s="780"/>
      <c r="AQ434" s="780"/>
      <c r="AR434" s="780"/>
      <c r="AS434" s="780"/>
      <c r="AT434" s="780"/>
      <c r="AU434" s="780"/>
      <c r="AV434" s="780"/>
      <c r="AW434" s="780"/>
    </row>
    <row r="435">
      <c r="A435" s="941"/>
      <c r="B435" s="941"/>
      <c r="C435" s="995"/>
      <c r="D435" s="995"/>
      <c r="E435" s="995"/>
      <c r="F435" s="946"/>
      <c r="G435" s="946"/>
      <c r="H435" s="946"/>
      <c r="I435" s="947">
        <v>0.00138428</v>
      </c>
      <c r="J435" s="948">
        <v>0.035</v>
      </c>
      <c r="K435" s="949">
        <f t="shared" si="22"/>
        <v>0</v>
      </c>
      <c r="L435" s="950">
        <f t="shared" si="23"/>
        <v>0</v>
      </c>
      <c r="M435" s="948">
        <v>0.0215</v>
      </c>
      <c r="N435" s="951">
        <f t="shared" si="24"/>
        <v>0.00141404202</v>
      </c>
      <c r="O435" s="949">
        <f t="shared" si="25"/>
        <v>15</v>
      </c>
      <c r="P435" s="949">
        <f t="shared" si="77"/>
        <v>0.0215</v>
      </c>
      <c r="Q435" s="952">
        <f t="shared" si="79"/>
        <v>0</v>
      </c>
      <c r="R435" s="952">
        <f t="shared" si="78"/>
        <v>0</v>
      </c>
      <c r="S435" s="953"/>
      <c r="T435" s="949">
        <v>0.06</v>
      </c>
      <c r="U435" s="954"/>
      <c r="V435" s="949"/>
      <c r="W435" s="953"/>
      <c r="X435" s="949">
        <f t="shared" si="7"/>
        <v>0</v>
      </c>
      <c r="Y435" s="955"/>
      <c r="Z435" s="953" t="str">
        <f t="shared" si="8"/>
        <v/>
      </c>
      <c r="AA435" s="949">
        <f t="shared" si="9"/>
        <v>0</v>
      </c>
      <c r="AB435" s="955"/>
      <c r="AC435" s="949" t="str">
        <f t="shared" si="10"/>
        <v/>
      </c>
      <c r="AD435" s="953">
        <f t="shared" si="11"/>
        <v>0</v>
      </c>
      <c r="AE435" s="956"/>
      <c r="AF435" s="889"/>
      <c r="AG435" s="810" t="b">
        <v>0</v>
      </c>
      <c r="AH435" s="780"/>
      <c r="AI435" s="780"/>
      <c r="AJ435" s="780"/>
      <c r="AK435" s="780"/>
      <c r="AL435" s="780"/>
      <c r="AM435" s="780"/>
      <c r="AN435" s="780"/>
      <c r="AO435" s="780"/>
      <c r="AP435" s="780"/>
      <c r="AQ435" s="780"/>
      <c r="AR435" s="780"/>
      <c r="AS435" s="780"/>
      <c r="AT435" s="780"/>
      <c r="AU435" s="780"/>
      <c r="AV435" s="780"/>
      <c r="AW435" s="780"/>
    </row>
    <row r="436">
      <c r="A436" s="941"/>
      <c r="B436" s="941"/>
      <c r="C436" s="995"/>
      <c r="D436" s="995"/>
      <c r="E436" s="995"/>
      <c r="F436" s="946"/>
      <c r="G436" s="946"/>
      <c r="H436" s="946"/>
      <c r="I436" s="947">
        <v>0.00138428</v>
      </c>
      <c r="J436" s="948">
        <v>0.035</v>
      </c>
      <c r="K436" s="949">
        <f t="shared" si="22"/>
        <v>0</v>
      </c>
      <c r="L436" s="950">
        <f t="shared" si="23"/>
        <v>0</v>
      </c>
      <c r="M436" s="948">
        <v>0.0215</v>
      </c>
      <c r="N436" s="951">
        <f t="shared" si="24"/>
        <v>0.00141404202</v>
      </c>
      <c r="O436" s="949">
        <f t="shared" si="25"/>
        <v>15</v>
      </c>
      <c r="P436" s="949">
        <f t="shared" si="77"/>
        <v>0.0215</v>
      </c>
      <c r="Q436" s="952">
        <f t="shared" si="79"/>
        <v>0</v>
      </c>
      <c r="R436" s="952">
        <f t="shared" si="78"/>
        <v>0</v>
      </c>
      <c r="S436" s="953"/>
      <c r="T436" s="949">
        <v>0.06</v>
      </c>
      <c r="U436" s="954"/>
      <c r="V436" s="949"/>
      <c r="W436" s="953"/>
      <c r="X436" s="949">
        <f t="shared" si="7"/>
        <v>0</v>
      </c>
      <c r="Y436" s="955"/>
      <c r="Z436" s="953" t="str">
        <f t="shared" si="8"/>
        <v/>
      </c>
      <c r="AA436" s="949">
        <f t="shared" si="9"/>
        <v>0</v>
      </c>
      <c r="AB436" s="955"/>
      <c r="AC436" s="949" t="str">
        <f t="shared" si="10"/>
        <v/>
      </c>
      <c r="AD436" s="953">
        <f t="shared" si="11"/>
        <v>0</v>
      </c>
      <c r="AE436" s="956"/>
      <c r="AF436" s="889"/>
      <c r="AG436" s="810" t="b">
        <v>0</v>
      </c>
      <c r="AH436" s="780"/>
      <c r="AI436" s="780"/>
      <c r="AJ436" s="780"/>
      <c r="AK436" s="780"/>
      <c r="AL436" s="780"/>
      <c r="AM436" s="780"/>
      <c r="AN436" s="780"/>
      <c r="AO436" s="780"/>
      <c r="AP436" s="780"/>
      <c r="AQ436" s="780"/>
      <c r="AR436" s="780"/>
      <c r="AS436" s="780"/>
      <c r="AT436" s="780"/>
      <c r="AU436" s="780"/>
      <c r="AV436" s="780"/>
      <c r="AW436" s="780"/>
    </row>
    <row r="437">
      <c r="A437" s="941"/>
      <c r="B437" s="941"/>
      <c r="C437" s="995"/>
      <c r="D437" s="995"/>
      <c r="E437" s="995"/>
      <c r="F437" s="946"/>
      <c r="G437" s="946"/>
      <c r="H437" s="946"/>
      <c r="I437" s="947">
        <v>0.00138428</v>
      </c>
      <c r="J437" s="948">
        <v>0.035</v>
      </c>
      <c r="K437" s="949">
        <f t="shared" si="22"/>
        <v>0</v>
      </c>
      <c r="L437" s="950">
        <f t="shared" si="23"/>
        <v>0</v>
      </c>
      <c r="M437" s="948">
        <v>0.0215</v>
      </c>
      <c r="N437" s="951">
        <f t="shared" si="24"/>
        <v>0.00141404202</v>
      </c>
      <c r="O437" s="949">
        <f t="shared" si="25"/>
        <v>15</v>
      </c>
      <c r="P437" s="949">
        <f t="shared" si="77"/>
        <v>0.0215</v>
      </c>
      <c r="Q437" s="952">
        <f t="shared" si="79"/>
        <v>0</v>
      </c>
      <c r="R437" s="952">
        <f t="shared" si="78"/>
        <v>0</v>
      </c>
      <c r="S437" s="953"/>
      <c r="T437" s="949">
        <v>0.06</v>
      </c>
      <c r="U437" s="954"/>
      <c r="V437" s="949"/>
      <c r="W437" s="953"/>
      <c r="X437" s="949">
        <f t="shared" si="7"/>
        <v>0</v>
      </c>
      <c r="Y437" s="955"/>
      <c r="Z437" s="953" t="str">
        <f t="shared" si="8"/>
        <v/>
      </c>
      <c r="AA437" s="949">
        <f t="shared" si="9"/>
        <v>0</v>
      </c>
      <c r="AB437" s="955"/>
      <c r="AC437" s="949" t="str">
        <f t="shared" si="10"/>
        <v/>
      </c>
      <c r="AD437" s="953">
        <f t="shared" si="11"/>
        <v>0</v>
      </c>
      <c r="AE437" s="956"/>
      <c r="AF437" s="889"/>
      <c r="AG437" s="810" t="b">
        <v>0</v>
      </c>
      <c r="AH437" s="780"/>
      <c r="AI437" s="780"/>
      <c r="AJ437" s="780"/>
      <c r="AK437" s="780"/>
      <c r="AL437" s="780"/>
      <c r="AM437" s="780"/>
      <c r="AN437" s="780"/>
      <c r="AO437" s="780"/>
      <c r="AP437" s="780"/>
      <c r="AQ437" s="780"/>
      <c r="AR437" s="780"/>
      <c r="AS437" s="780"/>
      <c r="AT437" s="780"/>
      <c r="AU437" s="780"/>
      <c r="AV437" s="780"/>
      <c r="AW437" s="780"/>
    </row>
    <row r="438">
      <c r="A438" s="941"/>
      <c r="B438" s="941"/>
      <c r="C438" s="995"/>
      <c r="D438" s="1001"/>
      <c r="E438" s="944"/>
      <c r="F438" s="946"/>
      <c r="G438" s="946"/>
      <c r="H438" s="946"/>
      <c r="I438" s="947">
        <v>0.00138428</v>
      </c>
      <c r="J438" s="948">
        <v>0.035</v>
      </c>
      <c r="K438" s="949">
        <f t="shared" si="22"/>
        <v>0</v>
      </c>
      <c r="L438" s="950">
        <f t="shared" si="23"/>
        <v>0</v>
      </c>
      <c r="M438" s="948">
        <v>0.0215</v>
      </c>
      <c r="N438" s="951">
        <f t="shared" si="24"/>
        <v>0.00141404202</v>
      </c>
      <c r="O438" s="949">
        <f t="shared" si="25"/>
        <v>15</v>
      </c>
      <c r="P438" s="949">
        <f t="shared" si="77"/>
        <v>0.0215</v>
      </c>
      <c r="Q438" s="952">
        <f t="shared" si="79"/>
        <v>0</v>
      </c>
      <c r="R438" s="952">
        <f t="shared" si="78"/>
        <v>0</v>
      </c>
      <c r="S438" s="953"/>
      <c r="T438" s="949">
        <v>0.06</v>
      </c>
      <c r="U438" s="954"/>
      <c r="V438" s="949"/>
      <c r="W438" s="953"/>
      <c r="X438" s="949">
        <f t="shared" si="7"/>
        <v>0</v>
      </c>
      <c r="Y438" s="955"/>
      <c r="Z438" s="953" t="str">
        <f t="shared" si="8"/>
        <v/>
      </c>
      <c r="AA438" s="949">
        <f t="shared" si="9"/>
        <v>0</v>
      </c>
      <c r="AB438" s="955"/>
      <c r="AC438" s="949" t="str">
        <f t="shared" si="10"/>
        <v/>
      </c>
      <c r="AD438" s="953">
        <f t="shared" si="11"/>
        <v>0</v>
      </c>
      <c r="AE438" s="956"/>
      <c r="AF438" s="889"/>
      <c r="AG438" s="810" t="b">
        <v>0</v>
      </c>
      <c r="AH438" s="780"/>
      <c r="AI438" s="780"/>
      <c r="AJ438" s="780"/>
      <c r="AK438" s="780"/>
      <c r="AL438" s="780"/>
      <c r="AM438" s="780"/>
      <c r="AN438" s="780"/>
      <c r="AO438" s="780"/>
      <c r="AP438" s="780"/>
      <c r="AQ438" s="780"/>
      <c r="AR438" s="780"/>
      <c r="AS438" s="780"/>
      <c r="AT438" s="780"/>
      <c r="AU438" s="780"/>
      <c r="AV438" s="780"/>
      <c r="AW438" s="780"/>
    </row>
    <row r="439">
      <c r="A439" s="941"/>
      <c r="B439" s="941"/>
      <c r="C439" s="995"/>
      <c r="D439" s="995"/>
      <c r="E439" s="995"/>
      <c r="F439" s="946"/>
      <c r="G439" s="946"/>
      <c r="H439" s="946"/>
      <c r="I439" s="947">
        <v>0.00138428</v>
      </c>
      <c r="J439" s="948">
        <v>0.035</v>
      </c>
      <c r="K439" s="949">
        <f t="shared" si="22"/>
        <v>0</v>
      </c>
      <c r="L439" s="950">
        <f t="shared" si="23"/>
        <v>0</v>
      </c>
      <c r="M439" s="948">
        <v>0.0215</v>
      </c>
      <c r="N439" s="951">
        <f t="shared" si="24"/>
        <v>0.00141404202</v>
      </c>
      <c r="O439" s="949">
        <f t="shared" si="25"/>
        <v>15</v>
      </c>
      <c r="P439" s="949">
        <f t="shared" si="77"/>
        <v>0.0215</v>
      </c>
      <c r="Q439" s="952">
        <f t="shared" si="79"/>
        <v>0</v>
      </c>
      <c r="R439" s="952">
        <f t="shared" si="78"/>
        <v>0</v>
      </c>
      <c r="S439" s="953"/>
      <c r="T439" s="949">
        <v>0.06</v>
      </c>
      <c r="U439" s="954"/>
      <c r="V439" s="949"/>
      <c r="W439" s="953"/>
      <c r="X439" s="949">
        <f t="shared" si="7"/>
        <v>0</v>
      </c>
      <c r="Y439" s="955"/>
      <c r="Z439" s="953" t="str">
        <f t="shared" si="8"/>
        <v/>
      </c>
      <c r="AA439" s="949">
        <f t="shared" si="9"/>
        <v>0</v>
      </c>
      <c r="AB439" s="955"/>
      <c r="AC439" s="949" t="str">
        <f t="shared" si="10"/>
        <v/>
      </c>
      <c r="AD439" s="953">
        <f t="shared" si="11"/>
        <v>0</v>
      </c>
      <c r="AE439" s="956"/>
      <c r="AF439" s="889"/>
      <c r="AG439" s="810" t="b">
        <v>0</v>
      </c>
      <c r="AH439" s="780"/>
      <c r="AI439" s="780"/>
      <c r="AJ439" s="780"/>
      <c r="AK439" s="780"/>
      <c r="AL439" s="780"/>
      <c r="AM439" s="780"/>
      <c r="AN439" s="780"/>
      <c r="AO439" s="780"/>
      <c r="AP439" s="780"/>
      <c r="AQ439" s="780"/>
      <c r="AR439" s="780"/>
      <c r="AS439" s="780"/>
      <c r="AT439" s="780"/>
      <c r="AU439" s="780"/>
      <c r="AV439" s="780"/>
      <c r="AW439" s="780"/>
    </row>
    <row r="440">
      <c r="A440" s="941"/>
      <c r="B440" s="941"/>
      <c r="C440" s="995"/>
      <c r="D440" s="995"/>
      <c r="E440" s="995"/>
      <c r="F440" s="946"/>
      <c r="G440" s="946"/>
      <c r="H440" s="946"/>
      <c r="I440" s="947">
        <v>0.00138428</v>
      </c>
      <c r="J440" s="948">
        <v>0.035</v>
      </c>
      <c r="K440" s="949">
        <f t="shared" si="22"/>
        <v>0</v>
      </c>
      <c r="L440" s="950">
        <f t="shared" si="23"/>
        <v>0</v>
      </c>
      <c r="M440" s="948">
        <v>0.0215</v>
      </c>
      <c r="N440" s="951">
        <f t="shared" si="24"/>
        <v>0.00141404202</v>
      </c>
      <c r="O440" s="949">
        <f t="shared" si="25"/>
        <v>15</v>
      </c>
      <c r="P440" s="949">
        <f t="shared" si="77"/>
        <v>0.0215</v>
      </c>
      <c r="Q440" s="952">
        <f t="shared" si="79"/>
        <v>0</v>
      </c>
      <c r="R440" s="952">
        <f t="shared" si="78"/>
        <v>0</v>
      </c>
      <c r="S440" s="953"/>
      <c r="T440" s="949">
        <v>0.06</v>
      </c>
      <c r="U440" s="954"/>
      <c r="V440" s="949"/>
      <c r="W440" s="953"/>
      <c r="X440" s="949">
        <f t="shared" si="7"/>
        <v>0</v>
      </c>
      <c r="Y440" s="955"/>
      <c r="Z440" s="953" t="str">
        <f t="shared" si="8"/>
        <v/>
      </c>
      <c r="AA440" s="949">
        <f t="shared" si="9"/>
        <v>0</v>
      </c>
      <c r="AB440" s="955"/>
      <c r="AC440" s="949" t="str">
        <f t="shared" si="10"/>
        <v/>
      </c>
      <c r="AD440" s="953">
        <f t="shared" si="11"/>
        <v>0</v>
      </c>
      <c r="AE440" s="956"/>
      <c r="AF440" s="889"/>
      <c r="AG440" s="810" t="b">
        <v>0</v>
      </c>
      <c r="AH440" s="780"/>
      <c r="AI440" s="780"/>
      <c r="AJ440" s="780"/>
      <c r="AK440" s="780"/>
      <c r="AL440" s="780"/>
      <c r="AM440" s="780"/>
      <c r="AN440" s="780"/>
      <c r="AO440" s="780"/>
      <c r="AP440" s="780"/>
      <c r="AQ440" s="780"/>
      <c r="AR440" s="780"/>
      <c r="AS440" s="780"/>
      <c r="AT440" s="780"/>
      <c r="AU440" s="780"/>
      <c r="AV440" s="780"/>
      <c r="AW440" s="780"/>
    </row>
    <row r="441">
      <c r="A441" s="941"/>
      <c r="B441" s="941"/>
      <c r="C441" s="995"/>
      <c r="D441" s="995"/>
      <c r="E441" s="995"/>
      <c r="F441" s="946"/>
      <c r="G441" s="946"/>
      <c r="H441" s="946"/>
      <c r="I441" s="947">
        <v>0.00138428</v>
      </c>
      <c r="J441" s="948">
        <v>0.035</v>
      </c>
      <c r="K441" s="949">
        <f t="shared" si="22"/>
        <v>0</v>
      </c>
      <c r="L441" s="950">
        <f t="shared" si="23"/>
        <v>0</v>
      </c>
      <c r="M441" s="948">
        <v>0.0215</v>
      </c>
      <c r="N441" s="951">
        <f t="shared" si="24"/>
        <v>0.00141404202</v>
      </c>
      <c r="O441" s="949">
        <f t="shared" si="25"/>
        <v>15</v>
      </c>
      <c r="P441" s="949">
        <f t="shared" si="77"/>
        <v>0.0215</v>
      </c>
      <c r="Q441" s="952">
        <f t="shared" si="79"/>
        <v>0</v>
      </c>
      <c r="R441" s="952">
        <f t="shared" si="78"/>
        <v>0</v>
      </c>
      <c r="S441" s="953"/>
      <c r="T441" s="949">
        <v>0.06</v>
      </c>
      <c r="U441" s="954"/>
      <c r="V441" s="949"/>
      <c r="W441" s="953"/>
      <c r="X441" s="949">
        <f t="shared" si="7"/>
        <v>0</v>
      </c>
      <c r="Y441" s="955"/>
      <c r="Z441" s="953" t="str">
        <f t="shared" si="8"/>
        <v/>
      </c>
      <c r="AA441" s="949">
        <f t="shared" si="9"/>
        <v>0</v>
      </c>
      <c r="AB441" s="955"/>
      <c r="AC441" s="949" t="str">
        <f t="shared" si="10"/>
        <v/>
      </c>
      <c r="AD441" s="953">
        <f t="shared" si="11"/>
        <v>0</v>
      </c>
      <c r="AE441" s="956"/>
      <c r="AF441" s="889"/>
      <c r="AG441" s="810" t="b">
        <v>0</v>
      </c>
      <c r="AH441" s="780"/>
      <c r="AI441" s="780"/>
      <c r="AJ441" s="780"/>
      <c r="AK441" s="780"/>
      <c r="AL441" s="780"/>
      <c r="AM441" s="780"/>
      <c r="AN441" s="780"/>
      <c r="AO441" s="780"/>
      <c r="AP441" s="780"/>
      <c r="AQ441" s="780"/>
      <c r="AR441" s="780"/>
      <c r="AS441" s="780"/>
      <c r="AT441" s="780"/>
      <c r="AU441" s="780"/>
      <c r="AV441" s="780"/>
      <c r="AW441" s="780"/>
    </row>
    <row r="442">
      <c r="A442" s="941"/>
      <c r="B442" s="941"/>
      <c r="C442" s="995"/>
      <c r="D442" s="995"/>
      <c r="E442" s="995"/>
      <c r="F442" s="946"/>
      <c r="G442" s="946"/>
      <c r="H442" s="946"/>
      <c r="I442" s="947">
        <v>0.00138428</v>
      </c>
      <c r="J442" s="948">
        <v>0.035</v>
      </c>
      <c r="K442" s="949">
        <f t="shared" si="22"/>
        <v>0</v>
      </c>
      <c r="L442" s="950">
        <f t="shared" si="23"/>
        <v>0</v>
      </c>
      <c r="M442" s="948">
        <v>0.0215</v>
      </c>
      <c r="N442" s="951">
        <f t="shared" si="24"/>
        <v>0.00141404202</v>
      </c>
      <c r="O442" s="949">
        <f t="shared" si="25"/>
        <v>15</v>
      </c>
      <c r="P442" s="949">
        <f t="shared" si="77"/>
        <v>0.0215</v>
      </c>
      <c r="Q442" s="952">
        <f t="shared" si="79"/>
        <v>0</v>
      </c>
      <c r="R442" s="952">
        <f t="shared" si="78"/>
        <v>0</v>
      </c>
      <c r="S442" s="953"/>
      <c r="T442" s="949">
        <v>0.06</v>
      </c>
      <c r="U442" s="954"/>
      <c r="V442" s="949"/>
      <c r="W442" s="953"/>
      <c r="X442" s="949">
        <f t="shared" si="7"/>
        <v>0</v>
      </c>
      <c r="Y442" s="955"/>
      <c r="Z442" s="953" t="str">
        <f t="shared" si="8"/>
        <v/>
      </c>
      <c r="AA442" s="949">
        <f t="shared" si="9"/>
        <v>0</v>
      </c>
      <c r="AB442" s="955"/>
      <c r="AC442" s="949" t="str">
        <f t="shared" si="10"/>
        <v/>
      </c>
      <c r="AD442" s="953">
        <f t="shared" si="11"/>
        <v>0</v>
      </c>
      <c r="AE442" s="956"/>
      <c r="AF442" s="889"/>
      <c r="AG442" s="810" t="b">
        <v>0</v>
      </c>
      <c r="AH442" s="780"/>
      <c r="AI442" s="780"/>
      <c r="AJ442" s="780"/>
      <c r="AK442" s="780"/>
      <c r="AL442" s="780"/>
      <c r="AM442" s="780"/>
      <c r="AN442" s="780"/>
      <c r="AO442" s="780"/>
      <c r="AP442" s="780"/>
      <c r="AQ442" s="780"/>
      <c r="AR442" s="780"/>
      <c r="AS442" s="780"/>
      <c r="AT442" s="780"/>
      <c r="AU442" s="780"/>
      <c r="AV442" s="780"/>
      <c r="AW442" s="780"/>
    </row>
    <row r="443">
      <c r="A443" s="941"/>
      <c r="B443" s="941"/>
      <c r="C443" s="995"/>
      <c r="D443" s="995"/>
      <c r="E443" s="995"/>
      <c r="F443" s="946"/>
      <c r="G443" s="946"/>
      <c r="H443" s="946"/>
      <c r="I443" s="947">
        <v>0.00138428</v>
      </c>
      <c r="J443" s="948">
        <v>0.035</v>
      </c>
      <c r="K443" s="949">
        <f t="shared" si="22"/>
        <v>0</v>
      </c>
      <c r="L443" s="950">
        <f t="shared" si="23"/>
        <v>0</v>
      </c>
      <c r="M443" s="948">
        <v>0.0215</v>
      </c>
      <c r="N443" s="951">
        <f t="shared" si="24"/>
        <v>0.00141404202</v>
      </c>
      <c r="O443" s="949">
        <f t="shared" si="25"/>
        <v>15</v>
      </c>
      <c r="P443" s="949">
        <f t="shared" si="77"/>
        <v>0.0215</v>
      </c>
      <c r="Q443" s="952">
        <f t="shared" si="79"/>
        <v>0</v>
      </c>
      <c r="R443" s="952">
        <f t="shared" si="78"/>
        <v>0</v>
      </c>
      <c r="S443" s="953"/>
      <c r="T443" s="949">
        <v>0.06</v>
      </c>
      <c r="U443" s="954"/>
      <c r="V443" s="949"/>
      <c r="W443" s="953"/>
      <c r="X443" s="949">
        <f t="shared" si="7"/>
        <v>0</v>
      </c>
      <c r="Y443" s="955"/>
      <c r="Z443" s="953" t="str">
        <f t="shared" si="8"/>
        <v/>
      </c>
      <c r="AA443" s="949">
        <f t="shared" si="9"/>
        <v>0</v>
      </c>
      <c r="AB443" s="955"/>
      <c r="AC443" s="949" t="str">
        <f t="shared" si="10"/>
        <v/>
      </c>
      <c r="AD443" s="953">
        <f t="shared" si="11"/>
        <v>0</v>
      </c>
      <c r="AE443" s="956"/>
      <c r="AF443" s="889"/>
      <c r="AG443" s="810" t="b">
        <v>0</v>
      </c>
      <c r="AH443" s="780"/>
      <c r="AI443" s="780"/>
      <c r="AJ443" s="780"/>
      <c r="AK443" s="780"/>
      <c r="AL443" s="780"/>
      <c r="AM443" s="780"/>
      <c r="AN443" s="780"/>
      <c r="AO443" s="780"/>
      <c r="AP443" s="780"/>
      <c r="AQ443" s="780"/>
      <c r="AR443" s="780"/>
      <c r="AS443" s="780"/>
      <c r="AT443" s="780"/>
      <c r="AU443" s="780"/>
      <c r="AV443" s="780"/>
      <c r="AW443" s="780"/>
    </row>
    <row r="444">
      <c r="A444" s="941"/>
      <c r="B444" s="941"/>
      <c r="C444" s="995"/>
      <c r="D444" s="995"/>
      <c r="E444" s="995"/>
      <c r="F444" s="946"/>
      <c r="G444" s="946"/>
      <c r="H444" s="946"/>
      <c r="I444" s="947">
        <v>0.00138428</v>
      </c>
      <c r="J444" s="948">
        <v>0.035</v>
      </c>
      <c r="K444" s="949">
        <f t="shared" si="22"/>
        <v>0</v>
      </c>
      <c r="L444" s="950">
        <f t="shared" si="23"/>
        <v>0</v>
      </c>
      <c r="M444" s="948">
        <v>0.0215</v>
      </c>
      <c r="N444" s="951">
        <f t="shared" si="24"/>
        <v>0.00141404202</v>
      </c>
      <c r="O444" s="949">
        <f t="shared" si="25"/>
        <v>15</v>
      </c>
      <c r="P444" s="949">
        <f t="shared" si="77"/>
        <v>0.0215</v>
      </c>
      <c r="Q444" s="952">
        <f t="shared" si="79"/>
        <v>0</v>
      </c>
      <c r="R444" s="952">
        <f t="shared" si="78"/>
        <v>0</v>
      </c>
      <c r="S444" s="953"/>
      <c r="T444" s="949">
        <v>0.06</v>
      </c>
      <c r="U444" s="954"/>
      <c r="V444" s="949"/>
      <c r="W444" s="953"/>
      <c r="X444" s="949">
        <f t="shared" si="7"/>
        <v>0</v>
      </c>
      <c r="Y444" s="955"/>
      <c r="Z444" s="953" t="str">
        <f t="shared" si="8"/>
        <v/>
      </c>
      <c r="AA444" s="949">
        <f t="shared" si="9"/>
        <v>0</v>
      </c>
      <c r="AB444" s="955"/>
      <c r="AC444" s="949" t="str">
        <f t="shared" si="10"/>
        <v/>
      </c>
      <c r="AD444" s="953">
        <f t="shared" si="11"/>
        <v>0</v>
      </c>
      <c r="AE444" s="956"/>
      <c r="AF444" s="889"/>
      <c r="AG444" s="810" t="b">
        <v>0</v>
      </c>
      <c r="AH444" s="780"/>
      <c r="AI444" s="780"/>
      <c r="AJ444" s="780"/>
      <c r="AK444" s="780"/>
      <c r="AL444" s="780"/>
      <c r="AM444" s="780"/>
      <c r="AN444" s="780"/>
      <c r="AO444" s="780"/>
      <c r="AP444" s="780"/>
      <c r="AQ444" s="780"/>
      <c r="AR444" s="780"/>
      <c r="AS444" s="780"/>
      <c r="AT444" s="780"/>
      <c r="AU444" s="780"/>
      <c r="AV444" s="780"/>
      <c r="AW444" s="780"/>
    </row>
    <row r="445">
      <c r="A445" s="941"/>
      <c r="B445" s="941"/>
      <c r="C445" s="995"/>
      <c r="D445" s="944"/>
      <c r="E445" s="944"/>
      <c r="F445" s="946"/>
      <c r="G445" s="946"/>
      <c r="H445" s="946"/>
      <c r="I445" s="947">
        <v>0.00138428</v>
      </c>
      <c r="J445" s="948">
        <v>0.035</v>
      </c>
      <c r="K445" s="949">
        <f t="shared" si="22"/>
        <v>0</v>
      </c>
      <c r="L445" s="950">
        <f t="shared" si="23"/>
        <v>0</v>
      </c>
      <c r="M445" s="948">
        <v>0.0215</v>
      </c>
      <c r="N445" s="951">
        <f t="shared" si="24"/>
        <v>0.00141404202</v>
      </c>
      <c r="O445" s="949">
        <f t="shared" si="25"/>
        <v>15</v>
      </c>
      <c r="P445" s="949">
        <f t="shared" si="77"/>
        <v>0.0215</v>
      </c>
      <c r="Q445" s="952">
        <f t="shared" si="79"/>
        <v>0</v>
      </c>
      <c r="R445" s="952">
        <f t="shared" si="78"/>
        <v>0</v>
      </c>
      <c r="S445" s="953"/>
      <c r="T445" s="949">
        <v>0.06</v>
      </c>
      <c r="U445" s="954"/>
      <c r="V445" s="949"/>
      <c r="W445" s="953"/>
      <c r="X445" s="949">
        <f t="shared" si="7"/>
        <v>0</v>
      </c>
      <c r="Y445" s="955"/>
      <c r="Z445" s="953" t="str">
        <f t="shared" si="8"/>
        <v/>
      </c>
      <c r="AA445" s="949">
        <f t="shared" si="9"/>
        <v>0</v>
      </c>
      <c r="AB445" s="955"/>
      <c r="AC445" s="949" t="str">
        <f t="shared" si="10"/>
        <v/>
      </c>
      <c r="AD445" s="953">
        <f t="shared" si="11"/>
        <v>0</v>
      </c>
      <c r="AE445" s="956"/>
      <c r="AF445" s="889"/>
      <c r="AG445" s="810" t="b">
        <v>0</v>
      </c>
      <c r="AH445" s="780"/>
      <c r="AI445" s="780"/>
      <c r="AJ445" s="780"/>
      <c r="AK445" s="780"/>
      <c r="AL445" s="780"/>
      <c r="AM445" s="780"/>
      <c r="AN445" s="780"/>
      <c r="AO445" s="780"/>
      <c r="AP445" s="780"/>
      <c r="AQ445" s="780"/>
      <c r="AR445" s="780"/>
      <c r="AS445" s="780"/>
      <c r="AT445" s="780"/>
      <c r="AU445" s="780"/>
      <c r="AV445" s="780"/>
      <c r="AW445" s="780"/>
    </row>
    <row r="446">
      <c r="A446" s="941"/>
      <c r="B446" s="941"/>
      <c r="C446" s="995"/>
      <c r="D446" s="995"/>
      <c r="E446" s="995"/>
      <c r="F446" s="946"/>
      <c r="G446" s="946"/>
      <c r="H446" s="946"/>
      <c r="I446" s="947">
        <v>0.00138428</v>
      </c>
      <c r="J446" s="948">
        <v>0.035</v>
      </c>
      <c r="K446" s="949">
        <f t="shared" si="22"/>
        <v>0</v>
      </c>
      <c r="L446" s="950">
        <f t="shared" si="23"/>
        <v>0</v>
      </c>
      <c r="M446" s="948">
        <v>0.0215</v>
      </c>
      <c r="N446" s="951">
        <f t="shared" si="24"/>
        <v>0.00141404202</v>
      </c>
      <c r="O446" s="949">
        <f t="shared" si="25"/>
        <v>15</v>
      </c>
      <c r="P446" s="949">
        <f t="shared" si="77"/>
        <v>0.0215</v>
      </c>
      <c r="Q446" s="952">
        <f t="shared" si="79"/>
        <v>0</v>
      </c>
      <c r="R446" s="952">
        <f t="shared" si="78"/>
        <v>0</v>
      </c>
      <c r="S446" s="953"/>
      <c r="T446" s="949">
        <v>0.06</v>
      </c>
      <c r="U446" s="954"/>
      <c r="V446" s="949"/>
      <c r="W446" s="953"/>
      <c r="X446" s="949">
        <f t="shared" si="7"/>
        <v>0</v>
      </c>
      <c r="Y446" s="955"/>
      <c r="Z446" s="953" t="str">
        <f t="shared" si="8"/>
        <v/>
      </c>
      <c r="AA446" s="949">
        <f t="shared" si="9"/>
        <v>0</v>
      </c>
      <c r="AB446" s="955"/>
      <c r="AC446" s="949" t="str">
        <f t="shared" si="10"/>
        <v/>
      </c>
      <c r="AD446" s="953">
        <f t="shared" si="11"/>
        <v>0</v>
      </c>
      <c r="AE446" s="956"/>
      <c r="AF446" s="889"/>
      <c r="AG446" s="810" t="b">
        <v>0</v>
      </c>
      <c r="AH446" s="780"/>
      <c r="AI446" s="780"/>
      <c r="AJ446" s="780"/>
      <c r="AK446" s="780"/>
      <c r="AL446" s="780"/>
      <c r="AM446" s="780"/>
      <c r="AN446" s="780"/>
      <c r="AO446" s="780"/>
      <c r="AP446" s="780"/>
      <c r="AQ446" s="780"/>
      <c r="AR446" s="780"/>
      <c r="AS446" s="780"/>
      <c r="AT446" s="780"/>
      <c r="AU446" s="780"/>
      <c r="AV446" s="780"/>
      <c r="AW446" s="780"/>
    </row>
    <row r="447">
      <c r="A447" s="941"/>
      <c r="B447" s="941"/>
      <c r="C447" s="995"/>
      <c r="D447" s="944"/>
      <c r="E447" s="944"/>
      <c r="F447" s="946"/>
      <c r="G447" s="946"/>
      <c r="H447" s="946"/>
      <c r="I447" s="947">
        <v>0.00138428</v>
      </c>
      <c r="J447" s="948">
        <v>0.035</v>
      </c>
      <c r="K447" s="949">
        <f t="shared" si="22"/>
        <v>0</v>
      </c>
      <c r="L447" s="950">
        <f t="shared" si="23"/>
        <v>0</v>
      </c>
      <c r="M447" s="948">
        <v>0.0215</v>
      </c>
      <c r="N447" s="951">
        <f t="shared" si="24"/>
        <v>0.00141404202</v>
      </c>
      <c r="O447" s="949">
        <f t="shared" si="25"/>
        <v>15</v>
      </c>
      <c r="P447" s="949">
        <f t="shared" si="77"/>
        <v>0.0215</v>
      </c>
      <c r="Q447" s="952">
        <f t="shared" si="79"/>
        <v>0</v>
      </c>
      <c r="R447" s="952">
        <f t="shared" si="78"/>
        <v>0</v>
      </c>
      <c r="S447" s="953"/>
      <c r="T447" s="949">
        <v>0.06</v>
      </c>
      <c r="U447" s="954"/>
      <c r="V447" s="949"/>
      <c r="W447" s="953"/>
      <c r="X447" s="949">
        <f t="shared" si="7"/>
        <v>0</v>
      </c>
      <c r="Y447" s="955"/>
      <c r="Z447" s="953" t="str">
        <f t="shared" si="8"/>
        <v/>
      </c>
      <c r="AA447" s="949">
        <f t="shared" si="9"/>
        <v>0</v>
      </c>
      <c r="AB447" s="955"/>
      <c r="AC447" s="949" t="str">
        <f t="shared" si="10"/>
        <v/>
      </c>
      <c r="AD447" s="953">
        <f t="shared" si="11"/>
        <v>0</v>
      </c>
      <c r="AE447" s="956"/>
      <c r="AF447" s="889"/>
      <c r="AG447" s="810" t="b">
        <v>0</v>
      </c>
      <c r="AH447" s="780"/>
      <c r="AI447" s="780"/>
      <c r="AJ447" s="780"/>
      <c r="AK447" s="780"/>
      <c r="AL447" s="780"/>
      <c r="AM447" s="780"/>
      <c r="AN447" s="780"/>
      <c r="AO447" s="780"/>
      <c r="AP447" s="780"/>
      <c r="AQ447" s="780"/>
      <c r="AR447" s="780"/>
      <c r="AS447" s="780"/>
      <c r="AT447" s="780"/>
      <c r="AU447" s="780"/>
      <c r="AV447" s="780"/>
      <c r="AW447" s="780"/>
    </row>
    <row r="448">
      <c r="A448" s="941"/>
      <c r="B448" s="941"/>
      <c r="C448" s="995"/>
      <c r="D448" s="995"/>
      <c r="E448" s="995"/>
      <c r="F448" s="946"/>
      <c r="G448" s="946"/>
      <c r="H448" s="946"/>
      <c r="I448" s="947">
        <v>0.00138428</v>
      </c>
      <c r="J448" s="948">
        <v>0.035</v>
      </c>
      <c r="K448" s="949">
        <f t="shared" si="22"/>
        <v>0</v>
      </c>
      <c r="L448" s="950">
        <f t="shared" si="23"/>
        <v>0</v>
      </c>
      <c r="M448" s="948">
        <v>0.0215</v>
      </c>
      <c r="N448" s="951">
        <f t="shared" si="24"/>
        <v>0.00141404202</v>
      </c>
      <c r="O448" s="949">
        <f t="shared" si="25"/>
        <v>15</v>
      </c>
      <c r="P448" s="949">
        <f t="shared" si="77"/>
        <v>0.0215</v>
      </c>
      <c r="Q448" s="952">
        <f t="shared" si="79"/>
        <v>0</v>
      </c>
      <c r="R448" s="952">
        <f t="shared" si="78"/>
        <v>0</v>
      </c>
      <c r="S448" s="953"/>
      <c r="T448" s="949">
        <v>0.06</v>
      </c>
      <c r="U448" s="954"/>
      <c r="V448" s="949"/>
      <c r="W448" s="953"/>
      <c r="X448" s="949">
        <f t="shared" si="7"/>
        <v>0</v>
      </c>
      <c r="Y448" s="955"/>
      <c r="Z448" s="953" t="str">
        <f t="shared" si="8"/>
        <v/>
      </c>
      <c r="AA448" s="949">
        <f t="shared" si="9"/>
        <v>0</v>
      </c>
      <c r="AB448" s="955"/>
      <c r="AC448" s="949" t="str">
        <f t="shared" si="10"/>
        <v/>
      </c>
      <c r="AD448" s="953">
        <f t="shared" si="11"/>
        <v>0</v>
      </c>
      <c r="AE448" s="956"/>
      <c r="AF448" s="889"/>
      <c r="AG448" s="810" t="b">
        <v>0</v>
      </c>
      <c r="AH448" s="780"/>
      <c r="AI448" s="780"/>
      <c r="AJ448" s="780"/>
      <c r="AK448" s="780"/>
      <c r="AL448" s="780"/>
      <c r="AM448" s="780"/>
      <c r="AN448" s="780"/>
      <c r="AO448" s="780"/>
      <c r="AP448" s="780"/>
      <c r="AQ448" s="780"/>
      <c r="AR448" s="780"/>
      <c r="AS448" s="780"/>
      <c r="AT448" s="780"/>
      <c r="AU448" s="780"/>
      <c r="AV448" s="780"/>
      <c r="AW448" s="780"/>
    </row>
    <row r="449">
      <c r="A449" s="941"/>
      <c r="B449" s="941"/>
      <c r="C449" s="995"/>
      <c r="D449" s="944"/>
      <c r="E449" s="944"/>
      <c r="F449" s="946"/>
      <c r="G449" s="946"/>
      <c r="H449" s="946"/>
      <c r="I449" s="947">
        <v>0.00138428</v>
      </c>
      <c r="J449" s="948">
        <v>0.035</v>
      </c>
      <c r="K449" s="949">
        <f t="shared" si="22"/>
        <v>0</v>
      </c>
      <c r="L449" s="950">
        <f t="shared" si="23"/>
        <v>0</v>
      </c>
      <c r="M449" s="948">
        <v>0.0215</v>
      </c>
      <c r="N449" s="951">
        <f t="shared" si="24"/>
        <v>0.00141404202</v>
      </c>
      <c r="O449" s="949">
        <f t="shared" si="25"/>
        <v>15</v>
      </c>
      <c r="P449" s="949">
        <f t="shared" si="77"/>
        <v>0.0215</v>
      </c>
      <c r="Q449" s="952">
        <f t="shared" si="79"/>
        <v>0</v>
      </c>
      <c r="R449" s="952">
        <f t="shared" si="78"/>
        <v>0</v>
      </c>
      <c r="S449" s="953"/>
      <c r="T449" s="949">
        <v>0.06</v>
      </c>
      <c r="U449" s="954"/>
      <c r="V449" s="949"/>
      <c r="W449" s="953"/>
      <c r="X449" s="949">
        <f t="shared" si="7"/>
        <v>0</v>
      </c>
      <c r="Y449" s="955"/>
      <c r="Z449" s="953" t="str">
        <f t="shared" si="8"/>
        <v/>
      </c>
      <c r="AA449" s="949">
        <f t="shared" si="9"/>
        <v>0</v>
      </c>
      <c r="AB449" s="955"/>
      <c r="AC449" s="949" t="str">
        <f t="shared" si="10"/>
        <v/>
      </c>
      <c r="AD449" s="953">
        <f t="shared" si="11"/>
        <v>0</v>
      </c>
      <c r="AE449" s="956"/>
      <c r="AF449" s="889"/>
      <c r="AG449" s="810" t="b">
        <v>0</v>
      </c>
      <c r="AH449" s="780"/>
      <c r="AI449" s="780"/>
      <c r="AJ449" s="780"/>
      <c r="AK449" s="780"/>
      <c r="AL449" s="780"/>
      <c r="AM449" s="780"/>
      <c r="AN449" s="780"/>
      <c r="AO449" s="780"/>
      <c r="AP449" s="780"/>
      <c r="AQ449" s="780"/>
      <c r="AR449" s="780"/>
      <c r="AS449" s="780"/>
      <c r="AT449" s="780"/>
      <c r="AU449" s="780"/>
      <c r="AV449" s="780"/>
      <c r="AW449" s="780"/>
    </row>
    <row r="450">
      <c r="A450" s="941"/>
      <c r="B450" s="941"/>
      <c r="C450" s="995"/>
      <c r="D450" s="995"/>
      <c r="E450" s="995"/>
      <c r="F450" s="946"/>
      <c r="G450" s="946"/>
      <c r="H450" s="946"/>
      <c r="I450" s="947">
        <v>0.00138428</v>
      </c>
      <c r="J450" s="948">
        <v>0.035</v>
      </c>
      <c r="K450" s="949">
        <f t="shared" si="22"/>
        <v>0</v>
      </c>
      <c r="L450" s="950">
        <f t="shared" si="23"/>
        <v>0</v>
      </c>
      <c r="M450" s="948">
        <v>0.0215</v>
      </c>
      <c r="N450" s="951">
        <f t="shared" si="24"/>
        <v>0.00141404202</v>
      </c>
      <c r="O450" s="949">
        <f t="shared" si="25"/>
        <v>15</v>
      </c>
      <c r="P450" s="949">
        <f t="shared" si="77"/>
        <v>0.0215</v>
      </c>
      <c r="Q450" s="952">
        <f t="shared" si="79"/>
        <v>0</v>
      </c>
      <c r="R450" s="952">
        <f t="shared" si="78"/>
        <v>0</v>
      </c>
      <c r="S450" s="953"/>
      <c r="T450" s="949">
        <v>0.06</v>
      </c>
      <c r="U450" s="954"/>
      <c r="V450" s="949"/>
      <c r="W450" s="953"/>
      <c r="X450" s="949">
        <f t="shared" si="7"/>
        <v>0</v>
      </c>
      <c r="Y450" s="955"/>
      <c r="Z450" s="953" t="str">
        <f t="shared" si="8"/>
        <v/>
      </c>
      <c r="AA450" s="949">
        <f t="shared" si="9"/>
        <v>0</v>
      </c>
      <c r="AB450" s="955"/>
      <c r="AC450" s="949" t="str">
        <f t="shared" si="10"/>
        <v/>
      </c>
      <c r="AD450" s="953">
        <f t="shared" si="11"/>
        <v>0</v>
      </c>
      <c r="AE450" s="956"/>
      <c r="AF450" s="889"/>
      <c r="AG450" s="810" t="b">
        <v>0</v>
      </c>
      <c r="AH450" s="780"/>
      <c r="AI450" s="780"/>
      <c r="AJ450" s="780"/>
      <c r="AK450" s="780"/>
      <c r="AL450" s="780"/>
      <c r="AM450" s="780"/>
      <c r="AN450" s="780"/>
      <c r="AO450" s="780"/>
      <c r="AP450" s="780"/>
      <c r="AQ450" s="780"/>
      <c r="AR450" s="780"/>
      <c r="AS450" s="780"/>
      <c r="AT450" s="780"/>
      <c r="AU450" s="780"/>
      <c r="AV450" s="780"/>
      <c r="AW450" s="780"/>
    </row>
    <row r="451">
      <c r="A451" s="941"/>
      <c r="B451" s="941"/>
      <c r="C451" s="995"/>
      <c r="D451" s="944"/>
      <c r="E451" s="944"/>
      <c r="F451" s="946"/>
      <c r="G451" s="946"/>
      <c r="H451" s="946"/>
      <c r="I451" s="947">
        <v>0.00138428</v>
      </c>
      <c r="J451" s="948">
        <v>0.035</v>
      </c>
      <c r="K451" s="949">
        <f t="shared" si="22"/>
        <v>0</v>
      </c>
      <c r="L451" s="950">
        <f t="shared" si="23"/>
        <v>0</v>
      </c>
      <c r="M451" s="948">
        <v>0.0215</v>
      </c>
      <c r="N451" s="951">
        <f t="shared" si="24"/>
        <v>0.00141404202</v>
      </c>
      <c r="O451" s="949">
        <f t="shared" si="25"/>
        <v>15</v>
      </c>
      <c r="P451" s="949">
        <f t="shared" si="77"/>
        <v>0.0215</v>
      </c>
      <c r="Q451" s="952">
        <f t="shared" si="79"/>
        <v>0</v>
      </c>
      <c r="R451" s="952">
        <f t="shared" si="78"/>
        <v>0</v>
      </c>
      <c r="S451" s="953"/>
      <c r="T451" s="949">
        <v>0.06</v>
      </c>
      <c r="U451" s="954"/>
      <c r="V451" s="949"/>
      <c r="W451" s="953"/>
      <c r="X451" s="949">
        <f t="shared" si="7"/>
        <v>0</v>
      </c>
      <c r="Y451" s="955"/>
      <c r="Z451" s="953" t="str">
        <f t="shared" si="8"/>
        <v/>
      </c>
      <c r="AA451" s="949">
        <f t="shared" si="9"/>
        <v>0</v>
      </c>
      <c r="AB451" s="955"/>
      <c r="AC451" s="949" t="str">
        <f t="shared" si="10"/>
        <v/>
      </c>
      <c r="AD451" s="953">
        <f t="shared" si="11"/>
        <v>0</v>
      </c>
      <c r="AE451" s="956"/>
      <c r="AF451" s="889"/>
      <c r="AG451" s="810" t="b">
        <v>0</v>
      </c>
      <c r="AH451" s="780"/>
      <c r="AI451" s="780"/>
      <c r="AJ451" s="780"/>
      <c r="AK451" s="780"/>
      <c r="AL451" s="780"/>
      <c r="AM451" s="780"/>
      <c r="AN451" s="780"/>
      <c r="AO451" s="780"/>
      <c r="AP451" s="780"/>
      <c r="AQ451" s="780"/>
      <c r="AR451" s="780"/>
      <c r="AS451" s="780"/>
      <c r="AT451" s="780"/>
      <c r="AU451" s="780"/>
      <c r="AV451" s="780"/>
      <c r="AW451" s="780"/>
    </row>
    <row r="452">
      <c r="A452" s="941"/>
      <c r="B452" s="941"/>
      <c r="C452" s="995"/>
      <c r="D452" s="995"/>
      <c r="E452" s="995"/>
      <c r="F452" s="946"/>
      <c r="G452" s="946"/>
      <c r="H452" s="946"/>
      <c r="I452" s="947">
        <v>0.00138428</v>
      </c>
      <c r="J452" s="948">
        <v>0.035</v>
      </c>
      <c r="K452" s="949">
        <f t="shared" si="22"/>
        <v>0</v>
      </c>
      <c r="L452" s="950">
        <f t="shared" si="23"/>
        <v>0</v>
      </c>
      <c r="M452" s="948">
        <v>0.0215</v>
      </c>
      <c r="N452" s="951">
        <f t="shared" si="24"/>
        <v>0.00141404202</v>
      </c>
      <c r="O452" s="949">
        <f t="shared" si="25"/>
        <v>15</v>
      </c>
      <c r="P452" s="949">
        <f t="shared" si="77"/>
        <v>0.0215</v>
      </c>
      <c r="Q452" s="952">
        <f t="shared" si="79"/>
        <v>0</v>
      </c>
      <c r="R452" s="952">
        <f t="shared" si="78"/>
        <v>0</v>
      </c>
      <c r="S452" s="953"/>
      <c r="T452" s="949">
        <v>0.06</v>
      </c>
      <c r="U452" s="954"/>
      <c r="V452" s="949"/>
      <c r="W452" s="953"/>
      <c r="X452" s="949">
        <f t="shared" si="7"/>
        <v>0</v>
      </c>
      <c r="Y452" s="955"/>
      <c r="Z452" s="953" t="str">
        <f t="shared" si="8"/>
        <v/>
      </c>
      <c r="AA452" s="949">
        <f t="shared" si="9"/>
        <v>0</v>
      </c>
      <c r="AB452" s="955"/>
      <c r="AC452" s="949" t="str">
        <f t="shared" si="10"/>
        <v/>
      </c>
      <c r="AD452" s="953">
        <f t="shared" si="11"/>
        <v>0</v>
      </c>
      <c r="AE452" s="956"/>
      <c r="AF452" s="889"/>
      <c r="AG452" s="810" t="b">
        <v>0</v>
      </c>
      <c r="AH452" s="780"/>
      <c r="AI452" s="780"/>
      <c r="AJ452" s="780"/>
      <c r="AK452" s="780"/>
      <c r="AL452" s="780"/>
      <c r="AM452" s="780"/>
      <c r="AN452" s="780"/>
      <c r="AO452" s="780"/>
      <c r="AP452" s="780"/>
      <c r="AQ452" s="780"/>
      <c r="AR452" s="780"/>
      <c r="AS452" s="780"/>
      <c r="AT452" s="780"/>
      <c r="AU452" s="780"/>
      <c r="AV452" s="780"/>
      <c r="AW452" s="780"/>
    </row>
    <row r="453">
      <c r="A453" s="941"/>
      <c r="B453" s="941"/>
      <c r="C453" s="995"/>
      <c r="D453" s="944"/>
      <c r="E453" s="944"/>
      <c r="F453" s="946"/>
      <c r="G453" s="946"/>
      <c r="H453" s="946"/>
      <c r="I453" s="947">
        <v>0.00138428</v>
      </c>
      <c r="J453" s="948">
        <v>0.035</v>
      </c>
      <c r="K453" s="949">
        <f t="shared" si="22"/>
        <v>0</v>
      </c>
      <c r="L453" s="950">
        <f t="shared" si="23"/>
        <v>0</v>
      </c>
      <c r="M453" s="948">
        <v>0.0215</v>
      </c>
      <c r="N453" s="951">
        <f t="shared" si="24"/>
        <v>0.00141404202</v>
      </c>
      <c r="O453" s="949">
        <f t="shared" si="25"/>
        <v>15</v>
      </c>
      <c r="P453" s="949">
        <f t="shared" si="77"/>
        <v>0.0215</v>
      </c>
      <c r="Q453" s="952">
        <f t="shared" si="79"/>
        <v>0</v>
      </c>
      <c r="R453" s="952">
        <f t="shared" si="78"/>
        <v>0</v>
      </c>
      <c r="S453" s="953"/>
      <c r="T453" s="949">
        <v>0.06</v>
      </c>
      <c r="U453" s="954"/>
      <c r="V453" s="949"/>
      <c r="W453" s="953"/>
      <c r="X453" s="949">
        <f t="shared" si="7"/>
        <v>0</v>
      </c>
      <c r="Y453" s="955"/>
      <c r="Z453" s="953" t="str">
        <f t="shared" si="8"/>
        <v/>
      </c>
      <c r="AA453" s="949">
        <f t="shared" si="9"/>
        <v>0</v>
      </c>
      <c r="AB453" s="955"/>
      <c r="AC453" s="949" t="str">
        <f t="shared" si="10"/>
        <v/>
      </c>
      <c r="AD453" s="953">
        <f t="shared" si="11"/>
        <v>0</v>
      </c>
      <c r="AE453" s="956"/>
      <c r="AF453" s="889"/>
      <c r="AG453" s="810" t="b">
        <v>0</v>
      </c>
      <c r="AH453" s="780"/>
      <c r="AI453" s="780"/>
      <c r="AJ453" s="780"/>
      <c r="AK453" s="780"/>
      <c r="AL453" s="780"/>
      <c r="AM453" s="780"/>
      <c r="AN453" s="780"/>
      <c r="AO453" s="780"/>
      <c r="AP453" s="780"/>
      <c r="AQ453" s="780"/>
      <c r="AR453" s="780"/>
      <c r="AS453" s="780"/>
      <c r="AT453" s="780"/>
      <c r="AU453" s="780"/>
      <c r="AV453" s="780"/>
      <c r="AW453" s="780"/>
    </row>
    <row r="454">
      <c r="A454" s="941"/>
      <c r="B454" s="941"/>
      <c r="C454" s="995"/>
      <c r="D454" s="995"/>
      <c r="E454" s="995"/>
      <c r="F454" s="946"/>
      <c r="G454" s="946"/>
      <c r="H454" s="946"/>
      <c r="I454" s="947">
        <v>0.00138428</v>
      </c>
      <c r="J454" s="948">
        <v>0.035</v>
      </c>
      <c r="K454" s="949">
        <f t="shared" si="22"/>
        <v>0</v>
      </c>
      <c r="L454" s="950">
        <f t="shared" si="23"/>
        <v>0</v>
      </c>
      <c r="M454" s="948">
        <v>0.0215</v>
      </c>
      <c r="N454" s="951">
        <f t="shared" si="24"/>
        <v>0.00141404202</v>
      </c>
      <c r="O454" s="949">
        <f t="shared" si="25"/>
        <v>15</v>
      </c>
      <c r="P454" s="949">
        <f t="shared" si="77"/>
        <v>0.0215</v>
      </c>
      <c r="Q454" s="952">
        <f t="shared" si="79"/>
        <v>0</v>
      </c>
      <c r="R454" s="952">
        <f t="shared" si="78"/>
        <v>0</v>
      </c>
      <c r="S454" s="953"/>
      <c r="T454" s="949">
        <v>0.06</v>
      </c>
      <c r="U454" s="954"/>
      <c r="V454" s="949"/>
      <c r="W454" s="953"/>
      <c r="X454" s="949">
        <f t="shared" si="7"/>
        <v>0</v>
      </c>
      <c r="Y454" s="955"/>
      <c r="Z454" s="953" t="str">
        <f t="shared" si="8"/>
        <v/>
      </c>
      <c r="AA454" s="949">
        <f t="shared" si="9"/>
        <v>0</v>
      </c>
      <c r="AB454" s="955"/>
      <c r="AC454" s="949" t="str">
        <f t="shared" si="10"/>
        <v/>
      </c>
      <c r="AD454" s="953">
        <f t="shared" si="11"/>
        <v>0</v>
      </c>
      <c r="AE454" s="956"/>
      <c r="AF454" s="889"/>
      <c r="AG454" s="810" t="b">
        <v>0</v>
      </c>
      <c r="AH454" s="780"/>
      <c r="AI454" s="780"/>
      <c r="AJ454" s="780"/>
      <c r="AK454" s="780"/>
      <c r="AL454" s="780"/>
      <c r="AM454" s="780"/>
      <c r="AN454" s="780"/>
      <c r="AO454" s="780"/>
      <c r="AP454" s="780"/>
      <c r="AQ454" s="780"/>
      <c r="AR454" s="780"/>
      <c r="AS454" s="780"/>
      <c r="AT454" s="780"/>
      <c r="AU454" s="780"/>
      <c r="AV454" s="780"/>
      <c r="AW454" s="780"/>
    </row>
    <row r="455">
      <c r="A455" s="941"/>
      <c r="B455" s="941"/>
      <c r="C455" s="995"/>
      <c r="D455" s="944"/>
      <c r="E455" s="944"/>
      <c r="F455" s="946"/>
      <c r="G455" s="946"/>
      <c r="H455" s="946"/>
      <c r="I455" s="947">
        <v>0.00138428</v>
      </c>
      <c r="J455" s="948">
        <v>0.035</v>
      </c>
      <c r="K455" s="949">
        <f t="shared" si="22"/>
        <v>0</v>
      </c>
      <c r="L455" s="950">
        <f t="shared" si="23"/>
        <v>0</v>
      </c>
      <c r="M455" s="948">
        <v>0.0215</v>
      </c>
      <c r="N455" s="951">
        <f t="shared" si="24"/>
        <v>0.00141404202</v>
      </c>
      <c r="O455" s="949">
        <f t="shared" si="25"/>
        <v>15</v>
      </c>
      <c r="P455" s="949">
        <f t="shared" si="77"/>
        <v>0.0215</v>
      </c>
      <c r="Q455" s="952">
        <f t="shared" si="79"/>
        <v>0</v>
      </c>
      <c r="R455" s="952">
        <f t="shared" si="78"/>
        <v>0</v>
      </c>
      <c r="S455" s="953"/>
      <c r="T455" s="949">
        <v>0.06</v>
      </c>
      <c r="U455" s="954"/>
      <c r="V455" s="949"/>
      <c r="W455" s="953"/>
      <c r="X455" s="949">
        <f t="shared" si="7"/>
        <v>0</v>
      </c>
      <c r="Y455" s="955"/>
      <c r="Z455" s="953" t="str">
        <f t="shared" si="8"/>
        <v/>
      </c>
      <c r="AA455" s="949">
        <f t="shared" si="9"/>
        <v>0</v>
      </c>
      <c r="AB455" s="955"/>
      <c r="AC455" s="949" t="str">
        <f t="shared" si="10"/>
        <v/>
      </c>
      <c r="AD455" s="953">
        <f t="shared" si="11"/>
        <v>0</v>
      </c>
      <c r="AE455" s="956"/>
      <c r="AF455" s="889"/>
      <c r="AG455" s="810" t="b">
        <v>0</v>
      </c>
      <c r="AH455" s="780"/>
      <c r="AI455" s="780"/>
      <c r="AJ455" s="780"/>
      <c r="AK455" s="780"/>
      <c r="AL455" s="780"/>
      <c r="AM455" s="780"/>
      <c r="AN455" s="780"/>
      <c r="AO455" s="780"/>
      <c r="AP455" s="780"/>
      <c r="AQ455" s="780"/>
      <c r="AR455" s="780"/>
      <c r="AS455" s="780"/>
      <c r="AT455" s="780"/>
      <c r="AU455" s="780"/>
      <c r="AV455" s="780"/>
      <c r="AW455" s="780"/>
    </row>
    <row r="456">
      <c r="A456" s="941"/>
      <c r="B456" s="941"/>
      <c r="C456" s="995"/>
      <c r="D456" s="995"/>
      <c r="E456" s="995"/>
      <c r="F456" s="946"/>
      <c r="G456" s="946"/>
      <c r="H456" s="946"/>
      <c r="I456" s="947">
        <v>0.00138428</v>
      </c>
      <c r="J456" s="948">
        <v>0.035</v>
      </c>
      <c r="K456" s="949">
        <f t="shared" si="22"/>
        <v>0</v>
      </c>
      <c r="L456" s="950">
        <f t="shared" si="23"/>
        <v>0</v>
      </c>
      <c r="M456" s="948">
        <v>0.0215</v>
      </c>
      <c r="N456" s="951">
        <f t="shared" si="24"/>
        <v>0.00141404202</v>
      </c>
      <c r="O456" s="949">
        <f t="shared" si="25"/>
        <v>15</v>
      </c>
      <c r="P456" s="949">
        <f t="shared" si="77"/>
        <v>0.0215</v>
      </c>
      <c r="Q456" s="952">
        <f t="shared" si="79"/>
        <v>0</v>
      </c>
      <c r="R456" s="952">
        <f t="shared" si="78"/>
        <v>0</v>
      </c>
      <c r="S456" s="953"/>
      <c r="T456" s="949">
        <v>0.06</v>
      </c>
      <c r="U456" s="954"/>
      <c r="V456" s="949"/>
      <c r="W456" s="953"/>
      <c r="X456" s="949">
        <f t="shared" si="7"/>
        <v>0</v>
      </c>
      <c r="Y456" s="955"/>
      <c r="Z456" s="953" t="str">
        <f t="shared" si="8"/>
        <v/>
      </c>
      <c r="AA456" s="949">
        <f t="shared" si="9"/>
        <v>0</v>
      </c>
      <c r="AB456" s="955"/>
      <c r="AC456" s="949" t="str">
        <f t="shared" si="10"/>
        <v/>
      </c>
      <c r="AD456" s="953">
        <f t="shared" si="11"/>
        <v>0</v>
      </c>
      <c r="AE456" s="956"/>
      <c r="AF456" s="889"/>
      <c r="AG456" s="810" t="b">
        <v>0</v>
      </c>
      <c r="AH456" s="780"/>
      <c r="AI456" s="780"/>
      <c r="AJ456" s="780"/>
      <c r="AK456" s="780"/>
      <c r="AL456" s="780"/>
      <c r="AM456" s="780"/>
      <c r="AN456" s="780"/>
      <c r="AO456" s="780"/>
      <c r="AP456" s="780"/>
      <c r="AQ456" s="780"/>
      <c r="AR456" s="780"/>
      <c r="AS456" s="780"/>
      <c r="AT456" s="780"/>
      <c r="AU456" s="780"/>
      <c r="AV456" s="780"/>
      <c r="AW456" s="780"/>
    </row>
    <row r="457">
      <c r="A457" s="941"/>
      <c r="B457" s="941"/>
      <c r="C457" s="995"/>
      <c r="D457" s="944"/>
      <c r="E457" s="944"/>
      <c r="F457" s="946"/>
      <c r="G457" s="946"/>
      <c r="H457" s="946"/>
      <c r="I457" s="947">
        <v>0.00138428</v>
      </c>
      <c r="J457" s="948">
        <v>0.035</v>
      </c>
      <c r="K457" s="949">
        <f t="shared" si="22"/>
        <v>0</v>
      </c>
      <c r="L457" s="950">
        <f t="shared" si="23"/>
        <v>0</v>
      </c>
      <c r="M457" s="948">
        <v>0.0215</v>
      </c>
      <c r="N457" s="951">
        <f t="shared" si="24"/>
        <v>0.00141404202</v>
      </c>
      <c r="O457" s="949">
        <f t="shared" si="25"/>
        <v>15</v>
      </c>
      <c r="P457" s="949">
        <f t="shared" si="77"/>
        <v>0.0215</v>
      </c>
      <c r="Q457" s="952">
        <f t="shared" si="79"/>
        <v>0</v>
      </c>
      <c r="R457" s="952">
        <f t="shared" si="78"/>
        <v>0</v>
      </c>
      <c r="S457" s="953"/>
      <c r="T457" s="949">
        <v>0.06</v>
      </c>
      <c r="U457" s="954"/>
      <c r="V457" s="949"/>
      <c r="W457" s="953"/>
      <c r="X457" s="949">
        <f t="shared" si="7"/>
        <v>0</v>
      </c>
      <c r="Y457" s="955"/>
      <c r="Z457" s="953" t="str">
        <f t="shared" si="8"/>
        <v/>
      </c>
      <c r="AA457" s="949">
        <f t="shared" si="9"/>
        <v>0</v>
      </c>
      <c r="AB457" s="955"/>
      <c r="AC457" s="949" t="str">
        <f t="shared" si="10"/>
        <v/>
      </c>
      <c r="AD457" s="953">
        <f t="shared" si="11"/>
        <v>0</v>
      </c>
      <c r="AE457" s="956"/>
      <c r="AF457" s="889"/>
      <c r="AG457" s="810" t="b">
        <v>0</v>
      </c>
      <c r="AH457" s="780"/>
      <c r="AI457" s="780"/>
      <c r="AJ457" s="780"/>
      <c r="AK457" s="780"/>
      <c r="AL457" s="780"/>
      <c r="AM457" s="780"/>
      <c r="AN457" s="780"/>
      <c r="AO457" s="780"/>
      <c r="AP457" s="780"/>
      <c r="AQ457" s="780"/>
      <c r="AR457" s="780"/>
      <c r="AS457" s="780"/>
      <c r="AT457" s="780"/>
      <c r="AU457" s="780"/>
      <c r="AV457" s="780"/>
      <c r="AW457" s="780"/>
    </row>
    <row r="458">
      <c r="A458" s="941"/>
      <c r="B458" s="941"/>
      <c r="C458" s="995"/>
      <c r="D458" s="995"/>
      <c r="E458" s="995"/>
      <c r="F458" s="946"/>
      <c r="G458" s="946"/>
      <c r="H458" s="946"/>
      <c r="I458" s="947">
        <v>0.00138428</v>
      </c>
      <c r="J458" s="948">
        <v>0.035</v>
      </c>
      <c r="K458" s="949">
        <f t="shared" si="22"/>
        <v>0</v>
      </c>
      <c r="L458" s="950">
        <f t="shared" si="23"/>
        <v>0</v>
      </c>
      <c r="M458" s="948">
        <v>0.0215</v>
      </c>
      <c r="N458" s="951">
        <f t="shared" si="24"/>
        <v>0.00141404202</v>
      </c>
      <c r="O458" s="949">
        <f t="shared" si="25"/>
        <v>15</v>
      </c>
      <c r="P458" s="949">
        <f t="shared" si="77"/>
        <v>0.0215</v>
      </c>
      <c r="Q458" s="952">
        <f t="shared" si="79"/>
        <v>0</v>
      </c>
      <c r="R458" s="952">
        <f t="shared" si="78"/>
        <v>0</v>
      </c>
      <c r="S458" s="953"/>
      <c r="T458" s="949">
        <v>0.06</v>
      </c>
      <c r="U458" s="954"/>
      <c r="V458" s="949"/>
      <c r="W458" s="953"/>
      <c r="X458" s="949">
        <f t="shared" si="7"/>
        <v>0</v>
      </c>
      <c r="Y458" s="955"/>
      <c r="Z458" s="953" t="str">
        <f t="shared" si="8"/>
        <v/>
      </c>
      <c r="AA458" s="949">
        <f t="shared" si="9"/>
        <v>0</v>
      </c>
      <c r="AB458" s="955"/>
      <c r="AC458" s="949" t="str">
        <f t="shared" si="10"/>
        <v/>
      </c>
      <c r="AD458" s="953">
        <f t="shared" si="11"/>
        <v>0</v>
      </c>
      <c r="AE458" s="956"/>
      <c r="AF458" s="889"/>
      <c r="AG458" s="810" t="b">
        <v>0</v>
      </c>
      <c r="AH458" s="780"/>
      <c r="AI458" s="780"/>
      <c r="AJ458" s="780"/>
      <c r="AK458" s="780"/>
      <c r="AL458" s="780"/>
      <c r="AM458" s="780"/>
      <c r="AN458" s="780"/>
      <c r="AO458" s="780"/>
      <c r="AP458" s="780"/>
      <c r="AQ458" s="780"/>
      <c r="AR458" s="780"/>
      <c r="AS458" s="780"/>
      <c r="AT458" s="780"/>
      <c r="AU458" s="780"/>
      <c r="AV458" s="780"/>
      <c r="AW458" s="780"/>
    </row>
    <row r="459">
      <c r="A459" s="941"/>
      <c r="B459" s="941"/>
      <c r="C459" s="995"/>
      <c r="D459" s="944"/>
      <c r="E459" s="944"/>
      <c r="F459" s="946"/>
      <c r="G459" s="946"/>
      <c r="H459" s="946"/>
      <c r="I459" s="947">
        <v>0.00138428</v>
      </c>
      <c r="J459" s="948">
        <v>0.035</v>
      </c>
      <c r="K459" s="949">
        <f t="shared" si="22"/>
        <v>0</v>
      </c>
      <c r="L459" s="950">
        <f t="shared" si="23"/>
        <v>0</v>
      </c>
      <c r="M459" s="948">
        <v>0.0215</v>
      </c>
      <c r="N459" s="951">
        <f t="shared" si="24"/>
        <v>0.00141404202</v>
      </c>
      <c r="O459" s="949">
        <f t="shared" si="25"/>
        <v>15</v>
      </c>
      <c r="P459" s="949">
        <f t="shared" si="77"/>
        <v>0.0215</v>
      </c>
      <c r="Q459" s="952">
        <f t="shared" si="79"/>
        <v>0</v>
      </c>
      <c r="R459" s="952">
        <f t="shared" si="78"/>
        <v>0</v>
      </c>
      <c r="S459" s="953"/>
      <c r="T459" s="949">
        <v>0.06</v>
      </c>
      <c r="U459" s="954"/>
      <c r="V459" s="949"/>
      <c r="W459" s="953"/>
      <c r="X459" s="949">
        <f t="shared" si="7"/>
        <v>0</v>
      </c>
      <c r="Y459" s="955"/>
      <c r="Z459" s="953" t="str">
        <f t="shared" si="8"/>
        <v/>
      </c>
      <c r="AA459" s="949">
        <f t="shared" si="9"/>
        <v>0</v>
      </c>
      <c r="AB459" s="955"/>
      <c r="AC459" s="949" t="str">
        <f t="shared" si="10"/>
        <v/>
      </c>
      <c r="AD459" s="953">
        <f t="shared" si="11"/>
        <v>0</v>
      </c>
      <c r="AE459" s="956"/>
      <c r="AF459" s="889"/>
      <c r="AG459" s="810" t="b">
        <v>0</v>
      </c>
      <c r="AH459" s="780"/>
      <c r="AI459" s="780"/>
      <c r="AJ459" s="780"/>
      <c r="AK459" s="780"/>
      <c r="AL459" s="780"/>
      <c r="AM459" s="780"/>
      <c r="AN459" s="780"/>
      <c r="AO459" s="780"/>
      <c r="AP459" s="780"/>
      <c r="AQ459" s="780"/>
      <c r="AR459" s="780"/>
      <c r="AS459" s="780"/>
      <c r="AT459" s="780"/>
      <c r="AU459" s="780"/>
      <c r="AV459" s="780"/>
      <c r="AW459" s="780"/>
    </row>
    <row r="460">
      <c r="A460" s="941"/>
      <c r="B460" s="941"/>
      <c r="C460" s="995"/>
      <c r="D460" s="995"/>
      <c r="E460" s="995"/>
      <c r="F460" s="946"/>
      <c r="G460" s="946"/>
      <c r="H460" s="946"/>
      <c r="I460" s="947">
        <v>0.00138428</v>
      </c>
      <c r="J460" s="948">
        <v>0.035</v>
      </c>
      <c r="K460" s="949">
        <f t="shared" si="22"/>
        <v>0</v>
      </c>
      <c r="L460" s="950">
        <f t="shared" si="23"/>
        <v>0</v>
      </c>
      <c r="M460" s="948">
        <v>0.0215</v>
      </c>
      <c r="N460" s="951">
        <f t="shared" si="24"/>
        <v>0.00141404202</v>
      </c>
      <c r="O460" s="949">
        <f t="shared" si="25"/>
        <v>15</v>
      </c>
      <c r="P460" s="949">
        <f t="shared" si="77"/>
        <v>0.0215</v>
      </c>
      <c r="Q460" s="952">
        <f t="shared" si="79"/>
        <v>0</v>
      </c>
      <c r="R460" s="952">
        <f t="shared" si="78"/>
        <v>0</v>
      </c>
      <c r="S460" s="953"/>
      <c r="T460" s="949">
        <v>0.06</v>
      </c>
      <c r="U460" s="954"/>
      <c r="V460" s="949"/>
      <c r="W460" s="953"/>
      <c r="X460" s="949">
        <f t="shared" si="7"/>
        <v>0</v>
      </c>
      <c r="Y460" s="955"/>
      <c r="Z460" s="953" t="str">
        <f t="shared" si="8"/>
        <v/>
      </c>
      <c r="AA460" s="949">
        <f t="shared" si="9"/>
        <v>0</v>
      </c>
      <c r="AB460" s="955"/>
      <c r="AC460" s="949" t="str">
        <f t="shared" si="10"/>
        <v/>
      </c>
      <c r="AD460" s="953">
        <f t="shared" si="11"/>
        <v>0</v>
      </c>
      <c r="AE460" s="956"/>
      <c r="AF460" s="889"/>
      <c r="AG460" s="810" t="b">
        <v>0</v>
      </c>
      <c r="AH460" s="780"/>
      <c r="AI460" s="780"/>
      <c r="AJ460" s="780"/>
      <c r="AK460" s="780"/>
      <c r="AL460" s="780"/>
      <c r="AM460" s="780"/>
      <c r="AN460" s="780"/>
      <c r="AO460" s="780"/>
      <c r="AP460" s="780"/>
      <c r="AQ460" s="780"/>
      <c r="AR460" s="780"/>
      <c r="AS460" s="780"/>
      <c r="AT460" s="780"/>
      <c r="AU460" s="780"/>
      <c r="AV460" s="780"/>
      <c r="AW460" s="780"/>
    </row>
    <row r="461">
      <c r="A461" s="941"/>
      <c r="B461" s="941"/>
      <c r="C461" s="995"/>
      <c r="D461" s="944"/>
      <c r="E461" s="944"/>
      <c r="F461" s="946"/>
      <c r="G461" s="946"/>
      <c r="H461" s="946"/>
      <c r="I461" s="947">
        <v>0.00138428</v>
      </c>
      <c r="J461" s="948">
        <v>0.035</v>
      </c>
      <c r="K461" s="949">
        <f t="shared" si="22"/>
        <v>0</v>
      </c>
      <c r="L461" s="950">
        <f t="shared" si="23"/>
        <v>0</v>
      </c>
      <c r="M461" s="948">
        <v>0.0215</v>
      </c>
      <c r="N461" s="951">
        <f t="shared" si="24"/>
        <v>0.00141404202</v>
      </c>
      <c r="O461" s="949">
        <f t="shared" si="25"/>
        <v>15</v>
      </c>
      <c r="P461" s="949">
        <f t="shared" si="77"/>
        <v>0.0215</v>
      </c>
      <c r="Q461" s="952">
        <f t="shared" si="79"/>
        <v>0</v>
      </c>
      <c r="R461" s="952">
        <f t="shared" si="78"/>
        <v>0</v>
      </c>
      <c r="S461" s="953"/>
      <c r="T461" s="949">
        <v>0.06</v>
      </c>
      <c r="U461" s="954"/>
      <c r="V461" s="949"/>
      <c r="W461" s="953"/>
      <c r="X461" s="949">
        <f t="shared" si="7"/>
        <v>0</v>
      </c>
      <c r="Y461" s="955"/>
      <c r="Z461" s="953" t="str">
        <f t="shared" si="8"/>
        <v/>
      </c>
      <c r="AA461" s="949">
        <f t="shared" si="9"/>
        <v>0</v>
      </c>
      <c r="AB461" s="955"/>
      <c r="AC461" s="949" t="str">
        <f t="shared" si="10"/>
        <v/>
      </c>
      <c r="AD461" s="953">
        <f t="shared" si="11"/>
        <v>0</v>
      </c>
      <c r="AE461" s="956"/>
      <c r="AF461" s="889"/>
      <c r="AG461" s="810" t="b">
        <v>0</v>
      </c>
      <c r="AH461" s="780"/>
      <c r="AI461" s="780"/>
      <c r="AJ461" s="780"/>
      <c r="AK461" s="780"/>
      <c r="AL461" s="780"/>
      <c r="AM461" s="780"/>
      <c r="AN461" s="780"/>
      <c r="AO461" s="780"/>
      <c r="AP461" s="780"/>
      <c r="AQ461" s="780"/>
      <c r="AR461" s="780"/>
      <c r="AS461" s="780"/>
      <c r="AT461" s="780"/>
      <c r="AU461" s="780"/>
      <c r="AV461" s="780"/>
      <c r="AW461" s="780"/>
    </row>
    <row r="462">
      <c r="A462" s="941"/>
      <c r="B462" s="941"/>
      <c r="C462" s="995"/>
      <c r="D462" s="995"/>
      <c r="E462" s="995"/>
      <c r="F462" s="946"/>
      <c r="G462" s="946"/>
      <c r="H462" s="946"/>
      <c r="I462" s="947">
        <v>0.00138428</v>
      </c>
      <c r="J462" s="948">
        <v>0.035</v>
      </c>
      <c r="K462" s="949">
        <f t="shared" si="22"/>
        <v>0</v>
      </c>
      <c r="L462" s="950">
        <f t="shared" si="23"/>
        <v>0</v>
      </c>
      <c r="M462" s="948">
        <v>0.0215</v>
      </c>
      <c r="N462" s="951">
        <f t="shared" si="24"/>
        <v>0.00141404202</v>
      </c>
      <c r="O462" s="949">
        <f t="shared" si="25"/>
        <v>15</v>
      </c>
      <c r="P462" s="949">
        <f t="shared" si="77"/>
        <v>0.0215</v>
      </c>
      <c r="Q462" s="952">
        <f t="shared" si="79"/>
        <v>0</v>
      </c>
      <c r="R462" s="952">
        <f t="shared" si="78"/>
        <v>0</v>
      </c>
      <c r="S462" s="953"/>
      <c r="T462" s="949">
        <v>0.06</v>
      </c>
      <c r="U462" s="954"/>
      <c r="V462" s="949"/>
      <c r="W462" s="953"/>
      <c r="X462" s="949">
        <f t="shared" si="7"/>
        <v>0</v>
      </c>
      <c r="Y462" s="955"/>
      <c r="Z462" s="953" t="str">
        <f t="shared" si="8"/>
        <v/>
      </c>
      <c r="AA462" s="949">
        <f t="shared" si="9"/>
        <v>0</v>
      </c>
      <c r="AB462" s="955"/>
      <c r="AC462" s="949" t="str">
        <f t="shared" si="10"/>
        <v/>
      </c>
      <c r="AD462" s="953">
        <f t="shared" si="11"/>
        <v>0</v>
      </c>
      <c r="AE462" s="956"/>
      <c r="AF462" s="889"/>
      <c r="AG462" s="810" t="b">
        <v>0</v>
      </c>
      <c r="AH462" s="780"/>
      <c r="AI462" s="780"/>
      <c r="AJ462" s="780"/>
      <c r="AK462" s="780"/>
      <c r="AL462" s="780"/>
      <c r="AM462" s="780"/>
      <c r="AN462" s="780"/>
      <c r="AO462" s="780"/>
      <c r="AP462" s="780"/>
      <c r="AQ462" s="780"/>
      <c r="AR462" s="780"/>
      <c r="AS462" s="780"/>
      <c r="AT462" s="780"/>
      <c r="AU462" s="780"/>
      <c r="AV462" s="780"/>
      <c r="AW462" s="780"/>
    </row>
    <row r="463">
      <c r="A463" s="941"/>
      <c r="B463" s="941"/>
      <c r="C463" s="995"/>
      <c r="D463" s="944"/>
      <c r="E463" s="944"/>
      <c r="F463" s="946"/>
      <c r="G463" s="946"/>
      <c r="H463" s="946"/>
      <c r="I463" s="947">
        <v>0.00138428</v>
      </c>
      <c r="J463" s="948">
        <v>0.035</v>
      </c>
      <c r="K463" s="949">
        <f t="shared" si="22"/>
        <v>0</v>
      </c>
      <c r="L463" s="950">
        <f t="shared" si="23"/>
        <v>0</v>
      </c>
      <c r="M463" s="948">
        <v>0.0215</v>
      </c>
      <c r="N463" s="951">
        <f t="shared" si="24"/>
        <v>0.00141404202</v>
      </c>
      <c r="O463" s="949">
        <f t="shared" si="25"/>
        <v>15</v>
      </c>
      <c r="P463" s="949">
        <f t="shared" si="77"/>
        <v>0.0215</v>
      </c>
      <c r="Q463" s="952">
        <f t="shared" si="79"/>
        <v>0</v>
      </c>
      <c r="R463" s="952">
        <f t="shared" si="78"/>
        <v>0</v>
      </c>
      <c r="S463" s="953"/>
      <c r="T463" s="949">
        <v>0.06</v>
      </c>
      <c r="U463" s="954"/>
      <c r="V463" s="949"/>
      <c r="W463" s="953"/>
      <c r="X463" s="949">
        <f t="shared" si="7"/>
        <v>0</v>
      </c>
      <c r="Y463" s="955"/>
      <c r="Z463" s="953" t="str">
        <f t="shared" si="8"/>
        <v/>
      </c>
      <c r="AA463" s="949">
        <f t="shared" si="9"/>
        <v>0</v>
      </c>
      <c r="AB463" s="955"/>
      <c r="AC463" s="949" t="str">
        <f t="shared" si="10"/>
        <v/>
      </c>
      <c r="AD463" s="953">
        <f t="shared" si="11"/>
        <v>0</v>
      </c>
      <c r="AE463" s="956"/>
      <c r="AF463" s="889"/>
      <c r="AG463" s="810" t="b">
        <v>0</v>
      </c>
      <c r="AH463" s="780"/>
      <c r="AI463" s="780"/>
      <c r="AJ463" s="780"/>
      <c r="AK463" s="780"/>
      <c r="AL463" s="780"/>
      <c r="AM463" s="780"/>
      <c r="AN463" s="780"/>
      <c r="AO463" s="780"/>
      <c r="AP463" s="780"/>
      <c r="AQ463" s="780"/>
      <c r="AR463" s="780"/>
      <c r="AS463" s="780"/>
      <c r="AT463" s="780"/>
      <c r="AU463" s="780"/>
      <c r="AV463" s="780"/>
      <c r="AW463" s="780"/>
    </row>
    <row r="464">
      <c r="A464" s="941"/>
      <c r="B464" s="941"/>
      <c r="C464" s="995"/>
      <c r="D464" s="995"/>
      <c r="E464" s="995"/>
      <c r="F464" s="946"/>
      <c r="G464" s="946"/>
      <c r="H464" s="946"/>
      <c r="I464" s="947">
        <v>0.00138428</v>
      </c>
      <c r="J464" s="948">
        <v>0.035</v>
      </c>
      <c r="K464" s="949">
        <f t="shared" si="22"/>
        <v>0</v>
      </c>
      <c r="L464" s="950">
        <f t="shared" si="23"/>
        <v>0</v>
      </c>
      <c r="M464" s="948">
        <v>0.0215</v>
      </c>
      <c r="N464" s="951">
        <f t="shared" si="24"/>
        <v>0.00141404202</v>
      </c>
      <c r="O464" s="949">
        <f t="shared" si="25"/>
        <v>15</v>
      </c>
      <c r="P464" s="949">
        <f t="shared" si="77"/>
        <v>0.0215</v>
      </c>
      <c r="Q464" s="952">
        <f t="shared" si="79"/>
        <v>0</v>
      </c>
      <c r="R464" s="952">
        <f t="shared" si="78"/>
        <v>0</v>
      </c>
      <c r="S464" s="953"/>
      <c r="T464" s="949">
        <v>0.06</v>
      </c>
      <c r="U464" s="954"/>
      <c r="V464" s="949"/>
      <c r="W464" s="953"/>
      <c r="X464" s="949">
        <f t="shared" si="7"/>
        <v>0</v>
      </c>
      <c r="Y464" s="955"/>
      <c r="Z464" s="953" t="str">
        <f t="shared" si="8"/>
        <v/>
      </c>
      <c r="AA464" s="949">
        <f t="shared" si="9"/>
        <v>0</v>
      </c>
      <c r="AB464" s="955"/>
      <c r="AC464" s="949" t="str">
        <f t="shared" si="10"/>
        <v/>
      </c>
      <c r="AD464" s="953">
        <f t="shared" si="11"/>
        <v>0</v>
      </c>
      <c r="AE464" s="956"/>
      <c r="AF464" s="889"/>
      <c r="AG464" s="810" t="b">
        <v>0</v>
      </c>
      <c r="AH464" s="780"/>
      <c r="AI464" s="780"/>
      <c r="AJ464" s="780"/>
      <c r="AK464" s="780"/>
      <c r="AL464" s="780"/>
      <c r="AM464" s="780"/>
      <c r="AN464" s="780"/>
      <c r="AO464" s="780"/>
      <c r="AP464" s="780"/>
      <c r="AQ464" s="780"/>
      <c r="AR464" s="780"/>
      <c r="AS464" s="780"/>
      <c r="AT464" s="780"/>
      <c r="AU464" s="780"/>
      <c r="AV464" s="780"/>
      <c r="AW464" s="780"/>
    </row>
    <row r="465">
      <c r="A465" s="941"/>
      <c r="B465" s="941"/>
      <c r="C465" s="995"/>
      <c r="D465" s="944"/>
      <c r="E465" s="944"/>
      <c r="F465" s="946"/>
      <c r="G465" s="946"/>
      <c r="H465" s="946"/>
      <c r="I465" s="947">
        <v>0.00138428</v>
      </c>
      <c r="J465" s="948">
        <v>0.035</v>
      </c>
      <c r="K465" s="949">
        <f t="shared" si="22"/>
        <v>0</v>
      </c>
      <c r="L465" s="950">
        <f t="shared" si="23"/>
        <v>0</v>
      </c>
      <c r="M465" s="948">
        <v>0.0215</v>
      </c>
      <c r="N465" s="951">
        <f t="shared" si="24"/>
        <v>0.00141404202</v>
      </c>
      <c r="O465" s="949">
        <f t="shared" si="25"/>
        <v>15</v>
      </c>
      <c r="P465" s="949">
        <f t="shared" si="77"/>
        <v>0.0215</v>
      </c>
      <c r="Q465" s="952">
        <f t="shared" si="79"/>
        <v>0</v>
      </c>
      <c r="R465" s="952">
        <f t="shared" si="78"/>
        <v>0</v>
      </c>
      <c r="S465" s="953"/>
      <c r="T465" s="949">
        <v>0.06</v>
      </c>
      <c r="U465" s="954"/>
      <c r="V465" s="949"/>
      <c r="W465" s="953"/>
      <c r="X465" s="949">
        <f t="shared" si="7"/>
        <v>0</v>
      </c>
      <c r="Y465" s="955"/>
      <c r="Z465" s="953" t="str">
        <f t="shared" si="8"/>
        <v/>
      </c>
      <c r="AA465" s="949">
        <f t="shared" si="9"/>
        <v>0</v>
      </c>
      <c r="AB465" s="955"/>
      <c r="AC465" s="949" t="str">
        <f t="shared" si="10"/>
        <v/>
      </c>
      <c r="AD465" s="953">
        <f t="shared" si="11"/>
        <v>0</v>
      </c>
      <c r="AE465" s="956"/>
      <c r="AF465" s="889"/>
      <c r="AG465" s="810" t="b">
        <v>0</v>
      </c>
      <c r="AH465" s="780"/>
      <c r="AI465" s="780"/>
      <c r="AJ465" s="780"/>
      <c r="AK465" s="780"/>
      <c r="AL465" s="780"/>
      <c r="AM465" s="780"/>
      <c r="AN465" s="780"/>
      <c r="AO465" s="780"/>
      <c r="AP465" s="780"/>
      <c r="AQ465" s="780"/>
      <c r="AR465" s="780"/>
      <c r="AS465" s="780"/>
      <c r="AT465" s="780"/>
      <c r="AU465" s="780"/>
      <c r="AV465" s="780"/>
      <c r="AW465" s="780"/>
    </row>
    <row r="466">
      <c r="A466" s="941"/>
      <c r="B466" s="941"/>
      <c r="C466" s="995"/>
      <c r="D466" s="995"/>
      <c r="E466" s="995"/>
      <c r="F466" s="946"/>
      <c r="G466" s="946"/>
      <c r="H466" s="946"/>
      <c r="I466" s="947">
        <v>0.00138428</v>
      </c>
      <c r="J466" s="948">
        <v>0.035</v>
      </c>
      <c r="K466" s="949">
        <f t="shared" si="22"/>
        <v>0</v>
      </c>
      <c r="L466" s="950">
        <f t="shared" si="23"/>
        <v>0</v>
      </c>
      <c r="M466" s="948">
        <v>0.0215</v>
      </c>
      <c r="N466" s="951">
        <f t="shared" si="24"/>
        <v>0.00141404202</v>
      </c>
      <c r="O466" s="949">
        <f t="shared" si="25"/>
        <v>15</v>
      </c>
      <c r="P466" s="949">
        <f t="shared" si="77"/>
        <v>0.0215</v>
      </c>
      <c r="Q466" s="952">
        <f t="shared" si="79"/>
        <v>0</v>
      </c>
      <c r="R466" s="952">
        <f t="shared" si="78"/>
        <v>0</v>
      </c>
      <c r="S466" s="953"/>
      <c r="T466" s="949">
        <v>0.06</v>
      </c>
      <c r="U466" s="954"/>
      <c r="V466" s="949"/>
      <c r="W466" s="953"/>
      <c r="X466" s="949">
        <f t="shared" si="7"/>
        <v>0</v>
      </c>
      <c r="Y466" s="955"/>
      <c r="Z466" s="953" t="str">
        <f t="shared" si="8"/>
        <v/>
      </c>
      <c r="AA466" s="949">
        <f t="shared" si="9"/>
        <v>0</v>
      </c>
      <c r="AB466" s="955"/>
      <c r="AC466" s="949" t="str">
        <f t="shared" si="10"/>
        <v/>
      </c>
      <c r="AD466" s="953">
        <f t="shared" si="11"/>
        <v>0</v>
      </c>
      <c r="AE466" s="956"/>
      <c r="AF466" s="889"/>
      <c r="AG466" s="810" t="b">
        <v>0</v>
      </c>
      <c r="AH466" s="780"/>
      <c r="AI466" s="780"/>
      <c r="AJ466" s="780"/>
      <c r="AK466" s="780"/>
      <c r="AL466" s="780"/>
      <c r="AM466" s="780"/>
      <c r="AN466" s="780"/>
      <c r="AO466" s="780"/>
      <c r="AP466" s="780"/>
      <c r="AQ466" s="780"/>
      <c r="AR466" s="780"/>
      <c r="AS466" s="780"/>
      <c r="AT466" s="780"/>
      <c r="AU466" s="780"/>
      <c r="AV466" s="780"/>
      <c r="AW466" s="780"/>
    </row>
    <row r="467">
      <c r="A467" s="941"/>
      <c r="B467" s="941"/>
      <c r="C467" s="995"/>
      <c r="D467" s="944"/>
      <c r="E467" s="944"/>
      <c r="F467" s="946"/>
      <c r="G467" s="946"/>
      <c r="H467" s="946"/>
      <c r="I467" s="947">
        <v>0.00138428</v>
      </c>
      <c r="J467" s="948">
        <v>0.035</v>
      </c>
      <c r="K467" s="949">
        <f t="shared" si="22"/>
        <v>0</v>
      </c>
      <c r="L467" s="950">
        <f t="shared" si="23"/>
        <v>0</v>
      </c>
      <c r="M467" s="948">
        <v>0.0215</v>
      </c>
      <c r="N467" s="951">
        <f t="shared" si="24"/>
        <v>0.00141404202</v>
      </c>
      <c r="O467" s="949">
        <f t="shared" si="25"/>
        <v>15</v>
      </c>
      <c r="P467" s="949">
        <f t="shared" si="77"/>
        <v>0.0215</v>
      </c>
      <c r="Q467" s="952">
        <f t="shared" si="79"/>
        <v>0</v>
      </c>
      <c r="R467" s="952">
        <f t="shared" si="78"/>
        <v>0</v>
      </c>
      <c r="S467" s="953"/>
      <c r="T467" s="949">
        <v>0.06</v>
      </c>
      <c r="U467" s="954"/>
      <c r="V467" s="949"/>
      <c r="W467" s="953"/>
      <c r="X467" s="949">
        <f t="shared" si="7"/>
        <v>0</v>
      </c>
      <c r="Y467" s="955"/>
      <c r="Z467" s="953" t="str">
        <f t="shared" si="8"/>
        <v/>
      </c>
      <c r="AA467" s="949">
        <f t="shared" si="9"/>
        <v>0</v>
      </c>
      <c r="AB467" s="955"/>
      <c r="AC467" s="949" t="str">
        <f t="shared" si="10"/>
        <v/>
      </c>
      <c r="AD467" s="953">
        <f t="shared" si="11"/>
        <v>0</v>
      </c>
      <c r="AE467" s="956"/>
      <c r="AF467" s="889"/>
      <c r="AG467" s="810" t="b">
        <v>0</v>
      </c>
      <c r="AH467" s="780"/>
      <c r="AI467" s="780"/>
      <c r="AJ467" s="780"/>
      <c r="AK467" s="780"/>
      <c r="AL467" s="780"/>
      <c r="AM467" s="780"/>
      <c r="AN467" s="780"/>
      <c r="AO467" s="780"/>
      <c r="AP467" s="780"/>
      <c r="AQ467" s="780"/>
      <c r="AR467" s="780"/>
      <c r="AS467" s="780"/>
      <c r="AT467" s="780"/>
      <c r="AU467" s="780"/>
      <c r="AV467" s="780"/>
      <c r="AW467" s="780"/>
    </row>
    <row r="468">
      <c r="A468" s="941"/>
      <c r="B468" s="941"/>
      <c r="C468" s="995"/>
      <c r="D468" s="995"/>
      <c r="E468" s="995"/>
      <c r="F468" s="946"/>
      <c r="G468" s="946"/>
      <c r="H468" s="946"/>
      <c r="I468" s="947">
        <v>0.00138428</v>
      </c>
      <c r="J468" s="948">
        <v>0.035</v>
      </c>
      <c r="K468" s="949">
        <f t="shared" si="22"/>
        <v>0</v>
      </c>
      <c r="L468" s="950">
        <f t="shared" si="23"/>
        <v>0</v>
      </c>
      <c r="M468" s="948">
        <v>0.0215</v>
      </c>
      <c r="N468" s="951">
        <f t="shared" si="24"/>
        <v>0.00141404202</v>
      </c>
      <c r="O468" s="949">
        <f t="shared" si="25"/>
        <v>15</v>
      </c>
      <c r="P468" s="949">
        <f t="shared" si="77"/>
        <v>0.0215</v>
      </c>
      <c r="Q468" s="952">
        <f t="shared" si="79"/>
        <v>0</v>
      </c>
      <c r="R468" s="952">
        <f t="shared" si="78"/>
        <v>0</v>
      </c>
      <c r="S468" s="953"/>
      <c r="T468" s="949">
        <v>0.06</v>
      </c>
      <c r="U468" s="954"/>
      <c r="V468" s="949"/>
      <c r="W468" s="953"/>
      <c r="X468" s="949">
        <f t="shared" si="7"/>
        <v>0</v>
      </c>
      <c r="Y468" s="955"/>
      <c r="Z468" s="953" t="str">
        <f t="shared" si="8"/>
        <v/>
      </c>
      <c r="AA468" s="949">
        <f t="shared" si="9"/>
        <v>0</v>
      </c>
      <c r="AB468" s="955"/>
      <c r="AC468" s="949" t="str">
        <f t="shared" si="10"/>
        <v/>
      </c>
      <c r="AD468" s="953">
        <f t="shared" si="11"/>
        <v>0</v>
      </c>
      <c r="AE468" s="956"/>
      <c r="AF468" s="889"/>
      <c r="AG468" s="810" t="b">
        <v>0</v>
      </c>
      <c r="AH468" s="780"/>
      <c r="AI468" s="780"/>
      <c r="AJ468" s="780"/>
      <c r="AK468" s="780"/>
      <c r="AL468" s="780"/>
      <c r="AM468" s="780"/>
      <c r="AN468" s="780"/>
      <c r="AO468" s="780"/>
      <c r="AP468" s="780"/>
      <c r="AQ468" s="780"/>
      <c r="AR468" s="780"/>
      <c r="AS468" s="780"/>
      <c r="AT468" s="780"/>
      <c r="AU468" s="780"/>
      <c r="AV468" s="780"/>
      <c r="AW468" s="780"/>
    </row>
    <row r="469">
      <c r="A469" s="941"/>
      <c r="B469" s="941"/>
      <c r="C469" s="995"/>
      <c r="D469" s="944"/>
      <c r="E469" s="944"/>
      <c r="F469" s="946"/>
      <c r="G469" s="946"/>
      <c r="H469" s="946"/>
      <c r="I469" s="947">
        <v>0.00138428</v>
      </c>
      <c r="J469" s="948">
        <v>0.035</v>
      </c>
      <c r="K469" s="949">
        <f t="shared" si="22"/>
        <v>0</v>
      </c>
      <c r="L469" s="950">
        <f t="shared" si="23"/>
        <v>0</v>
      </c>
      <c r="M469" s="948">
        <v>0.0215</v>
      </c>
      <c r="N469" s="951">
        <f t="shared" si="24"/>
        <v>0.00141404202</v>
      </c>
      <c r="O469" s="949">
        <f t="shared" si="25"/>
        <v>15</v>
      </c>
      <c r="P469" s="949">
        <f t="shared" si="77"/>
        <v>0.0215</v>
      </c>
      <c r="Q469" s="952">
        <f t="shared" si="79"/>
        <v>0</v>
      </c>
      <c r="R469" s="952">
        <f t="shared" si="78"/>
        <v>0</v>
      </c>
      <c r="S469" s="953"/>
      <c r="T469" s="949">
        <v>0.06</v>
      </c>
      <c r="U469" s="954"/>
      <c r="V469" s="949"/>
      <c r="W469" s="953"/>
      <c r="X469" s="949">
        <f t="shared" si="7"/>
        <v>0</v>
      </c>
      <c r="Y469" s="955"/>
      <c r="Z469" s="953" t="str">
        <f t="shared" si="8"/>
        <v/>
      </c>
      <c r="AA469" s="949">
        <f t="shared" si="9"/>
        <v>0</v>
      </c>
      <c r="AB469" s="955"/>
      <c r="AC469" s="949" t="str">
        <f t="shared" si="10"/>
        <v/>
      </c>
      <c r="AD469" s="953">
        <f t="shared" si="11"/>
        <v>0</v>
      </c>
      <c r="AE469" s="956"/>
      <c r="AF469" s="889"/>
      <c r="AG469" s="810" t="b">
        <v>0</v>
      </c>
      <c r="AH469" s="780"/>
      <c r="AI469" s="780"/>
      <c r="AJ469" s="780"/>
      <c r="AK469" s="780"/>
      <c r="AL469" s="780"/>
      <c r="AM469" s="780"/>
      <c r="AN469" s="780"/>
      <c r="AO469" s="780"/>
      <c r="AP469" s="780"/>
      <c r="AQ469" s="780"/>
      <c r="AR469" s="780"/>
      <c r="AS469" s="780"/>
      <c r="AT469" s="780"/>
      <c r="AU469" s="780"/>
      <c r="AV469" s="780"/>
      <c r="AW469" s="780"/>
    </row>
    <row r="470">
      <c r="A470" s="941"/>
      <c r="B470" s="941"/>
      <c r="C470" s="995"/>
      <c r="D470" s="995"/>
      <c r="E470" s="995"/>
      <c r="F470" s="946"/>
      <c r="G470" s="946"/>
      <c r="H470" s="946"/>
      <c r="I470" s="947">
        <v>0.00138428</v>
      </c>
      <c r="J470" s="948">
        <v>0.035</v>
      </c>
      <c r="K470" s="949">
        <f t="shared" si="22"/>
        <v>0</v>
      </c>
      <c r="L470" s="950">
        <f t="shared" si="23"/>
        <v>0</v>
      </c>
      <c r="M470" s="948">
        <v>0.0215</v>
      </c>
      <c r="N470" s="951">
        <f t="shared" si="24"/>
        <v>0.00141404202</v>
      </c>
      <c r="O470" s="949">
        <f t="shared" si="25"/>
        <v>15</v>
      </c>
      <c r="P470" s="949">
        <f t="shared" si="77"/>
        <v>0.0215</v>
      </c>
      <c r="Q470" s="952">
        <f t="shared" si="79"/>
        <v>0</v>
      </c>
      <c r="R470" s="952">
        <f t="shared" si="78"/>
        <v>0</v>
      </c>
      <c r="S470" s="953"/>
      <c r="T470" s="949">
        <v>0.06</v>
      </c>
      <c r="U470" s="954"/>
      <c r="V470" s="949"/>
      <c r="W470" s="953"/>
      <c r="X470" s="949">
        <f t="shared" si="7"/>
        <v>0</v>
      </c>
      <c r="Y470" s="955"/>
      <c r="Z470" s="953" t="str">
        <f t="shared" si="8"/>
        <v/>
      </c>
      <c r="AA470" s="949">
        <f t="shared" si="9"/>
        <v>0</v>
      </c>
      <c r="AB470" s="955"/>
      <c r="AC470" s="949" t="str">
        <f t="shared" si="10"/>
        <v/>
      </c>
      <c r="AD470" s="953">
        <f t="shared" si="11"/>
        <v>0</v>
      </c>
      <c r="AE470" s="956"/>
      <c r="AF470" s="889"/>
      <c r="AG470" s="810" t="b">
        <v>0</v>
      </c>
      <c r="AH470" s="780"/>
      <c r="AI470" s="780"/>
      <c r="AJ470" s="780"/>
      <c r="AK470" s="780"/>
      <c r="AL470" s="780"/>
      <c r="AM470" s="780"/>
      <c r="AN470" s="780"/>
      <c r="AO470" s="780"/>
      <c r="AP470" s="780"/>
      <c r="AQ470" s="780"/>
      <c r="AR470" s="780"/>
      <c r="AS470" s="780"/>
      <c r="AT470" s="780"/>
      <c r="AU470" s="780"/>
      <c r="AV470" s="780"/>
      <c r="AW470" s="780"/>
    </row>
    <row r="471">
      <c r="A471" s="941"/>
      <c r="B471" s="941"/>
      <c r="C471" s="995"/>
      <c r="D471" s="944"/>
      <c r="E471" s="944"/>
      <c r="F471" s="946"/>
      <c r="G471" s="946"/>
      <c r="H471" s="946"/>
      <c r="I471" s="947">
        <v>0.00138428</v>
      </c>
      <c r="J471" s="948">
        <v>0.035</v>
      </c>
      <c r="K471" s="949">
        <f t="shared" si="22"/>
        <v>0</v>
      </c>
      <c r="L471" s="950">
        <f t="shared" si="23"/>
        <v>0</v>
      </c>
      <c r="M471" s="948">
        <v>0.0215</v>
      </c>
      <c r="N471" s="951">
        <f t="shared" si="24"/>
        <v>0.00141404202</v>
      </c>
      <c r="O471" s="949">
        <f t="shared" si="25"/>
        <v>15</v>
      </c>
      <c r="P471" s="949">
        <f t="shared" si="77"/>
        <v>0.0215</v>
      </c>
      <c r="Q471" s="952">
        <f t="shared" si="79"/>
        <v>0</v>
      </c>
      <c r="R471" s="952">
        <f t="shared" si="78"/>
        <v>0</v>
      </c>
      <c r="S471" s="953"/>
      <c r="T471" s="949">
        <v>0.06</v>
      </c>
      <c r="U471" s="954"/>
      <c r="V471" s="949"/>
      <c r="W471" s="953"/>
      <c r="X471" s="949">
        <f t="shared" si="7"/>
        <v>0</v>
      </c>
      <c r="Y471" s="955"/>
      <c r="Z471" s="953" t="str">
        <f t="shared" si="8"/>
        <v/>
      </c>
      <c r="AA471" s="949">
        <f t="shared" si="9"/>
        <v>0</v>
      </c>
      <c r="AB471" s="955"/>
      <c r="AC471" s="949" t="str">
        <f t="shared" si="10"/>
        <v/>
      </c>
      <c r="AD471" s="953">
        <f t="shared" si="11"/>
        <v>0</v>
      </c>
      <c r="AE471" s="956"/>
      <c r="AF471" s="889"/>
      <c r="AG471" s="810" t="b">
        <v>0</v>
      </c>
      <c r="AH471" s="780"/>
      <c r="AI471" s="780"/>
      <c r="AJ471" s="780"/>
      <c r="AK471" s="780"/>
      <c r="AL471" s="780"/>
      <c r="AM471" s="780"/>
      <c r="AN471" s="780"/>
      <c r="AO471" s="780"/>
      <c r="AP471" s="780"/>
      <c r="AQ471" s="780"/>
      <c r="AR471" s="780"/>
      <c r="AS471" s="780"/>
      <c r="AT471" s="780"/>
      <c r="AU471" s="780"/>
      <c r="AV471" s="780"/>
      <c r="AW471" s="780"/>
    </row>
    <row r="472">
      <c r="A472" s="941"/>
      <c r="B472" s="941"/>
      <c r="C472" s="995"/>
      <c r="D472" s="995"/>
      <c r="E472" s="995"/>
      <c r="F472" s="946"/>
      <c r="G472" s="946"/>
      <c r="H472" s="946"/>
      <c r="I472" s="947">
        <v>0.00138428</v>
      </c>
      <c r="J472" s="948">
        <v>0.035</v>
      </c>
      <c r="K472" s="949">
        <f t="shared" si="22"/>
        <v>0</v>
      </c>
      <c r="L472" s="950">
        <f t="shared" si="23"/>
        <v>0</v>
      </c>
      <c r="M472" s="948">
        <v>0.0215</v>
      </c>
      <c r="N472" s="951">
        <f t="shared" si="24"/>
        <v>0.00141404202</v>
      </c>
      <c r="O472" s="949">
        <f t="shared" si="25"/>
        <v>15</v>
      </c>
      <c r="P472" s="949">
        <f t="shared" si="77"/>
        <v>0.0215</v>
      </c>
      <c r="Q472" s="952">
        <f t="shared" si="79"/>
        <v>0</v>
      </c>
      <c r="R472" s="952">
        <f t="shared" si="78"/>
        <v>0</v>
      </c>
      <c r="S472" s="953"/>
      <c r="T472" s="949">
        <v>0.06</v>
      </c>
      <c r="U472" s="954"/>
      <c r="V472" s="949"/>
      <c r="W472" s="953"/>
      <c r="X472" s="949">
        <f t="shared" si="7"/>
        <v>0</v>
      </c>
      <c r="Y472" s="955"/>
      <c r="Z472" s="953" t="str">
        <f t="shared" si="8"/>
        <v/>
      </c>
      <c r="AA472" s="949">
        <f t="shared" si="9"/>
        <v>0</v>
      </c>
      <c r="AB472" s="955"/>
      <c r="AC472" s="949" t="str">
        <f t="shared" si="10"/>
        <v/>
      </c>
      <c r="AD472" s="953">
        <f t="shared" si="11"/>
        <v>0</v>
      </c>
      <c r="AE472" s="956"/>
      <c r="AF472" s="889"/>
      <c r="AG472" s="810" t="b">
        <v>0</v>
      </c>
      <c r="AH472" s="780"/>
      <c r="AI472" s="780"/>
      <c r="AJ472" s="780"/>
      <c r="AK472" s="780"/>
      <c r="AL472" s="780"/>
      <c r="AM472" s="780"/>
      <c r="AN472" s="780"/>
      <c r="AO472" s="780"/>
      <c r="AP472" s="780"/>
      <c r="AQ472" s="780"/>
      <c r="AR472" s="780"/>
      <c r="AS472" s="780"/>
      <c r="AT472" s="780"/>
      <c r="AU472" s="780"/>
      <c r="AV472" s="780"/>
      <c r="AW472" s="780"/>
    </row>
    <row r="473">
      <c r="A473" s="941"/>
      <c r="B473" s="941"/>
      <c r="C473" s="995"/>
      <c r="D473" s="944"/>
      <c r="E473" s="944"/>
      <c r="F473" s="946"/>
      <c r="G473" s="946"/>
      <c r="H473" s="946"/>
      <c r="I473" s="947">
        <v>0.00138428</v>
      </c>
      <c r="J473" s="948">
        <v>0.035</v>
      </c>
      <c r="K473" s="949">
        <f t="shared" si="22"/>
        <v>0</v>
      </c>
      <c r="L473" s="950">
        <f t="shared" si="23"/>
        <v>0</v>
      </c>
      <c r="M473" s="948">
        <v>0.0215</v>
      </c>
      <c r="N473" s="951">
        <f t="shared" si="24"/>
        <v>0.00141404202</v>
      </c>
      <c r="O473" s="949">
        <f t="shared" si="25"/>
        <v>15</v>
      </c>
      <c r="P473" s="949">
        <f t="shared" si="77"/>
        <v>0.0215</v>
      </c>
      <c r="Q473" s="952">
        <f t="shared" si="79"/>
        <v>0</v>
      </c>
      <c r="R473" s="952">
        <f t="shared" si="78"/>
        <v>0</v>
      </c>
      <c r="S473" s="953"/>
      <c r="T473" s="949">
        <v>0.06</v>
      </c>
      <c r="U473" s="954"/>
      <c r="V473" s="949"/>
      <c r="W473" s="953"/>
      <c r="X473" s="949">
        <f t="shared" si="7"/>
        <v>0</v>
      </c>
      <c r="Y473" s="955"/>
      <c r="Z473" s="953" t="str">
        <f t="shared" si="8"/>
        <v/>
      </c>
      <c r="AA473" s="949">
        <f t="shared" si="9"/>
        <v>0</v>
      </c>
      <c r="AB473" s="955"/>
      <c r="AC473" s="949" t="str">
        <f t="shared" si="10"/>
        <v/>
      </c>
      <c r="AD473" s="953">
        <f t="shared" si="11"/>
        <v>0</v>
      </c>
      <c r="AE473" s="956"/>
      <c r="AF473" s="889"/>
      <c r="AG473" s="810" t="b">
        <v>0</v>
      </c>
      <c r="AH473" s="780"/>
      <c r="AI473" s="780"/>
      <c r="AJ473" s="780"/>
      <c r="AK473" s="780"/>
      <c r="AL473" s="780"/>
      <c r="AM473" s="780"/>
      <c r="AN473" s="780"/>
      <c r="AO473" s="780"/>
      <c r="AP473" s="780"/>
      <c r="AQ473" s="780"/>
      <c r="AR473" s="780"/>
      <c r="AS473" s="780"/>
      <c r="AT473" s="780"/>
      <c r="AU473" s="780"/>
      <c r="AV473" s="780"/>
      <c r="AW473" s="780"/>
    </row>
    <row r="474">
      <c r="A474" s="941"/>
      <c r="B474" s="941"/>
      <c r="C474" s="995"/>
      <c r="D474" s="995"/>
      <c r="E474" s="995"/>
      <c r="F474" s="946"/>
      <c r="G474" s="946"/>
      <c r="H474" s="946"/>
      <c r="I474" s="947">
        <v>0.00138428</v>
      </c>
      <c r="J474" s="948">
        <v>0.035</v>
      </c>
      <c r="K474" s="949">
        <f t="shared" si="22"/>
        <v>0</v>
      </c>
      <c r="L474" s="950">
        <f t="shared" si="23"/>
        <v>0</v>
      </c>
      <c r="M474" s="948">
        <v>0.0215</v>
      </c>
      <c r="N474" s="951">
        <f t="shared" si="24"/>
        <v>0.00141404202</v>
      </c>
      <c r="O474" s="949">
        <f t="shared" si="25"/>
        <v>15</v>
      </c>
      <c r="P474" s="949">
        <f t="shared" si="77"/>
        <v>0.0215</v>
      </c>
      <c r="Q474" s="952">
        <f t="shared" si="79"/>
        <v>0</v>
      </c>
      <c r="R474" s="952">
        <f t="shared" si="78"/>
        <v>0</v>
      </c>
      <c r="S474" s="953"/>
      <c r="T474" s="949">
        <v>0.06</v>
      </c>
      <c r="U474" s="954"/>
      <c r="V474" s="949"/>
      <c r="W474" s="953"/>
      <c r="X474" s="949">
        <f t="shared" si="7"/>
        <v>0</v>
      </c>
      <c r="Y474" s="955"/>
      <c r="Z474" s="953" t="str">
        <f t="shared" si="8"/>
        <v/>
      </c>
      <c r="AA474" s="949">
        <f t="shared" si="9"/>
        <v>0</v>
      </c>
      <c r="AB474" s="955"/>
      <c r="AC474" s="949" t="str">
        <f t="shared" si="10"/>
        <v/>
      </c>
      <c r="AD474" s="953">
        <f t="shared" si="11"/>
        <v>0</v>
      </c>
      <c r="AE474" s="956"/>
      <c r="AF474" s="889"/>
      <c r="AG474" s="810" t="b">
        <v>0</v>
      </c>
      <c r="AH474" s="780"/>
      <c r="AI474" s="780"/>
      <c r="AJ474" s="780"/>
      <c r="AK474" s="780"/>
      <c r="AL474" s="780"/>
      <c r="AM474" s="780"/>
      <c r="AN474" s="780"/>
      <c r="AO474" s="780"/>
      <c r="AP474" s="780"/>
      <c r="AQ474" s="780"/>
      <c r="AR474" s="780"/>
      <c r="AS474" s="780"/>
      <c r="AT474" s="780"/>
      <c r="AU474" s="780"/>
      <c r="AV474" s="780"/>
      <c r="AW474" s="780"/>
    </row>
    <row r="475">
      <c r="A475" s="941"/>
      <c r="B475" s="941"/>
      <c r="C475" s="995"/>
      <c r="D475" s="944"/>
      <c r="E475" s="944"/>
      <c r="F475" s="946"/>
      <c r="G475" s="946"/>
      <c r="H475" s="946"/>
      <c r="I475" s="947">
        <v>0.00138428</v>
      </c>
      <c r="J475" s="948">
        <v>0.035</v>
      </c>
      <c r="K475" s="949">
        <f t="shared" si="22"/>
        <v>0</v>
      </c>
      <c r="L475" s="950">
        <f t="shared" si="23"/>
        <v>0</v>
      </c>
      <c r="M475" s="948">
        <v>0.0215</v>
      </c>
      <c r="N475" s="951">
        <f t="shared" si="24"/>
        <v>0.00141404202</v>
      </c>
      <c r="O475" s="949">
        <f t="shared" si="25"/>
        <v>15</v>
      </c>
      <c r="P475" s="949">
        <f t="shared" si="77"/>
        <v>0.0215</v>
      </c>
      <c r="Q475" s="952">
        <f t="shared" si="79"/>
        <v>0</v>
      </c>
      <c r="R475" s="952">
        <f t="shared" si="78"/>
        <v>0</v>
      </c>
      <c r="S475" s="953"/>
      <c r="T475" s="949">
        <v>0.06</v>
      </c>
      <c r="U475" s="954"/>
      <c r="V475" s="949"/>
      <c r="W475" s="953"/>
      <c r="X475" s="949">
        <f t="shared" si="7"/>
        <v>0</v>
      </c>
      <c r="Y475" s="955"/>
      <c r="Z475" s="953" t="str">
        <f t="shared" si="8"/>
        <v/>
      </c>
      <c r="AA475" s="949">
        <f t="shared" si="9"/>
        <v>0</v>
      </c>
      <c r="AB475" s="955"/>
      <c r="AC475" s="949" t="str">
        <f t="shared" si="10"/>
        <v/>
      </c>
      <c r="AD475" s="953">
        <f t="shared" si="11"/>
        <v>0</v>
      </c>
      <c r="AE475" s="956"/>
      <c r="AF475" s="889"/>
      <c r="AG475" s="810" t="b">
        <v>0</v>
      </c>
      <c r="AH475" s="780"/>
      <c r="AI475" s="780"/>
      <c r="AJ475" s="780"/>
      <c r="AK475" s="780"/>
      <c r="AL475" s="780"/>
      <c r="AM475" s="780"/>
      <c r="AN475" s="780"/>
      <c r="AO475" s="780"/>
      <c r="AP475" s="780"/>
      <c r="AQ475" s="780"/>
      <c r="AR475" s="780"/>
      <c r="AS475" s="780"/>
      <c r="AT475" s="780"/>
      <c r="AU475" s="780"/>
      <c r="AV475" s="780"/>
      <c r="AW475" s="780"/>
    </row>
    <row r="476">
      <c r="A476" s="941"/>
      <c r="B476" s="941"/>
      <c r="C476" s="995"/>
      <c r="D476" s="995"/>
      <c r="E476" s="995"/>
      <c r="F476" s="946"/>
      <c r="G476" s="946"/>
      <c r="H476" s="946"/>
      <c r="I476" s="947">
        <v>0.00138428</v>
      </c>
      <c r="J476" s="948">
        <v>0.035</v>
      </c>
      <c r="K476" s="949">
        <f t="shared" si="22"/>
        <v>0</v>
      </c>
      <c r="L476" s="950">
        <f t="shared" si="23"/>
        <v>0</v>
      </c>
      <c r="M476" s="948">
        <v>0.0215</v>
      </c>
      <c r="N476" s="951">
        <f t="shared" si="24"/>
        <v>0.00141404202</v>
      </c>
      <c r="O476" s="949">
        <f t="shared" si="25"/>
        <v>15</v>
      </c>
      <c r="P476" s="949">
        <f t="shared" si="77"/>
        <v>0.0215</v>
      </c>
      <c r="Q476" s="952">
        <f t="shared" si="79"/>
        <v>0</v>
      </c>
      <c r="R476" s="952">
        <f t="shared" si="78"/>
        <v>0</v>
      </c>
      <c r="S476" s="953"/>
      <c r="T476" s="949">
        <v>0.06</v>
      </c>
      <c r="U476" s="954"/>
      <c r="V476" s="949"/>
      <c r="W476" s="953"/>
      <c r="X476" s="949">
        <f t="shared" si="7"/>
        <v>0</v>
      </c>
      <c r="Y476" s="955"/>
      <c r="Z476" s="953" t="str">
        <f t="shared" si="8"/>
        <v/>
      </c>
      <c r="AA476" s="949">
        <f t="shared" si="9"/>
        <v>0</v>
      </c>
      <c r="AB476" s="955"/>
      <c r="AC476" s="949" t="str">
        <f t="shared" si="10"/>
        <v/>
      </c>
      <c r="AD476" s="953">
        <f t="shared" si="11"/>
        <v>0</v>
      </c>
      <c r="AE476" s="956"/>
      <c r="AF476" s="889"/>
      <c r="AG476" s="810" t="b">
        <v>0</v>
      </c>
      <c r="AH476" s="780"/>
      <c r="AI476" s="780"/>
      <c r="AJ476" s="780"/>
      <c r="AK476" s="780"/>
      <c r="AL476" s="780"/>
      <c r="AM476" s="780"/>
      <c r="AN476" s="780"/>
      <c r="AO476" s="780"/>
      <c r="AP476" s="780"/>
      <c r="AQ476" s="780"/>
      <c r="AR476" s="780"/>
      <c r="AS476" s="780"/>
      <c r="AT476" s="780"/>
      <c r="AU476" s="780"/>
      <c r="AV476" s="780"/>
      <c r="AW476" s="780"/>
    </row>
    <row r="477">
      <c r="A477" s="941"/>
      <c r="B477" s="941"/>
      <c r="C477" s="995"/>
      <c r="D477" s="944"/>
      <c r="E477" s="944"/>
      <c r="F477" s="946"/>
      <c r="G477" s="946"/>
      <c r="H477" s="946"/>
      <c r="I477" s="947">
        <v>0.00138428</v>
      </c>
      <c r="J477" s="948">
        <v>0.035</v>
      </c>
      <c r="K477" s="949">
        <f t="shared" si="22"/>
        <v>0</v>
      </c>
      <c r="L477" s="950">
        <f t="shared" si="23"/>
        <v>0</v>
      </c>
      <c r="M477" s="948">
        <v>0.0215</v>
      </c>
      <c r="N477" s="951">
        <f t="shared" si="24"/>
        <v>0.00141404202</v>
      </c>
      <c r="O477" s="949">
        <f t="shared" si="25"/>
        <v>15</v>
      </c>
      <c r="P477" s="949">
        <f t="shared" si="77"/>
        <v>0.0215</v>
      </c>
      <c r="Q477" s="952">
        <f t="shared" si="79"/>
        <v>0</v>
      </c>
      <c r="R477" s="952">
        <f t="shared" si="78"/>
        <v>0</v>
      </c>
      <c r="S477" s="953"/>
      <c r="T477" s="949">
        <v>0.06</v>
      </c>
      <c r="U477" s="954"/>
      <c r="V477" s="949"/>
      <c r="W477" s="953"/>
      <c r="X477" s="949">
        <f t="shared" si="7"/>
        <v>0</v>
      </c>
      <c r="Y477" s="955"/>
      <c r="Z477" s="953" t="str">
        <f t="shared" si="8"/>
        <v/>
      </c>
      <c r="AA477" s="949">
        <f t="shared" si="9"/>
        <v>0</v>
      </c>
      <c r="AB477" s="955"/>
      <c r="AC477" s="949" t="str">
        <f t="shared" si="10"/>
        <v/>
      </c>
      <c r="AD477" s="953">
        <f t="shared" si="11"/>
        <v>0</v>
      </c>
      <c r="AE477" s="956"/>
      <c r="AF477" s="889"/>
      <c r="AG477" s="810" t="b">
        <v>0</v>
      </c>
      <c r="AH477" s="780"/>
      <c r="AI477" s="780"/>
      <c r="AJ477" s="780"/>
      <c r="AK477" s="780"/>
      <c r="AL477" s="780"/>
      <c r="AM477" s="780"/>
      <c r="AN477" s="780"/>
      <c r="AO477" s="780"/>
      <c r="AP477" s="780"/>
      <c r="AQ477" s="780"/>
      <c r="AR477" s="780"/>
      <c r="AS477" s="780"/>
      <c r="AT477" s="780"/>
      <c r="AU477" s="780"/>
      <c r="AV477" s="780"/>
      <c r="AW477" s="780"/>
    </row>
    <row r="478">
      <c r="A478" s="941"/>
      <c r="B478" s="941"/>
      <c r="C478" s="995"/>
      <c r="D478" s="995"/>
      <c r="E478" s="995"/>
      <c r="F478" s="946"/>
      <c r="G478" s="946"/>
      <c r="H478" s="946"/>
      <c r="I478" s="947">
        <v>0.00138428</v>
      </c>
      <c r="J478" s="948">
        <v>0.035</v>
      </c>
      <c r="K478" s="949">
        <f t="shared" si="22"/>
        <v>0</v>
      </c>
      <c r="L478" s="950">
        <f t="shared" si="23"/>
        <v>0</v>
      </c>
      <c r="M478" s="948">
        <v>0.0215</v>
      </c>
      <c r="N478" s="951">
        <f t="shared" si="24"/>
        <v>0.00141404202</v>
      </c>
      <c r="O478" s="949">
        <f t="shared" si="25"/>
        <v>15</v>
      </c>
      <c r="P478" s="949">
        <f t="shared" si="77"/>
        <v>0.0215</v>
      </c>
      <c r="Q478" s="952">
        <f t="shared" si="79"/>
        <v>0</v>
      </c>
      <c r="R478" s="952">
        <f t="shared" si="78"/>
        <v>0</v>
      </c>
      <c r="S478" s="953"/>
      <c r="T478" s="949">
        <v>0.06</v>
      </c>
      <c r="U478" s="954"/>
      <c r="V478" s="949"/>
      <c r="W478" s="953"/>
      <c r="X478" s="949">
        <f t="shared" si="7"/>
        <v>0</v>
      </c>
      <c r="Y478" s="955"/>
      <c r="Z478" s="953" t="str">
        <f t="shared" si="8"/>
        <v/>
      </c>
      <c r="AA478" s="949">
        <f t="shared" si="9"/>
        <v>0</v>
      </c>
      <c r="AB478" s="955"/>
      <c r="AC478" s="949" t="str">
        <f t="shared" si="10"/>
        <v/>
      </c>
      <c r="AD478" s="953">
        <f t="shared" si="11"/>
        <v>0</v>
      </c>
      <c r="AE478" s="956"/>
      <c r="AF478" s="889"/>
      <c r="AG478" s="810" t="b">
        <v>0</v>
      </c>
      <c r="AH478" s="780"/>
      <c r="AI478" s="780"/>
      <c r="AJ478" s="780"/>
      <c r="AK478" s="780"/>
      <c r="AL478" s="780"/>
      <c r="AM478" s="780"/>
      <c r="AN478" s="780"/>
      <c r="AO478" s="780"/>
      <c r="AP478" s="780"/>
      <c r="AQ478" s="780"/>
      <c r="AR478" s="780"/>
      <c r="AS478" s="780"/>
      <c r="AT478" s="780"/>
      <c r="AU478" s="780"/>
      <c r="AV478" s="780"/>
      <c r="AW478" s="780"/>
    </row>
    <row r="479">
      <c r="A479" s="941"/>
      <c r="B479" s="941"/>
      <c r="C479" s="995"/>
      <c r="D479" s="944"/>
      <c r="E479" s="944"/>
      <c r="F479" s="946"/>
      <c r="G479" s="946"/>
      <c r="H479" s="946"/>
      <c r="I479" s="947">
        <v>0.00138428</v>
      </c>
      <c r="J479" s="948">
        <v>0.035</v>
      </c>
      <c r="K479" s="949">
        <f t="shared" si="22"/>
        <v>0</v>
      </c>
      <c r="L479" s="950">
        <f t="shared" si="23"/>
        <v>0</v>
      </c>
      <c r="M479" s="948">
        <v>0.0215</v>
      </c>
      <c r="N479" s="951">
        <f t="shared" si="24"/>
        <v>0.00141404202</v>
      </c>
      <c r="O479" s="949">
        <f t="shared" si="25"/>
        <v>15</v>
      </c>
      <c r="P479" s="949">
        <f t="shared" si="77"/>
        <v>0.0215</v>
      </c>
      <c r="Q479" s="952">
        <f t="shared" si="79"/>
        <v>0</v>
      </c>
      <c r="R479" s="952">
        <f t="shared" si="78"/>
        <v>0</v>
      </c>
      <c r="S479" s="953"/>
      <c r="T479" s="949">
        <v>0.06</v>
      </c>
      <c r="U479" s="954"/>
      <c r="V479" s="949"/>
      <c r="W479" s="953"/>
      <c r="X479" s="949">
        <f t="shared" si="7"/>
        <v>0</v>
      </c>
      <c r="Y479" s="955"/>
      <c r="Z479" s="953" t="str">
        <f t="shared" si="8"/>
        <v/>
      </c>
      <c r="AA479" s="949">
        <f t="shared" si="9"/>
        <v>0</v>
      </c>
      <c r="AB479" s="955"/>
      <c r="AC479" s="949" t="str">
        <f t="shared" si="10"/>
        <v/>
      </c>
      <c r="AD479" s="953">
        <f t="shared" si="11"/>
        <v>0</v>
      </c>
      <c r="AE479" s="956"/>
      <c r="AF479" s="889"/>
      <c r="AG479" s="810" t="b">
        <v>0</v>
      </c>
      <c r="AH479" s="780"/>
      <c r="AI479" s="780"/>
      <c r="AJ479" s="780"/>
      <c r="AK479" s="780"/>
      <c r="AL479" s="780"/>
      <c r="AM479" s="780"/>
      <c r="AN479" s="780"/>
      <c r="AO479" s="780"/>
      <c r="AP479" s="780"/>
      <c r="AQ479" s="780"/>
      <c r="AR479" s="780"/>
      <c r="AS479" s="780"/>
      <c r="AT479" s="780"/>
      <c r="AU479" s="780"/>
      <c r="AV479" s="780"/>
      <c r="AW479" s="780"/>
    </row>
    <row r="480">
      <c r="A480" s="941"/>
      <c r="B480" s="941"/>
      <c r="C480" s="995"/>
      <c r="D480" s="995"/>
      <c r="E480" s="995"/>
      <c r="F480" s="946"/>
      <c r="G480" s="946"/>
      <c r="H480" s="946"/>
      <c r="I480" s="947">
        <v>0.00138428</v>
      </c>
      <c r="J480" s="948">
        <v>0.035</v>
      </c>
      <c r="K480" s="949">
        <f t="shared" si="22"/>
        <v>0</v>
      </c>
      <c r="L480" s="950">
        <f t="shared" si="23"/>
        <v>0</v>
      </c>
      <c r="M480" s="948">
        <v>0.0215</v>
      </c>
      <c r="N480" s="951">
        <f t="shared" si="24"/>
        <v>0.00141404202</v>
      </c>
      <c r="O480" s="949">
        <f t="shared" si="25"/>
        <v>15</v>
      </c>
      <c r="P480" s="949">
        <f t="shared" si="77"/>
        <v>0.0215</v>
      </c>
      <c r="Q480" s="952">
        <f t="shared" si="79"/>
        <v>0</v>
      </c>
      <c r="R480" s="952">
        <f t="shared" si="78"/>
        <v>0</v>
      </c>
      <c r="S480" s="953"/>
      <c r="T480" s="949">
        <v>0.06</v>
      </c>
      <c r="U480" s="954"/>
      <c r="V480" s="949"/>
      <c r="W480" s="953"/>
      <c r="X480" s="949">
        <f t="shared" si="7"/>
        <v>0</v>
      </c>
      <c r="Y480" s="955"/>
      <c r="Z480" s="953" t="str">
        <f t="shared" si="8"/>
        <v/>
      </c>
      <c r="AA480" s="949">
        <f t="shared" si="9"/>
        <v>0</v>
      </c>
      <c r="AB480" s="955"/>
      <c r="AC480" s="949" t="str">
        <f t="shared" si="10"/>
        <v/>
      </c>
      <c r="AD480" s="953">
        <f t="shared" si="11"/>
        <v>0</v>
      </c>
      <c r="AE480" s="956"/>
      <c r="AF480" s="889"/>
      <c r="AG480" s="810" t="b">
        <v>0</v>
      </c>
      <c r="AH480" s="780"/>
      <c r="AI480" s="780"/>
      <c r="AJ480" s="780"/>
      <c r="AK480" s="780"/>
      <c r="AL480" s="780"/>
      <c r="AM480" s="780"/>
      <c r="AN480" s="780"/>
      <c r="AO480" s="780"/>
      <c r="AP480" s="780"/>
      <c r="AQ480" s="780"/>
      <c r="AR480" s="780"/>
      <c r="AS480" s="780"/>
      <c r="AT480" s="780"/>
      <c r="AU480" s="780"/>
      <c r="AV480" s="780"/>
      <c r="AW480" s="780"/>
    </row>
    <row r="481">
      <c r="A481" s="941"/>
      <c r="B481" s="941"/>
      <c r="C481" s="995"/>
      <c r="D481" s="944"/>
      <c r="E481" s="944"/>
      <c r="F481" s="946"/>
      <c r="G481" s="946"/>
      <c r="H481" s="946"/>
      <c r="I481" s="947">
        <v>0.00138428</v>
      </c>
      <c r="J481" s="948">
        <v>0.035</v>
      </c>
      <c r="K481" s="949">
        <f t="shared" si="22"/>
        <v>0</v>
      </c>
      <c r="L481" s="950">
        <f t="shared" si="23"/>
        <v>0</v>
      </c>
      <c r="M481" s="948">
        <v>0.0215</v>
      </c>
      <c r="N481" s="951">
        <f t="shared" si="24"/>
        <v>0.00141404202</v>
      </c>
      <c r="O481" s="949">
        <f t="shared" si="25"/>
        <v>15</v>
      </c>
      <c r="P481" s="949">
        <f t="shared" si="77"/>
        <v>0.0215</v>
      </c>
      <c r="Q481" s="952">
        <f t="shared" si="79"/>
        <v>0</v>
      </c>
      <c r="R481" s="952">
        <f t="shared" si="78"/>
        <v>0</v>
      </c>
      <c r="S481" s="953"/>
      <c r="T481" s="949">
        <v>0.06</v>
      </c>
      <c r="U481" s="954"/>
      <c r="V481" s="949"/>
      <c r="W481" s="953"/>
      <c r="X481" s="949">
        <f t="shared" si="7"/>
        <v>0</v>
      </c>
      <c r="Y481" s="955"/>
      <c r="Z481" s="953" t="str">
        <f t="shared" si="8"/>
        <v/>
      </c>
      <c r="AA481" s="949">
        <f t="shared" si="9"/>
        <v>0</v>
      </c>
      <c r="AB481" s="955"/>
      <c r="AC481" s="949" t="str">
        <f t="shared" si="10"/>
        <v/>
      </c>
      <c r="AD481" s="953">
        <f t="shared" si="11"/>
        <v>0</v>
      </c>
      <c r="AE481" s="956"/>
      <c r="AF481" s="889"/>
      <c r="AG481" s="810" t="b">
        <v>0</v>
      </c>
      <c r="AH481" s="780"/>
      <c r="AI481" s="780"/>
      <c r="AJ481" s="780"/>
      <c r="AK481" s="780"/>
      <c r="AL481" s="780"/>
      <c r="AM481" s="780"/>
      <c r="AN481" s="780"/>
      <c r="AO481" s="780"/>
      <c r="AP481" s="780"/>
      <c r="AQ481" s="780"/>
      <c r="AR481" s="780"/>
      <c r="AS481" s="780"/>
      <c r="AT481" s="780"/>
      <c r="AU481" s="780"/>
      <c r="AV481" s="780"/>
      <c r="AW481" s="780"/>
    </row>
    <row r="482">
      <c r="A482" s="941"/>
      <c r="B482" s="941"/>
      <c r="C482" s="995"/>
      <c r="D482" s="995"/>
      <c r="E482" s="995"/>
      <c r="F482" s="946"/>
      <c r="G482" s="946"/>
      <c r="H482" s="946"/>
      <c r="I482" s="947">
        <v>0.00138428</v>
      </c>
      <c r="J482" s="948">
        <v>0.035</v>
      </c>
      <c r="K482" s="949">
        <f t="shared" si="22"/>
        <v>0</v>
      </c>
      <c r="L482" s="950">
        <f t="shared" si="23"/>
        <v>0</v>
      </c>
      <c r="M482" s="948">
        <v>0.0215</v>
      </c>
      <c r="N482" s="951">
        <f t="shared" si="24"/>
        <v>0.00141404202</v>
      </c>
      <c r="O482" s="949">
        <f t="shared" si="25"/>
        <v>15</v>
      </c>
      <c r="P482" s="949">
        <f t="shared" si="77"/>
        <v>0.0215</v>
      </c>
      <c r="Q482" s="952">
        <f t="shared" si="79"/>
        <v>0</v>
      </c>
      <c r="R482" s="952">
        <f t="shared" si="78"/>
        <v>0</v>
      </c>
      <c r="S482" s="953"/>
      <c r="T482" s="949">
        <v>0.06</v>
      </c>
      <c r="U482" s="954"/>
      <c r="V482" s="949"/>
      <c r="W482" s="953"/>
      <c r="X482" s="949">
        <f t="shared" si="7"/>
        <v>0</v>
      </c>
      <c r="Y482" s="955"/>
      <c r="Z482" s="953" t="str">
        <f t="shared" si="8"/>
        <v/>
      </c>
      <c r="AA482" s="949">
        <f t="shared" si="9"/>
        <v>0</v>
      </c>
      <c r="AB482" s="955"/>
      <c r="AC482" s="949" t="str">
        <f t="shared" si="10"/>
        <v/>
      </c>
      <c r="AD482" s="953">
        <f t="shared" si="11"/>
        <v>0</v>
      </c>
      <c r="AE482" s="956"/>
      <c r="AF482" s="889"/>
      <c r="AG482" s="810" t="b">
        <v>0</v>
      </c>
      <c r="AH482" s="780"/>
      <c r="AI482" s="780"/>
      <c r="AJ482" s="780"/>
      <c r="AK482" s="780"/>
      <c r="AL482" s="780"/>
      <c r="AM482" s="780"/>
      <c r="AN482" s="780"/>
      <c r="AO482" s="780"/>
      <c r="AP482" s="780"/>
      <c r="AQ482" s="780"/>
      <c r="AR482" s="780"/>
      <c r="AS482" s="780"/>
      <c r="AT482" s="780"/>
      <c r="AU482" s="780"/>
      <c r="AV482" s="780"/>
      <c r="AW482" s="780"/>
    </row>
    <row r="483">
      <c r="A483" s="941"/>
      <c r="B483" s="941"/>
      <c r="C483" s="995"/>
      <c r="D483" s="944"/>
      <c r="E483" s="944"/>
      <c r="F483" s="1000"/>
      <c r="G483" s="1000"/>
      <c r="H483" s="1000"/>
      <c r="I483" s="947">
        <v>0.00138428</v>
      </c>
      <c r="J483" s="948">
        <v>0.035</v>
      </c>
      <c r="K483" s="949">
        <f t="shared" si="22"/>
        <v>0</v>
      </c>
      <c r="L483" s="950">
        <f t="shared" si="23"/>
        <v>0</v>
      </c>
      <c r="M483" s="948">
        <v>0.0215</v>
      </c>
      <c r="N483" s="951">
        <f t="shared" si="24"/>
        <v>0.00141404202</v>
      </c>
      <c r="O483" s="949">
        <f t="shared" si="25"/>
        <v>15</v>
      </c>
      <c r="P483" s="949">
        <f t="shared" si="77"/>
        <v>0.0215</v>
      </c>
      <c r="Q483" s="952">
        <f t="shared" si="79"/>
        <v>0</v>
      </c>
      <c r="R483" s="952">
        <f t="shared" si="78"/>
        <v>0</v>
      </c>
      <c r="S483" s="953"/>
      <c r="T483" s="949">
        <v>0.06</v>
      </c>
      <c r="U483" s="954"/>
      <c r="V483" s="949"/>
      <c r="W483" s="953"/>
      <c r="X483" s="949">
        <f t="shared" si="7"/>
        <v>0</v>
      </c>
      <c r="Y483" s="955"/>
      <c r="Z483" s="953" t="str">
        <f t="shared" si="8"/>
        <v/>
      </c>
      <c r="AA483" s="949">
        <f t="shared" si="9"/>
        <v>0</v>
      </c>
      <c r="AB483" s="955"/>
      <c r="AC483" s="949" t="str">
        <f t="shared" si="10"/>
        <v/>
      </c>
      <c r="AD483" s="953">
        <f t="shared" si="11"/>
        <v>0</v>
      </c>
      <c r="AE483" s="956"/>
      <c r="AF483" s="889"/>
      <c r="AG483" s="810" t="b">
        <v>0</v>
      </c>
      <c r="AH483" s="780"/>
      <c r="AI483" s="780"/>
      <c r="AJ483" s="780"/>
      <c r="AK483" s="780"/>
      <c r="AL483" s="780"/>
      <c r="AM483" s="780"/>
      <c r="AN483" s="780"/>
      <c r="AO483" s="780"/>
      <c r="AP483" s="780"/>
      <c r="AQ483" s="780"/>
      <c r="AR483" s="780"/>
      <c r="AS483" s="780"/>
      <c r="AT483" s="780"/>
      <c r="AU483" s="780"/>
      <c r="AV483" s="780"/>
      <c r="AW483" s="780"/>
    </row>
    <row r="484">
      <c r="A484" s="941"/>
      <c r="B484" s="941"/>
      <c r="C484" s="995"/>
      <c r="D484" s="995"/>
      <c r="E484" s="995"/>
      <c r="F484" s="946"/>
      <c r="G484" s="946"/>
      <c r="H484" s="946"/>
      <c r="I484" s="947">
        <v>0.00138428</v>
      </c>
      <c r="J484" s="948">
        <v>0.035</v>
      </c>
      <c r="K484" s="949">
        <f t="shared" si="22"/>
        <v>0</v>
      </c>
      <c r="L484" s="950">
        <f t="shared" si="23"/>
        <v>0</v>
      </c>
      <c r="M484" s="948">
        <v>0.0215</v>
      </c>
      <c r="N484" s="951">
        <f t="shared" si="24"/>
        <v>0.00141404202</v>
      </c>
      <c r="O484" s="949">
        <f t="shared" si="25"/>
        <v>15</v>
      </c>
      <c r="P484" s="949">
        <f t="shared" si="77"/>
        <v>0.0215</v>
      </c>
      <c r="Q484" s="952">
        <f t="shared" si="79"/>
        <v>0</v>
      </c>
      <c r="R484" s="952">
        <f t="shared" si="78"/>
        <v>0</v>
      </c>
      <c r="S484" s="953"/>
      <c r="T484" s="949">
        <v>0.06</v>
      </c>
      <c r="U484" s="954"/>
      <c r="V484" s="949"/>
      <c r="W484" s="953"/>
      <c r="X484" s="949">
        <f t="shared" si="7"/>
        <v>0</v>
      </c>
      <c r="Y484" s="955"/>
      <c r="Z484" s="953" t="str">
        <f t="shared" si="8"/>
        <v/>
      </c>
      <c r="AA484" s="949">
        <f t="shared" si="9"/>
        <v>0</v>
      </c>
      <c r="AB484" s="955"/>
      <c r="AC484" s="949" t="str">
        <f t="shared" si="10"/>
        <v/>
      </c>
      <c r="AD484" s="953">
        <f t="shared" si="11"/>
        <v>0</v>
      </c>
      <c r="AE484" s="956"/>
      <c r="AF484" s="889"/>
      <c r="AG484" s="810" t="b">
        <v>0</v>
      </c>
      <c r="AH484" s="780"/>
      <c r="AI484" s="780"/>
      <c r="AJ484" s="780"/>
      <c r="AK484" s="780"/>
      <c r="AL484" s="780"/>
      <c r="AM484" s="780"/>
      <c r="AN484" s="780"/>
      <c r="AO484" s="780"/>
      <c r="AP484" s="780"/>
      <c r="AQ484" s="780"/>
      <c r="AR484" s="780"/>
      <c r="AS484" s="780"/>
      <c r="AT484" s="780"/>
      <c r="AU484" s="780"/>
      <c r="AV484" s="780"/>
      <c r="AW484" s="780"/>
    </row>
    <row r="485">
      <c r="A485" s="941"/>
      <c r="B485" s="941"/>
      <c r="C485" s="995"/>
      <c r="D485" s="995"/>
      <c r="E485" s="995"/>
      <c r="F485" s="946"/>
      <c r="G485" s="946"/>
      <c r="H485" s="946"/>
      <c r="I485" s="947">
        <v>0.00138428</v>
      </c>
      <c r="J485" s="948">
        <v>0.035</v>
      </c>
      <c r="K485" s="949">
        <f t="shared" si="22"/>
        <v>0</v>
      </c>
      <c r="L485" s="950">
        <f t="shared" si="23"/>
        <v>0</v>
      </c>
      <c r="M485" s="948">
        <v>0.0215</v>
      </c>
      <c r="N485" s="951">
        <f t="shared" si="24"/>
        <v>0.00141404202</v>
      </c>
      <c r="O485" s="949">
        <f t="shared" si="25"/>
        <v>15</v>
      </c>
      <c r="P485" s="949">
        <f t="shared" si="77"/>
        <v>0.0215</v>
      </c>
      <c r="Q485" s="952">
        <f t="shared" si="79"/>
        <v>0</v>
      </c>
      <c r="R485" s="952">
        <f t="shared" si="78"/>
        <v>0</v>
      </c>
      <c r="S485" s="953"/>
      <c r="T485" s="949">
        <v>0.06</v>
      </c>
      <c r="U485" s="954"/>
      <c r="V485" s="949"/>
      <c r="W485" s="953"/>
      <c r="X485" s="949">
        <f t="shared" si="7"/>
        <v>0</v>
      </c>
      <c r="Y485" s="955"/>
      <c r="Z485" s="953" t="str">
        <f t="shared" si="8"/>
        <v/>
      </c>
      <c r="AA485" s="949">
        <f t="shared" si="9"/>
        <v>0</v>
      </c>
      <c r="AB485" s="955"/>
      <c r="AC485" s="949" t="str">
        <f t="shared" si="10"/>
        <v/>
      </c>
      <c r="AD485" s="953">
        <f t="shared" si="11"/>
        <v>0</v>
      </c>
      <c r="AE485" s="956"/>
      <c r="AF485" s="889"/>
      <c r="AG485" s="810" t="b">
        <v>0</v>
      </c>
      <c r="AH485" s="780"/>
      <c r="AI485" s="780"/>
      <c r="AJ485" s="780"/>
      <c r="AK485" s="780"/>
      <c r="AL485" s="780"/>
      <c r="AM485" s="780"/>
      <c r="AN485" s="780"/>
      <c r="AO485" s="780"/>
      <c r="AP485" s="780"/>
      <c r="AQ485" s="780"/>
      <c r="AR485" s="780"/>
      <c r="AS485" s="780"/>
      <c r="AT485" s="780"/>
      <c r="AU485" s="780"/>
      <c r="AV485" s="780"/>
      <c r="AW485" s="780"/>
    </row>
    <row r="486">
      <c r="A486" s="941"/>
      <c r="B486" s="941"/>
      <c r="C486" s="995"/>
      <c r="D486" s="995"/>
      <c r="E486" s="995"/>
      <c r="F486" s="946"/>
      <c r="G486" s="946"/>
      <c r="H486" s="946"/>
      <c r="I486" s="947">
        <v>0.00138428</v>
      </c>
      <c r="J486" s="948">
        <v>0.035</v>
      </c>
      <c r="K486" s="949">
        <f t="shared" si="22"/>
        <v>0</v>
      </c>
      <c r="L486" s="950">
        <f t="shared" si="23"/>
        <v>0</v>
      </c>
      <c r="M486" s="948">
        <v>0.0215</v>
      </c>
      <c r="N486" s="951">
        <f t="shared" si="24"/>
        <v>0.00141404202</v>
      </c>
      <c r="O486" s="949">
        <f t="shared" si="25"/>
        <v>15</v>
      </c>
      <c r="P486" s="949">
        <f t="shared" si="77"/>
        <v>0.0215</v>
      </c>
      <c r="Q486" s="952">
        <f t="shared" si="79"/>
        <v>0</v>
      </c>
      <c r="R486" s="952">
        <f t="shared" si="78"/>
        <v>0</v>
      </c>
      <c r="S486" s="953"/>
      <c r="T486" s="949">
        <v>0.06</v>
      </c>
      <c r="U486" s="954"/>
      <c r="V486" s="949"/>
      <c r="W486" s="953"/>
      <c r="X486" s="949">
        <f t="shared" si="7"/>
        <v>0</v>
      </c>
      <c r="Y486" s="955"/>
      <c r="Z486" s="953" t="str">
        <f t="shared" si="8"/>
        <v/>
      </c>
      <c r="AA486" s="949">
        <f t="shared" si="9"/>
        <v>0</v>
      </c>
      <c r="AB486" s="955"/>
      <c r="AC486" s="949" t="str">
        <f t="shared" si="10"/>
        <v/>
      </c>
      <c r="AD486" s="953">
        <f t="shared" si="11"/>
        <v>0</v>
      </c>
      <c r="AE486" s="956"/>
      <c r="AF486" s="889"/>
      <c r="AG486" s="810" t="b">
        <v>0</v>
      </c>
      <c r="AH486" s="780"/>
      <c r="AI486" s="780"/>
      <c r="AJ486" s="780"/>
      <c r="AK486" s="780"/>
      <c r="AL486" s="780"/>
      <c r="AM486" s="780"/>
      <c r="AN486" s="780"/>
      <c r="AO486" s="780"/>
      <c r="AP486" s="780"/>
      <c r="AQ486" s="780"/>
      <c r="AR486" s="780"/>
      <c r="AS486" s="780"/>
      <c r="AT486" s="780"/>
      <c r="AU486" s="780"/>
      <c r="AV486" s="780"/>
      <c r="AW486" s="780"/>
    </row>
    <row r="487">
      <c r="A487" s="941"/>
      <c r="B487" s="941"/>
      <c r="C487" s="995"/>
      <c r="D487" s="1001"/>
      <c r="E487" s="944"/>
      <c r="F487" s="946"/>
      <c r="G487" s="946"/>
      <c r="H487" s="946"/>
      <c r="I487" s="947">
        <v>0.00138428</v>
      </c>
      <c r="J487" s="948">
        <v>0.035</v>
      </c>
      <c r="K487" s="949">
        <f t="shared" si="22"/>
        <v>0</v>
      </c>
      <c r="L487" s="950">
        <f t="shared" si="23"/>
        <v>0</v>
      </c>
      <c r="M487" s="948">
        <v>0.0215</v>
      </c>
      <c r="N487" s="951">
        <f t="shared" si="24"/>
        <v>0.00141404202</v>
      </c>
      <c r="O487" s="949">
        <f t="shared" si="25"/>
        <v>15</v>
      </c>
      <c r="P487" s="949">
        <f t="shared" si="77"/>
        <v>0.0215</v>
      </c>
      <c r="Q487" s="952">
        <f t="shared" si="79"/>
        <v>0</v>
      </c>
      <c r="R487" s="952">
        <f t="shared" si="78"/>
        <v>0</v>
      </c>
      <c r="S487" s="953"/>
      <c r="T487" s="949">
        <v>0.06</v>
      </c>
      <c r="U487" s="954"/>
      <c r="V487" s="949"/>
      <c r="W487" s="953"/>
      <c r="X487" s="949">
        <f t="shared" si="7"/>
        <v>0</v>
      </c>
      <c r="Y487" s="955"/>
      <c r="Z487" s="953" t="str">
        <f t="shared" si="8"/>
        <v/>
      </c>
      <c r="AA487" s="949">
        <f t="shared" si="9"/>
        <v>0</v>
      </c>
      <c r="AB487" s="955"/>
      <c r="AC487" s="949" t="str">
        <f t="shared" si="10"/>
        <v/>
      </c>
      <c r="AD487" s="953">
        <f t="shared" si="11"/>
        <v>0</v>
      </c>
      <c r="AE487" s="956"/>
      <c r="AF487" s="889"/>
      <c r="AG487" s="810" t="b">
        <v>0</v>
      </c>
      <c r="AH487" s="780"/>
      <c r="AI487" s="780"/>
      <c r="AJ487" s="780"/>
      <c r="AK487" s="780"/>
      <c r="AL487" s="780"/>
      <c r="AM487" s="780"/>
      <c r="AN487" s="780"/>
      <c r="AO487" s="780"/>
      <c r="AP487" s="780"/>
      <c r="AQ487" s="780"/>
      <c r="AR487" s="780"/>
      <c r="AS487" s="780"/>
      <c r="AT487" s="780"/>
      <c r="AU487" s="780"/>
      <c r="AV487" s="780"/>
      <c r="AW487" s="780"/>
    </row>
    <row r="488">
      <c r="A488" s="941"/>
      <c r="B488" s="941"/>
      <c r="C488" s="995"/>
      <c r="D488" s="995"/>
      <c r="E488" s="995"/>
      <c r="F488" s="946"/>
      <c r="G488" s="946"/>
      <c r="H488" s="946"/>
      <c r="I488" s="947">
        <v>0.00138428</v>
      </c>
      <c r="J488" s="948">
        <v>0.035</v>
      </c>
      <c r="K488" s="949">
        <f t="shared" si="22"/>
        <v>0</v>
      </c>
      <c r="L488" s="950">
        <f t="shared" si="23"/>
        <v>0</v>
      </c>
      <c r="M488" s="948">
        <v>0.0215</v>
      </c>
      <c r="N488" s="951">
        <f t="shared" si="24"/>
        <v>0.00141404202</v>
      </c>
      <c r="O488" s="949">
        <f t="shared" si="25"/>
        <v>15</v>
      </c>
      <c r="P488" s="949">
        <f t="shared" si="77"/>
        <v>0.0215</v>
      </c>
      <c r="Q488" s="952">
        <f t="shared" si="79"/>
        <v>0</v>
      </c>
      <c r="R488" s="952">
        <f t="shared" si="78"/>
        <v>0</v>
      </c>
      <c r="S488" s="953"/>
      <c r="T488" s="949">
        <v>0.06</v>
      </c>
      <c r="U488" s="954"/>
      <c r="V488" s="949"/>
      <c r="W488" s="953"/>
      <c r="X488" s="949">
        <f t="shared" si="7"/>
        <v>0</v>
      </c>
      <c r="Y488" s="955"/>
      <c r="Z488" s="953" t="str">
        <f t="shared" si="8"/>
        <v/>
      </c>
      <c r="AA488" s="949">
        <f t="shared" si="9"/>
        <v>0</v>
      </c>
      <c r="AB488" s="955"/>
      <c r="AC488" s="949" t="str">
        <f t="shared" si="10"/>
        <v/>
      </c>
      <c r="AD488" s="953">
        <f t="shared" si="11"/>
        <v>0</v>
      </c>
      <c r="AE488" s="956"/>
      <c r="AF488" s="889"/>
      <c r="AG488" s="810" t="b">
        <v>0</v>
      </c>
      <c r="AH488" s="780"/>
      <c r="AI488" s="780"/>
      <c r="AJ488" s="780"/>
      <c r="AK488" s="780"/>
      <c r="AL488" s="780"/>
      <c r="AM488" s="780"/>
      <c r="AN488" s="780"/>
      <c r="AO488" s="780"/>
      <c r="AP488" s="780"/>
      <c r="AQ488" s="780"/>
      <c r="AR488" s="780"/>
      <c r="AS488" s="780"/>
      <c r="AT488" s="780"/>
      <c r="AU488" s="780"/>
      <c r="AV488" s="780"/>
      <c r="AW488" s="780"/>
    </row>
    <row r="489">
      <c r="A489" s="941"/>
      <c r="B489" s="941"/>
      <c r="C489" s="995"/>
      <c r="D489" s="995"/>
      <c r="E489" s="995"/>
      <c r="F489" s="946"/>
      <c r="G489" s="946"/>
      <c r="H489" s="946"/>
      <c r="I489" s="947">
        <v>0.00138428</v>
      </c>
      <c r="J489" s="948">
        <v>0.035</v>
      </c>
      <c r="K489" s="949">
        <f t="shared" si="22"/>
        <v>0</v>
      </c>
      <c r="L489" s="950">
        <f t="shared" si="23"/>
        <v>0</v>
      </c>
      <c r="M489" s="948">
        <v>0.0215</v>
      </c>
      <c r="N489" s="951">
        <f t="shared" si="24"/>
        <v>0.00141404202</v>
      </c>
      <c r="O489" s="949">
        <f t="shared" si="25"/>
        <v>15</v>
      </c>
      <c r="P489" s="949">
        <f t="shared" si="77"/>
        <v>0.0215</v>
      </c>
      <c r="Q489" s="952">
        <f t="shared" si="79"/>
        <v>0</v>
      </c>
      <c r="R489" s="952">
        <f t="shared" si="78"/>
        <v>0</v>
      </c>
      <c r="S489" s="953"/>
      <c r="T489" s="949">
        <v>0.06</v>
      </c>
      <c r="U489" s="954"/>
      <c r="V489" s="949"/>
      <c r="W489" s="953"/>
      <c r="X489" s="949">
        <f t="shared" si="7"/>
        <v>0</v>
      </c>
      <c r="Y489" s="955"/>
      <c r="Z489" s="953" t="str">
        <f t="shared" si="8"/>
        <v/>
      </c>
      <c r="AA489" s="949">
        <f t="shared" si="9"/>
        <v>0</v>
      </c>
      <c r="AB489" s="955"/>
      <c r="AC489" s="949" t="str">
        <f t="shared" si="10"/>
        <v/>
      </c>
      <c r="AD489" s="953">
        <f t="shared" si="11"/>
        <v>0</v>
      </c>
      <c r="AE489" s="956"/>
      <c r="AF489" s="889"/>
      <c r="AG489" s="810" t="b">
        <v>0</v>
      </c>
      <c r="AH489" s="780"/>
      <c r="AI489" s="780"/>
      <c r="AJ489" s="780"/>
      <c r="AK489" s="780"/>
      <c r="AL489" s="780"/>
      <c r="AM489" s="780"/>
      <c r="AN489" s="780"/>
      <c r="AO489" s="780"/>
      <c r="AP489" s="780"/>
      <c r="AQ489" s="780"/>
      <c r="AR489" s="780"/>
      <c r="AS489" s="780"/>
      <c r="AT489" s="780"/>
      <c r="AU489" s="780"/>
      <c r="AV489" s="780"/>
      <c r="AW489" s="780"/>
    </row>
    <row r="490">
      <c r="A490" s="941"/>
      <c r="B490" s="941"/>
      <c r="C490" s="995"/>
      <c r="D490" s="995"/>
      <c r="E490" s="995"/>
      <c r="F490" s="946"/>
      <c r="G490" s="946"/>
      <c r="H490" s="946"/>
      <c r="I490" s="947">
        <v>0.00138428</v>
      </c>
      <c r="J490" s="948">
        <v>0.035</v>
      </c>
      <c r="K490" s="949">
        <f t="shared" si="22"/>
        <v>0</v>
      </c>
      <c r="L490" s="950">
        <f t="shared" si="23"/>
        <v>0</v>
      </c>
      <c r="M490" s="948">
        <v>0.0215</v>
      </c>
      <c r="N490" s="951">
        <f t="shared" si="24"/>
        <v>0.00141404202</v>
      </c>
      <c r="O490" s="949">
        <f t="shared" si="25"/>
        <v>15</v>
      </c>
      <c r="P490" s="949">
        <f t="shared" si="77"/>
        <v>0.0215</v>
      </c>
      <c r="Q490" s="952">
        <f t="shared" si="79"/>
        <v>0</v>
      </c>
      <c r="R490" s="952">
        <f t="shared" si="78"/>
        <v>0</v>
      </c>
      <c r="S490" s="953"/>
      <c r="T490" s="949">
        <v>0.06</v>
      </c>
      <c r="U490" s="954"/>
      <c r="V490" s="949"/>
      <c r="W490" s="953"/>
      <c r="X490" s="949">
        <f t="shared" si="7"/>
        <v>0</v>
      </c>
      <c r="Y490" s="955"/>
      <c r="Z490" s="953" t="str">
        <f t="shared" si="8"/>
        <v/>
      </c>
      <c r="AA490" s="949">
        <f t="shared" si="9"/>
        <v>0</v>
      </c>
      <c r="AB490" s="955"/>
      <c r="AC490" s="949" t="str">
        <f t="shared" si="10"/>
        <v/>
      </c>
      <c r="AD490" s="953">
        <f t="shared" si="11"/>
        <v>0</v>
      </c>
      <c r="AE490" s="956"/>
      <c r="AF490" s="889"/>
      <c r="AG490" s="810" t="b">
        <v>0</v>
      </c>
      <c r="AH490" s="780"/>
      <c r="AI490" s="780"/>
      <c r="AJ490" s="780"/>
      <c r="AK490" s="780"/>
      <c r="AL490" s="780"/>
      <c r="AM490" s="780"/>
      <c r="AN490" s="780"/>
      <c r="AO490" s="780"/>
      <c r="AP490" s="780"/>
      <c r="AQ490" s="780"/>
      <c r="AR490" s="780"/>
      <c r="AS490" s="780"/>
      <c r="AT490" s="780"/>
      <c r="AU490" s="780"/>
      <c r="AV490" s="780"/>
      <c r="AW490" s="780"/>
    </row>
    <row r="491">
      <c r="A491" s="941"/>
      <c r="B491" s="941"/>
      <c r="C491" s="995"/>
      <c r="D491" s="995"/>
      <c r="E491" s="995"/>
      <c r="F491" s="946"/>
      <c r="G491" s="946"/>
      <c r="H491" s="946"/>
      <c r="I491" s="947">
        <v>0.00138428</v>
      </c>
      <c r="J491" s="948">
        <v>0.035</v>
      </c>
      <c r="K491" s="949">
        <f t="shared" si="22"/>
        <v>0</v>
      </c>
      <c r="L491" s="950">
        <f t="shared" si="23"/>
        <v>0</v>
      </c>
      <c r="M491" s="948">
        <v>0.0215</v>
      </c>
      <c r="N491" s="951">
        <f t="shared" si="24"/>
        <v>0.00141404202</v>
      </c>
      <c r="O491" s="949">
        <f t="shared" si="25"/>
        <v>15</v>
      </c>
      <c r="P491" s="949">
        <f t="shared" si="77"/>
        <v>0.0215</v>
      </c>
      <c r="Q491" s="952">
        <f t="shared" si="79"/>
        <v>0</v>
      </c>
      <c r="R491" s="952">
        <f t="shared" si="78"/>
        <v>0</v>
      </c>
      <c r="S491" s="953"/>
      <c r="T491" s="949">
        <v>0.06</v>
      </c>
      <c r="U491" s="954"/>
      <c r="V491" s="949"/>
      <c r="W491" s="953"/>
      <c r="X491" s="949">
        <f t="shared" si="7"/>
        <v>0</v>
      </c>
      <c r="Y491" s="955"/>
      <c r="Z491" s="953" t="str">
        <f t="shared" si="8"/>
        <v/>
      </c>
      <c r="AA491" s="949">
        <f t="shared" si="9"/>
        <v>0</v>
      </c>
      <c r="AB491" s="955"/>
      <c r="AC491" s="949" t="str">
        <f t="shared" si="10"/>
        <v/>
      </c>
      <c r="AD491" s="953">
        <f t="shared" si="11"/>
        <v>0</v>
      </c>
      <c r="AE491" s="956"/>
      <c r="AF491" s="889"/>
      <c r="AG491" s="810" t="b">
        <v>0</v>
      </c>
      <c r="AH491" s="780"/>
      <c r="AI491" s="780"/>
      <c r="AJ491" s="780"/>
      <c r="AK491" s="780"/>
      <c r="AL491" s="780"/>
      <c r="AM491" s="780"/>
      <c r="AN491" s="780"/>
      <c r="AO491" s="780"/>
      <c r="AP491" s="780"/>
      <c r="AQ491" s="780"/>
      <c r="AR491" s="780"/>
      <c r="AS491" s="780"/>
      <c r="AT491" s="780"/>
      <c r="AU491" s="780"/>
      <c r="AV491" s="780"/>
      <c r="AW491" s="780"/>
    </row>
    <row r="492">
      <c r="A492" s="941"/>
      <c r="B492" s="941"/>
      <c r="C492" s="995"/>
      <c r="D492" s="995"/>
      <c r="E492" s="995"/>
      <c r="F492" s="946"/>
      <c r="G492" s="946"/>
      <c r="H492" s="946"/>
      <c r="I492" s="947">
        <v>0.00138428</v>
      </c>
      <c r="J492" s="948">
        <v>0.035</v>
      </c>
      <c r="K492" s="949">
        <f t="shared" si="22"/>
        <v>0</v>
      </c>
      <c r="L492" s="950">
        <f t="shared" si="23"/>
        <v>0</v>
      </c>
      <c r="M492" s="948">
        <v>0.0215</v>
      </c>
      <c r="N492" s="951">
        <f t="shared" si="24"/>
        <v>0.00141404202</v>
      </c>
      <c r="O492" s="949">
        <f t="shared" si="25"/>
        <v>15</v>
      </c>
      <c r="P492" s="949">
        <f t="shared" si="77"/>
        <v>0.0215</v>
      </c>
      <c r="Q492" s="952">
        <f t="shared" si="79"/>
        <v>0</v>
      </c>
      <c r="R492" s="952">
        <f t="shared" si="78"/>
        <v>0</v>
      </c>
      <c r="S492" s="953"/>
      <c r="T492" s="949">
        <v>0.06</v>
      </c>
      <c r="U492" s="954"/>
      <c r="V492" s="949"/>
      <c r="W492" s="953"/>
      <c r="X492" s="949">
        <f t="shared" si="7"/>
        <v>0</v>
      </c>
      <c r="Y492" s="955"/>
      <c r="Z492" s="953" t="str">
        <f t="shared" si="8"/>
        <v/>
      </c>
      <c r="AA492" s="949">
        <f t="shared" si="9"/>
        <v>0</v>
      </c>
      <c r="AB492" s="955"/>
      <c r="AC492" s="949" t="str">
        <f t="shared" si="10"/>
        <v/>
      </c>
      <c r="AD492" s="953">
        <f t="shared" si="11"/>
        <v>0</v>
      </c>
      <c r="AE492" s="956"/>
      <c r="AF492" s="889"/>
      <c r="AG492" s="810" t="b">
        <v>0</v>
      </c>
      <c r="AH492" s="780"/>
      <c r="AI492" s="780"/>
      <c r="AJ492" s="780"/>
      <c r="AK492" s="780"/>
      <c r="AL492" s="780"/>
      <c r="AM492" s="780"/>
      <c r="AN492" s="780"/>
      <c r="AO492" s="780"/>
      <c r="AP492" s="780"/>
      <c r="AQ492" s="780"/>
      <c r="AR492" s="780"/>
      <c r="AS492" s="780"/>
      <c r="AT492" s="780"/>
      <c r="AU492" s="780"/>
      <c r="AV492" s="780"/>
      <c r="AW492" s="780"/>
    </row>
    <row r="493">
      <c r="A493" s="941"/>
      <c r="B493" s="941"/>
      <c r="C493" s="995"/>
      <c r="D493" s="995"/>
      <c r="E493" s="995"/>
      <c r="F493" s="946"/>
      <c r="G493" s="946"/>
      <c r="H493" s="946"/>
      <c r="I493" s="947">
        <v>0.00138428</v>
      </c>
      <c r="J493" s="948">
        <v>0.035</v>
      </c>
      <c r="K493" s="949">
        <f t="shared" si="22"/>
        <v>0</v>
      </c>
      <c r="L493" s="950">
        <f t="shared" si="23"/>
        <v>0</v>
      </c>
      <c r="M493" s="948">
        <v>0.0215</v>
      </c>
      <c r="N493" s="951">
        <f t="shared" si="24"/>
        <v>0.00141404202</v>
      </c>
      <c r="O493" s="949">
        <f t="shared" si="25"/>
        <v>15</v>
      </c>
      <c r="P493" s="949">
        <f t="shared" si="77"/>
        <v>0.0215</v>
      </c>
      <c r="Q493" s="952">
        <f t="shared" si="79"/>
        <v>0</v>
      </c>
      <c r="R493" s="952">
        <f t="shared" si="78"/>
        <v>0</v>
      </c>
      <c r="S493" s="953"/>
      <c r="T493" s="949">
        <v>0.06</v>
      </c>
      <c r="U493" s="954"/>
      <c r="V493" s="949"/>
      <c r="W493" s="953"/>
      <c r="X493" s="949">
        <f t="shared" si="7"/>
        <v>0</v>
      </c>
      <c r="Y493" s="955"/>
      <c r="Z493" s="953" t="str">
        <f t="shared" si="8"/>
        <v/>
      </c>
      <c r="AA493" s="949">
        <f t="shared" si="9"/>
        <v>0</v>
      </c>
      <c r="AB493" s="955"/>
      <c r="AC493" s="949" t="str">
        <f t="shared" si="10"/>
        <v/>
      </c>
      <c r="AD493" s="953">
        <f t="shared" si="11"/>
        <v>0</v>
      </c>
      <c r="AE493" s="956"/>
      <c r="AF493" s="889"/>
      <c r="AG493" s="810" t="b">
        <v>0</v>
      </c>
      <c r="AH493" s="780"/>
      <c r="AI493" s="780"/>
      <c r="AJ493" s="780"/>
      <c r="AK493" s="780"/>
      <c r="AL493" s="780"/>
      <c r="AM493" s="780"/>
      <c r="AN493" s="780"/>
      <c r="AO493" s="780"/>
      <c r="AP493" s="780"/>
      <c r="AQ493" s="780"/>
      <c r="AR493" s="780"/>
      <c r="AS493" s="780"/>
      <c r="AT493" s="780"/>
      <c r="AU493" s="780"/>
      <c r="AV493" s="780"/>
      <c r="AW493" s="780"/>
    </row>
    <row r="494">
      <c r="A494" s="941"/>
      <c r="B494" s="941"/>
      <c r="C494" s="995"/>
      <c r="D494" s="995"/>
      <c r="E494" s="995"/>
      <c r="F494" s="946"/>
      <c r="G494" s="946"/>
      <c r="H494" s="946"/>
      <c r="I494" s="947">
        <v>0.00138428</v>
      </c>
      <c r="J494" s="948">
        <v>0.035</v>
      </c>
      <c r="K494" s="949">
        <f t="shared" si="22"/>
        <v>0</v>
      </c>
      <c r="L494" s="950">
        <f t="shared" si="23"/>
        <v>0</v>
      </c>
      <c r="M494" s="948">
        <v>0.0215</v>
      </c>
      <c r="N494" s="951">
        <f t="shared" si="24"/>
        <v>0.00141404202</v>
      </c>
      <c r="O494" s="949">
        <f t="shared" si="25"/>
        <v>15</v>
      </c>
      <c r="P494" s="949">
        <f t="shared" si="77"/>
        <v>0.0215</v>
      </c>
      <c r="Q494" s="952">
        <f t="shared" si="79"/>
        <v>0</v>
      </c>
      <c r="R494" s="952">
        <f t="shared" si="78"/>
        <v>0</v>
      </c>
      <c r="S494" s="953"/>
      <c r="T494" s="949">
        <v>0.06</v>
      </c>
      <c r="U494" s="954"/>
      <c r="V494" s="949"/>
      <c r="W494" s="953"/>
      <c r="X494" s="949">
        <f t="shared" si="7"/>
        <v>0</v>
      </c>
      <c r="Y494" s="955"/>
      <c r="Z494" s="953" t="str">
        <f t="shared" si="8"/>
        <v/>
      </c>
      <c r="AA494" s="949">
        <f t="shared" si="9"/>
        <v>0</v>
      </c>
      <c r="AB494" s="955"/>
      <c r="AC494" s="949" t="str">
        <f t="shared" si="10"/>
        <v/>
      </c>
      <c r="AD494" s="953">
        <f t="shared" si="11"/>
        <v>0</v>
      </c>
      <c r="AE494" s="956"/>
      <c r="AF494" s="889"/>
      <c r="AG494" s="810" t="b">
        <v>0</v>
      </c>
      <c r="AH494" s="780"/>
      <c r="AI494" s="780"/>
      <c r="AJ494" s="780"/>
      <c r="AK494" s="780"/>
      <c r="AL494" s="780"/>
      <c r="AM494" s="780"/>
      <c r="AN494" s="780"/>
      <c r="AO494" s="780"/>
      <c r="AP494" s="780"/>
      <c r="AQ494" s="780"/>
      <c r="AR494" s="780"/>
      <c r="AS494" s="780"/>
      <c r="AT494" s="780"/>
      <c r="AU494" s="780"/>
      <c r="AV494" s="780"/>
      <c r="AW494" s="780"/>
    </row>
    <row r="495">
      <c r="A495" s="941"/>
      <c r="B495" s="941"/>
      <c r="C495" s="995"/>
      <c r="D495" s="995"/>
      <c r="E495" s="995"/>
      <c r="F495" s="946"/>
      <c r="G495" s="946"/>
      <c r="H495" s="946"/>
      <c r="I495" s="947">
        <v>0.00138428</v>
      </c>
      <c r="J495" s="948">
        <v>0.035</v>
      </c>
      <c r="K495" s="949">
        <f t="shared" si="22"/>
        <v>0</v>
      </c>
      <c r="L495" s="950">
        <f t="shared" si="23"/>
        <v>0</v>
      </c>
      <c r="M495" s="948">
        <v>0.0215</v>
      </c>
      <c r="N495" s="951">
        <f t="shared" si="24"/>
        <v>0.00141404202</v>
      </c>
      <c r="O495" s="949">
        <f t="shared" si="25"/>
        <v>15</v>
      </c>
      <c r="P495" s="949">
        <f t="shared" si="77"/>
        <v>0.0215</v>
      </c>
      <c r="Q495" s="952">
        <f t="shared" si="79"/>
        <v>0</v>
      </c>
      <c r="R495" s="952">
        <f t="shared" si="78"/>
        <v>0</v>
      </c>
      <c r="S495" s="953"/>
      <c r="T495" s="949">
        <v>0.06</v>
      </c>
      <c r="U495" s="954"/>
      <c r="V495" s="949"/>
      <c r="W495" s="953"/>
      <c r="X495" s="949">
        <f t="shared" si="7"/>
        <v>0</v>
      </c>
      <c r="Y495" s="955"/>
      <c r="Z495" s="953" t="str">
        <f t="shared" si="8"/>
        <v/>
      </c>
      <c r="AA495" s="949">
        <f t="shared" si="9"/>
        <v>0</v>
      </c>
      <c r="AB495" s="955"/>
      <c r="AC495" s="949" t="str">
        <f t="shared" si="10"/>
        <v/>
      </c>
      <c r="AD495" s="953">
        <f t="shared" si="11"/>
        <v>0</v>
      </c>
      <c r="AE495" s="956"/>
      <c r="AF495" s="889"/>
      <c r="AG495" s="810" t="b">
        <v>0</v>
      </c>
      <c r="AH495" s="780"/>
      <c r="AI495" s="780"/>
      <c r="AJ495" s="780"/>
      <c r="AK495" s="780"/>
      <c r="AL495" s="780"/>
      <c r="AM495" s="780"/>
      <c r="AN495" s="780"/>
      <c r="AO495" s="780"/>
      <c r="AP495" s="780"/>
      <c r="AQ495" s="780"/>
      <c r="AR495" s="780"/>
      <c r="AS495" s="780"/>
      <c r="AT495" s="780"/>
      <c r="AU495" s="780"/>
      <c r="AV495" s="780"/>
      <c r="AW495" s="780"/>
    </row>
    <row r="496">
      <c r="A496" s="941"/>
      <c r="B496" s="941"/>
      <c r="C496" s="995"/>
      <c r="D496" s="995"/>
      <c r="E496" s="995"/>
      <c r="F496" s="946"/>
      <c r="G496" s="946"/>
      <c r="H496" s="946"/>
      <c r="I496" s="947">
        <v>0.00138428</v>
      </c>
      <c r="J496" s="948">
        <v>0.035</v>
      </c>
      <c r="K496" s="949">
        <f t="shared" si="22"/>
        <v>0</v>
      </c>
      <c r="L496" s="950">
        <f t="shared" si="23"/>
        <v>0</v>
      </c>
      <c r="M496" s="948">
        <v>0.0215</v>
      </c>
      <c r="N496" s="951">
        <f t="shared" si="24"/>
        <v>0.00141404202</v>
      </c>
      <c r="O496" s="949">
        <f t="shared" si="25"/>
        <v>15</v>
      </c>
      <c r="P496" s="949">
        <f t="shared" si="77"/>
        <v>0.0215</v>
      </c>
      <c r="Q496" s="952">
        <f t="shared" si="79"/>
        <v>0</v>
      </c>
      <c r="R496" s="952">
        <f t="shared" si="78"/>
        <v>0</v>
      </c>
      <c r="S496" s="953"/>
      <c r="T496" s="949">
        <v>0.06</v>
      </c>
      <c r="U496" s="954"/>
      <c r="V496" s="949"/>
      <c r="W496" s="953"/>
      <c r="X496" s="949">
        <f t="shared" si="7"/>
        <v>0</v>
      </c>
      <c r="Y496" s="955"/>
      <c r="Z496" s="953" t="str">
        <f t="shared" si="8"/>
        <v/>
      </c>
      <c r="AA496" s="949">
        <f t="shared" si="9"/>
        <v>0</v>
      </c>
      <c r="AB496" s="955"/>
      <c r="AC496" s="949" t="str">
        <f t="shared" si="10"/>
        <v/>
      </c>
      <c r="AD496" s="953">
        <f t="shared" si="11"/>
        <v>0</v>
      </c>
      <c r="AE496" s="956"/>
      <c r="AF496" s="889"/>
      <c r="AG496" s="810" t="b">
        <v>0</v>
      </c>
      <c r="AH496" s="780"/>
      <c r="AI496" s="780"/>
      <c r="AJ496" s="780"/>
      <c r="AK496" s="780"/>
      <c r="AL496" s="780"/>
      <c r="AM496" s="780"/>
      <c r="AN496" s="780"/>
      <c r="AO496" s="780"/>
      <c r="AP496" s="780"/>
      <c r="AQ496" s="780"/>
      <c r="AR496" s="780"/>
      <c r="AS496" s="780"/>
      <c r="AT496" s="780"/>
      <c r="AU496" s="780"/>
      <c r="AV496" s="780"/>
      <c r="AW496" s="780"/>
    </row>
    <row r="497">
      <c r="A497" s="941"/>
      <c r="B497" s="941"/>
      <c r="C497" s="995"/>
      <c r="D497" s="995"/>
      <c r="E497" s="995"/>
      <c r="F497" s="946"/>
      <c r="G497" s="946"/>
      <c r="H497" s="946"/>
      <c r="I497" s="947">
        <v>0.00138428</v>
      </c>
      <c r="J497" s="948">
        <v>0.035</v>
      </c>
      <c r="K497" s="949">
        <f t="shared" si="22"/>
        <v>0</v>
      </c>
      <c r="L497" s="950">
        <f t="shared" si="23"/>
        <v>0</v>
      </c>
      <c r="M497" s="948">
        <v>0.0215</v>
      </c>
      <c r="N497" s="951">
        <f t="shared" si="24"/>
        <v>0.00141404202</v>
      </c>
      <c r="O497" s="949">
        <f t="shared" si="25"/>
        <v>15</v>
      </c>
      <c r="P497" s="949">
        <f t="shared" si="77"/>
        <v>0.0215</v>
      </c>
      <c r="Q497" s="952">
        <f t="shared" si="79"/>
        <v>0</v>
      </c>
      <c r="R497" s="952">
        <f t="shared" si="78"/>
        <v>0</v>
      </c>
      <c r="S497" s="953"/>
      <c r="T497" s="949">
        <v>0.06</v>
      </c>
      <c r="U497" s="954"/>
      <c r="V497" s="949"/>
      <c r="W497" s="953"/>
      <c r="X497" s="949">
        <f t="shared" si="7"/>
        <v>0</v>
      </c>
      <c r="Y497" s="955"/>
      <c r="Z497" s="953" t="str">
        <f t="shared" si="8"/>
        <v/>
      </c>
      <c r="AA497" s="949">
        <f t="shared" si="9"/>
        <v>0</v>
      </c>
      <c r="AB497" s="955"/>
      <c r="AC497" s="949" t="str">
        <f t="shared" si="10"/>
        <v/>
      </c>
      <c r="AD497" s="953">
        <f t="shared" si="11"/>
        <v>0</v>
      </c>
      <c r="AE497" s="956"/>
      <c r="AF497" s="889"/>
      <c r="AG497" s="810" t="b">
        <v>0</v>
      </c>
      <c r="AH497" s="780"/>
      <c r="AI497" s="780"/>
      <c r="AJ497" s="780"/>
      <c r="AK497" s="780"/>
      <c r="AL497" s="780"/>
      <c r="AM497" s="780"/>
      <c r="AN497" s="780"/>
      <c r="AO497" s="780"/>
      <c r="AP497" s="780"/>
      <c r="AQ497" s="780"/>
      <c r="AR497" s="780"/>
      <c r="AS497" s="780"/>
      <c r="AT497" s="780"/>
      <c r="AU497" s="780"/>
      <c r="AV497" s="780"/>
      <c r="AW497" s="780"/>
    </row>
    <row r="498">
      <c r="A498" s="941"/>
      <c r="B498" s="941"/>
      <c r="C498" s="995"/>
      <c r="D498" s="1001"/>
      <c r="E498" s="944"/>
      <c r="F498" s="946"/>
      <c r="G498" s="946"/>
      <c r="H498" s="946"/>
      <c r="I498" s="947">
        <v>0.00138428</v>
      </c>
      <c r="J498" s="948">
        <v>0.035</v>
      </c>
      <c r="K498" s="949">
        <f t="shared" si="22"/>
        <v>0</v>
      </c>
      <c r="L498" s="950">
        <f t="shared" si="23"/>
        <v>0</v>
      </c>
      <c r="M498" s="948">
        <v>0.0215</v>
      </c>
      <c r="N498" s="951">
        <f t="shared" si="24"/>
        <v>0.00141404202</v>
      </c>
      <c r="O498" s="949">
        <f t="shared" si="25"/>
        <v>15</v>
      </c>
      <c r="P498" s="949">
        <f t="shared" si="77"/>
        <v>0.0215</v>
      </c>
      <c r="Q498" s="952">
        <f t="shared" si="79"/>
        <v>0</v>
      </c>
      <c r="R498" s="952">
        <f t="shared" si="78"/>
        <v>0</v>
      </c>
      <c r="S498" s="953"/>
      <c r="T498" s="949">
        <v>0.06</v>
      </c>
      <c r="U498" s="954"/>
      <c r="V498" s="949"/>
      <c r="W498" s="953"/>
      <c r="X498" s="949">
        <f t="shared" si="7"/>
        <v>0</v>
      </c>
      <c r="Y498" s="955"/>
      <c r="Z498" s="953" t="str">
        <f t="shared" si="8"/>
        <v/>
      </c>
      <c r="AA498" s="949">
        <f t="shared" si="9"/>
        <v>0</v>
      </c>
      <c r="AB498" s="955"/>
      <c r="AC498" s="949" t="str">
        <f t="shared" si="10"/>
        <v/>
      </c>
      <c r="AD498" s="953">
        <f t="shared" si="11"/>
        <v>0</v>
      </c>
      <c r="AE498" s="956"/>
      <c r="AF498" s="889"/>
      <c r="AG498" s="810" t="b">
        <v>0</v>
      </c>
      <c r="AH498" s="780"/>
      <c r="AI498" s="780"/>
      <c r="AJ498" s="780"/>
      <c r="AK498" s="780"/>
      <c r="AL498" s="780"/>
      <c r="AM498" s="780"/>
      <c r="AN498" s="780"/>
      <c r="AO498" s="780"/>
      <c r="AP498" s="780"/>
      <c r="AQ498" s="780"/>
      <c r="AR498" s="780"/>
      <c r="AS498" s="780"/>
      <c r="AT498" s="780"/>
      <c r="AU498" s="780"/>
      <c r="AV498" s="780"/>
      <c r="AW498" s="780"/>
    </row>
    <row r="499">
      <c r="A499" s="941"/>
      <c r="B499" s="941"/>
      <c r="C499" s="995"/>
      <c r="D499" s="995"/>
      <c r="E499" s="995"/>
      <c r="F499" s="946"/>
      <c r="G499" s="946"/>
      <c r="H499" s="946"/>
      <c r="I499" s="947">
        <v>0.00138428</v>
      </c>
      <c r="J499" s="948">
        <v>0.035</v>
      </c>
      <c r="K499" s="949">
        <f t="shared" si="22"/>
        <v>0</v>
      </c>
      <c r="L499" s="950">
        <f t="shared" si="23"/>
        <v>0</v>
      </c>
      <c r="M499" s="948">
        <v>0.0215</v>
      </c>
      <c r="N499" s="951">
        <f t="shared" si="24"/>
        <v>0.00141404202</v>
      </c>
      <c r="O499" s="949">
        <f t="shared" si="25"/>
        <v>15</v>
      </c>
      <c r="P499" s="949">
        <f t="shared" si="77"/>
        <v>0.0215</v>
      </c>
      <c r="Q499" s="952">
        <f t="shared" si="79"/>
        <v>0</v>
      </c>
      <c r="R499" s="952">
        <f t="shared" si="78"/>
        <v>0</v>
      </c>
      <c r="S499" s="953"/>
      <c r="T499" s="949">
        <v>0.06</v>
      </c>
      <c r="U499" s="954"/>
      <c r="V499" s="949"/>
      <c r="W499" s="953"/>
      <c r="X499" s="949">
        <f t="shared" si="7"/>
        <v>0</v>
      </c>
      <c r="Y499" s="955"/>
      <c r="Z499" s="953" t="str">
        <f t="shared" si="8"/>
        <v/>
      </c>
      <c r="AA499" s="949">
        <f t="shared" si="9"/>
        <v>0</v>
      </c>
      <c r="AB499" s="955"/>
      <c r="AC499" s="949" t="str">
        <f t="shared" si="10"/>
        <v/>
      </c>
      <c r="AD499" s="953">
        <f t="shared" si="11"/>
        <v>0</v>
      </c>
      <c r="AE499" s="956"/>
      <c r="AF499" s="889"/>
      <c r="AG499" s="810" t="b">
        <v>0</v>
      </c>
      <c r="AH499" s="780"/>
      <c r="AI499" s="780"/>
      <c r="AJ499" s="780"/>
      <c r="AK499" s="780"/>
      <c r="AL499" s="780"/>
      <c r="AM499" s="780"/>
      <c r="AN499" s="780"/>
      <c r="AO499" s="780"/>
      <c r="AP499" s="780"/>
      <c r="AQ499" s="780"/>
      <c r="AR499" s="780"/>
      <c r="AS499" s="780"/>
      <c r="AT499" s="780"/>
      <c r="AU499" s="780"/>
      <c r="AV499" s="780"/>
      <c r="AW499" s="780"/>
    </row>
    <row r="500">
      <c r="A500" s="941"/>
      <c r="B500" s="941"/>
      <c r="C500" s="995"/>
      <c r="D500" s="995"/>
      <c r="E500" s="995"/>
      <c r="F500" s="946"/>
      <c r="G500" s="946"/>
      <c r="H500" s="946"/>
      <c r="I500" s="947">
        <v>0.00138428</v>
      </c>
      <c r="J500" s="948">
        <v>0.035</v>
      </c>
      <c r="K500" s="949">
        <f t="shared" si="22"/>
        <v>0</v>
      </c>
      <c r="L500" s="950">
        <f t="shared" si="23"/>
        <v>0</v>
      </c>
      <c r="M500" s="948">
        <v>0.0215</v>
      </c>
      <c r="N500" s="951">
        <f t="shared" si="24"/>
        <v>0.00141404202</v>
      </c>
      <c r="O500" s="949">
        <f t="shared" si="25"/>
        <v>15</v>
      </c>
      <c r="P500" s="949">
        <f t="shared" si="77"/>
        <v>0.0215</v>
      </c>
      <c r="Q500" s="952">
        <f t="shared" si="79"/>
        <v>0</v>
      </c>
      <c r="R500" s="952">
        <f t="shared" si="78"/>
        <v>0</v>
      </c>
      <c r="S500" s="953"/>
      <c r="T500" s="949">
        <v>0.06</v>
      </c>
      <c r="U500" s="954"/>
      <c r="V500" s="949"/>
      <c r="W500" s="953"/>
      <c r="X500" s="949">
        <f t="shared" si="7"/>
        <v>0</v>
      </c>
      <c r="Y500" s="955"/>
      <c r="Z500" s="953" t="str">
        <f t="shared" si="8"/>
        <v/>
      </c>
      <c r="AA500" s="949">
        <f t="shared" si="9"/>
        <v>0</v>
      </c>
      <c r="AB500" s="955"/>
      <c r="AC500" s="949" t="str">
        <f t="shared" si="10"/>
        <v/>
      </c>
      <c r="AD500" s="953">
        <f t="shared" si="11"/>
        <v>0</v>
      </c>
      <c r="AE500" s="956"/>
      <c r="AF500" s="889"/>
      <c r="AG500" s="810" t="b">
        <v>0</v>
      </c>
      <c r="AH500" s="780"/>
      <c r="AI500" s="780"/>
      <c r="AJ500" s="780"/>
      <c r="AK500" s="780"/>
      <c r="AL500" s="780"/>
      <c r="AM500" s="780"/>
      <c r="AN500" s="780"/>
      <c r="AO500" s="780"/>
      <c r="AP500" s="780"/>
      <c r="AQ500" s="780"/>
      <c r="AR500" s="780"/>
      <c r="AS500" s="780"/>
      <c r="AT500" s="780"/>
      <c r="AU500" s="780"/>
      <c r="AV500" s="780"/>
      <c r="AW500" s="780"/>
    </row>
    <row r="501">
      <c r="A501" s="941"/>
      <c r="B501" s="941"/>
      <c r="C501" s="995"/>
      <c r="D501" s="995"/>
      <c r="E501" s="995"/>
      <c r="F501" s="946"/>
      <c r="G501" s="946"/>
      <c r="H501" s="946"/>
      <c r="I501" s="947">
        <v>0.00138428</v>
      </c>
      <c r="J501" s="948">
        <v>0.035</v>
      </c>
      <c r="K501" s="949">
        <f t="shared" si="22"/>
        <v>0</v>
      </c>
      <c r="L501" s="950">
        <f t="shared" si="23"/>
        <v>0</v>
      </c>
      <c r="M501" s="948">
        <v>0.0215</v>
      </c>
      <c r="N501" s="951">
        <f t="shared" si="24"/>
        <v>0.00141404202</v>
      </c>
      <c r="O501" s="949">
        <f t="shared" si="25"/>
        <v>15</v>
      </c>
      <c r="P501" s="949">
        <f t="shared" si="77"/>
        <v>0.0215</v>
      </c>
      <c r="Q501" s="952">
        <f t="shared" si="79"/>
        <v>0</v>
      </c>
      <c r="R501" s="952">
        <f t="shared" si="78"/>
        <v>0</v>
      </c>
      <c r="S501" s="953"/>
      <c r="T501" s="949">
        <v>0.06</v>
      </c>
      <c r="U501" s="954"/>
      <c r="V501" s="949"/>
      <c r="W501" s="953"/>
      <c r="X501" s="949">
        <f t="shared" si="7"/>
        <v>0</v>
      </c>
      <c r="Y501" s="955"/>
      <c r="Z501" s="953" t="str">
        <f t="shared" si="8"/>
        <v/>
      </c>
      <c r="AA501" s="949">
        <f t="shared" si="9"/>
        <v>0</v>
      </c>
      <c r="AB501" s="955"/>
      <c r="AC501" s="949" t="str">
        <f t="shared" si="10"/>
        <v/>
      </c>
      <c r="AD501" s="953">
        <f t="shared" si="11"/>
        <v>0</v>
      </c>
      <c r="AE501" s="956"/>
      <c r="AF501" s="889"/>
      <c r="AG501" s="810" t="b">
        <v>0</v>
      </c>
      <c r="AH501" s="780"/>
      <c r="AI501" s="780"/>
      <c r="AJ501" s="780"/>
      <c r="AK501" s="780"/>
      <c r="AL501" s="780"/>
      <c r="AM501" s="780"/>
      <c r="AN501" s="780"/>
      <c r="AO501" s="780"/>
      <c r="AP501" s="780"/>
      <c r="AQ501" s="780"/>
      <c r="AR501" s="780"/>
      <c r="AS501" s="780"/>
      <c r="AT501" s="780"/>
      <c r="AU501" s="780"/>
      <c r="AV501" s="780"/>
      <c r="AW501" s="780"/>
    </row>
    <row r="502">
      <c r="A502" s="941"/>
      <c r="B502" s="941"/>
      <c r="C502" s="995"/>
      <c r="D502" s="995"/>
      <c r="E502" s="995"/>
      <c r="F502" s="946"/>
      <c r="G502" s="946"/>
      <c r="H502" s="946"/>
      <c r="I502" s="947">
        <v>0.00138428</v>
      </c>
      <c r="J502" s="948">
        <v>0.035</v>
      </c>
      <c r="K502" s="949">
        <f t="shared" si="22"/>
        <v>0</v>
      </c>
      <c r="L502" s="950">
        <f t="shared" si="23"/>
        <v>0</v>
      </c>
      <c r="M502" s="948">
        <v>0.0215</v>
      </c>
      <c r="N502" s="951">
        <f t="shared" si="24"/>
        <v>0.00141404202</v>
      </c>
      <c r="O502" s="949">
        <f t="shared" si="25"/>
        <v>15</v>
      </c>
      <c r="P502" s="949">
        <f t="shared" si="77"/>
        <v>0.0215</v>
      </c>
      <c r="Q502" s="952">
        <f t="shared" si="79"/>
        <v>0</v>
      </c>
      <c r="R502" s="952">
        <f t="shared" si="78"/>
        <v>0</v>
      </c>
      <c r="S502" s="953"/>
      <c r="T502" s="949">
        <v>0.06</v>
      </c>
      <c r="U502" s="954"/>
      <c r="V502" s="949"/>
      <c r="W502" s="953"/>
      <c r="X502" s="949">
        <f t="shared" si="7"/>
        <v>0</v>
      </c>
      <c r="Y502" s="955"/>
      <c r="Z502" s="953" t="str">
        <f t="shared" si="8"/>
        <v/>
      </c>
      <c r="AA502" s="949">
        <f t="shared" si="9"/>
        <v>0</v>
      </c>
      <c r="AB502" s="955"/>
      <c r="AC502" s="949" t="str">
        <f t="shared" si="10"/>
        <v/>
      </c>
      <c r="AD502" s="953">
        <f t="shared" si="11"/>
        <v>0</v>
      </c>
      <c r="AE502" s="956"/>
      <c r="AF502" s="889"/>
      <c r="AG502" s="810" t="b">
        <v>0</v>
      </c>
      <c r="AH502" s="780"/>
      <c r="AI502" s="780"/>
      <c r="AJ502" s="780"/>
      <c r="AK502" s="780"/>
      <c r="AL502" s="780"/>
      <c r="AM502" s="780"/>
      <c r="AN502" s="780"/>
      <c r="AO502" s="780"/>
      <c r="AP502" s="780"/>
      <c r="AQ502" s="780"/>
      <c r="AR502" s="780"/>
      <c r="AS502" s="780"/>
      <c r="AT502" s="780"/>
      <c r="AU502" s="780"/>
      <c r="AV502" s="780"/>
      <c r="AW502" s="780"/>
    </row>
    <row r="503">
      <c r="A503" s="941"/>
      <c r="B503" s="941"/>
      <c r="C503" s="995"/>
      <c r="D503" s="995"/>
      <c r="E503" s="995"/>
      <c r="F503" s="946"/>
      <c r="G503" s="946"/>
      <c r="H503" s="946"/>
      <c r="I503" s="947">
        <v>0.00138428</v>
      </c>
      <c r="J503" s="948">
        <v>0.035</v>
      </c>
      <c r="K503" s="949">
        <f t="shared" si="22"/>
        <v>0</v>
      </c>
      <c r="L503" s="950">
        <f t="shared" si="23"/>
        <v>0</v>
      </c>
      <c r="M503" s="948">
        <v>0.0215</v>
      </c>
      <c r="N503" s="951">
        <f t="shared" si="24"/>
        <v>0.00141404202</v>
      </c>
      <c r="O503" s="949">
        <f t="shared" si="25"/>
        <v>15</v>
      </c>
      <c r="P503" s="949">
        <f t="shared" si="77"/>
        <v>0.0215</v>
      </c>
      <c r="Q503" s="952">
        <f t="shared" si="79"/>
        <v>0</v>
      </c>
      <c r="R503" s="952">
        <f t="shared" si="78"/>
        <v>0</v>
      </c>
      <c r="S503" s="953"/>
      <c r="T503" s="949">
        <v>0.06</v>
      </c>
      <c r="U503" s="954"/>
      <c r="V503" s="949"/>
      <c r="W503" s="953"/>
      <c r="X503" s="949">
        <f t="shared" si="7"/>
        <v>0</v>
      </c>
      <c r="Y503" s="955"/>
      <c r="Z503" s="953" t="str">
        <f t="shared" si="8"/>
        <v/>
      </c>
      <c r="AA503" s="949">
        <f t="shared" si="9"/>
        <v>0</v>
      </c>
      <c r="AB503" s="955"/>
      <c r="AC503" s="949" t="str">
        <f t="shared" si="10"/>
        <v/>
      </c>
      <c r="AD503" s="953">
        <f t="shared" si="11"/>
        <v>0</v>
      </c>
      <c r="AE503" s="956"/>
      <c r="AF503" s="889"/>
      <c r="AG503" s="810" t="b">
        <v>0</v>
      </c>
      <c r="AH503" s="780"/>
      <c r="AI503" s="780"/>
      <c r="AJ503" s="780"/>
      <c r="AK503" s="780"/>
      <c r="AL503" s="780"/>
      <c r="AM503" s="780"/>
      <c r="AN503" s="780"/>
      <c r="AO503" s="780"/>
      <c r="AP503" s="780"/>
      <c r="AQ503" s="780"/>
      <c r="AR503" s="780"/>
      <c r="AS503" s="780"/>
      <c r="AT503" s="780"/>
      <c r="AU503" s="780"/>
      <c r="AV503" s="780"/>
      <c r="AW503" s="780"/>
    </row>
    <row r="504">
      <c r="A504" s="941"/>
      <c r="B504" s="941"/>
      <c r="C504" s="995"/>
      <c r="D504" s="995"/>
      <c r="E504" s="995"/>
      <c r="F504" s="946"/>
      <c r="G504" s="946"/>
      <c r="H504" s="946"/>
      <c r="I504" s="947">
        <v>0.00138428</v>
      </c>
      <c r="J504" s="948">
        <v>0.035</v>
      </c>
      <c r="K504" s="949">
        <f t="shared" si="22"/>
        <v>0</v>
      </c>
      <c r="L504" s="950">
        <f t="shared" si="23"/>
        <v>0</v>
      </c>
      <c r="M504" s="948">
        <v>0.0215</v>
      </c>
      <c r="N504" s="951">
        <f t="shared" si="24"/>
        <v>0.00141404202</v>
      </c>
      <c r="O504" s="949">
        <f t="shared" si="25"/>
        <v>15</v>
      </c>
      <c r="P504" s="949">
        <f t="shared" si="77"/>
        <v>0.0215</v>
      </c>
      <c r="Q504" s="952">
        <f t="shared" si="79"/>
        <v>0</v>
      </c>
      <c r="R504" s="952">
        <f t="shared" si="78"/>
        <v>0</v>
      </c>
      <c r="S504" s="953"/>
      <c r="T504" s="949">
        <v>0.06</v>
      </c>
      <c r="U504" s="954"/>
      <c r="V504" s="949"/>
      <c r="W504" s="953"/>
      <c r="X504" s="949">
        <f t="shared" si="7"/>
        <v>0</v>
      </c>
      <c r="Y504" s="955"/>
      <c r="Z504" s="953" t="str">
        <f t="shared" si="8"/>
        <v/>
      </c>
      <c r="AA504" s="949">
        <f t="shared" si="9"/>
        <v>0</v>
      </c>
      <c r="AB504" s="955"/>
      <c r="AC504" s="949" t="str">
        <f t="shared" si="10"/>
        <v/>
      </c>
      <c r="AD504" s="953">
        <f t="shared" si="11"/>
        <v>0</v>
      </c>
      <c r="AE504" s="956"/>
      <c r="AF504" s="889"/>
      <c r="AG504" s="810" t="b">
        <v>0</v>
      </c>
      <c r="AH504" s="780"/>
      <c r="AI504" s="780"/>
      <c r="AJ504" s="780"/>
      <c r="AK504" s="780"/>
      <c r="AL504" s="780"/>
      <c r="AM504" s="780"/>
      <c r="AN504" s="780"/>
      <c r="AO504" s="780"/>
      <c r="AP504" s="780"/>
      <c r="AQ504" s="780"/>
      <c r="AR504" s="780"/>
      <c r="AS504" s="780"/>
      <c r="AT504" s="780"/>
      <c r="AU504" s="780"/>
      <c r="AV504" s="780"/>
      <c r="AW504" s="780"/>
    </row>
    <row r="505">
      <c r="A505" s="941"/>
      <c r="B505" s="941"/>
      <c r="C505" s="995"/>
      <c r="D505" s="944"/>
      <c r="E505" s="944"/>
      <c r="F505" s="946"/>
      <c r="G505" s="946"/>
      <c r="H505" s="946"/>
      <c r="I505" s="947">
        <v>0.00138428</v>
      </c>
      <c r="J505" s="948">
        <v>0.035</v>
      </c>
      <c r="K505" s="949">
        <f t="shared" si="22"/>
        <v>0</v>
      </c>
      <c r="L505" s="950">
        <f t="shared" si="23"/>
        <v>0</v>
      </c>
      <c r="M505" s="948">
        <v>0.0215</v>
      </c>
      <c r="N505" s="951">
        <f t="shared" si="24"/>
        <v>0.00141404202</v>
      </c>
      <c r="O505" s="949">
        <f t="shared" si="25"/>
        <v>15</v>
      </c>
      <c r="P505" s="949">
        <f t="shared" si="77"/>
        <v>0.0215</v>
      </c>
      <c r="Q505" s="952">
        <f t="shared" si="79"/>
        <v>0</v>
      </c>
      <c r="R505" s="952">
        <f t="shared" si="78"/>
        <v>0</v>
      </c>
      <c r="S505" s="953"/>
      <c r="T505" s="949">
        <v>0.06</v>
      </c>
      <c r="U505" s="954"/>
      <c r="V505" s="949"/>
      <c r="W505" s="953"/>
      <c r="X505" s="949">
        <f t="shared" si="7"/>
        <v>0</v>
      </c>
      <c r="Y505" s="955"/>
      <c r="Z505" s="953" t="str">
        <f t="shared" si="8"/>
        <v/>
      </c>
      <c r="AA505" s="949">
        <f t="shared" si="9"/>
        <v>0</v>
      </c>
      <c r="AB505" s="955"/>
      <c r="AC505" s="949" t="str">
        <f t="shared" si="10"/>
        <v/>
      </c>
      <c r="AD505" s="953">
        <f t="shared" si="11"/>
        <v>0</v>
      </c>
      <c r="AE505" s="956"/>
      <c r="AF505" s="889"/>
      <c r="AG505" s="810" t="b">
        <v>0</v>
      </c>
      <c r="AH505" s="780"/>
      <c r="AI505" s="780"/>
      <c r="AJ505" s="780"/>
      <c r="AK505" s="780"/>
      <c r="AL505" s="780"/>
      <c r="AM505" s="780"/>
      <c r="AN505" s="780"/>
      <c r="AO505" s="780"/>
      <c r="AP505" s="780"/>
      <c r="AQ505" s="780"/>
      <c r="AR505" s="780"/>
      <c r="AS505" s="780"/>
      <c r="AT505" s="780"/>
      <c r="AU505" s="780"/>
      <c r="AV505" s="780"/>
      <c r="AW505" s="780"/>
    </row>
    <row r="506">
      <c r="A506" s="941"/>
      <c r="B506" s="941"/>
      <c r="C506" s="995"/>
      <c r="D506" s="995"/>
      <c r="E506" s="995"/>
      <c r="F506" s="946"/>
      <c r="G506" s="946"/>
      <c r="H506" s="946"/>
      <c r="I506" s="947">
        <v>0.00138428</v>
      </c>
      <c r="J506" s="948">
        <v>0.035</v>
      </c>
      <c r="K506" s="949">
        <f t="shared" si="22"/>
        <v>0</v>
      </c>
      <c r="L506" s="950">
        <f t="shared" si="23"/>
        <v>0</v>
      </c>
      <c r="M506" s="948">
        <v>0.0215</v>
      </c>
      <c r="N506" s="951">
        <f t="shared" si="24"/>
        <v>0.00141404202</v>
      </c>
      <c r="O506" s="949">
        <f t="shared" si="25"/>
        <v>15</v>
      </c>
      <c r="P506" s="949">
        <f t="shared" si="77"/>
        <v>0.0215</v>
      </c>
      <c r="Q506" s="952">
        <f t="shared" si="79"/>
        <v>0</v>
      </c>
      <c r="R506" s="952">
        <f t="shared" si="78"/>
        <v>0</v>
      </c>
      <c r="S506" s="953"/>
      <c r="T506" s="949">
        <v>0.06</v>
      </c>
      <c r="U506" s="954"/>
      <c r="V506" s="949"/>
      <c r="W506" s="953"/>
      <c r="X506" s="949">
        <f t="shared" si="7"/>
        <v>0</v>
      </c>
      <c r="Y506" s="955"/>
      <c r="Z506" s="953" t="str">
        <f t="shared" si="8"/>
        <v/>
      </c>
      <c r="AA506" s="949">
        <f t="shared" si="9"/>
        <v>0</v>
      </c>
      <c r="AB506" s="955"/>
      <c r="AC506" s="949" t="str">
        <f t="shared" si="10"/>
        <v/>
      </c>
      <c r="AD506" s="953">
        <f t="shared" si="11"/>
        <v>0</v>
      </c>
      <c r="AE506" s="956"/>
      <c r="AF506" s="889"/>
      <c r="AG506" s="810" t="b">
        <v>0</v>
      </c>
      <c r="AH506" s="780"/>
      <c r="AI506" s="780"/>
      <c r="AJ506" s="780"/>
      <c r="AK506" s="780"/>
      <c r="AL506" s="780"/>
      <c r="AM506" s="780"/>
      <c r="AN506" s="780"/>
      <c r="AO506" s="780"/>
      <c r="AP506" s="780"/>
      <c r="AQ506" s="780"/>
      <c r="AR506" s="780"/>
      <c r="AS506" s="780"/>
      <c r="AT506" s="780"/>
      <c r="AU506" s="780"/>
      <c r="AV506" s="780"/>
      <c r="AW506" s="780"/>
    </row>
    <row r="507">
      <c r="A507" s="941"/>
      <c r="B507" s="941"/>
      <c r="C507" s="995"/>
      <c r="D507" s="944"/>
      <c r="E507" s="944"/>
      <c r="F507" s="946"/>
      <c r="G507" s="946"/>
      <c r="H507" s="946"/>
      <c r="I507" s="947">
        <v>0.00138428</v>
      </c>
      <c r="J507" s="948">
        <v>0.035</v>
      </c>
      <c r="K507" s="949">
        <f t="shared" si="22"/>
        <v>0</v>
      </c>
      <c r="L507" s="950">
        <f t="shared" si="23"/>
        <v>0</v>
      </c>
      <c r="M507" s="948">
        <v>0.0215</v>
      </c>
      <c r="N507" s="951">
        <f t="shared" si="24"/>
        <v>0.00141404202</v>
      </c>
      <c r="O507" s="949">
        <f t="shared" si="25"/>
        <v>15</v>
      </c>
      <c r="P507" s="949">
        <f t="shared" si="77"/>
        <v>0.0215</v>
      </c>
      <c r="Q507" s="952">
        <f t="shared" si="79"/>
        <v>0</v>
      </c>
      <c r="R507" s="952">
        <f t="shared" si="78"/>
        <v>0</v>
      </c>
      <c r="S507" s="953"/>
      <c r="T507" s="949">
        <v>0.06</v>
      </c>
      <c r="U507" s="954"/>
      <c r="V507" s="949"/>
      <c r="W507" s="953"/>
      <c r="X507" s="949">
        <f t="shared" si="7"/>
        <v>0</v>
      </c>
      <c r="Y507" s="955"/>
      <c r="Z507" s="953" t="str">
        <f t="shared" si="8"/>
        <v/>
      </c>
      <c r="AA507" s="949">
        <f t="shared" si="9"/>
        <v>0</v>
      </c>
      <c r="AB507" s="955"/>
      <c r="AC507" s="949" t="str">
        <f t="shared" si="10"/>
        <v/>
      </c>
      <c r="AD507" s="953">
        <f t="shared" si="11"/>
        <v>0</v>
      </c>
      <c r="AE507" s="956"/>
      <c r="AF507" s="889"/>
      <c r="AG507" s="810" t="b">
        <v>0</v>
      </c>
      <c r="AH507" s="780"/>
      <c r="AI507" s="780"/>
      <c r="AJ507" s="780"/>
      <c r="AK507" s="780"/>
      <c r="AL507" s="780"/>
      <c r="AM507" s="780"/>
      <c r="AN507" s="780"/>
      <c r="AO507" s="780"/>
      <c r="AP507" s="780"/>
      <c r="AQ507" s="780"/>
      <c r="AR507" s="780"/>
      <c r="AS507" s="780"/>
      <c r="AT507" s="780"/>
      <c r="AU507" s="780"/>
      <c r="AV507" s="780"/>
      <c r="AW507" s="780"/>
    </row>
    <row r="508">
      <c r="A508" s="941"/>
      <c r="B508" s="941"/>
      <c r="C508" s="995"/>
      <c r="D508" s="995"/>
      <c r="E508" s="995"/>
      <c r="F508" s="946"/>
      <c r="G508" s="946"/>
      <c r="H508" s="946"/>
      <c r="I508" s="947">
        <v>0.00138428</v>
      </c>
      <c r="J508" s="948">
        <v>0.035</v>
      </c>
      <c r="K508" s="949">
        <f t="shared" si="22"/>
        <v>0</v>
      </c>
      <c r="L508" s="950">
        <f t="shared" si="23"/>
        <v>0</v>
      </c>
      <c r="M508" s="948">
        <v>0.0215</v>
      </c>
      <c r="N508" s="951">
        <f t="shared" si="24"/>
        <v>0.00141404202</v>
      </c>
      <c r="O508" s="949">
        <f t="shared" si="25"/>
        <v>15</v>
      </c>
      <c r="P508" s="949">
        <f t="shared" si="77"/>
        <v>0.0215</v>
      </c>
      <c r="Q508" s="952">
        <f t="shared" si="79"/>
        <v>0</v>
      </c>
      <c r="R508" s="952">
        <f t="shared" si="78"/>
        <v>0</v>
      </c>
      <c r="S508" s="953"/>
      <c r="T508" s="949">
        <v>0.06</v>
      </c>
      <c r="U508" s="954"/>
      <c r="V508" s="949"/>
      <c r="W508" s="953"/>
      <c r="X508" s="949">
        <f t="shared" si="7"/>
        <v>0</v>
      </c>
      <c r="Y508" s="955"/>
      <c r="Z508" s="953" t="str">
        <f t="shared" si="8"/>
        <v/>
      </c>
      <c r="AA508" s="949">
        <f t="shared" si="9"/>
        <v>0</v>
      </c>
      <c r="AB508" s="955"/>
      <c r="AC508" s="949" t="str">
        <f t="shared" si="10"/>
        <v/>
      </c>
      <c r="AD508" s="953">
        <f t="shared" si="11"/>
        <v>0</v>
      </c>
      <c r="AE508" s="956"/>
      <c r="AF508" s="889"/>
      <c r="AG508" s="810" t="b">
        <v>0</v>
      </c>
      <c r="AH508" s="780"/>
      <c r="AI508" s="780"/>
      <c r="AJ508" s="780"/>
      <c r="AK508" s="780"/>
      <c r="AL508" s="780"/>
      <c r="AM508" s="780"/>
      <c r="AN508" s="780"/>
      <c r="AO508" s="780"/>
      <c r="AP508" s="780"/>
      <c r="AQ508" s="780"/>
      <c r="AR508" s="780"/>
      <c r="AS508" s="780"/>
      <c r="AT508" s="780"/>
      <c r="AU508" s="780"/>
      <c r="AV508" s="780"/>
      <c r="AW508" s="780"/>
    </row>
    <row r="509">
      <c r="A509" s="941"/>
      <c r="B509" s="941"/>
      <c r="C509" s="995"/>
      <c r="D509" s="944"/>
      <c r="E509" s="944"/>
      <c r="F509" s="946"/>
      <c r="G509" s="946"/>
      <c r="H509" s="946"/>
      <c r="I509" s="947">
        <v>0.00138428</v>
      </c>
      <c r="J509" s="948">
        <v>0.035</v>
      </c>
      <c r="K509" s="949">
        <f t="shared" si="22"/>
        <v>0</v>
      </c>
      <c r="L509" s="950">
        <f t="shared" si="23"/>
        <v>0</v>
      </c>
      <c r="M509" s="948">
        <v>0.0215</v>
      </c>
      <c r="N509" s="951">
        <f t="shared" si="24"/>
        <v>0.00141404202</v>
      </c>
      <c r="O509" s="949">
        <f t="shared" si="25"/>
        <v>15</v>
      </c>
      <c r="P509" s="949">
        <f t="shared" si="77"/>
        <v>0.0215</v>
      </c>
      <c r="Q509" s="952">
        <f t="shared" si="79"/>
        <v>0</v>
      </c>
      <c r="R509" s="952">
        <f t="shared" si="78"/>
        <v>0</v>
      </c>
      <c r="S509" s="953"/>
      <c r="T509" s="949">
        <v>0.06</v>
      </c>
      <c r="U509" s="954"/>
      <c r="V509" s="949"/>
      <c r="W509" s="953"/>
      <c r="X509" s="949">
        <f t="shared" si="7"/>
        <v>0</v>
      </c>
      <c r="Y509" s="955"/>
      <c r="Z509" s="953" t="str">
        <f t="shared" si="8"/>
        <v/>
      </c>
      <c r="AA509" s="949">
        <f t="shared" si="9"/>
        <v>0</v>
      </c>
      <c r="AB509" s="955"/>
      <c r="AC509" s="949" t="str">
        <f t="shared" si="10"/>
        <v/>
      </c>
      <c r="AD509" s="953">
        <f t="shared" si="11"/>
        <v>0</v>
      </c>
      <c r="AE509" s="956"/>
      <c r="AF509" s="889"/>
      <c r="AG509" s="810" t="b">
        <v>0</v>
      </c>
      <c r="AH509" s="780"/>
      <c r="AI509" s="780"/>
      <c r="AJ509" s="780"/>
      <c r="AK509" s="780"/>
      <c r="AL509" s="780"/>
      <c r="AM509" s="780"/>
      <c r="AN509" s="780"/>
      <c r="AO509" s="780"/>
      <c r="AP509" s="780"/>
      <c r="AQ509" s="780"/>
      <c r="AR509" s="780"/>
      <c r="AS509" s="780"/>
      <c r="AT509" s="780"/>
      <c r="AU509" s="780"/>
      <c r="AV509" s="780"/>
      <c r="AW509" s="780"/>
    </row>
    <row r="510">
      <c r="A510" s="941"/>
      <c r="B510" s="941"/>
      <c r="C510" s="995"/>
      <c r="D510" s="995"/>
      <c r="E510" s="995"/>
      <c r="F510" s="946"/>
      <c r="G510" s="946"/>
      <c r="H510" s="946"/>
      <c r="I510" s="947">
        <v>0.00138428</v>
      </c>
      <c r="J510" s="948">
        <v>0.035</v>
      </c>
      <c r="K510" s="949">
        <f t="shared" si="22"/>
        <v>0</v>
      </c>
      <c r="L510" s="950">
        <f t="shared" si="23"/>
        <v>0</v>
      </c>
      <c r="M510" s="948">
        <v>0.0215</v>
      </c>
      <c r="N510" s="951">
        <f t="shared" si="24"/>
        <v>0.00141404202</v>
      </c>
      <c r="O510" s="949">
        <f t="shared" si="25"/>
        <v>15</v>
      </c>
      <c r="P510" s="949">
        <f t="shared" si="77"/>
        <v>0.0215</v>
      </c>
      <c r="Q510" s="952">
        <f t="shared" si="79"/>
        <v>0</v>
      </c>
      <c r="R510" s="952">
        <f t="shared" si="78"/>
        <v>0</v>
      </c>
      <c r="S510" s="953"/>
      <c r="T510" s="949">
        <v>0.06</v>
      </c>
      <c r="U510" s="954"/>
      <c r="V510" s="949"/>
      <c r="W510" s="953"/>
      <c r="X510" s="949">
        <f t="shared" si="7"/>
        <v>0</v>
      </c>
      <c r="Y510" s="955"/>
      <c r="Z510" s="953" t="str">
        <f t="shared" si="8"/>
        <v/>
      </c>
      <c r="AA510" s="949">
        <f t="shared" si="9"/>
        <v>0</v>
      </c>
      <c r="AB510" s="955"/>
      <c r="AC510" s="949" t="str">
        <f t="shared" si="10"/>
        <v/>
      </c>
      <c r="AD510" s="953">
        <f t="shared" si="11"/>
        <v>0</v>
      </c>
      <c r="AE510" s="956"/>
      <c r="AF510" s="889"/>
      <c r="AG510" s="810" t="b">
        <v>0</v>
      </c>
      <c r="AH510" s="780"/>
      <c r="AI510" s="780"/>
      <c r="AJ510" s="780"/>
      <c r="AK510" s="780"/>
      <c r="AL510" s="780"/>
      <c r="AM510" s="780"/>
      <c r="AN510" s="780"/>
      <c r="AO510" s="780"/>
      <c r="AP510" s="780"/>
      <c r="AQ510" s="780"/>
      <c r="AR510" s="780"/>
      <c r="AS510" s="780"/>
      <c r="AT510" s="780"/>
      <c r="AU510" s="780"/>
      <c r="AV510" s="780"/>
      <c r="AW510" s="780"/>
    </row>
    <row r="511">
      <c r="A511" s="941"/>
      <c r="B511" s="941"/>
      <c r="C511" s="995"/>
      <c r="D511" s="944"/>
      <c r="E511" s="944"/>
      <c r="F511" s="946"/>
      <c r="G511" s="946"/>
      <c r="H511" s="946"/>
      <c r="I511" s="947">
        <v>0.00138428</v>
      </c>
      <c r="J511" s="948">
        <v>0.035</v>
      </c>
      <c r="K511" s="949">
        <f t="shared" si="22"/>
        <v>0</v>
      </c>
      <c r="L511" s="950">
        <f t="shared" si="23"/>
        <v>0</v>
      </c>
      <c r="M511" s="948">
        <v>0.0215</v>
      </c>
      <c r="N511" s="951">
        <f t="shared" si="24"/>
        <v>0.00141404202</v>
      </c>
      <c r="O511" s="949">
        <f t="shared" si="25"/>
        <v>15</v>
      </c>
      <c r="P511" s="949">
        <f t="shared" si="77"/>
        <v>0.0215</v>
      </c>
      <c r="Q511" s="952">
        <f t="shared" si="79"/>
        <v>0</v>
      </c>
      <c r="R511" s="952">
        <f t="shared" si="78"/>
        <v>0</v>
      </c>
      <c r="S511" s="953"/>
      <c r="T511" s="949">
        <v>0.06</v>
      </c>
      <c r="U511" s="954"/>
      <c r="V511" s="949"/>
      <c r="W511" s="953"/>
      <c r="X511" s="949">
        <f t="shared" si="7"/>
        <v>0</v>
      </c>
      <c r="Y511" s="955"/>
      <c r="Z511" s="953" t="str">
        <f t="shared" si="8"/>
        <v/>
      </c>
      <c r="AA511" s="949">
        <f t="shared" si="9"/>
        <v>0</v>
      </c>
      <c r="AB511" s="955"/>
      <c r="AC511" s="949" t="str">
        <f t="shared" si="10"/>
        <v/>
      </c>
      <c r="AD511" s="953">
        <f t="shared" si="11"/>
        <v>0</v>
      </c>
      <c r="AE511" s="956"/>
      <c r="AF511" s="889"/>
      <c r="AG511" s="810" t="b">
        <v>0</v>
      </c>
      <c r="AH511" s="780"/>
      <c r="AI511" s="780"/>
      <c r="AJ511" s="780"/>
      <c r="AK511" s="780"/>
      <c r="AL511" s="780"/>
      <c r="AM511" s="780"/>
      <c r="AN511" s="780"/>
      <c r="AO511" s="780"/>
      <c r="AP511" s="780"/>
      <c r="AQ511" s="780"/>
      <c r="AR511" s="780"/>
      <c r="AS511" s="780"/>
      <c r="AT511" s="780"/>
      <c r="AU511" s="780"/>
      <c r="AV511" s="780"/>
      <c r="AW511" s="780"/>
    </row>
    <row r="512">
      <c r="A512" s="941"/>
      <c r="B512" s="941"/>
      <c r="C512" s="995"/>
      <c r="D512" s="995"/>
      <c r="E512" s="995"/>
      <c r="F512" s="946"/>
      <c r="G512" s="946"/>
      <c r="H512" s="946"/>
      <c r="I512" s="947">
        <v>0.00138428</v>
      </c>
      <c r="J512" s="948">
        <v>0.035</v>
      </c>
      <c r="K512" s="949">
        <f t="shared" si="22"/>
        <v>0</v>
      </c>
      <c r="L512" s="950">
        <f t="shared" si="23"/>
        <v>0</v>
      </c>
      <c r="M512" s="948">
        <v>0.0215</v>
      </c>
      <c r="N512" s="951">
        <f t="shared" si="24"/>
        <v>0.00141404202</v>
      </c>
      <c r="O512" s="949">
        <f t="shared" si="25"/>
        <v>15</v>
      </c>
      <c r="P512" s="949">
        <f t="shared" si="77"/>
        <v>0.0215</v>
      </c>
      <c r="Q512" s="952">
        <f t="shared" si="79"/>
        <v>0</v>
      </c>
      <c r="R512" s="952">
        <f t="shared" si="78"/>
        <v>0</v>
      </c>
      <c r="S512" s="953"/>
      <c r="T512" s="949">
        <v>0.06</v>
      </c>
      <c r="U512" s="954"/>
      <c r="V512" s="949"/>
      <c r="W512" s="953"/>
      <c r="X512" s="949">
        <f t="shared" si="7"/>
        <v>0</v>
      </c>
      <c r="Y512" s="955"/>
      <c r="Z512" s="953" t="str">
        <f t="shared" si="8"/>
        <v/>
      </c>
      <c r="AA512" s="949">
        <f t="shared" si="9"/>
        <v>0</v>
      </c>
      <c r="AB512" s="955"/>
      <c r="AC512" s="949" t="str">
        <f t="shared" si="10"/>
        <v/>
      </c>
      <c r="AD512" s="953">
        <f t="shared" si="11"/>
        <v>0</v>
      </c>
      <c r="AE512" s="956"/>
      <c r="AF512" s="889"/>
      <c r="AG512" s="810" t="b">
        <v>0</v>
      </c>
      <c r="AH512" s="780"/>
      <c r="AI512" s="780"/>
      <c r="AJ512" s="780"/>
      <c r="AK512" s="780"/>
      <c r="AL512" s="780"/>
      <c r="AM512" s="780"/>
      <c r="AN512" s="780"/>
      <c r="AO512" s="780"/>
      <c r="AP512" s="780"/>
      <c r="AQ512" s="780"/>
      <c r="AR512" s="780"/>
      <c r="AS512" s="780"/>
      <c r="AT512" s="780"/>
      <c r="AU512" s="780"/>
      <c r="AV512" s="780"/>
      <c r="AW512" s="780"/>
    </row>
    <row r="513">
      <c r="A513" s="941"/>
      <c r="B513" s="941"/>
      <c r="C513" s="995"/>
      <c r="D513" s="944"/>
      <c r="E513" s="944"/>
      <c r="F513" s="946"/>
      <c r="G513" s="946"/>
      <c r="H513" s="946"/>
      <c r="I513" s="947">
        <v>0.00138428</v>
      </c>
      <c r="J513" s="948">
        <v>0.035</v>
      </c>
      <c r="K513" s="949">
        <f t="shared" si="22"/>
        <v>0</v>
      </c>
      <c r="L513" s="950">
        <f t="shared" si="23"/>
        <v>0</v>
      </c>
      <c r="M513" s="948">
        <v>0.0215</v>
      </c>
      <c r="N513" s="951">
        <f t="shared" si="24"/>
        <v>0.00141404202</v>
      </c>
      <c r="O513" s="949">
        <f t="shared" si="25"/>
        <v>15</v>
      </c>
      <c r="P513" s="949">
        <f t="shared" si="77"/>
        <v>0.0215</v>
      </c>
      <c r="Q513" s="952">
        <f t="shared" si="79"/>
        <v>0</v>
      </c>
      <c r="R513" s="952">
        <f t="shared" si="78"/>
        <v>0</v>
      </c>
      <c r="S513" s="953"/>
      <c r="T513" s="949">
        <v>0.06</v>
      </c>
      <c r="U513" s="954"/>
      <c r="V513" s="949"/>
      <c r="W513" s="953"/>
      <c r="X513" s="949">
        <f t="shared" si="7"/>
        <v>0</v>
      </c>
      <c r="Y513" s="955"/>
      <c r="Z513" s="953" t="str">
        <f t="shared" si="8"/>
        <v/>
      </c>
      <c r="AA513" s="949">
        <f t="shared" si="9"/>
        <v>0</v>
      </c>
      <c r="AB513" s="955"/>
      <c r="AC513" s="949" t="str">
        <f t="shared" si="10"/>
        <v/>
      </c>
      <c r="AD513" s="953">
        <f t="shared" si="11"/>
        <v>0</v>
      </c>
      <c r="AE513" s="956"/>
      <c r="AF513" s="889"/>
      <c r="AG513" s="810" t="b">
        <v>0</v>
      </c>
      <c r="AH513" s="780"/>
      <c r="AI513" s="780"/>
      <c r="AJ513" s="780"/>
      <c r="AK513" s="780"/>
      <c r="AL513" s="780"/>
      <c r="AM513" s="780"/>
      <c r="AN513" s="780"/>
      <c r="AO513" s="780"/>
      <c r="AP513" s="780"/>
      <c r="AQ513" s="780"/>
      <c r="AR513" s="780"/>
      <c r="AS513" s="780"/>
      <c r="AT513" s="780"/>
      <c r="AU513" s="780"/>
      <c r="AV513" s="780"/>
      <c r="AW513" s="780"/>
    </row>
    <row r="514">
      <c r="A514" s="941"/>
      <c r="B514" s="941"/>
      <c r="C514" s="995"/>
      <c r="D514" s="995"/>
      <c r="E514" s="995"/>
      <c r="F514" s="946"/>
      <c r="G514" s="946"/>
      <c r="H514" s="946"/>
      <c r="I514" s="947">
        <v>0.00138428</v>
      </c>
      <c r="J514" s="948">
        <v>0.035</v>
      </c>
      <c r="K514" s="949">
        <f t="shared" si="22"/>
        <v>0</v>
      </c>
      <c r="L514" s="950">
        <f t="shared" si="23"/>
        <v>0</v>
      </c>
      <c r="M514" s="948">
        <v>0.0215</v>
      </c>
      <c r="N514" s="951">
        <f t="shared" si="24"/>
        <v>0.00141404202</v>
      </c>
      <c r="O514" s="949">
        <f t="shared" si="25"/>
        <v>15</v>
      </c>
      <c r="P514" s="949">
        <f t="shared" si="77"/>
        <v>0.0215</v>
      </c>
      <c r="Q514" s="952">
        <f t="shared" si="79"/>
        <v>0</v>
      </c>
      <c r="R514" s="952">
        <f t="shared" si="78"/>
        <v>0</v>
      </c>
      <c r="S514" s="953"/>
      <c r="T514" s="949">
        <v>0.06</v>
      </c>
      <c r="U514" s="954"/>
      <c r="V514" s="949"/>
      <c r="W514" s="953"/>
      <c r="X514" s="949">
        <f t="shared" si="7"/>
        <v>0</v>
      </c>
      <c r="Y514" s="955"/>
      <c r="Z514" s="953" t="str">
        <f t="shared" si="8"/>
        <v/>
      </c>
      <c r="AA514" s="949">
        <f t="shared" si="9"/>
        <v>0</v>
      </c>
      <c r="AB514" s="955"/>
      <c r="AC514" s="949" t="str">
        <f t="shared" si="10"/>
        <v/>
      </c>
      <c r="AD514" s="953">
        <f t="shared" si="11"/>
        <v>0</v>
      </c>
      <c r="AE514" s="956"/>
      <c r="AF514" s="889"/>
      <c r="AG514" s="810" t="b">
        <v>0</v>
      </c>
      <c r="AH514" s="780"/>
      <c r="AI514" s="780"/>
      <c r="AJ514" s="780"/>
      <c r="AK514" s="780"/>
      <c r="AL514" s="780"/>
      <c r="AM514" s="780"/>
      <c r="AN514" s="780"/>
      <c r="AO514" s="780"/>
      <c r="AP514" s="780"/>
      <c r="AQ514" s="780"/>
      <c r="AR514" s="780"/>
      <c r="AS514" s="780"/>
      <c r="AT514" s="780"/>
      <c r="AU514" s="780"/>
      <c r="AV514" s="780"/>
      <c r="AW514" s="780"/>
    </row>
    <row r="515">
      <c r="A515" s="941"/>
      <c r="B515" s="941"/>
      <c r="C515" s="995"/>
      <c r="D515" s="944"/>
      <c r="E515" s="944"/>
      <c r="F515" s="946"/>
      <c r="G515" s="946"/>
      <c r="H515" s="946"/>
      <c r="I515" s="947">
        <v>0.00138428</v>
      </c>
      <c r="J515" s="948">
        <v>0.035</v>
      </c>
      <c r="K515" s="949">
        <f t="shared" si="22"/>
        <v>0</v>
      </c>
      <c r="L515" s="950">
        <f t="shared" si="23"/>
        <v>0</v>
      </c>
      <c r="M515" s="948">
        <v>0.0215</v>
      </c>
      <c r="N515" s="951">
        <f t="shared" si="24"/>
        <v>0.00141404202</v>
      </c>
      <c r="O515" s="949">
        <f t="shared" si="25"/>
        <v>15</v>
      </c>
      <c r="P515" s="949">
        <f t="shared" si="77"/>
        <v>0.0215</v>
      </c>
      <c r="Q515" s="952">
        <f t="shared" si="79"/>
        <v>0</v>
      </c>
      <c r="R515" s="952">
        <f t="shared" si="78"/>
        <v>0</v>
      </c>
      <c r="S515" s="953"/>
      <c r="T515" s="949">
        <v>0.06</v>
      </c>
      <c r="U515" s="954"/>
      <c r="V515" s="949"/>
      <c r="W515" s="953"/>
      <c r="X515" s="949">
        <f t="shared" si="7"/>
        <v>0</v>
      </c>
      <c r="Y515" s="955"/>
      <c r="Z515" s="953" t="str">
        <f t="shared" si="8"/>
        <v/>
      </c>
      <c r="AA515" s="949">
        <f t="shared" si="9"/>
        <v>0</v>
      </c>
      <c r="AB515" s="955"/>
      <c r="AC515" s="949" t="str">
        <f t="shared" si="10"/>
        <v/>
      </c>
      <c r="AD515" s="953">
        <f t="shared" si="11"/>
        <v>0</v>
      </c>
      <c r="AE515" s="956"/>
      <c r="AF515" s="889"/>
      <c r="AG515" s="810" t="b">
        <v>0</v>
      </c>
      <c r="AH515" s="780"/>
      <c r="AI515" s="780"/>
      <c r="AJ515" s="780"/>
      <c r="AK515" s="780"/>
      <c r="AL515" s="780"/>
      <c r="AM515" s="780"/>
      <c r="AN515" s="780"/>
      <c r="AO515" s="780"/>
      <c r="AP515" s="780"/>
      <c r="AQ515" s="780"/>
      <c r="AR515" s="780"/>
      <c r="AS515" s="780"/>
      <c r="AT515" s="780"/>
      <c r="AU515" s="780"/>
      <c r="AV515" s="780"/>
      <c r="AW515" s="780"/>
    </row>
    <row r="516">
      <c r="A516" s="941"/>
      <c r="B516" s="941"/>
      <c r="C516" s="995"/>
      <c r="D516" s="995"/>
      <c r="E516" s="995"/>
      <c r="F516" s="946"/>
      <c r="G516" s="946"/>
      <c r="H516" s="946"/>
      <c r="I516" s="947">
        <v>0.00138428</v>
      </c>
      <c r="J516" s="948">
        <v>0.035</v>
      </c>
      <c r="K516" s="949">
        <f t="shared" si="22"/>
        <v>0</v>
      </c>
      <c r="L516" s="950">
        <f t="shared" si="23"/>
        <v>0</v>
      </c>
      <c r="M516" s="948">
        <v>0.0215</v>
      </c>
      <c r="N516" s="951">
        <f t="shared" si="24"/>
        <v>0.00141404202</v>
      </c>
      <c r="O516" s="949">
        <f t="shared" si="25"/>
        <v>15</v>
      </c>
      <c r="P516" s="949">
        <f t="shared" si="77"/>
        <v>0.0215</v>
      </c>
      <c r="Q516" s="952">
        <f t="shared" si="79"/>
        <v>0</v>
      </c>
      <c r="R516" s="952">
        <f t="shared" si="78"/>
        <v>0</v>
      </c>
      <c r="S516" s="953"/>
      <c r="T516" s="949">
        <v>0.06</v>
      </c>
      <c r="U516" s="954"/>
      <c r="V516" s="949"/>
      <c r="W516" s="953"/>
      <c r="X516" s="949">
        <f t="shared" si="7"/>
        <v>0</v>
      </c>
      <c r="Y516" s="955"/>
      <c r="Z516" s="953" t="str">
        <f t="shared" si="8"/>
        <v/>
      </c>
      <c r="AA516" s="949">
        <f t="shared" si="9"/>
        <v>0</v>
      </c>
      <c r="AB516" s="955"/>
      <c r="AC516" s="949" t="str">
        <f t="shared" si="10"/>
        <v/>
      </c>
      <c r="AD516" s="953">
        <f t="shared" si="11"/>
        <v>0</v>
      </c>
      <c r="AE516" s="956"/>
      <c r="AF516" s="889"/>
      <c r="AG516" s="810" t="b">
        <v>0</v>
      </c>
      <c r="AH516" s="780"/>
      <c r="AI516" s="780"/>
      <c r="AJ516" s="780"/>
      <c r="AK516" s="780"/>
      <c r="AL516" s="780"/>
      <c r="AM516" s="780"/>
      <c r="AN516" s="780"/>
      <c r="AO516" s="780"/>
      <c r="AP516" s="780"/>
      <c r="AQ516" s="780"/>
      <c r="AR516" s="780"/>
      <c r="AS516" s="780"/>
      <c r="AT516" s="780"/>
      <c r="AU516" s="780"/>
      <c r="AV516" s="780"/>
      <c r="AW516" s="780"/>
    </row>
    <row r="517">
      <c r="A517" s="941"/>
      <c r="B517" s="941"/>
      <c r="C517" s="995"/>
      <c r="D517" s="944"/>
      <c r="E517" s="944"/>
      <c r="F517" s="946"/>
      <c r="G517" s="946"/>
      <c r="H517" s="946"/>
      <c r="I517" s="947">
        <v>0.00138428</v>
      </c>
      <c r="J517" s="948">
        <v>0.035</v>
      </c>
      <c r="K517" s="949">
        <f t="shared" si="22"/>
        <v>0</v>
      </c>
      <c r="L517" s="950">
        <f t="shared" si="23"/>
        <v>0</v>
      </c>
      <c r="M517" s="948">
        <v>0.0215</v>
      </c>
      <c r="N517" s="951">
        <f t="shared" si="24"/>
        <v>0.00141404202</v>
      </c>
      <c r="O517" s="949">
        <f t="shared" si="25"/>
        <v>15</v>
      </c>
      <c r="P517" s="949">
        <f t="shared" si="77"/>
        <v>0.0215</v>
      </c>
      <c r="Q517" s="952">
        <f t="shared" si="79"/>
        <v>0</v>
      </c>
      <c r="R517" s="952">
        <f t="shared" si="78"/>
        <v>0</v>
      </c>
      <c r="S517" s="953"/>
      <c r="T517" s="949">
        <v>0.06</v>
      </c>
      <c r="U517" s="954"/>
      <c r="V517" s="949"/>
      <c r="W517" s="953"/>
      <c r="X517" s="949">
        <f t="shared" si="7"/>
        <v>0</v>
      </c>
      <c r="Y517" s="955"/>
      <c r="Z517" s="953" t="str">
        <f t="shared" si="8"/>
        <v/>
      </c>
      <c r="AA517" s="949">
        <f t="shared" si="9"/>
        <v>0</v>
      </c>
      <c r="AB517" s="955"/>
      <c r="AC517" s="949" t="str">
        <f t="shared" si="10"/>
        <v/>
      </c>
      <c r="AD517" s="953">
        <f t="shared" si="11"/>
        <v>0</v>
      </c>
      <c r="AE517" s="956"/>
      <c r="AF517" s="889"/>
      <c r="AG517" s="810" t="b">
        <v>0</v>
      </c>
      <c r="AH517" s="780"/>
      <c r="AI517" s="780"/>
      <c r="AJ517" s="780"/>
      <c r="AK517" s="780"/>
      <c r="AL517" s="780"/>
      <c r="AM517" s="780"/>
      <c r="AN517" s="780"/>
      <c r="AO517" s="780"/>
      <c r="AP517" s="780"/>
      <c r="AQ517" s="780"/>
      <c r="AR517" s="780"/>
      <c r="AS517" s="780"/>
      <c r="AT517" s="780"/>
      <c r="AU517" s="780"/>
      <c r="AV517" s="780"/>
      <c r="AW517" s="780"/>
    </row>
    <row r="518">
      <c r="A518" s="941"/>
      <c r="B518" s="941"/>
      <c r="C518" s="995"/>
      <c r="D518" s="995"/>
      <c r="E518" s="995"/>
      <c r="F518" s="946"/>
      <c r="G518" s="946"/>
      <c r="H518" s="946"/>
      <c r="I518" s="947">
        <v>0.00138428</v>
      </c>
      <c r="J518" s="948">
        <v>0.035</v>
      </c>
      <c r="K518" s="949">
        <f t="shared" si="22"/>
        <v>0</v>
      </c>
      <c r="L518" s="950">
        <f t="shared" si="23"/>
        <v>0</v>
      </c>
      <c r="M518" s="948">
        <v>0.0215</v>
      </c>
      <c r="N518" s="951">
        <f t="shared" si="24"/>
        <v>0.00141404202</v>
      </c>
      <c r="O518" s="949">
        <f t="shared" si="25"/>
        <v>15</v>
      </c>
      <c r="P518" s="949">
        <f t="shared" si="77"/>
        <v>0.0215</v>
      </c>
      <c r="Q518" s="952">
        <f t="shared" si="79"/>
        <v>0</v>
      </c>
      <c r="R518" s="952">
        <f t="shared" si="78"/>
        <v>0</v>
      </c>
      <c r="S518" s="953"/>
      <c r="T518" s="949">
        <v>0.06</v>
      </c>
      <c r="U518" s="954"/>
      <c r="V518" s="949"/>
      <c r="W518" s="953"/>
      <c r="X518" s="949">
        <f t="shared" si="7"/>
        <v>0</v>
      </c>
      <c r="Y518" s="955"/>
      <c r="Z518" s="953" t="str">
        <f t="shared" si="8"/>
        <v/>
      </c>
      <c r="AA518" s="949">
        <f t="shared" si="9"/>
        <v>0</v>
      </c>
      <c r="AB518" s="955"/>
      <c r="AC518" s="949" t="str">
        <f t="shared" si="10"/>
        <v/>
      </c>
      <c r="AD518" s="953">
        <f t="shared" si="11"/>
        <v>0</v>
      </c>
      <c r="AE518" s="956"/>
      <c r="AF518" s="889"/>
      <c r="AG518" s="810" t="b">
        <v>0</v>
      </c>
      <c r="AH518" s="780"/>
      <c r="AI518" s="780"/>
      <c r="AJ518" s="780"/>
      <c r="AK518" s="780"/>
      <c r="AL518" s="780"/>
      <c r="AM518" s="780"/>
      <c r="AN518" s="780"/>
      <c r="AO518" s="780"/>
      <c r="AP518" s="780"/>
      <c r="AQ518" s="780"/>
      <c r="AR518" s="780"/>
      <c r="AS518" s="780"/>
      <c r="AT518" s="780"/>
      <c r="AU518" s="780"/>
      <c r="AV518" s="780"/>
      <c r="AW518" s="780"/>
    </row>
    <row r="519">
      <c r="A519" s="941"/>
      <c r="B519" s="941"/>
      <c r="C519" s="995"/>
      <c r="D519" s="944"/>
      <c r="E519" s="944"/>
      <c r="F519" s="946"/>
      <c r="G519" s="946"/>
      <c r="H519" s="946"/>
      <c r="I519" s="947">
        <v>0.00138428</v>
      </c>
      <c r="J519" s="948">
        <v>0.035</v>
      </c>
      <c r="K519" s="949">
        <f t="shared" si="22"/>
        <v>0</v>
      </c>
      <c r="L519" s="950">
        <f t="shared" si="23"/>
        <v>0</v>
      </c>
      <c r="M519" s="948">
        <v>0.0215</v>
      </c>
      <c r="N519" s="951">
        <f t="shared" si="24"/>
        <v>0.00141404202</v>
      </c>
      <c r="O519" s="949">
        <f t="shared" si="25"/>
        <v>15</v>
      </c>
      <c r="P519" s="949">
        <f t="shared" si="77"/>
        <v>0.0215</v>
      </c>
      <c r="Q519" s="952">
        <f t="shared" si="79"/>
        <v>0</v>
      </c>
      <c r="R519" s="952">
        <f t="shared" si="78"/>
        <v>0</v>
      </c>
      <c r="S519" s="953"/>
      <c r="T519" s="949">
        <v>0.06</v>
      </c>
      <c r="U519" s="954"/>
      <c r="V519" s="949"/>
      <c r="W519" s="953"/>
      <c r="X519" s="949">
        <f t="shared" si="7"/>
        <v>0</v>
      </c>
      <c r="Y519" s="955"/>
      <c r="Z519" s="953" t="str">
        <f t="shared" si="8"/>
        <v/>
      </c>
      <c r="AA519" s="949">
        <f t="shared" si="9"/>
        <v>0</v>
      </c>
      <c r="AB519" s="955"/>
      <c r="AC519" s="949" t="str">
        <f t="shared" si="10"/>
        <v/>
      </c>
      <c r="AD519" s="953">
        <f t="shared" si="11"/>
        <v>0</v>
      </c>
      <c r="AE519" s="956"/>
      <c r="AF519" s="889"/>
      <c r="AG519" s="810" t="b">
        <v>0</v>
      </c>
      <c r="AH519" s="780"/>
      <c r="AI519" s="780"/>
      <c r="AJ519" s="780"/>
      <c r="AK519" s="780"/>
      <c r="AL519" s="780"/>
      <c r="AM519" s="780"/>
      <c r="AN519" s="780"/>
      <c r="AO519" s="780"/>
      <c r="AP519" s="780"/>
      <c r="AQ519" s="780"/>
      <c r="AR519" s="780"/>
      <c r="AS519" s="780"/>
      <c r="AT519" s="780"/>
      <c r="AU519" s="780"/>
      <c r="AV519" s="780"/>
      <c r="AW519" s="780"/>
    </row>
    <row r="520">
      <c r="A520" s="941"/>
      <c r="B520" s="941"/>
      <c r="C520" s="995"/>
      <c r="D520" s="995"/>
      <c r="E520" s="995"/>
      <c r="F520" s="946"/>
      <c r="G520" s="946"/>
      <c r="H520" s="946"/>
      <c r="I520" s="947">
        <v>0.00138428</v>
      </c>
      <c r="J520" s="948">
        <v>0.035</v>
      </c>
      <c r="K520" s="949">
        <f t="shared" si="22"/>
        <v>0</v>
      </c>
      <c r="L520" s="950">
        <f t="shared" si="23"/>
        <v>0</v>
      </c>
      <c r="M520" s="948">
        <v>0.0215</v>
      </c>
      <c r="N520" s="951">
        <f t="shared" si="24"/>
        <v>0.00141404202</v>
      </c>
      <c r="O520" s="949">
        <f t="shared" si="25"/>
        <v>15</v>
      </c>
      <c r="P520" s="949">
        <f t="shared" si="77"/>
        <v>0.0215</v>
      </c>
      <c r="Q520" s="952">
        <f t="shared" si="79"/>
        <v>0</v>
      </c>
      <c r="R520" s="952">
        <f t="shared" si="78"/>
        <v>0</v>
      </c>
      <c r="S520" s="953"/>
      <c r="T520" s="949">
        <v>0.06</v>
      </c>
      <c r="U520" s="954"/>
      <c r="V520" s="949"/>
      <c r="W520" s="953"/>
      <c r="X520" s="949">
        <f t="shared" si="7"/>
        <v>0</v>
      </c>
      <c r="Y520" s="955"/>
      <c r="Z520" s="953" t="str">
        <f t="shared" si="8"/>
        <v/>
      </c>
      <c r="AA520" s="949">
        <f t="shared" si="9"/>
        <v>0</v>
      </c>
      <c r="AB520" s="955"/>
      <c r="AC520" s="949" t="str">
        <f t="shared" si="10"/>
        <v/>
      </c>
      <c r="AD520" s="953">
        <f t="shared" si="11"/>
        <v>0</v>
      </c>
      <c r="AE520" s="956"/>
      <c r="AF520" s="889"/>
      <c r="AG520" s="810" t="b">
        <v>0</v>
      </c>
      <c r="AH520" s="780"/>
      <c r="AI520" s="780"/>
      <c r="AJ520" s="780"/>
      <c r="AK520" s="780"/>
      <c r="AL520" s="780"/>
      <c r="AM520" s="780"/>
      <c r="AN520" s="780"/>
      <c r="AO520" s="780"/>
      <c r="AP520" s="780"/>
      <c r="AQ520" s="780"/>
      <c r="AR520" s="780"/>
      <c r="AS520" s="780"/>
      <c r="AT520" s="780"/>
      <c r="AU520" s="780"/>
      <c r="AV520" s="780"/>
      <c r="AW520" s="780"/>
    </row>
    <row r="521">
      <c r="A521" s="941"/>
      <c r="B521" s="941"/>
      <c r="C521" s="995"/>
      <c r="D521" s="944"/>
      <c r="E521" s="944"/>
      <c r="F521" s="946"/>
      <c r="G521" s="946"/>
      <c r="H521" s="946"/>
      <c r="I521" s="947">
        <v>0.00138428</v>
      </c>
      <c r="J521" s="948">
        <v>0.035</v>
      </c>
      <c r="K521" s="949">
        <f t="shared" si="22"/>
        <v>0</v>
      </c>
      <c r="L521" s="950">
        <f t="shared" si="23"/>
        <v>0</v>
      </c>
      <c r="M521" s="948">
        <v>0.0215</v>
      </c>
      <c r="N521" s="951">
        <f t="shared" si="24"/>
        <v>0.00141404202</v>
      </c>
      <c r="O521" s="949">
        <f t="shared" si="25"/>
        <v>15</v>
      </c>
      <c r="P521" s="949">
        <f t="shared" si="77"/>
        <v>0.0215</v>
      </c>
      <c r="Q521" s="952">
        <f t="shared" si="79"/>
        <v>0</v>
      </c>
      <c r="R521" s="952">
        <f t="shared" si="78"/>
        <v>0</v>
      </c>
      <c r="S521" s="953"/>
      <c r="T521" s="949">
        <v>0.06</v>
      </c>
      <c r="U521" s="954"/>
      <c r="V521" s="949"/>
      <c r="W521" s="953"/>
      <c r="X521" s="949">
        <f t="shared" si="7"/>
        <v>0</v>
      </c>
      <c r="Y521" s="955"/>
      <c r="Z521" s="953" t="str">
        <f t="shared" si="8"/>
        <v/>
      </c>
      <c r="AA521" s="949">
        <f t="shared" si="9"/>
        <v>0</v>
      </c>
      <c r="AB521" s="955"/>
      <c r="AC521" s="949" t="str">
        <f t="shared" si="10"/>
        <v/>
      </c>
      <c r="AD521" s="953">
        <f t="shared" si="11"/>
        <v>0</v>
      </c>
      <c r="AE521" s="956"/>
      <c r="AF521" s="889"/>
      <c r="AG521" s="810" t="b">
        <v>0</v>
      </c>
      <c r="AH521" s="780"/>
      <c r="AI521" s="780"/>
      <c r="AJ521" s="780"/>
      <c r="AK521" s="780"/>
      <c r="AL521" s="780"/>
      <c r="AM521" s="780"/>
      <c r="AN521" s="780"/>
      <c r="AO521" s="780"/>
      <c r="AP521" s="780"/>
      <c r="AQ521" s="780"/>
      <c r="AR521" s="780"/>
      <c r="AS521" s="780"/>
      <c r="AT521" s="780"/>
      <c r="AU521" s="780"/>
      <c r="AV521" s="780"/>
      <c r="AW521" s="780"/>
    </row>
    <row r="522">
      <c r="A522" s="941"/>
      <c r="B522" s="941"/>
      <c r="C522" s="995"/>
      <c r="D522" s="995"/>
      <c r="E522" s="995"/>
      <c r="F522" s="946"/>
      <c r="G522" s="946"/>
      <c r="H522" s="946"/>
      <c r="I522" s="947">
        <v>0.00138428</v>
      </c>
      <c r="J522" s="948">
        <v>0.035</v>
      </c>
      <c r="K522" s="949">
        <f t="shared" si="22"/>
        <v>0</v>
      </c>
      <c r="L522" s="950">
        <f t="shared" si="23"/>
        <v>0</v>
      </c>
      <c r="M522" s="948">
        <v>0.0215</v>
      </c>
      <c r="N522" s="951">
        <f t="shared" si="24"/>
        <v>0.00141404202</v>
      </c>
      <c r="O522" s="949">
        <f t="shared" si="25"/>
        <v>15</v>
      </c>
      <c r="P522" s="949">
        <f t="shared" si="77"/>
        <v>0.0215</v>
      </c>
      <c r="Q522" s="952">
        <f t="shared" si="79"/>
        <v>0</v>
      </c>
      <c r="R522" s="952">
        <f t="shared" si="78"/>
        <v>0</v>
      </c>
      <c r="S522" s="953"/>
      <c r="T522" s="949">
        <v>0.06</v>
      </c>
      <c r="U522" s="954"/>
      <c r="V522" s="949"/>
      <c r="W522" s="953"/>
      <c r="X522" s="949">
        <f t="shared" si="7"/>
        <v>0</v>
      </c>
      <c r="Y522" s="955"/>
      <c r="Z522" s="953" t="str">
        <f t="shared" si="8"/>
        <v/>
      </c>
      <c r="AA522" s="949">
        <f t="shared" si="9"/>
        <v>0</v>
      </c>
      <c r="AB522" s="955"/>
      <c r="AC522" s="949" t="str">
        <f t="shared" si="10"/>
        <v/>
      </c>
      <c r="AD522" s="953">
        <f t="shared" si="11"/>
        <v>0</v>
      </c>
      <c r="AE522" s="956"/>
      <c r="AF522" s="889"/>
      <c r="AG522" s="810" t="b">
        <v>0</v>
      </c>
      <c r="AH522" s="780"/>
      <c r="AI522" s="780"/>
      <c r="AJ522" s="780"/>
      <c r="AK522" s="780"/>
      <c r="AL522" s="780"/>
      <c r="AM522" s="780"/>
      <c r="AN522" s="780"/>
      <c r="AO522" s="780"/>
      <c r="AP522" s="780"/>
      <c r="AQ522" s="780"/>
      <c r="AR522" s="780"/>
      <c r="AS522" s="780"/>
      <c r="AT522" s="780"/>
      <c r="AU522" s="780"/>
      <c r="AV522" s="780"/>
      <c r="AW522" s="780"/>
    </row>
    <row r="523">
      <c r="A523" s="941"/>
      <c r="B523" s="941"/>
      <c r="C523" s="995"/>
      <c r="D523" s="944"/>
      <c r="E523" s="944"/>
      <c r="F523" s="946"/>
      <c r="G523" s="946"/>
      <c r="H523" s="946"/>
      <c r="I523" s="947">
        <v>0.00138428</v>
      </c>
      <c r="J523" s="948">
        <v>0.035</v>
      </c>
      <c r="K523" s="949">
        <f t="shared" si="22"/>
        <v>0</v>
      </c>
      <c r="L523" s="950">
        <f t="shared" si="23"/>
        <v>0</v>
      </c>
      <c r="M523" s="948">
        <v>0.0215</v>
      </c>
      <c r="N523" s="951">
        <f t="shared" si="24"/>
        <v>0.00141404202</v>
      </c>
      <c r="O523" s="949">
        <f t="shared" si="25"/>
        <v>15</v>
      </c>
      <c r="P523" s="949">
        <f t="shared" si="77"/>
        <v>0.0215</v>
      </c>
      <c r="Q523" s="952">
        <f t="shared" si="79"/>
        <v>0</v>
      </c>
      <c r="R523" s="952">
        <f t="shared" si="78"/>
        <v>0</v>
      </c>
      <c r="S523" s="953"/>
      <c r="T523" s="949">
        <v>0.06</v>
      </c>
      <c r="U523" s="954"/>
      <c r="V523" s="949"/>
      <c r="W523" s="953"/>
      <c r="X523" s="949">
        <f t="shared" si="7"/>
        <v>0</v>
      </c>
      <c r="Y523" s="955"/>
      <c r="Z523" s="953" t="str">
        <f t="shared" si="8"/>
        <v/>
      </c>
      <c r="AA523" s="949">
        <f t="shared" si="9"/>
        <v>0</v>
      </c>
      <c r="AB523" s="955"/>
      <c r="AC523" s="949" t="str">
        <f t="shared" si="10"/>
        <v/>
      </c>
      <c r="AD523" s="953">
        <f t="shared" si="11"/>
        <v>0</v>
      </c>
      <c r="AE523" s="956"/>
      <c r="AF523" s="889"/>
      <c r="AG523" s="810" t="b">
        <v>0</v>
      </c>
      <c r="AH523" s="780"/>
      <c r="AI523" s="780"/>
      <c r="AJ523" s="780"/>
      <c r="AK523" s="780"/>
      <c r="AL523" s="780"/>
      <c r="AM523" s="780"/>
      <c r="AN523" s="780"/>
      <c r="AO523" s="780"/>
      <c r="AP523" s="780"/>
      <c r="AQ523" s="780"/>
      <c r="AR523" s="780"/>
      <c r="AS523" s="780"/>
      <c r="AT523" s="780"/>
      <c r="AU523" s="780"/>
      <c r="AV523" s="780"/>
      <c r="AW523" s="780"/>
    </row>
    <row r="524">
      <c r="A524" s="941"/>
      <c r="B524" s="941"/>
      <c r="C524" s="995"/>
      <c r="D524" s="995"/>
      <c r="E524" s="995"/>
      <c r="F524" s="946"/>
      <c r="G524" s="946"/>
      <c r="H524" s="946"/>
      <c r="I524" s="947">
        <v>0.00138428</v>
      </c>
      <c r="J524" s="948">
        <v>0.035</v>
      </c>
      <c r="K524" s="949">
        <f t="shared" si="22"/>
        <v>0</v>
      </c>
      <c r="L524" s="950">
        <f t="shared" si="23"/>
        <v>0</v>
      </c>
      <c r="M524" s="948">
        <v>0.0215</v>
      </c>
      <c r="N524" s="951">
        <f t="shared" si="24"/>
        <v>0.00141404202</v>
      </c>
      <c r="O524" s="949">
        <f t="shared" si="25"/>
        <v>15</v>
      </c>
      <c r="P524" s="949">
        <f t="shared" si="77"/>
        <v>0.0215</v>
      </c>
      <c r="Q524" s="952">
        <f t="shared" si="79"/>
        <v>0</v>
      </c>
      <c r="R524" s="952">
        <f t="shared" si="78"/>
        <v>0</v>
      </c>
      <c r="S524" s="953"/>
      <c r="T524" s="949">
        <v>0.06</v>
      </c>
      <c r="U524" s="954"/>
      <c r="V524" s="949"/>
      <c r="W524" s="953"/>
      <c r="X524" s="949">
        <f t="shared" si="7"/>
        <v>0</v>
      </c>
      <c r="Y524" s="955"/>
      <c r="Z524" s="953" t="str">
        <f t="shared" si="8"/>
        <v/>
      </c>
      <c r="AA524" s="949">
        <f t="shared" si="9"/>
        <v>0</v>
      </c>
      <c r="AB524" s="955"/>
      <c r="AC524" s="949" t="str">
        <f t="shared" si="10"/>
        <v/>
      </c>
      <c r="AD524" s="953">
        <f t="shared" si="11"/>
        <v>0</v>
      </c>
      <c r="AE524" s="956"/>
      <c r="AF524" s="889"/>
      <c r="AG524" s="810" t="b">
        <v>0</v>
      </c>
      <c r="AH524" s="780"/>
      <c r="AI524" s="780"/>
      <c r="AJ524" s="780"/>
      <c r="AK524" s="780"/>
      <c r="AL524" s="780"/>
      <c r="AM524" s="780"/>
      <c r="AN524" s="780"/>
      <c r="AO524" s="780"/>
      <c r="AP524" s="780"/>
      <c r="AQ524" s="780"/>
      <c r="AR524" s="780"/>
      <c r="AS524" s="780"/>
      <c r="AT524" s="780"/>
      <c r="AU524" s="780"/>
      <c r="AV524" s="780"/>
      <c r="AW524" s="780"/>
    </row>
    <row r="525">
      <c r="A525" s="941"/>
      <c r="B525" s="941"/>
      <c r="C525" s="995"/>
      <c r="D525" s="944"/>
      <c r="E525" s="944"/>
      <c r="F525" s="946"/>
      <c r="G525" s="946"/>
      <c r="H525" s="946"/>
      <c r="I525" s="947">
        <v>0.00138428</v>
      </c>
      <c r="J525" s="948">
        <v>0.035</v>
      </c>
      <c r="K525" s="949">
        <f t="shared" si="22"/>
        <v>0</v>
      </c>
      <c r="L525" s="950">
        <f t="shared" si="23"/>
        <v>0</v>
      </c>
      <c r="M525" s="948">
        <v>0.0215</v>
      </c>
      <c r="N525" s="951">
        <f t="shared" si="24"/>
        <v>0.00141404202</v>
      </c>
      <c r="O525" s="949">
        <f t="shared" si="25"/>
        <v>15</v>
      </c>
      <c r="P525" s="949">
        <f t="shared" si="77"/>
        <v>0.0215</v>
      </c>
      <c r="Q525" s="952">
        <f t="shared" si="79"/>
        <v>0</v>
      </c>
      <c r="R525" s="952">
        <f t="shared" si="78"/>
        <v>0</v>
      </c>
      <c r="S525" s="953"/>
      <c r="T525" s="949">
        <v>0.06</v>
      </c>
      <c r="U525" s="954"/>
      <c r="V525" s="949"/>
      <c r="W525" s="953"/>
      <c r="X525" s="949">
        <f t="shared" si="7"/>
        <v>0</v>
      </c>
      <c r="Y525" s="955"/>
      <c r="Z525" s="953" t="str">
        <f t="shared" si="8"/>
        <v/>
      </c>
      <c r="AA525" s="949">
        <f t="shared" si="9"/>
        <v>0</v>
      </c>
      <c r="AB525" s="955"/>
      <c r="AC525" s="949" t="str">
        <f t="shared" si="10"/>
        <v/>
      </c>
      <c r="AD525" s="953">
        <f t="shared" si="11"/>
        <v>0</v>
      </c>
      <c r="AE525" s="956"/>
      <c r="AF525" s="889"/>
      <c r="AG525" s="810" t="b">
        <v>0</v>
      </c>
      <c r="AH525" s="780"/>
      <c r="AI525" s="780"/>
      <c r="AJ525" s="780"/>
      <c r="AK525" s="780"/>
      <c r="AL525" s="780"/>
      <c r="AM525" s="780"/>
      <c r="AN525" s="780"/>
      <c r="AO525" s="780"/>
      <c r="AP525" s="780"/>
      <c r="AQ525" s="780"/>
      <c r="AR525" s="780"/>
      <c r="AS525" s="780"/>
      <c r="AT525" s="780"/>
      <c r="AU525" s="780"/>
      <c r="AV525" s="780"/>
      <c r="AW525" s="780"/>
    </row>
    <row r="526">
      <c r="A526" s="941"/>
      <c r="B526" s="941"/>
      <c r="C526" s="995"/>
      <c r="D526" s="995"/>
      <c r="E526" s="995"/>
      <c r="F526" s="946"/>
      <c r="G526" s="946"/>
      <c r="H526" s="946"/>
      <c r="I526" s="947">
        <v>0.00138428</v>
      </c>
      <c r="J526" s="948">
        <v>0.035</v>
      </c>
      <c r="K526" s="949">
        <f t="shared" si="22"/>
        <v>0</v>
      </c>
      <c r="L526" s="950">
        <f t="shared" si="23"/>
        <v>0</v>
      </c>
      <c r="M526" s="948">
        <v>0.0215</v>
      </c>
      <c r="N526" s="951">
        <f t="shared" si="24"/>
        <v>0.00141404202</v>
      </c>
      <c r="O526" s="949">
        <f t="shared" si="25"/>
        <v>15</v>
      </c>
      <c r="P526" s="949">
        <f t="shared" si="77"/>
        <v>0.0215</v>
      </c>
      <c r="Q526" s="952">
        <f t="shared" si="79"/>
        <v>0</v>
      </c>
      <c r="R526" s="952">
        <f t="shared" si="78"/>
        <v>0</v>
      </c>
      <c r="S526" s="953"/>
      <c r="T526" s="949">
        <v>0.06</v>
      </c>
      <c r="U526" s="954"/>
      <c r="V526" s="949"/>
      <c r="W526" s="953"/>
      <c r="X526" s="949">
        <f t="shared" si="7"/>
        <v>0</v>
      </c>
      <c r="Y526" s="955"/>
      <c r="Z526" s="953" t="str">
        <f t="shared" si="8"/>
        <v/>
      </c>
      <c r="AA526" s="949">
        <f t="shared" si="9"/>
        <v>0</v>
      </c>
      <c r="AB526" s="955"/>
      <c r="AC526" s="949" t="str">
        <f t="shared" si="10"/>
        <v/>
      </c>
      <c r="AD526" s="953">
        <f t="shared" si="11"/>
        <v>0</v>
      </c>
      <c r="AE526" s="956"/>
      <c r="AF526" s="889"/>
      <c r="AG526" s="810" t="b">
        <v>0</v>
      </c>
      <c r="AH526" s="780"/>
      <c r="AI526" s="780"/>
      <c r="AJ526" s="780"/>
      <c r="AK526" s="780"/>
      <c r="AL526" s="780"/>
      <c r="AM526" s="780"/>
      <c r="AN526" s="780"/>
      <c r="AO526" s="780"/>
      <c r="AP526" s="780"/>
      <c r="AQ526" s="780"/>
      <c r="AR526" s="780"/>
      <c r="AS526" s="780"/>
      <c r="AT526" s="780"/>
      <c r="AU526" s="780"/>
      <c r="AV526" s="780"/>
      <c r="AW526" s="780"/>
    </row>
    <row r="527">
      <c r="A527" s="941"/>
      <c r="B527" s="941"/>
      <c r="C527" s="995"/>
      <c r="D527" s="944"/>
      <c r="E527" s="944"/>
      <c r="F527" s="946"/>
      <c r="G527" s="946"/>
      <c r="H527" s="946"/>
      <c r="I527" s="947">
        <v>0.00138428</v>
      </c>
      <c r="J527" s="948">
        <v>0.035</v>
      </c>
      <c r="K527" s="949">
        <f t="shared" si="22"/>
        <v>0</v>
      </c>
      <c r="L527" s="950">
        <f t="shared" si="23"/>
        <v>0</v>
      </c>
      <c r="M527" s="948">
        <v>0.0215</v>
      </c>
      <c r="N527" s="951">
        <f t="shared" si="24"/>
        <v>0.00141404202</v>
      </c>
      <c r="O527" s="949">
        <f t="shared" si="25"/>
        <v>15</v>
      </c>
      <c r="P527" s="949">
        <f t="shared" si="77"/>
        <v>0.0215</v>
      </c>
      <c r="Q527" s="952">
        <f t="shared" si="79"/>
        <v>0</v>
      </c>
      <c r="R527" s="952">
        <f t="shared" si="78"/>
        <v>0</v>
      </c>
      <c r="S527" s="953"/>
      <c r="T527" s="949">
        <v>0.06</v>
      </c>
      <c r="U527" s="954"/>
      <c r="V527" s="949"/>
      <c r="W527" s="953"/>
      <c r="X527" s="949">
        <f t="shared" si="7"/>
        <v>0</v>
      </c>
      <c r="Y527" s="955"/>
      <c r="Z527" s="953" t="str">
        <f t="shared" si="8"/>
        <v/>
      </c>
      <c r="AA527" s="949">
        <f t="shared" si="9"/>
        <v>0</v>
      </c>
      <c r="AB527" s="955"/>
      <c r="AC527" s="949" t="str">
        <f t="shared" si="10"/>
        <v/>
      </c>
      <c r="AD527" s="953">
        <f t="shared" si="11"/>
        <v>0</v>
      </c>
      <c r="AE527" s="956"/>
      <c r="AF527" s="889"/>
      <c r="AG527" s="810" t="b">
        <v>0</v>
      </c>
      <c r="AH527" s="780"/>
      <c r="AI527" s="780"/>
      <c r="AJ527" s="780"/>
      <c r="AK527" s="780"/>
      <c r="AL527" s="780"/>
      <c r="AM527" s="780"/>
      <c r="AN527" s="780"/>
      <c r="AO527" s="780"/>
      <c r="AP527" s="780"/>
      <c r="AQ527" s="780"/>
      <c r="AR527" s="780"/>
      <c r="AS527" s="780"/>
      <c r="AT527" s="780"/>
      <c r="AU527" s="780"/>
      <c r="AV527" s="780"/>
      <c r="AW527" s="780"/>
    </row>
    <row r="528">
      <c r="A528" s="941"/>
      <c r="B528" s="941"/>
      <c r="C528" s="995"/>
      <c r="D528" s="995"/>
      <c r="E528" s="995"/>
      <c r="F528" s="946"/>
      <c r="G528" s="946"/>
      <c r="H528" s="946"/>
      <c r="I528" s="947">
        <v>0.00138428</v>
      </c>
      <c r="J528" s="948">
        <v>0.035</v>
      </c>
      <c r="K528" s="949">
        <f t="shared" si="22"/>
        <v>0</v>
      </c>
      <c r="L528" s="950">
        <f t="shared" si="23"/>
        <v>0</v>
      </c>
      <c r="M528" s="948">
        <v>0.0215</v>
      </c>
      <c r="N528" s="951">
        <f t="shared" si="24"/>
        <v>0.00141404202</v>
      </c>
      <c r="O528" s="949">
        <f t="shared" si="25"/>
        <v>15</v>
      </c>
      <c r="P528" s="949">
        <f t="shared" si="77"/>
        <v>0.0215</v>
      </c>
      <c r="Q528" s="952">
        <f t="shared" si="79"/>
        <v>0</v>
      </c>
      <c r="R528" s="952">
        <f t="shared" si="78"/>
        <v>0</v>
      </c>
      <c r="S528" s="953"/>
      <c r="T528" s="949">
        <v>0.06</v>
      </c>
      <c r="U528" s="954"/>
      <c r="V528" s="949"/>
      <c r="W528" s="953"/>
      <c r="X528" s="949">
        <f t="shared" si="7"/>
        <v>0</v>
      </c>
      <c r="Y528" s="955"/>
      <c r="Z528" s="953" t="str">
        <f t="shared" si="8"/>
        <v/>
      </c>
      <c r="AA528" s="949">
        <f t="shared" si="9"/>
        <v>0</v>
      </c>
      <c r="AB528" s="955"/>
      <c r="AC528" s="949" t="str">
        <f t="shared" si="10"/>
        <v/>
      </c>
      <c r="AD528" s="953">
        <f t="shared" si="11"/>
        <v>0</v>
      </c>
      <c r="AE528" s="956"/>
      <c r="AF528" s="889"/>
      <c r="AG528" s="810" t="b">
        <v>0</v>
      </c>
      <c r="AH528" s="780"/>
      <c r="AI528" s="780"/>
      <c r="AJ528" s="780"/>
      <c r="AK528" s="780"/>
      <c r="AL528" s="780"/>
      <c r="AM528" s="780"/>
      <c r="AN528" s="780"/>
      <c r="AO528" s="780"/>
      <c r="AP528" s="780"/>
      <c r="AQ528" s="780"/>
      <c r="AR528" s="780"/>
      <c r="AS528" s="780"/>
      <c r="AT528" s="780"/>
      <c r="AU528" s="780"/>
      <c r="AV528" s="780"/>
      <c r="AW528" s="780"/>
    </row>
    <row r="529">
      <c r="A529" s="941"/>
      <c r="B529" s="941"/>
      <c r="C529" s="995"/>
      <c r="D529" s="944"/>
      <c r="E529" s="944"/>
      <c r="F529" s="946"/>
      <c r="G529" s="946"/>
      <c r="H529" s="946"/>
      <c r="I529" s="947">
        <v>0.00138428</v>
      </c>
      <c r="J529" s="948">
        <v>0.035</v>
      </c>
      <c r="K529" s="949">
        <f t="shared" si="22"/>
        <v>0</v>
      </c>
      <c r="L529" s="950">
        <f t="shared" si="23"/>
        <v>0</v>
      </c>
      <c r="M529" s="948">
        <v>0.0215</v>
      </c>
      <c r="N529" s="951">
        <f t="shared" si="24"/>
        <v>0.00141404202</v>
      </c>
      <c r="O529" s="949">
        <f t="shared" si="25"/>
        <v>15</v>
      </c>
      <c r="P529" s="949">
        <f t="shared" si="77"/>
        <v>0.0215</v>
      </c>
      <c r="Q529" s="952">
        <f t="shared" si="79"/>
        <v>0</v>
      </c>
      <c r="R529" s="952">
        <f t="shared" si="78"/>
        <v>0</v>
      </c>
      <c r="S529" s="953"/>
      <c r="T529" s="949">
        <v>0.06</v>
      </c>
      <c r="U529" s="954"/>
      <c r="V529" s="949"/>
      <c r="W529" s="953"/>
      <c r="X529" s="949">
        <f t="shared" si="7"/>
        <v>0</v>
      </c>
      <c r="Y529" s="955"/>
      <c r="Z529" s="953" t="str">
        <f t="shared" si="8"/>
        <v/>
      </c>
      <c r="AA529" s="949">
        <f t="shared" si="9"/>
        <v>0</v>
      </c>
      <c r="AB529" s="955"/>
      <c r="AC529" s="949" t="str">
        <f t="shared" si="10"/>
        <v/>
      </c>
      <c r="AD529" s="953">
        <f t="shared" si="11"/>
        <v>0</v>
      </c>
      <c r="AE529" s="956"/>
      <c r="AF529" s="889"/>
      <c r="AG529" s="810" t="b">
        <v>0</v>
      </c>
      <c r="AH529" s="780"/>
      <c r="AI529" s="780"/>
      <c r="AJ529" s="780"/>
      <c r="AK529" s="780"/>
      <c r="AL529" s="780"/>
      <c r="AM529" s="780"/>
      <c r="AN529" s="780"/>
      <c r="AO529" s="780"/>
      <c r="AP529" s="780"/>
      <c r="AQ529" s="780"/>
      <c r="AR529" s="780"/>
      <c r="AS529" s="780"/>
      <c r="AT529" s="780"/>
      <c r="AU529" s="780"/>
      <c r="AV529" s="780"/>
      <c r="AW529" s="780"/>
    </row>
    <row r="530">
      <c r="A530" s="941"/>
      <c r="B530" s="941"/>
      <c r="C530" s="995"/>
      <c r="D530" s="995"/>
      <c r="E530" s="995"/>
      <c r="F530" s="946"/>
      <c r="G530" s="946"/>
      <c r="H530" s="946"/>
      <c r="I530" s="947">
        <v>0.00138428</v>
      </c>
      <c r="J530" s="948">
        <v>0.035</v>
      </c>
      <c r="K530" s="949">
        <f t="shared" si="22"/>
        <v>0</v>
      </c>
      <c r="L530" s="950">
        <f t="shared" si="23"/>
        <v>0</v>
      </c>
      <c r="M530" s="948">
        <v>0.0215</v>
      </c>
      <c r="N530" s="951">
        <f t="shared" si="24"/>
        <v>0.00141404202</v>
      </c>
      <c r="O530" s="949">
        <f t="shared" si="25"/>
        <v>15</v>
      </c>
      <c r="P530" s="949">
        <f t="shared" si="77"/>
        <v>0.0215</v>
      </c>
      <c r="Q530" s="952">
        <f t="shared" si="79"/>
        <v>0</v>
      </c>
      <c r="R530" s="952">
        <f t="shared" si="78"/>
        <v>0</v>
      </c>
      <c r="S530" s="953"/>
      <c r="T530" s="949">
        <v>0.06</v>
      </c>
      <c r="U530" s="954"/>
      <c r="V530" s="949"/>
      <c r="W530" s="953"/>
      <c r="X530" s="949">
        <f t="shared" si="7"/>
        <v>0</v>
      </c>
      <c r="Y530" s="955"/>
      <c r="Z530" s="953" t="str">
        <f t="shared" si="8"/>
        <v/>
      </c>
      <c r="AA530" s="949">
        <f t="shared" si="9"/>
        <v>0</v>
      </c>
      <c r="AB530" s="955"/>
      <c r="AC530" s="949" t="str">
        <f t="shared" si="10"/>
        <v/>
      </c>
      <c r="AD530" s="953">
        <f t="shared" si="11"/>
        <v>0</v>
      </c>
      <c r="AE530" s="956"/>
      <c r="AF530" s="889"/>
      <c r="AG530" s="810" t="b">
        <v>0</v>
      </c>
      <c r="AH530" s="780"/>
      <c r="AI530" s="780"/>
      <c r="AJ530" s="780"/>
      <c r="AK530" s="780"/>
      <c r="AL530" s="780"/>
      <c r="AM530" s="780"/>
      <c r="AN530" s="780"/>
      <c r="AO530" s="780"/>
      <c r="AP530" s="780"/>
      <c r="AQ530" s="780"/>
      <c r="AR530" s="780"/>
      <c r="AS530" s="780"/>
      <c r="AT530" s="780"/>
      <c r="AU530" s="780"/>
      <c r="AV530" s="780"/>
      <c r="AW530" s="780"/>
    </row>
    <row r="531">
      <c r="A531" s="941"/>
      <c r="B531" s="941"/>
      <c r="C531" s="995"/>
      <c r="D531" s="944"/>
      <c r="E531" s="944"/>
      <c r="F531" s="946"/>
      <c r="G531" s="946"/>
      <c r="H531" s="946"/>
      <c r="I531" s="947">
        <v>0.00138428</v>
      </c>
      <c r="J531" s="948">
        <v>0.035</v>
      </c>
      <c r="K531" s="949">
        <f t="shared" si="22"/>
        <v>0</v>
      </c>
      <c r="L531" s="950">
        <f t="shared" si="23"/>
        <v>0</v>
      </c>
      <c r="M531" s="948">
        <v>0.0215</v>
      </c>
      <c r="N531" s="951">
        <f t="shared" si="24"/>
        <v>0.00141404202</v>
      </c>
      <c r="O531" s="949">
        <f t="shared" si="25"/>
        <v>15</v>
      </c>
      <c r="P531" s="949">
        <f t="shared" si="77"/>
        <v>0.0215</v>
      </c>
      <c r="Q531" s="952">
        <f t="shared" si="79"/>
        <v>0</v>
      </c>
      <c r="R531" s="952">
        <f t="shared" si="78"/>
        <v>0</v>
      </c>
      <c r="S531" s="953"/>
      <c r="T531" s="949">
        <v>0.06</v>
      </c>
      <c r="U531" s="954"/>
      <c r="V531" s="949"/>
      <c r="W531" s="953"/>
      <c r="X531" s="949">
        <f t="shared" si="7"/>
        <v>0</v>
      </c>
      <c r="Y531" s="955"/>
      <c r="Z531" s="953" t="str">
        <f t="shared" si="8"/>
        <v/>
      </c>
      <c r="AA531" s="949">
        <f t="shared" si="9"/>
        <v>0</v>
      </c>
      <c r="AB531" s="955"/>
      <c r="AC531" s="949" t="str">
        <f t="shared" si="10"/>
        <v/>
      </c>
      <c r="AD531" s="953">
        <f t="shared" si="11"/>
        <v>0</v>
      </c>
      <c r="AE531" s="956"/>
      <c r="AF531" s="889"/>
      <c r="AG531" s="810" t="b">
        <v>0</v>
      </c>
      <c r="AH531" s="780"/>
      <c r="AI531" s="780"/>
      <c r="AJ531" s="780"/>
      <c r="AK531" s="780"/>
      <c r="AL531" s="780"/>
      <c r="AM531" s="780"/>
      <c r="AN531" s="780"/>
      <c r="AO531" s="780"/>
      <c r="AP531" s="780"/>
      <c r="AQ531" s="780"/>
      <c r="AR531" s="780"/>
      <c r="AS531" s="780"/>
      <c r="AT531" s="780"/>
      <c r="AU531" s="780"/>
      <c r="AV531" s="780"/>
      <c r="AW531" s="780"/>
    </row>
    <row r="532">
      <c r="A532" s="941"/>
      <c r="B532" s="941"/>
      <c r="C532" s="995"/>
      <c r="D532" s="995"/>
      <c r="E532" s="995"/>
      <c r="F532" s="946"/>
      <c r="G532" s="946"/>
      <c r="H532" s="946"/>
      <c r="I532" s="947">
        <v>0.00138428</v>
      </c>
      <c r="J532" s="948">
        <v>0.035</v>
      </c>
      <c r="K532" s="949">
        <f t="shared" si="22"/>
        <v>0</v>
      </c>
      <c r="L532" s="950">
        <f t="shared" si="23"/>
        <v>0</v>
      </c>
      <c r="M532" s="948">
        <v>0.0215</v>
      </c>
      <c r="N532" s="951">
        <f t="shared" si="24"/>
        <v>0.00141404202</v>
      </c>
      <c r="O532" s="949">
        <f t="shared" si="25"/>
        <v>15</v>
      </c>
      <c r="P532" s="949">
        <f t="shared" si="77"/>
        <v>0.0215</v>
      </c>
      <c r="Q532" s="952">
        <f t="shared" si="79"/>
        <v>0</v>
      </c>
      <c r="R532" s="952">
        <f t="shared" si="78"/>
        <v>0</v>
      </c>
      <c r="S532" s="953"/>
      <c r="T532" s="949">
        <v>0.06</v>
      </c>
      <c r="U532" s="954"/>
      <c r="V532" s="949"/>
      <c r="W532" s="953"/>
      <c r="X532" s="949">
        <f t="shared" si="7"/>
        <v>0</v>
      </c>
      <c r="Y532" s="955"/>
      <c r="Z532" s="953" t="str">
        <f t="shared" si="8"/>
        <v/>
      </c>
      <c r="AA532" s="949">
        <f t="shared" si="9"/>
        <v>0</v>
      </c>
      <c r="AB532" s="955"/>
      <c r="AC532" s="949" t="str">
        <f t="shared" si="10"/>
        <v/>
      </c>
      <c r="AD532" s="953">
        <f t="shared" si="11"/>
        <v>0</v>
      </c>
      <c r="AE532" s="956"/>
      <c r="AF532" s="889"/>
      <c r="AG532" s="810" t="b">
        <v>0</v>
      </c>
      <c r="AH532" s="780"/>
      <c r="AI532" s="780"/>
      <c r="AJ532" s="780"/>
      <c r="AK532" s="780"/>
      <c r="AL532" s="780"/>
      <c r="AM532" s="780"/>
      <c r="AN532" s="780"/>
      <c r="AO532" s="780"/>
      <c r="AP532" s="780"/>
      <c r="AQ532" s="780"/>
      <c r="AR532" s="780"/>
      <c r="AS532" s="780"/>
      <c r="AT532" s="780"/>
      <c r="AU532" s="780"/>
      <c r="AV532" s="780"/>
      <c r="AW532" s="780"/>
    </row>
    <row r="533">
      <c r="A533" s="941"/>
      <c r="B533" s="941"/>
      <c r="C533" s="995"/>
      <c r="D533" s="944"/>
      <c r="E533" s="944"/>
      <c r="F533" s="946"/>
      <c r="G533" s="946"/>
      <c r="H533" s="946"/>
      <c r="I533" s="947">
        <v>0.00138428</v>
      </c>
      <c r="J533" s="948">
        <v>0.035</v>
      </c>
      <c r="K533" s="949">
        <f t="shared" si="22"/>
        <v>0</v>
      </c>
      <c r="L533" s="950">
        <f t="shared" si="23"/>
        <v>0</v>
      </c>
      <c r="M533" s="948">
        <v>0.0215</v>
      </c>
      <c r="N533" s="951">
        <f t="shared" si="24"/>
        <v>0.00141404202</v>
      </c>
      <c r="O533" s="949">
        <f t="shared" si="25"/>
        <v>15</v>
      </c>
      <c r="P533" s="949">
        <f t="shared" si="77"/>
        <v>0.0215</v>
      </c>
      <c r="Q533" s="952">
        <f t="shared" si="79"/>
        <v>0</v>
      </c>
      <c r="R533" s="952">
        <f t="shared" si="78"/>
        <v>0</v>
      </c>
      <c r="S533" s="953"/>
      <c r="T533" s="949">
        <v>0.06</v>
      </c>
      <c r="U533" s="954"/>
      <c r="V533" s="949"/>
      <c r="W533" s="953"/>
      <c r="X533" s="949">
        <f t="shared" si="7"/>
        <v>0</v>
      </c>
      <c r="Y533" s="955"/>
      <c r="Z533" s="953" t="str">
        <f t="shared" si="8"/>
        <v/>
      </c>
      <c r="AA533" s="949">
        <f t="shared" si="9"/>
        <v>0</v>
      </c>
      <c r="AB533" s="955"/>
      <c r="AC533" s="949" t="str">
        <f t="shared" si="10"/>
        <v/>
      </c>
      <c r="AD533" s="953">
        <f t="shared" si="11"/>
        <v>0</v>
      </c>
      <c r="AE533" s="956"/>
      <c r="AF533" s="889"/>
      <c r="AG533" s="810" t="b">
        <v>0</v>
      </c>
      <c r="AH533" s="780"/>
      <c r="AI533" s="780"/>
      <c r="AJ533" s="780"/>
      <c r="AK533" s="780"/>
      <c r="AL533" s="780"/>
      <c r="AM533" s="780"/>
      <c r="AN533" s="780"/>
      <c r="AO533" s="780"/>
      <c r="AP533" s="780"/>
      <c r="AQ533" s="780"/>
      <c r="AR533" s="780"/>
      <c r="AS533" s="780"/>
      <c r="AT533" s="780"/>
      <c r="AU533" s="780"/>
      <c r="AV533" s="780"/>
      <c r="AW533" s="780"/>
    </row>
    <row r="534">
      <c r="A534" s="941"/>
      <c r="B534" s="941"/>
      <c r="C534" s="995"/>
      <c r="D534" s="995"/>
      <c r="E534" s="995"/>
      <c r="F534" s="946"/>
      <c r="G534" s="946"/>
      <c r="H534" s="946"/>
      <c r="I534" s="947">
        <v>0.00138428</v>
      </c>
      <c r="J534" s="948">
        <v>0.035</v>
      </c>
      <c r="K534" s="949">
        <f t="shared" si="22"/>
        <v>0</v>
      </c>
      <c r="L534" s="950">
        <f t="shared" si="23"/>
        <v>0</v>
      </c>
      <c r="M534" s="948">
        <v>0.0215</v>
      </c>
      <c r="N534" s="951">
        <f t="shared" si="24"/>
        <v>0.00141404202</v>
      </c>
      <c r="O534" s="949">
        <f t="shared" si="25"/>
        <v>15</v>
      </c>
      <c r="P534" s="949">
        <f t="shared" si="77"/>
        <v>0.0215</v>
      </c>
      <c r="Q534" s="952">
        <f t="shared" si="79"/>
        <v>0</v>
      </c>
      <c r="R534" s="952">
        <f t="shared" si="78"/>
        <v>0</v>
      </c>
      <c r="S534" s="953"/>
      <c r="T534" s="949">
        <v>0.06</v>
      </c>
      <c r="U534" s="954"/>
      <c r="V534" s="949"/>
      <c r="W534" s="953"/>
      <c r="X534" s="949">
        <f t="shared" si="7"/>
        <v>0</v>
      </c>
      <c r="Y534" s="955"/>
      <c r="Z534" s="953" t="str">
        <f t="shared" si="8"/>
        <v/>
      </c>
      <c r="AA534" s="949">
        <f t="shared" si="9"/>
        <v>0</v>
      </c>
      <c r="AB534" s="955"/>
      <c r="AC534" s="949" t="str">
        <f t="shared" si="10"/>
        <v/>
      </c>
      <c r="AD534" s="953">
        <f t="shared" si="11"/>
        <v>0</v>
      </c>
      <c r="AE534" s="956"/>
      <c r="AF534" s="889"/>
      <c r="AG534" s="810" t="b">
        <v>0</v>
      </c>
      <c r="AH534" s="780"/>
      <c r="AI534" s="780"/>
      <c r="AJ534" s="780"/>
      <c r="AK534" s="780"/>
      <c r="AL534" s="780"/>
      <c r="AM534" s="780"/>
      <c r="AN534" s="780"/>
      <c r="AO534" s="780"/>
      <c r="AP534" s="780"/>
      <c r="AQ534" s="780"/>
      <c r="AR534" s="780"/>
      <c r="AS534" s="780"/>
      <c r="AT534" s="780"/>
      <c r="AU534" s="780"/>
      <c r="AV534" s="780"/>
      <c r="AW534" s="780"/>
    </row>
    <row r="535">
      <c r="A535" s="941"/>
      <c r="B535" s="941"/>
      <c r="C535" s="995"/>
      <c r="D535" s="944"/>
      <c r="E535" s="944"/>
      <c r="F535" s="946"/>
      <c r="G535" s="946"/>
      <c r="H535" s="946"/>
      <c r="I535" s="947">
        <v>0.00138428</v>
      </c>
      <c r="J535" s="948">
        <v>0.035</v>
      </c>
      <c r="K535" s="949">
        <f t="shared" si="22"/>
        <v>0</v>
      </c>
      <c r="L535" s="950">
        <f t="shared" si="23"/>
        <v>0</v>
      </c>
      <c r="M535" s="948">
        <v>0.0215</v>
      </c>
      <c r="N535" s="951">
        <f t="shared" si="24"/>
        <v>0.00141404202</v>
      </c>
      <c r="O535" s="949">
        <f t="shared" si="25"/>
        <v>15</v>
      </c>
      <c r="P535" s="949">
        <f t="shared" si="77"/>
        <v>0.0215</v>
      </c>
      <c r="Q535" s="952">
        <f t="shared" si="79"/>
        <v>0</v>
      </c>
      <c r="R535" s="952">
        <f t="shared" si="78"/>
        <v>0</v>
      </c>
      <c r="S535" s="953"/>
      <c r="T535" s="949">
        <v>0.06</v>
      </c>
      <c r="U535" s="954"/>
      <c r="V535" s="949"/>
      <c r="W535" s="953"/>
      <c r="X535" s="949">
        <f t="shared" si="7"/>
        <v>0</v>
      </c>
      <c r="Y535" s="955"/>
      <c r="Z535" s="953" t="str">
        <f t="shared" si="8"/>
        <v/>
      </c>
      <c r="AA535" s="949">
        <f t="shared" si="9"/>
        <v>0</v>
      </c>
      <c r="AB535" s="955"/>
      <c r="AC535" s="949" t="str">
        <f t="shared" si="10"/>
        <v/>
      </c>
      <c r="AD535" s="953">
        <f t="shared" si="11"/>
        <v>0</v>
      </c>
      <c r="AE535" s="956"/>
      <c r="AF535" s="889"/>
      <c r="AG535" s="810" t="b">
        <v>0</v>
      </c>
      <c r="AH535" s="780"/>
      <c r="AI535" s="780"/>
      <c r="AJ535" s="780"/>
      <c r="AK535" s="780"/>
      <c r="AL535" s="780"/>
      <c r="AM535" s="780"/>
      <c r="AN535" s="780"/>
      <c r="AO535" s="780"/>
      <c r="AP535" s="780"/>
      <c r="AQ535" s="780"/>
      <c r="AR535" s="780"/>
      <c r="AS535" s="780"/>
      <c r="AT535" s="780"/>
      <c r="AU535" s="780"/>
      <c r="AV535" s="780"/>
      <c r="AW535" s="780"/>
    </row>
    <row r="536">
      <c r="A536" s="941"/>
      <c r="B536" s="941"/>
      <c r="C536" s="995"/>
      <c r="D536" s="995"/>
      <c r="E536" s="995"/>
      <c r="F536" s="946"/>
      <c r="G536" s="946"/>
      <c r="H536" s="946"/>
      <c r="I536" s="947">
        <v>0.00138428</v>
      </c>
      <c r="J536" s="948">
        <v>0.035</v>
      </c>
      <c r="K536" s="949">
        <f t="shared" si="22"/>
        <v>0</v>
      </c>
      <c r="L536" s="950">
        <f t="shared" si="23"/>
        <v>0</v>
      </c>
      <c r="M536" s="948">
        <v>0.0215</v>
      </c>
      <c r="N536" s="951">
        <f t="shared" si="24"/>
        <v>0.00141404202</v>
      </c>
      <c r="O536" s="949">
        <f t="shared" si="25"/>
        <v>15</v>
      </c>
      <c r="P536" s="949">
        <f t="shared" si="77"/>
        <v>0.0215</v>
      </c>
      <c r="Q536" s="952">
        <f t="shared" si="79"/>
        <v>0</v>
      </c>
      <c r="R536" s="952">
        <f t="shared" si="78"/>
        <v>0</v>
      </c>
      <c r="S536" s="953"/>
      <c r="T536" s="949">
        <v>0.06</v>
      </c>
      <c r="U536" s="954"/>
      <c r="V536" s="949"/>
      <c r="W536" s="953"/>
      <c r="X536" s="949">
        <f t="shared" si="7"/>
        <v>0</v>
      </c>
      <c r="Y536" s="955"/>
      <c r="Z536" s="953" t="str">
        <f t="shared" si="8"/>
        <v/>
      </c>
      <c r="AA536" s="949">
        <f t="shared" si="9"/>
        <v>0</v>
      </c>
      <c r="AB536" s="955"/>
      <c r="AC536" s="949" t="str">
        <f t="shared" si="10"/>
        <v/>
      </c>
      <c r="AD536" s="953">
        <f t="shared" si="11"/>
        <v>0</v>
      </c>
      <c r="AE536" s="956"/>
      <c r="AF536" s="889"/>
      <c r="AG536" s="810" t="b">
        <v>0</v>
      </c>
      <c r="AH536" s="780"/>
      <c r="AI536" s="780"/>
      <c r="AJ536" s="780"/>
      <c r="AK536" s="780"/>
      <c r="AL536" s="780"/>
      <c r="AM536" s="780"/>
      <c r="AN536" s="780"/>
      <c r="AO536" s="780"/>
      <c r="AP536" s="780"/>
      <c r="AQ536" s="780"/>
      <c r="AR536" s="780"/>
      <c r="AS536" s="780"/>
      <c r="AT536" s="780"/>
      <c r="AU536" s="780"/>
      <c r="AV536" s="780"/>
      <c r="AW536" s="780"/>
    </row>
    <row r="537">
      <c r="A537" s="941"/>
      <c r="B537" s="941"/>
      <c r="C537" s="995"/>
      <c r="D537" s="944"/>
      <c r="E537" s="944"/>
      <c r="F537" s="946"/>
      <c r="G537" s="946"/>
      <c r="H537" s="946"/>
      <c r="I537" s="947">
        <v>0.00138428</v>
      </c>
      <c r="J537" s="948">
        <v>0.035</v>
      </c>
      <c r="K537" s="949">
        <f t="shared" si="22"/>
        <v>0</v>
      </c>
      <c r="L537" s="950">
        <f t="shared" si="23"/>
        <v>0</v>
      </c>
      <c r="M537" s="948">
        <v>0.0215</v>
      </c>
      <c r="N537" s="951">
        <f t="shared" si="24"/>
        <v>0.00141404202</v>
      </c>
      <c r="O537" s="949">
        <f t="shared" si="25"/>
        <v>15</v>
      </c>
      <c r="P537" s="949">
        <f t="shared" si="77"/>
        <v>0.0215</v>
      </c>
      <c r="Q537" s="952">
        <f t="shared" si="79"/>
        <v>0</v>
      </c>
      <c r="R537" s="952">
        <f t="shared" si="78"/>
        <v>0</v>
      </c>
      <c r="S537" s="953"/>
      <c r="T537" s="949">
        <v>0.06</v>
      </c>
      <c r="U537" s="954"/>
      <c r="V537" s="949"/>
      <c r="W537" s="953"/>
      <c r="X537" s="949">
        <f t="shared" si="7"/>
        <v>0</v>
      </c>
      <c r="Y537" s="955"/>
      <c r="Z537" s="953" t="str">
        <f t="shared" si="8"/>
        <v/>
      </c>
      <c r="AA537" s="949">
        <f t="shared" si="9"/>
        <v>0</v>
      </c>
      <c r="AB537" s="955"/>
      <c r="AC537" s="949" t="str">
        <f t="shared" si="10"/>
        <v/>
      </c>
      <c r="AD537" s="953">
        <f t="shared" si="11"/>
        <v>0</v>
      </c>
      <c r="AE537" s="956"/>
      <c r="AF537" s="889"/>
      <c r="AG537" s="810" t="b">
        <v>0</v>
      </c>
      <c r="AH537" s="780"/>
      <c r="AI537" s="780"/>
      <c r="AJ537" s="780"/>
      <c r="AK537" s="780"/>
      <c r="AL537" s="780"/>
      <c r="AM537" s="780"/>
      <c r="AN537" s="780"/>
      <c r="AO537" s="780"/>
      <c r="AP537" s="780"/>
      <c r="AQ537" s="780"/>
      <c r="AR537" s="780"/>
      <c r="AS537" s="780"/>
      <c r="AT537" s="780"/>
      <c r="AU537" s="780"/>
      <c r="AV537" s="780"/>
      <c r="AW537" s="780"/>
    </row>
    <row r="538">
      <c r="A538" s="941"/>
      <c r="B538" s="941"/>
      <c r="C538" s="995"/>
      <c r="D538" s="995"/>
      <c r="E538" s="995"/>
      <c r="F538" s="946"/>
      <c r="G538" s="946"/>
      <c r="H538" s="946"/>
      <c r="I538" s="947">
        <v>0.00138428</v>
      </c>
      <c r="J538" s="948">
        <v>0.035</v>
      </c>
      <c r="K538" s="949">
        <f t="shared" si="22"/>
        <v>0</v>
      </c>
      <c r="L538" s="950">
        <f t="shared" si="23"/>
        <v>0</v>
      </c>
      <c r="M538" s="948">
        <v>0.0215</v>
      </c>
      <c r="N538" s="951">
        <f t="shared" si="24"/>
        <v>0.00141404202</v>
      </c>
      <c r="O538" s="949">
        <f t="shared" si="25"/>
        <v>15</v>
      </c>
      <c r="P538" s="949">
        <f t="shared" si="77"/>
        <v>0.0215</v>
      </c>
      <c r="Q538" s="952">
        <f t="shared" si="79"/>
        <v>0</v>
      </c>
      <c r="R538" s="952">
        <f t="shared" si="78"/>
        <v>0</v>
      </c>
      <c r="S538" s="953"/>
      <c r="T538" s="949">
        <v>0.06</v>
      </c>
      <c r="U538" s="954"/>
      <c r="V538" s="949"/>
      <c r="W538" s="953"/>
      <c r="X538" s="949">
        <f t="shared" si="7"/>
        <v>0</v>
      </c>
      <c r="Y538" s="955"/>
      <c r="Z538" s="953" t="str">
        <f t="shared" si="8"/>
        <v/>
      </c>
      <c r="AA538" s="949">
        <f t="shared" si="9"/>
        <v>0</v>
      </c>
      <c r="AB538" s="955"/>
      <c r="AC538" s="949" t="str">
        <f t="shared" si="10"/>
        <v/>
      </c>
      <c r="AD538" s="953">
        <f t="shared" si="11"/>
        <v>0</v>
      </c>
      <c r="AE538" s="956"/>
      <c r="AF538" s="889"/>
      <c r="AG538" s="810" t="b">
        <v>0</v>
      </c>
      <c r="AH538" s="780"/>
      <c r="AI538" s="780"/>
      <c r="AJ538" s="780"/>
      <c r="AK538" s="780"/>
      <c r="AL538" s="780"/>
      <c r="AM538" s="780"/>
      <c r="AN538" s="780"/>
      <c r="AO538" s="780"/>
      <c r="AP538" s="780"/>
      <c r="AQ538" s="780"/>
      <c r="AR538" s="780"/>
      <c r="AS538" s="780"/>
      <c r="AT538" s="780"/>
      <c r="AU538" s="780"/>
      <c r="AV538" s="780"/>
      <c r="AW538" s="780"/>
    </row>
    <row r="539">
      <c r="A539" s="941"/>
      <c r="B539" s="941"/>
      <c r="C539" s="995"/>
      <c r="D539" s="944"/>
      <c r="E539" s="944"/>
      <c r="F539" s="946"/>
      <c r="G539" s="946"/>
      <c r="H539" s="946"/>
      <c r="I539" s="947">
        <v>0.00138428</v>
      </c>
      <c r="J539" s="948">
        <v>0.035</v>
      </c>
      <c r="K539" s="949">
        <f t="shared" si="22"/>
        <v>0</v>
      </c>
      <c r="L539" s="950">
        <f t="shared" si="23"/>
        <v>0</v>
      </c>
      <c r="M539" s="948">
        <v>0.0215</v>
      </c>
      <c r="N539" s="951">
        <f t="shared" si="24"/>
        <v>0.00141404202</v>
      </c>
      <c r="O539" s="949">
        <f t="shared" si="25"/>
        <v>15</v>
      </c>
      <c r="P539" s="949">
        <f t="shared" si="77"/>
        <v>0.0215</v>
      </c>
      <c r="Q539" s="952">
        <f t="shared" si="79"/>
        <v>0</v>
      </c>
      <c r="R539" s="952">
        <f t="shared" si="78"/>
        <v>0</v>
      </c>
      <c r="S539" s="953"/>
      <c r="T539" s="949">
        <v>0.06</v>
      </c>
      <c r="U539" s="954"/>
      <c r="V539" s="949"/>
      <c r="W539" s="953"/>
      <c r="X539" s="949">
        <f t="shared" si="7"/>
        <v>0</v>
      </c>
      <c r="Y539" s="955"/>
      <c r="Z539" s="953" t="str">
        <f t="shared" si="8"/>
        <v/>
      </c>
      <c r="AA539" s="949">
        <f t="shared" si="9"/>
        <v>0</v>
      </c>
      <c r="AB539" s="955"/>
      <c r="AC539" s="949" t="str">
        <f t="shared" si="10"/>
        <v/>
      </c>
      <c r="AD539" s="953">
        <f t="shared" si="11"/>
        <v>0</v>
      </c>
      <c r="AE539" s="956"/>
      <c r="AF539" s="889"/>
      <c r="AG539" s="810" t="b">
        <v>0</v>
      </c>
      <c r="AH539" s="780"/>
      <c r="AI539" s="780"/>
      <c r="AJ539" s="780"/>
      <c r="AK539" s="780"/>
      <c r="AL539" s="780"/>
      <c r="AM539" s="780"/>
      <c r="AN539" s="780"/>
      <c r="AO539" s="780"/>
      <c r="AP539" s="780"/>
      <c r="AQ539" s="780"/>
      <c r="AR539" s="780"/>
      <c r="AS539" s="780"/>
      <c r="AT539" s="780"/>
      <c r="AU539" s="780"/>
      <c r="AV539" s="780"/>
      <c r="AW539" s="780"/>
    </row>
    <row r="540">
      <c r="A540" s="941"/>
      <c r="B540" s="941"/>
      <c r="C540" s="995"/>
      <c r="D540" s="995"/>
      <c r="E540" s="995"/>
      <c r="F540" s="946"/>
      <c r="G540" s="946"/>
      <c r="H540" s="946"/>
      <c r="I540" s="947">
        <v>0.00138428</v>
      </c>
      <c r="J540" s="948">
        <v>0.035</v>
      </c>
      <c r="K540" s="949">
        <f t="shared" si="22"/>
        <v>0</v>
      </c>
      <c r="L540" s="950">
        <f t="shared" si="23"/>
        <v>0</v>
      </c>
      <c r="M540" s="948">
        <v>0.0215</v>
      </c>
      <c r="N540" s="951">
        <f t="shared" si="24"/>
        <v>0.00141404202</v>
      </c>
      <c r="O540" s="949">
        <f t="shared" si="25"/>
        <v>15</v>
      </c>
      <c r="P540" s="949">
        <f t="shared" si="77"/>
        <v>0.0215</v>
      </c>
      <c r="Q540" s="952">
        <f t="shared" si="79"/>
        <v>0</v>
      </c>
      <c r="R540" s="952">
        <f t="shared" si="78"/>
        <v>0</v>
      </c>
      <c r="S540" s="953"/>
      <c r="T540" s="949">
        <v>0.06</v>
      </c>
      <c r="U540" s="954"/>
      <c r="V540" s="949"/>
      <c r="W540" s="953"/>
      <c r="X540" s="949">
        <f t="shared" si="7"/>
        <v>0</v>
      </c>
      <c r="Y540" s="955"/>
      <c r="Z540" s="953" t="str">
        <f t="shared" si="8"/>
        <v/>
      </c>
      <c r="AA540" s="949">
        <f t="shared" si="9"/>
        <v>0</v>
      </c>
      <c r="AB540" s="955"/>
      <c r="AC540" s="949" t="str">
        <f t="shared" si="10"/>
        <v/>
      </c>
      <c r="AD540" s="953">
        <f t="shared" si="11"/>
        <v>0</v>
      </c>
      <c r="AE540" s="956"/>
      <c r="AF540" s="889"/>
      <c r="AG540" s="810" t="b">
        <v>0</v>
      </c>
      <c r="AH540" s="780"/>
      <c r="AI540" s="780"/>
      <c r="AJ540" s="780"/>
      <c r="AK540" s="780"/>
      <c r="AL540" s="780"/>
      <c r="AM540" s="780"/>
      <c r="AN540" s="780"/>
      <c r="AO540" s="780"/>
      <c r="AP540" s="780"/>
      <c r="AQ540" s="780"/>
      <c r="AR540" s="780"/>
      <c r="AS540" s="780"/>
      <c r="AT540" s="780"/>
      <c r="AU540" s="780"/>
      <c r="AV540" s="780"/>
      <c r="AW540" s="780"/>
    </row>
    <row r="541">
      <c r="A541" s="941"/>
      <c r="B541" s="941"/>
      <c r="C541" s="995"/>
      <c r="D541" s="944"/>
      <c r="E541" s="944"/>
      <c r="F541" s="946"/>
      <c r="G541" s="946"/>
      <c r="H541" s="946"/>
      <c r="I541" s="947">
        <v>0.00138428</v>
      </c>
      <c r="J541" s="948">
        <v>0.035</v>
      </c>
      <c r="K541" s="949">
        <f t="shared" si="22"/>
        <v>0</v>
      </c>
      <c r="L541" s="950">
        <f t="shared" si="23"/>
        <v>0</v>
      </c>
      <c r="M541" s="948">
        <v>0.0215</v>
      </c>
      <c r="N541" s="951">
        <f t="shared" si="24"/>
        <v>0.00141404202</v>
      </c>
      <c r="O541" s="949">
        <f t="shared" si="25"/>
        <v>15</v>
      </c>
      <c r="P541" s="949">
        <f t="shared" si="77"/>
        <v>0.0215</v>
      </c>
      <c r="Q541" s="952">
        <f t="shared" si="79"/>
        <v>0</v>
      </c>
      <c r="R541" s="952">
        <f t="shared" si="78"/>
        <v>0</v>
      </c>
      <c r="S541" s="953"/>
      <c r="T541" s="949">
        <v>0.06</v>
      </c>
      <c r="U541" s="954"/>
      <c r="V541" s="949"/>
      <c r="W541" s="953"/>
      <c r="X541" s="949">
        <f t="shared" si="7"/>
        <v>0</v>
      </c>
      <c r="Y541" s="955"/>
      <c r="Z541" s="953" t="str">
        <f t="shared" si="8"/>
        <v/>
      </c>
      <c r="AA541" s="949">
        <f t="shared" si="9"/>
        <v>0</v>
      </c>
      <c r="AB541" s="955"/>
      <c r="AC541" s="949" t="str">
        <f t="shared" si="10"/>
        <v/>
      </c>
      <c r="AD541" s="953">
        <f t="shared" si="11"/>
        <v>0</v>
      </c>
      <c r="AE541" s="956"/>
      <c r="AF541" s="889"/>
      <c r="AG541" s="810" t="b">
        <v>0</v>
      </c>
      <c r="AH541" s="780"/>
      <c r="AI541" s="780"/>
      <c r="AJ541" s="780"/>
      <c r="AK541" s="780"/>
      <c r="AL541" s="780"/>
      <c r="AM541" s="780"/>
      <c r="AN541" s="780"/>
      <c r="AO541" s="780"/>
      <c r="AP541" s="780"/>
      <c r="AQ541" s="780"/>
      <c r="AR541" s="780"/>
      <c r="AS541" s="780"/>
      <c r="AT541" s="780"/>
      <c r="AU541" s="780"/>
      <c r="AV541" s="780"/>
      <c r="AW541" s="780"/>
    </row>
    <row r="542">
      <c r="A542" s="941"/>
      <c r="B542" s="941"/>
      <c r="C542" s="995"/>
      <c r="D542" s="995"/>
      <c r="E542" s="995"/>
      <c r="F542" s="946"/>
      <c r="G542" s="946"/>
      <c r="H542" s="946"/>
      <c r="I542" s="947">
        <v>0.00138428</v>
      </c>
      <c r="J542" s="948">
        <v>0.035</v>
      </c>
      <c r="K542" s="949">
        <f t="shared" si="22"/>
        <v>0</v>
      </c>
      <c r="L542" s="950">
        <f t="shared" si="23"/>
        <v>0</v>
      </c>
      <c r="M542" s="948">
        <v>0.0215</v>
      </c>
      <c r="N542" s="951">
        <f t="shared" si="24"/>
        <v>0.00141404202</v>
      </c>
      <c r="O542" s="949">
        <f t="shared" si="25"/>
        <v>15</v>
      </c>
      <c r="P542" s="949">
        <f t="shared" si="77"/>
        <v>0.0215</v>
      </c>
      <c r="Q542" s="952">
        <f t="shared" si="79"/>
        <v>0</v>
      </c>
      <c r="R542" s="952">
        <f t="shared" si="78"/>
        <v>0</v>
      </c>
      <c r="S542" s="953"/>
      <c r="T542" s="949">
        <v>0.06</v>
      </c>
      <c r="U542" s="954"/>
      <c r="V542" s="949"/>
      <c r="W542" s="953"/>
      <c r="X542" s="949">
        <f t="shared" si="7"/>
        <v>0</v>
      </c>
      <c r="Y542" s="955"/>
      <c r="Z542" s="953" t="str">
        <f t="shared" si="8"/>
        <v/>
      </c>
      <c r="AA542" s="949">
        <f t="shared" si="9"/>
        <v>0</v>
      </c>
      <c r="AB542" s="955"/>
      <c r="AC542" s="949" t="str">
        <f t="shared" si="10"/>
        <v/>
      </c>
      <c r="AD542" s="953">
        <f t="shared" si="11"/>
        <v>0</v>
      </c>
      <c r="AE542" s="956"/>
      <c r="AF542" s="889"/>
      <c r="AG542" s="810" t="b">
        <v>0</v>
      </c>
      <c r="AH542" s="780"/>
      <c r="AI542" s="780"/>
      <c r="AJ542" s="780"/>
      <c r="AK542" s="780"/>
      <c r="AL542" s="780"/>
      <c r="AM542" s="780"/>
      <c r="AN542" s="780"/>
      <c r="AO542" s="780"/>
      <c r="AP542" s="780"/>
      <c r="AQ542" s="780"/>
      <c r="AR542" s="780"/>
      <c r="AS542" s="780"/>
      <c r="AT542" s="780"/>
      <c r="AU542" s="780"/>
      <c r="AV542" s="780"/>
      <c r="AW542" s="780"/>
    </row>
    <row r="543">
      <c r="A543" s="941"/>
      <c r="B543" s="941"/>
      <c r="C543" s="995"/>
      <c r="D543" s="944"/>
      <c r="E543" s="944"/>
      <c r="F543" s="1000"/>
      <c r="G543" s="1000"/>
      <c r="H543" s="1000"/>
      <c r="I543" s="947">
        <v>0.00138428</v>
      </c>
      <c r="J543" s="948">
        <v>0.035</v>
      </c>
      <c r="K543" s="949">
        <f t="shared" si="22"/>
        <v>0</v>
      </c>
      <c r="L543" s="950">
        <f t="shared" si="23"/>
        <v>0</v>
      </c>
      <c r="M543" s="948">
        <v>0.0215</v>
      </c>
      <c r="N543" s="951">
        <f t="shared" si="24"/>
        <v>0.00141404202</v>
      </c>
      <c r="O543" s="949">
        <f t="shared" si="25"/>
        <v>15</v>
      </c>
      <c r="P543" s="949">
        <f t="shared" si="77"/>
        <v>0.0215</v>
      </c>
      <c r="Q543" s="952">
        <f t="shared" si="79"/>
        <v>0</v>
      </c>
      <c r="R543" s="952">
        <f t="shared" si="78"/>
        <v>0</v>
      </c>
      <c r="S543" s="953"/>
      <c r="T543" s="949">
        <v>0.06</v>
      </c>
      <c r="U543" s="954"/>
      <c r="V543" s="949"/>
      <c r="W543" s="953"/>
      <c r="X543" s="949">
        <f t="shared" si="7"/>
        <v>0</v>
      </c>
      <c r="Y543" s="955"/>
      <c r="Z543" s="953" t="str">
        <f t="shared" si="8"/>
        <v/>
      </c>
      <c r="AA543" s="949">
        <f t="shared" si="9"/>
        <v>0</v>
      </c>
      <c r="AB543" s="955"/>
      <c r="AC543" s="949" t="str">
        <f t="shared" si="10"/>
        <v/>
      </c>
      <c r="AD543" s="953">
        <f t="shared" si="11"/>
        <v>0</v>
      </c>
      <c r="AE543" s="956"/>
      <c r="AF543" s="889"/>
      <c r="AG543" s="810" t="b">
        <v>0</v>
      </c>
      <c r="AH543" s="780"/>
      <c r="AI543" s="780"/>
      <c r="AJ543" s="780"/>
      <c r="AK543" s="780"/>
      <c r="AL543" s="780"/>
      <c r="AM543" s="780"/>
      <c r="AN543" s="780"/>
      <c r="AO543" s="780"/>
      <c r="AP543" s="780"/>
      <c r="AQ543" s="780"/>
      <c r="AR543" s="780"/>
      <c r="AS543" s="780"/>
      <c r="AT543" s="780"/>
      <c r="AU543" s="780"/>
      <c r="AV543" s="780"/>
      <c r="AW543" s="780"/>
    </row>
    <row r="544">
      <c r="A544" s="941"/>
      <c r="B544" s="941"/>
      <c r="C544" s="995"/>
      <c r="D544" s="995"/>
      <c r="E544" s="995"/>
      <c r="F544" s="946"/>
      <c r="G544" s="946"/>
      <c r="H544" s="946"/>
      <c r="I544" s="947">
        <v>0.00138428</v>
      </c>
      <c r="J544" s="948">
        <v>0.035</v>
      </c>
      <c r="K544" s="949">
        <f t="shared" si="22"/>
        <v>0</v>
      </c>
      <c r="L544" s="950">
        <f t="shared" si="23"/>
        <v>0</v>
      </c>
      <c r="M544" s="948">
        <v>0.0215</v>
      </c>
      <c r="N544" s="951">
        <f t="shared" si="24"/>
        <v>0.00141404202</v>
      </c>
      <c r="O544" s="949">
        <f t="shared" si="25"/>
        <v>15</v>
      </c>
      <c r="P544" s="949">
        <f t="shared" si="77"/>
        <v>0.0215</v>
      </c>
      <c r="Q544" s="952">
        <f t="shared" si="79"/>
        <v>0</v>
      </c>
      <c r="R544" s="952">
        <f t="shared" si="78"/>
        <v>0</v>
      </c>
      <c r="S544" s="953"/>
      <c r="T544" s="949">
        <v>0.06</v>
      </c>
      <c r="U544" s="954"/>
      <c r="V544" s="949"/>
      <c r="W544" s="953"/>
      <c r="X544" s="949">
        <f t="shared" si="7"/>
        <v>0</v>
      </c>
      <c r="Y544" s="955"/>
      <c r="Z544" s="953" t="str">
        <f t="shared" si="8"/>
        <v/>
      </c>
      <c r="AA544" s="949">
        <f t="shared" si="9"/>
        <v>0</v>
      </c>
      <c r="AB544" s="955"/>
      <c r="AC544" s="949" t="str">
        <f t="shared" si="10"/>
        <v/>
      </c>
      <c r="AD544" s="953">
        <f t="shared" si="11"/>
        <v>0</v>
      </c>
      <c r="AE544" s="956"/>
      <c r="AF544" s="889"/>
      <c r="AG544" s="810" t="b">
        <v>0</v>
      </c>
      <c r="AH544" s="780"/>
      <c r="AI544" s="780"/>
      <c r="AJ544" s="780"/>
      <c r="AK544" s="780"/>
      <c r="AL544" s="780"/>
      <c r="AM544" s="780"/>
      <c r="AN544" s="780"/>
      <c r="AO544" s="780"/>
      <c r="AP544" s="780"/>
      <c r="AQ544" s="780"/>
      <c r="AR544" s="780"/>
      <c r="AS544" s="780"/>
      <c r="AT544" s="780"/>
      <c r="AU544" s="780"/>
      <c r="AV544" s="780"/>
      <c r="AW544" s="780"/>
    </row>
    <row r="545">
      <c r="A545" s="941"/>
      <c r="B545" s="941"/>
      <c r="C545" s="995"/>
      <c r="D545" s="995"/>
      <c r="E545" s="995"/>
      <c r="F545" s="946"/>
      <c r="G545" s="946"/>
      <c r="H545" s="946"/>
      <c r="I545" s="947">
        <v>0.00138428</v>
      </c>
      <c r="J545" s="948">
        <v>0.035</v>
      </c>
      <c r="K545" s="949">
        <f t="shared" si="22"/>
        <v>0</v>
      </c>
      <c r="L545" s="950">
        <f t="shared" si="23"/>
        <v>0</v>
      </c>
      <c r="M545" s="948">
        <v>0.0215</v>
      </c>
      <c r="N545" s="951">
        <f t="shared" si="24"/>
        <v>0.00141404202</v>
      </c>
      <c r="O545" s="949">
        <f t="shared" si="25"/>
        <v>15</v>
      </c>
      <c r="P545" s="949">
        <f t="shared" si="77"/>
        <v>0.0215</v>
      </c>
      <c r="Q545" s="952">
        <f t="shared" si="79"/>
        <v>0</v>
      </c>
      <c r="R545" s="952">
        <f t="shared" si="78"/>
        <v>0</v>
      </c>
      <c r="S545" s="953"/>
      <c r="T545" s="949">
        <v>0.06</v>
      </c>
      <c r="U545" s="954"/>
      <c r="V545" s="949"/>
      <c r="W545" s="953"/>
      <c r="X545" s="949">
        <f t="shared" si="7"/>
        <v>0</v>
      </c>
      <c r="Y545" s="955"/>
      <c r="Z545" s="953" t="str">
        <f t="shared" si="8"/>
        <v/>
      </c>
      <c r="AA545" s="949">
        <f t="shared" si="9"/>
        <v>0</v>
      </c>
      <c r="AB545" s="955"/>
      <c r="AC545" s="949" t="str">
        <f t="shared" si="10"/>
        <v/>
      </c>
      <c r="AD545" s="953">
        <f t="shared" si="11"/>
        <v>0</v>
      </c>
      <c r="AE545" s="956"/>
      <c r="AF545" s="889"/>
      <c r="AG545" s="810" t="b">
        <v>0</v>
      </c>
      <c r="AH545" s="780"/>
      <c r="AI545" s="780"/>
      <c r="AJ545" s="780"/>
      <c r="AK545" s="780"/>
      <c r="AL545" s="780"/>
      <c r="AM545" s="780"/>
      <c r="AN545" s="780"/>
      <c r="AO545" s="780"/>
      <c r="AP545" s="780"/>
      <c r="AQ545" s="780"/>
      <c r="AR545" s="780"/>
      <c r="AS545" s="780"/>
      <c r="AT545" s="780"/>
      <c r="AU545" s="780"/>
      <c r="AV545" s="780"/>
      <c r="AW545" s="780"/>
    </row>
    <row r="546">
      <c r="A546" s="941"/>
      <c r="B546" s="941"/>
      <c r="C546" s="995"/>
      <c r="D546" s="995"/>
      <c r="E546" s="995"/>
      <c r="F546" s="946"/>
      <c r="G546" s="946"/>
      <c r="H546" s="946"/>
      <c r="I546" s="947">
        <v>0.00138428</v>
      </c>
      <c r="J546" s="948">
        <v>0.035</v>
      </c>
      <c r="K546" s="949">
        <f t="shared" si="22"/>
        <v>0</v>
      </c>
      <c r="L546" s="950">
        <f t="shared" si="23"/>
        <v>0</v>
      </c>
      <c r="M546" s="948">
        <v>0.0215</v>
      </c>
      <c r="N546" s="951">
        <f t="shared" si="24"/>
        <v>0.00141404202</v>
      </c>
      <c r="O546" s="949">
        <f t="shared" si="25"/>
        <v>15</v>
      </c>
      <c r="P546" s="949">
        <f t="shared" si="77"/>
        <v>0.0215</v>
      </c>
      <c r="Q546" s="952">
        <f t="shared" si="79"/>
        <v>0</v>
      </c>
      <c r="R546" s="952">
        <f t="shared" si="78"/>
        <v>0</v>
      </c>
      <c r="S546" s="953"/>
      <c r="T546" s="949">
        <v>0.06</v>
      </c>
      <c r="U546" s="954"/>
      <c r="V546" s="949"/>
      <c r="W546" s="953"/>
      <c r="X546" s="949">
        <f t="shared" si="7"/>
        <v>0</v>
      </c>
      <c r="Y546" s="955"/>
      <c r="Z546" s="953" t="str">
        <f t="shared" si="8"/>
        <v/>
      </c>
      <c r="AA546" s="949">
        <f t="shared" si="9"/>
        <v>0</v>
      </c>
      <c r="AB546" s="955"/>
      <c r="AC546" s="949" t="str">
        <f t="shared" si="10"/>
        <v/>
      </c>
      <c r="AD546" s="953">
        <f t="shared" si="11"/>
        <v>0</v>
      </c>
      <c r="AE546" s="956"/>
      <c r="AF546" s="889"/>
      <c r="AG546" s="810" t="b">
        <v>0</v>
      </c>
      <c r="AH546" s="780"/>
      <c r="AI546" s="780"/>
      <c r="AJ546" s="780"/>
      <c r="AK546" s="780"/>
      <c r="AL546" s="780"/>
      <c r="AM546" s="780"/>
      <c r="AN546" s="780"/>
      <c r="AO546" s="780"/>
      <c r="AP546" s="780"/>
      <c r="AQ546" s="780"/>
      <c r="AR546" s="780"/>
      <c r="AS546" s="780"/>
      <c r="AT546" s="780"/>
      <c r="AU546" s="780"/>
      <c r="AV546" s="780"/>
      <c r="AW546" s="780"/>
    </row>
    <row r="547">
      <c r="A547" s="941"/>
      <c r="B547" s="941"/>
      <c r="C547" s="995"/>
      <c r="D547" s="1001"/>
      <c r="E547" s="944"/>
      <c r="F547" s="946"/>
      <c r="G547" s="946"/>
      <c r="H547" s="946"/>
      <c r="I547" s="947">
        <v>0.00138428</v>
      </c>
      <c r="J547" s="948">
        <v>0.035</v>
      </c>
      <c r="K547" s="949">
        <f t="shared" si="22"/>
        <v>0</v>
      </c>
      <c r="L547" s="950">
        <f t="shared" si="23"/>
        <v>0</v>
      </c>
      <c r="M547" s="948">
        <v>0.0215</v>
      </c>
      <c r="N547" s="951">
        <f t="shared" si="24"/>
        <v>0.00141404202</v>
      </c>
      <c r="O547" s="949">
        <f t="shared" si="25"/>
        <v>15</v>
      </c>
      <c r="P547" s="949">
        <f t="shared" si="77"/>
        <v>0.0215</v>
      </c>
      <c r="Q547" s="952">
        <f t="shared" si="79"/>
        <v>0</v>
      </c>
      <c r="R547" s="952">
        <f t="shared" si="78"/>
        <v>0</v>
      </c>
      <c r="S547" s="953"/>
      <c r="T547" s="949">
        <v>0.06</v>
      </c>
      <c r="U547" s="954"/>
      <c r="V547" s="949"/>
      <c r="W547" s="953"/>
      <c r="X547" s="949">
        <f t="shared" si="7"/>
        <v>0</v>
      </c>
      <c r="Y547" s="955"/>
      <c r="Z547" s="953" t="str">
        <f t="shared" si="8"/>
        <v/>
      </c>
      <c r="AA547" s="949">
        <f t="shared" si="9"/>
        <v>0</v>
      </c>
      <c r="AB547" s="955"/>
      <c r="AC547" s="949" t="str">
        <f t="shared" si="10"/>
        <v/>
      </c>
      <c r="AD547" s="953">
        <f t="shared" si="11"/>
        <v>0</v>
      </c>
      <c r="AE547" s="956"/>
      <c r="AF547" s="889"/>
      <c r="AG547" s="810" t="b">
        <v>0</v>
      </c>
      <c r="AH547" s="780"/>
      <c r="AI547" s="780"/>
      <c r="AJ547" s="780"/>
      <c r="AK547" s="780"/>
      <c r="AL547" s="780"/>
      <c r="AM547" s="780"/>
      <c r="AN547" s="780"/>
      <c r="AO547" s="780"/>
      <c r="AP547" s="780"/>
      <c r="AQ547" s="780"/>
      <c r="AR547" s="780"/>
      <c r="AS547" s="780"/>
      <c r="AT547" s="780"/>
      <c r="AU547" s="780"/>
      <c r="AV547" s="780"/>
      <c r="AW547" s="780"/>
    </row>
    <row r="548">
      <c r="A548" s="941"/>
      <c r="B548" s="941"/>
      <c r="C548" s="995"/>
      <c r="D548" s="995"/>
      <c r="E548" s="995"/>
      <c r="F548" s="946"/>
      <c r="G548" s="946"/>
      <c r="H548" s="946"/>
      <c r="I548" s="947">
        <v>0.00138428</v>
      </c>
      <c r="J548" s="948">
        <v>0.035</v>
      </c>
      <c r="K548" s="949">
        <f t="shared" si="22"/>
        <v>0</v>
      </c>
      <c r="L548" s="950">
        <f t="shared" si="23"/>
        <v>0</v>
      </c>
      <c r="M548" s="948">
        <v>0.0215</v>
      </c>
      <c r="N548" s="951">
        <f t="shared" si="24"/>
        <v>0.00141404202</v>
      </c>
      <c r="O548" s="949">
        <f t="shared" si="25"/>
        <v>15</v>
      </c>
      <c r="P548" s="949">
        <f t="shared" si="77"/>
        <v>0.0215</v>
      </c>
      <c r="Q548" s="952">
        <f t="shared" si="79"/>
        <v>0</v>
      </c>
      <c r="R548" s="952">
        <f t="shared" si="78"/>
        <v>0</v>
      </c>
      <c r="S548" s="953"/>
      <c r="T548" s="949">
        <v>0.06</v>
      </c>
      <c r="U548" s="954"/>
      <c r="V548" s="949"/>
      <c r="W548" s="953"/>
      <c r="X548" s="949">
        <f t="shared" si="7"/>
        <v>0</v>
      </c>
      <c r="Y548" s="955"/>
      <c r="Z548" s="953" t="str">
        <f t="shared" si="8"/>
        <v/>
      </c>
      <c r="AA548" s="949">
        <f t="shared" si="9"/>
        <v>0</v>
      </c>
      <c r="AB548" s="955"/>
      <c r="AC548" s="949" t="str">
        <f t="shared" si="10"/>
        <v/>
      </c>
      <c r="AD548" s="953">
        <f t="shared" si="11"/>
        <v>0</v>
      </c>
      <c r="AE548" s="956"/>
      <c r="AF548" s="889"/>
      <c r="AG548" s="810" t="b">
        <v>0</v>
      </c>
      <c r="AH548" s="780"/>
      <c r="AI548" s="780"/>
      <c r="AJ548" s="780"/>
      <c r="AK548" s="780"/>
      <c r="AL548" s="780"/>
      <c r="AM548" s="780"/>
      <c r="AN548" s="780"/>
      <c r="AO548" s="780"/>
      <c r="AP548" s="780"/>
      <c r="AQ548" s="780"/>
      <c r="AR548" s="780"/>
      <c r="AS548" s="780"/>
      <c r="AT548" s="780"/>
      <c r="AU548" s="780"/>
      <c r="AV548" s="780"/>
      <c r="AW548" s="780"/>
    </row>
    <row r="549">
      <c r="A549" s="941"/>
      <c r="B549" s="941"/>
      <c r="C549" s="995"/>
      <c r="D549" s="995"/>
      <c r="E549" s="995"/>
      <c r="F549" s="946"/>
      <c r="G549" s="946"/>
      <c r="H549" s="946"/>
      <c r="I549" s="947">
        <v>0.00138428</v>
      </c>
      <c r="J549" s="948">
        <v>0.035</v>
      </c>
      <c r="K549" s="949">
        <f t="shared" si="22"/>
        <v>0</v>
      </c>
      <c r="L549" s="950">
        <f t="shared" si="23"/>
        <v>0</v>
      </c>
      <c r="M549" s="948">
        <v>0.0215</v>
      </c>
      <c r="N549" s="951">
        <f t="shared" si="24"/>
        <v>0.00141404202</v>
      </c>
      <c r="O549" s="949">
        <f t="shared" si="25"/>
        <v>15</v>
      </c>
      <c r="P549" s="949">
        <f t="shared" si="77"/>
        <v>0.0215</v>
      </c>
      <c r="Q549" s="952">
        <f t="shared" si="79"/>
        <v>0</v>
      </c>
      <c r="R549" s="952">
        <f t="shared" si="78"/>
        <v>0</v>
      </c>
      <c r="S549" s="953"/>
      <c r="T549" s="949">
        <v>0.06</v>
      </c>
      <c r="U549" s="954"/>
      <c r="V549" s="949"/>
      <c r="W549" s="953"/>
      <c r="X549" s="949">
        <f t="shared" si="7"/>
        <v>0</v>
      </c>
      <c r="Y549" s="955"/>
      <c r="Z549" s="953" t="str">
        <f t="shared" si="8"/>
        <v/>
      </c>
      <c r="AA549" s="949">
        <f t="shared" si="9"/>
        <v>0</v>
      </c>
      <c r="AB549" s="955"/>
      <c r="AC549" s="949" t="str">
        <f t="shared" si="10"/>
        <v/>
      </c>
      <c r="AD549" s="953">
        <f t="shared" si="11"/>
        <v>0</v>
      </c>
      <c r="AE549" s="956"/>
      <c r="AF549" s="889"/>
      <c r="AG549" s="810" t="b">
        <v>0</v>
      </c>
      <c r="AH549" s="780"/>
      <c r="AI549" s="780"/>
      <c r="AJ549" s="780"/>
      <c r="AK549" s="780"/>
      <c r="AL549" s="780"/>
      <c r="AM549" s="780"/>
      <c r="AN549" s="780"/>
      <c r="AO549" s="780"/>
      <c r="AP549" s="780"/>
      <c r="AQ549" s="780"/>
      <c r="AR549" s="780"/>
      <c r="AS549" s="780"/>
      <c r="AT549" s="780"/>
      <c r="AU549" s="780"/>
      <c r="AV549" s="780"/>
      <c r="AW549" s="780"/>
    </row>
    <row r="550">
      <c r="A550" s="941"/>
      <c r="B550" s="941"/>
      <c r="C550" s="995"/>
      <c r="D550" s="995"/>
      <c r="E550" s="995"/>
      <c r="F550" s="946"/>
      <c r="G550" s="946"/>
      <c r="H550" s="946"/>
      <c r="I550" s="947">
        <v>0.00138428</v>
      </c>
      <c r="J550" s="948">
        <v>0.035</v>
      </c>
      <c r="K550" s="949">
        <f t="shared" si="22"/>
        <v>0</v>
      </c>
      <c r="L550" s="950">
        <f t="shared" si="23"/>
        <v>0</v>
      </c>
      <c r="M550" s="948">
        <v>0.0215</v>
      </c>
      <c r="N550" s="951">
        <f t="shared" si="24"/>
        <v>0.00141404202</v>
      </c>
      <c r="O550" s="949">
        <f t="shared" si="25"/>
        <v>15</v>
      </c>
      <c r="P550" s="949">
        <f t="shared" si="77"/>
        <v>0.0215</v>
      </c>
      <c r="Q550" s="952">
        <f t="shared" si="79"/>
        <v>0</v>
      </c>
      <c r="R550" s="952">
        <f t="shared" si="78"/>
        <v>0</v>
      </c>
      <c r="S550" s="953"/>
      <c r="T550" s="949">
        <v>0.06</v>
      </c>
      <c r="U550" s="954"/>
      <c r="V550" s="949"/>
      <c r="W550" s="953"/>
      <c r="X550" s="949">
        <f t="shared" si="7"/>
        <v>0</v>
      </c>
      <c r="Y550" s="955"/>
      <c r="Z550" s="953" t="str">
        <f t="shared" si="8"/>
        <v/>
      </c>
      <c r="AA550" s="949">
        <f t="shared" si="9"/>
        <v>0</v>
      </c>
      <c r="AB550" s="955"/>
      <c r="AC550" s="949" t="str">
        <f t="shared" si="10"/>
        <v/>
      </c>
      <c r="AD550" s="953">
        <f t="shared" si="11"/>
        <v>0</v>
      </c>
      <c r="AE550" s="956"/>
      <c r="AF550" s="889"/>
      <c r="AG550" s="810" t="b">
        <v>0</v>
      </c>
      <c r="AH550" s="780"/>
      <c r="AI550" s="780"/>
      <c r="AJ550" s="780"/>
      <c r="AK550" s="780"/>
      <c r="AL550" s="780"/>
      <c r="AM550" s="780"/>
      <c r="AN550" s="780"/>
      <c r="AO550" s="780"/>
      <c r="AP550" s="780"/>
      <c r="AQ550" s="780"/>
      <c r="AR550" s="780"/>
      <c r="AS550" s="780"/>
      <c r="AT550" s="780"/>
      <c r="AU550" s="780"/>
      <c r="AV550" s="780"/>
      <c r="AW550" s="780"/>
    </row>
    <row r="551">
      <c r="A551" s="941"/>
      <c r="B551" s="941"/>
      <c r="C551" s="995"/>
      <c r="D551" s="995"/>
      <c r="E551" s="995"/>
      <c r="F551" s="946"/>
      <c r="G551" s="946"/>
      <c r="H551" s="946"/>
      <c r="I551" s="947">
        <v>0.00138428</v>
      </c>
      <c r="J551" s="948">
        <v>0.035</v>
      </c>
      <c r="K551" s="949">
        <f t="shared" si="22"/>
        <v>0</v>
      </c>
      <c r="L551" s="950">
        <f t="shared" si="23"/>
        <v>0</v>
      </c>
      <c r="M551" s="948">
        <v>0.0215</v>
      </c>
      <c r="N551" s="951">
        <f t="shared" si="24"/>
        <v>0.00141404202</v>
      </c>
      <c r="O551" s="949">
        <f t="shared" si="25"/>
        <v>15</v>
      </c>
      <c r="P551" s="949">
        <f t="shared" si="77"/>
        <v>0.0215</v>
      </c>
      <c r="Q551" s="952">
        <f t="shared" si="79"/>
        <v>0</v>
      </c>
      <c r="R551" s="952">
        <f t="shared" si="78"/>
        <v>0</v>
      </c>
      <c r="S551" s="953"/>
      <c r="T551" s="949">
        <v>0.06</v>
      </c>
      <c r="U551" s="954"/>
      <c r="V551" s="949"/>
      <c r="W551" s="953"/>
      <c r="X551" s="949">
        <f t="shared" si="7"/>
        <v>0</v>
      </c>
      <c r="Y551" s="955"/>
      <c r="Z551" s="953" t="str">
        <f t="shared" si="8"/>
        <v/>
      </c>
      <c r="AA551" s="949">
        <f t="shared" si="9"/>
        <v>0</v>
      </c>
      <c r="AB551" s="955"/>
      <c r="AC551" s="949" t="str">
        <f t="shared" si="10"/>
        <v/>
      </c>
      <c r="AD551" s="953">
        <f t="shared" si="11"/>
        <v>0</v>
      </c>
      <c r="AE551" s="956"/>
      <c r="AF551" s="889"/>
      <c r="AG551" s="810" t="b">
        <v>0</v>
      </c>
      <c r="AH551" s="780"/>
      <c r="AI551" s="780"/>
      <c r="AJ551" s="780"/>
      <c r="AK551" s="780"/>
      <c r="AL551" s="780"/>
      <c r="AM551" s="780"/>
      <c r="AN551" s="780"/>
      <c r="AO551" s="780"/>
      <c r="AP551" s="780"/>
      <c r="AQ551" s="780"/>
      <c r="AR551" s="780"/>
      <c r="AS551" s="780"/>
      <c r="AT551" s="780"/>
      <c r="AU551" s="780"/>
      <c r="AV551" s="780"/>
      <c r="AW551" s="780"/>
    </row>
    <row r="552">
      <c r="A552" s="941"/>
      <c r="B552" s="941"/>
      <c r="C552" s="995"/>
      <c r="D552" s="995"/>
      <c r="E552" s="995"/>
      <c r="F552" s="946"/>
      <c r="G552" s="946"/>
      <c r="H552" s="946"/>
      <c r="I552" s="947">
        <v>0.00138428</v>
      </c>
      <c r="J552" s="948">
        <v>0.035</v>
      </c>
      <c r="K552" s="949">
        <f t="shared" si="22"/>
        <v>0</v>
      </c>
      <c r="L552" s="950">
        <f t="shared" si="23"/>
        <v>0</v>
      </c>
      <c r="M552" s="948">
        <v>0.0215</v>
      </c>
      <c r="N552" s="951">
        <f t="shared" si="24"/>
        <v>0.00141404202</v>
      </c>
      <c r="O552" s="949">
        <f t="shared" si="25"/>
        <v>15</v>
      </c>
      <c r="P552" s="949">
        <f t="shared" si="77"/>
        <v>0.0215</v>
      </c>
      <c r="Q552" s="952">
        <f t="shared" si="79"/>
        <v>0</v>
      </c>
      <c r="R552" s="952">
        <f t="shared" si="78"/>
        <v>0</v>
      </c>
      <c r="S552" s="953"/>
      <c r="T552" s="949">
        <v>0.06</v>
      </c>
      <c r="U552" s="954"/>
      <c r="V552" s="949"/>
      <c r="W552" s="953"/>
      <c r="X552" s="949">
        <f t="shared" si="7"/>
        <v>0</v>
      </c>
      <c r="Y552" s="955"/>
      <c r="Z552" s="953" t="str">
        <f t="shared" si="8"/>
        <v/>
      </c>
      <c r="AA552" s="949">
        <f t="shared" si="9"/>
        <v>0</v>
      </c>
      <c r="AB552" s="955"/>
      <c r="AC552" s="949" t="str">
        <f t="shared" si="10"/>
        <v/>
      </c>
      <c r="AD552" s="953">
        <f t="shared" si="11"/>
        <v>0</v>
      </c>
      <c r="AE552" s="956"/>
      <c r="AF552" s="889"/>
      <c r="AG552" s="810" t="b">
        <v>0</v>
      </c>
      <c r="AH552" s="780"/>
      <c r="AI552" s="780"/>
      <c r="AJ552" s="780"/>
      <c r="AK552" s="780"/>
      <c r="AL552" s="780"/>
      <c r="AM552" s="780"/>
      <c r="AN552" s="780"/>
      <c r="AO552" s="780"/>
      <c r="AP552" s="780"/>
      <c r="AQ552" s="780"/>
      <c r="AR552" s="780"/>
      <c r="AS552" s="780"/>
      <c r="AT552" s="780"/>
      <c r="AU552" s="780"/>
      <c r="AV552" s="780"/>
      <c r="AW552" s="780"/>
    </row>
    <row r="553">
      <c r="A553" s="941"/>
      <c r="B553" s="941"/>
      <c r="C553" s="995"/>
      <c r="D553" s="995"/>
      <c r="E553" s="995"/>
      <c r="F553" s="946"/>
      <c r="G553" s="946"/>
      <c r="H553" s="946"/>
      <c r="I553" s="947">
        <v>0.00138428</v>
      </c>
      <c r="J553" s="948">
        <v>0.035</v>
      </c>
      <c r="K553" s="949">
        <f t="shared" si="22"/>
        <v>0</v>
      </c>
      <c r="L553" s="950">
        <f t="shared" si="23"/>
        <v>0</v>
      </c>
      <c r="M553" s="948">
        <v>0.0215</v>
      </c>
      <c r="N553" s="951">
        <f t="shared" si="24"/>
        <v>0.00141404202</v>
      </c>
      <c r="O553" s="949">
        <f t="shared" si="25"/>
        <v>15</v>
      </c>
      <c r="P553" s="949">
        <f t="shared" si="77"/>
        <v>0.0215</v>
      </c>
      <c r="Q553" s="952">
        <f t="shared" si="79"/>
        <v>0</v>
      </c>
      <c r="R553" s="952">
        <f t="shared" si="78"/>
        <v>0</v>
      </c>
      <c r="S553" s="953"/>
      <c r="T553" s="949">
        <v>0.06</v>
      </c>
      <c r="U553" s="954"/>
      <c r="V553" s="949"/>
      <c r="W553" s="953"/>
      <c r="X553" s="949">
        <f t="shared" si="7"/>
        <v>0</v>
      </c>
      <c r="Y553" s="955"/>
      <c r="Z553" s="953" t="str">
        <f t="shared" si="8"/>
        <v/>
      </c>
      <c r="AA553" s="949">
        <f t="shared" si="9"/>
        <v>0</v>
      </c>
      <c r="AB553" s="955"/>
      <c r="AC553" s="949" t="str">
        <f t="shared" si="10"/>
        <v/>
      </c>
      <c r="AD553" s="953">
        <f t="shared" si="11"/>
        <v>0</v>
      </c>
      <c r="AE553" s="956"/>
      <c r="AF553" s="889"/>
      <c r="AG553" s="810" t="b">
        <v>0</v>
      </c>
      <c r="AH553" s="780"/>
      <c r="AI553" s="780"/>
      <c r="AJ553" s="780"/>
      <c r="AK553" s="780"/>
      <c r="AL553" s="780"/>
      <c r="AM553" s="780"/>
      <c r="AN553" s="780"/>
      <c r="AO553" s="780"/>
      <c r="AP553" s="780"/>
      <c r="AQ553" s="780"/>
      <c r="AR553" s="780"/>
      <c r="AS553" s="780"/>
      <c r="AT553" s="780"/>
      <c r="AU553" s="780"/>
      <c r="AV553" s="780"/>
      <c r="AW553" s="780"/>
    </row>
    <row r="554">
      <c r="A554" s="941"/>
      <c r="B554" s="941"/>
      <c r="C554" s="995"/>
      <c r="D554" s="995"/>
      <c r="E554" s="995"/>
      <c r="F554" s="946"/>
      <c r="G554" s="946"/>
      <c r="H554" s="946"/>
      <c r="I554" s="947">
        <v>0.00138428</v>
      </c>
      <c r="J554" s="948">
        <v>0.035</v>
      </c>
      <c r="K554" s="949">
        <f t="shared" si="22"/>
        <v>0</v>
      </c>
      <c r="L554" s="950">
        <f t="shared" si="23"/>
        <v>0</v>
      </c>
      <c r="M554" s="948">
        <v>0.0215</v>
      </c>
      <c r="N554" s="951">
        <f t="shared" si="24"/>
        <v>0.00141404202</v>
      </c>
      <c r="O554" s="949">
        <f t="shared" si="25"/>
        <v>15</v>
      </c>
      <c r="P554" s="949">
        <f t="shared" si="77"/>
        <v>0.0215</v>
      </c>
      <c r="Q554" s="952">
        <f t="shared" si="79"/>
        <v>0</v>
      </c>
      <c r="R554" s="952">
        <f t="shared" si="78"/>
        <v>0</v>
      </c>
      <c r="S554" s="953"/>
      <c r="T554" s="949">
        <v>0.06</v>
      </c>
      <c r="U554" s="954"/>
      <c r="V554" s="949"/>
      <c r="W554" s="953"/>
      <c r="X554" s="949">
        <f t="shared" si="7"/>
        <v>0</v>
      </c>
      <c r="Y554" s="955"/>
      <c r="Z554" s="953" t="str">
        <f t="shared" si="8"/>
        <v/>
      </c>
      <c r="AA554" s="949">
        <f t="shared" si="9"/>
        <v>0</v>
      </c>
      <c r="AB554" s="955"/>
      <c r="AC554" s="949" t="str">
        <f t="shared" si="10"/>
        <v/>
      </c>
      <c r="AD554" s="953">
        <f t="shared" si="11"/>
        <v>0</v>
      </c>
      <c r="AE554" s="956"/>
      <c r="AF554" s="889"/>
      <c r="AG554" s="810" t="b">
        <v>0</v>
      </c>
      <c r="AH554" s="780"/>
      <c r="AI554" s="780"/>
      <c r="AJ554" s="780"/>
      <c r="AK554" s="780"/>
      <c r="AL554" s="780"/>
      <c r="AM554" s="780"/>
      <c r="AN554" s="780"/>
      <c r="AO554" s="780"/>
      <c r="AP554" s="780"/>
      <c r="AQ554" s="780"/>
      <c r="AR554" s="780"/>
      <c r="AS554" s="780"/>
      <c r="AT554" s="780"/>
      <c r="AU554" s="780"/>
      <c r="AV554" s="780"/>
      <c r="AW554" s="780"/>
    </row>
    <row r="555">
      <c r="A555" s="941"/>
      <c r="B555" s="941"/>
      <c r="C555" s="995"/>
      <c r="D555" s="995"/>
      <c r="E555" s="995"/>
      <c r="F555" s="946"/>
      <c r="G555" s="946"/>
      <c r="H555" s="946"/>
      <c r="I555" s="947">
        <v>0.00138428</v>
      </c>
      <c r="J555" s="948">
        <v>0.035</v>
      </c>
      <c r="K555" s="949">
        <f t="shared" si="22"/>
        <v>0</v>
      </c>
      <c r="L555" s="950">
        <f t="shared" si="23"/>
        <v>0</v>
      </c>
      <c r="M555" s="948">
        <v>0.0215</v>
      </c>
      <c r="N555" s="951">
        <f t="shared" si="24"/>
        <v>0.00141404202</v>
      </c>
      <c r="O555" s="949">
        <f t="shared" si="25"/>
        <v>15</v>
      </c>
      <c r="P555" s="949">
        <f t="shared" si="77"/>
        <v>0.0215</v>
      </c>
      <c r="Q555" s="952">
        <f t="shared" si="79"/>
        <v>0</v>
      </c>
      <c r="R555" s="952">
        <f t="shared" si="78"/>
        <v>0</v>
      </c>
      <c r="S555" s="953"/>
      <c r="T555" s="949">
        <v>0.06</v>
      </c>
      <c r="U555" s="954"/>
      <c r="V555" s="949"/>
      <c r="W555" s="953"/>
      <c r="X555" s="949">
        <f t="shared" si="7"/>
        <v>0</v>
      </c>
      <c r="Y555" s="955"/>
      <c r="Z555" s="953" t="str">
        <f t="shared" si="8"/>
        <v/>
      </c>
      <c r="AA555" s="949">
        <f t="shared" si="9"/>
        <v>0</v>
      </c>
      <c r="AB555" s="955"/>
      <c r="AC555" s="949" t="str">
        <f t="shared" si="10"/>
        <v/>
      </c>
      <c r="AD555" s="953">
        <f t="shared" si="11"/>
        <v>0</v>
      </c>
      <c r="AE555" s="956"/>
      <c r="AF555" s="889"/>
      <c r="AG555" s="810" t="b">
        <v>0</v>
      </c>
      <c r="AH555" s="780"/>
      <c r="AI555" s="780"/>
      <c r="AJ555" s="780"/>
      <c r="AK555" s="780"/>
      <c r="AL555" s="780"/>
      <c r="AM555" s="780"/>
      <c r="AN555" s="780"/>
      <c r="AO555" s="780"/>
      <c r="AP555" s="780"/>
      <c r="AQ555" s="780"/>
      <c r="AR555" s="780"/>
      <c r="AS555" s="780"/>
      <c r="AT555" s="780"/>
      <c r="AU555" s="780"/>
      <c r="AV555" s="780"/>
      <c r="AW555" s="780"/>
    </row>
    <row r="556">
      <c r="A556" s="941"/>
      <c r="B556" s="941"/>
      <c r="C556" s="995"/>
      <c r="D556" s="995"/>
      <c r="E556" s="995"/>
      <c r="F556" s="946"/>
      <c r="G556" s="946"/>
      <c r="H556" s="946"/>
      <c r="I556" s="947">
        <v>0.00138428</v>
      </c>
      <c r="J556" s="948">
        <v>0.035</v>
      </c>
      <c r="K556" s="949">
        <f t="shared" si="22"/>
        <v>0</v>
      </c>
      <c r="L556" s="950">
        <f t="shared" si="23"/>
        <v>0</v>
      </c>
      <c r="M556" s="948">
        <v>0.0215</v>
      </c>
      <c r="N556" s="951">
        <f t="shared" si="24"/>
        <v>0.00141404202</v>
      </c>
      <c r="O556" s="949">
        <f t="shared" si="25"/>
        <v>15</v>
      </c>
      <c r="P556" s="949">
        <f t="shared" si="77"/>
        <v>0.0215</v>
      </c>
      <c r="Q556" s="952">
        <f t="shared" si="79"/>
        <v>0</v>
      </c>
      <c r="R556" s="952">
        <f t="shared" si="78"/>
        <v>0</v>
      </c>
      <c r="S556" s="953"/>
      <c r="T556" s="949">
        <v>0.06</v>
      </c>
      <c r="U556" s="954"/>
      <c r="V556" s="949"/>
      <c r="W556" s="953"/>
      <c r="X556" s="949">
        <f t="shared" si="7"/>
        <v>0</v>
      </c>
      <c r="Y556" s="955"/>
      <c r="Z556" s="953" t="str">
        <f t="shared" si="8"/>
        <v/>
      </c>
      <c r="AA556" s="949">
        <f t="shared" si="9"/>
        <v>0</v>
      </c>
      <c r="AB556" s="955"/>
      <c r="AC556" s="949" t="str">
        <f t="shared" si="10"/>
        <v/>
      </c>
      <c r="AD556" s="953">
        <f t="shared" si="11"/>
        <v>0</v>
      </c>
      <c r="AE556" s="956"/>
      <c r="AF556" s="889"/>
      <c r="AG556" s="810" t="b">
        <v>0</v>
      </c>
      <c r="AH556" s="780"/>
      <c r="AI556" s="780"/>
      <c r="AJ556" s="780"/>
      <c r="AK556" s="780"/>
      <c r="AL556" s="780"/>
      <c r="AM556" s="780"/>
      <c r="AN556" s="780"/>
      <c r="AO556" s="780"/>
      <c r="AP556" s="780"/>
      <c r="AQ556" s="780"/>
      <c r="AR556" s="780"/>
      <c r="AS556" s="780"/>
      <c r="AT556" s="780"/>
      <c r="AU556" s="780"/>
      <c r="AV556" s="780"/>
      <c r="AW556" s="780"/>
    </row>
    <row r="557">
      <c r="A557" s="941"/>
      <c r="B557" s="941"/>
      <c r="C557" s="995"/>
      <c r="D557" s="995"/>
      <c r="E557" s="995"/>
      <c r="F557" s="946"/>
      <c r="G557" s="946"/>
      <c r="H557" s="946"/>
      <c r="I557" s="947">
        <v>0.00138428</v>
      </c>
      <c r="J557" s="948">
        <v>0.035</v>
      </c>
      <c r="K557" s="949">
        <f t="shared" si="22"/>
        <v>0</v>
      </c>
      <c r="L557" s="950">
        <f t="shared" si="23"/>
        <v>0</v>
      </c>
      <c r="M557" s="948">
        <v>0.0215</v>
      </c>
      <c r="N557" s="951">
        <f t="shared" si="24"/>
        <v>0.00141404202</v>
      </c>
      <c r="O557" s="949">
        <f t="shared" si="25"/>
        <v>15</v>
      </c>
      <c r="P557" s="949">
        <f t="shared" si="77"/>
        <v>0.0215</v>
      </c>
      <c r="Q557" s="952">
        <f t="shared" si="79"/>
        <v>0</v>
      </c>
      <c r="R557" s="952">
        <f t="shared" si="78"/>
        <v>0</v>
      </c>
      <c r="S557" s="953"/>
      <c r="T557" s="949">
        <v>0.06</v>
      </c>
      <c r="U557" s="954"/>
      <c r="V557" s="949"/>
      <c r="W557" s="953"/>
      <c r="X557" s="949">
        <f t="shared" si="7"/>
        <v>0</v>
      </c>
      <c r="Y557" s="955"/>
      <c r="Z557" s="953" t="str">
        <f t="shared" si="8"/>
        <v/>
      </c>
      <c r="AA557" s="949">
        <f t="shared" si="9"/>
        <v>0</v>
      </c>
      <c r="AB557" s="955"/>
      <c r="AC557" s="949" t="str">
        <f t="shared" si="10"/>
        <v/>
      </c>
      <c r="AD557" s="953">
        <f t="shared" si="11"/>
        <v>0</v>
      </c>
      <c r="AE557" s="956"/>
      <c r="AF557" s="889"/>
      <c r="AG557" s="810" t="b">
        <v>0</v>
      </c>
      <c r="AH557" s="780"/>
      <c r="AI557" s="780"/>
      <c r="AJ557" s="780"/>
      <c r="AK557" s="780"/>
      <c r="AL557" s="780"/>
      <c r="AM557" s="780"/>
      <c r="AN557" s="780"/>
      <c r="AO557" s="780"/>
      <c r="AP557" s="780"/>
      <c r="AQ557" s="780"/>
      <c r="AR557" s="780"/>
      <c r="AS557" s="780"/>
      <c r="AT557" s="780"/>
      <c r="AU557" s="780"/>
      <c r="AV557" s="780"/>
      <c r="AW557" s="780"/>
    </row>
    <row r="558">
      <c r="A558" s="941"/>
      <c r="B558" s="941"/>
      <c r="C558" s="995"/>
      <c r="D558" s="1001"/>
      <c r="E558" s="944"/>
      <c r="F558" s="946"/>
      <c r="G558" s="946"/>
      <c r="H558" s="946"/>
      <c r="I558" s="947">
        <v>0.00138428</v>
      </c>
      <c r="J558" s="948">
        <v>0.035</v>
      </c>
      <c r="K558" s="949">
        <f t="shared" si="22"/>
        <v>0</v>
      </c>
      <c r="L558" s="950">
        <f t="shared" si="23"/>
        <v>0</v>
      </c>
      <c r="M558" s="948">
        <v>0.0215</v>
      </c>
      <c r="N558" s="951">
        <f t="shared" si="24"/>
        <v>0.00141404202</v>
      </c>
      <c r="O558" s="949">
        <f t="shared" si="25"/>
        <v>15</v>
      </c>
      <c r="P558" s="949">
        <f t="shared" si="77"/>
        <v>0.0215</v>
      </c>
      <c r="Q558" s="952">
        <f t="shared" si="79"/>
        <v>0</v>
      </c>
      <c r="R558" s="952">
        <f t="shared" si="78"/>
        <v>0</v>
      </c>
      <c r="S558" s="953"/>
      <c r="T558" s="949">
        <v>0.06</v>
      </c>
      <c r="U558" s="954"/>
      <c r="V558" s="949"/>
      <c r="W558" s="953"/>
      <c r="X558" s="949">
        <f t="shared" si="7"/>
        <v>0</v>
      </c>
      <c r="Y558" s="955"/>
      <c r="Z558" s="953" t="str">
        <f t="shared" si="8"/>
        <v/>
      </c>
      <c r="AA558" s="949">
        <f t="shared" si="9"/>
        <v>0</v>
      </c>
      <c r="AB558" s="955"/>
      <c r="AC558" s="949" t="str">
        <f t="shared" si="10"/>
        <v/>
      </c>
      <c r="AD558" s="953">
        <f t="shared" si="11"/>
        <v>0</v>
      </c>
      <c r="AE558" s="956"/>
      <c r="AF558" s="889"/>
      <c r="AG558" s="810" t="b">
        <v>0</v>
      </c>
      <c r="AH558" s="780"/>
      <c r="AI558" s="780"/>
      <c r="AJ558" s="780"/>
      <c r="AK558" s="780"/>
      <c r="AL558" s="780"/>
      <c r="AM558" s="780"/>
      <c r="AN558" s="780"/>
      <c r="AO558" s="780"/>
      <c r="AP558" s="780"/>
      <c r="AQ558" s="780"/>
      <c r="AR558" s="780"/>
      <c r="AS558" s="780"/>
      <c r="AT558" s="780"/>
      <c r="AU558" s="780"/>
      <c r="AV558" s="780"/>
      <c r="AW558" s="780"/>
    </row>
    <row r="559">
      <c r="A559" s="941"/>
      <c r="B559" s="941"/>
      <c r="C559" s="995"/>
      <c r="D559" s="995"/>
      <c r="E559" s="995"/>
      <c r="F559" s="946"/>
      <c r="G559" s="946"/>
      <c r="H559" s="946"/>
      <c r="I559" s="947">
        <v>0.00138428</v>
      </c>
      <c r="J559" s="948">
        <v>0.035</v>
      </c>
      <c r="K559" s="949">
        <f t="shared" si="22"/>
        <v>0</v>
      </c>
      <c r="L559" s="950">
        <f t="shared" si="23"/>
        <v>0</v>
      </c>
      <c r="M559" s="948">
        <v>0.0215</v>
      </c>
      <c r="N559" s="951">
        <f t="shared" si="24"/>
        <v>0.00141404202</v>
      </c>
      <c r="O559" s="949">
        <f t="shared" si="25"/>
        <v>15</v>
      </c>
      <c r="P559" s="949">
        <f t="shared" si="77"/>
        <v>0.0215</v>
      </c>
      <c r="Q559" s="952">
        <f t="shared" si="79"/>
        <v>0</v>
      </c>
      <c r="R559" s="952">
        <f t="shared" si="78"/>
        <v>0</v>
      </c>
      <c r="S559" s="953"/>
      <c r="T559" s="949">
        <v>0.06</v>
      </c>
      <c r="U559" s="954"/>
      <c r="V559" s="949"/>
      <c r="W559" s="953"/>
      <c r="X559" s="949">
        <f t="shared" si="7"/>
        <v>0</v>
      </c>
      <c r="Y559" s="955"/>
      <c r="Z559" s="953" t="str">
        <f t="shared" si="8"/>
        <v/>
      </c>
      <c r="AA559" s="949">
        <f t="shared" si="9"/>
        <v>0</v>
      </c>
      <c r="AB559" s="955"/>
      <c r="AC559" s="949" t="str">
        <f t="shared" si="10"/>
        <v/>
      </c>
      <c r="AD559" s="953">
        <f t="shared" si="11"/>
        <v>0</v>
      </c>
      <c r="AE559" s="956"/>
      <c r="AF559" s="889"/>
      <c r="AG559" s="810" t="b">
        <v>0</v>
      </c>
      <c r="AH559" s="780"/>
      <c r="AI559" s="780"/>
      <c r="AJ559" s="780"/>
      <c r="AK559" s="780"/>
      <c r="AL559" s="780"/>
      <c r="AM559" s="780"/>
      <c r="AN559" s="780"/>
      <c r="AO559" s="780"/>
      <c r="AP559" s="780"/>
      <c r="AQ559" s="780"/>
      <c r="AR559" s="780"/>
      <c r="AS559" s="780"/>
      <c r="AT559" s="780"/>
      <c r="AU559" s="780"/>
      <c r="AV559" s="780"/>
      <c r="AW559" s="780"/>
    </row>
    <row r="560">
      <c r="A560" s="941"/>
      <c r="B560" s="941"/>
      <c r="C560" s="995"/>
      <c r="D560" s="995"/>
      <c r="E560" s="995"/>
      <c r="F560" s="946"/>
      <c r="G560" s="946"/>
      <c r="H560" s="946"/>
      <c r="I560" s="947">
        <v>0.00138428</v>
      </c>
      <c r="J560" s="948">
        <v>0.035</v>
      </c>
      <c r="K560" s="949">
        <f t="shared" si="22"/>
        <v>0</v>
      </c>
      <c r="L560" s="950">
        <f t="shared" si="23"/>
        <v>0</v>
      </c>
      <c r="M560" s="948">
        <v>0.0215</v>
      </c>
      <c r="N560" s="951">
        <f t="shared" si="24"/>
        <v>0.00141404202</v>
      </c>
      <c r="O560" s="949">
        <f t="shared" si="25"/>
        <v>15</v>
      </c>
      <c r="P560" s="949">
        <f t="shared" si="77"/>
        <v>0.0215</v>
      </c>
      <c r="Q560" s="952">
        <f t="shared" si="79"/>
        <v>0</v>
      </c>
      <c r="R560" s="952">
        <f t="shared" si="78"/>
        <v>0</v>
      </c>
      <c r="S560" s="953"/>
      <c r="T560" s="949">
        <v>0.06</v>
      </c>
      <c r="U560" s="954"/>
      <c r="V560" s="949"/>
      <c r="W560" s="953"/>
      <c r="X560" s="949">
        <f t="shared" si="7"/>
        <v>0</v>
      </c>
      <c r="Y560" s="955"/>
      <c r="Z560" s="953" t="str">
        <f t="shared" si="8"/>
        <v/>
      </c>
      <c r="AA560" s="949">
        <f t="shared" si="9"/>
        <v>0</v>
      </c>
      <c r="AB560" s="955"/>
      <c r="AC560" s="949" t="str">
        <f t="shared" si="10"/>
        <v/>
      </c>
      <c r="AD560" s="953">
        <f t="shared" si="11"/>
        <v>0</v>
      </c>
      <c r="AE560" s="956"/>
      <c r="AF560" s="889"/>
      <c r="AG560" s="810" t="b">
        <v>0</v>
      </c>
      <c r="AH560" s="780"/>
      <c r="AI560" s="780"/>
      <c r="AJ560" s="780"/>
      <c r="AK560" s="780"/>
      <c r="AL560" s="780"/>
      <c r="AM560" s="780"/>
      <c r="AN560" s="780"/>
      <c r="AO560" s="780"/>
      <c r="AP560" s="780"/>
      <c r="AQ560" s="780"/>
      <c r="AR560" s="780"/>
      <c r="AS560" s="780"/>
      <c r="AT560" s="780"/>
      <c r="AU560" s="780"/>
      <c r="AV560" s="780"/>
      <c r="AW560" s="780"/>
    </row>
    <row r="561">
      <c r="A561" s="941"/>
      <c r="B561" s="941"/>
      <c r="C561" s="995"/>
      <c r="D561" s="995"/>
      <c r="E561" s="995"/>
      <c r="F561" s="946"/>
      <c r="G561" s="946"/>
      <c r="H561" s="946"/>
      <c r="I561" s="947">
        <v>0.00138428</v>
      </c>
      <c r="J561" s="948">
        <v>0.035</v>
      </c>
      <c r="K561" s="949">
        <f t="shared" si="22"/>
        <v>0</v>
      </c>
      <c r="L561" s="950">
        <f t="shared" si="23"/>
        <v>0</v>
      </c>
      <c r="M561" s="948">
        <v>0.0215</v>
      </c>
      <c r="N561" s="951">
        <f t="shared" si="24"/>
        <v>0.00141404202</v>
      </c>
      <c r="O561" s="949">
        <f t="shared" si="25"/>
        <v>15</v>
      </c>
      <c r="P561" s="949">
        <f t="shared" si="77"/>
        <v>0.0215</v>
      </c>
      <c r="Q561" s="952">
        <f t="shared" si="79"/>
        <v>0</v>
      </c>
      <c r="R561" s="952">
        <f t="shared" si="78"/>
        <v>0</v>
      </c>
      <c r="S561" s="953"/>
      <c r="T561" s="949">
        <v>0.06</v>
      </c>
      <c r="U561" s="954"/>
      <c r="V561" s="949"/>
      <c r="W561" s="953"/>
      <c r="X561" s="949">
        <f t="shared" si="7"/>
        <v>0</v>
      </c>
      <c r="Y561" s="955"/>
      <c r="Z561" s="953" t="str">
        <f t="shared" si="8"/>
        <v/>
      </c>
      <c r="AA561" s="949">
        <f t="shared" si="9"/>
        <v>0</v>
      </c>
      <c r="AB561" s="955"/>
      <c r="AC561" s="949" t="str">
        <f t="shared" si="10"/>
        <v/>
      </c>
      <c r="AD561" s="953">
        <f t="shared" si="11"/>
        <v>0</v>
      </c>
      <c r="AE561" s="956"/>
      <c r="AF561" s="889"/>
      <c r="AG561" s="810" t="b">
        <v>0</v>
      </c>
      <c r="AH561" s="780"/>
      <c r="AI561" s="780"/>
      <c r="AJ561" s="780"/>
      <c r="AK561" s="780"/>
      <c r="AL561" s="780"/>
      <c r="AM561" s="780"/>
      <c r="AN561" s="780"/>
      <c r="AO561" s="780"/>
      <c r="AP561" s="780"/>
      <c r="AQ561" s="780"/>
      <c r="AR561" s="780"/>
      <c r="AS561" s="780"/>
      <c r="AT561" s="780"/>
      <c r="AU561" s="780"/>
      <c r="AV561" s="780"/>
      <c r="AW561" s="780"/>
    </row>
    <row r="562">
      <c r="A562" s="941"/>
      <c r="B562" s="941"/>
      <c r="C562" s="995"/>
      <c r="D562" s="995"/>
      <c r="E562" s="995"/>
      <c r="F562" s="946"/>
      <c r="G562" s="946"/>
      <c r="H562" s="946"/>
      <c r="I562" s="947">
        <v>0.00138428</v>
      </c>
      <c r="J562" s="948">
        <v>0.035</v>
      </c>
      <c r="K562" s="949">
        <f t="shared" si="22"/>
        <v>0</v>
      </c>
      <c r="L562" s="950">
        <f t="shared" si="23"/>
        <v>0</v>
      </c>
      <c r="M562" s="948">
        <v>0.0215</v>
      </c>
      <c r="N562" s="951">
        <f t="shared" si="24"/>
        <v>0.00141404202</v>
      </c>
      <c r="O562" s="949">
        <f t="shared" si="25"/>
        <v>15</v>
      </c>
      <c r="P562" s="949">
        <f t="shared" si="77"/>
        <v>0.0215</v>
      </c>
      <c r="Q562" s="952">
        <f t="shared" si="79"/>
        <v>0</v>
      </c>
      <c r="R562" s="952">
        <f t="shared" si="78"/>
        <v>0</v>
      </c>
      <c r="S562" s="953"/>
      <c r="T562" s="949">
        <v>0.06</v>
      </c>
      <c r="U562" s="954"/>
      <c r="V562" s="949"/>
      <c r="W562" s="953"/>
      <c r="X562" s="949">
        <f t="shared" si="7"/>
        <v>0</v>
      </c>
      <c r="Y562" s="955"/>
      <c r="Z562" s="953" t="str">
        <f t="shared" si="8"/>
        <v/>
      </c>
      <c r="AA562" s="949">
        <f t="shared" si="9"/>
        <v>0</v>
      </c>
      <c r="AB562" s="955"/>
      <c r="AC562" s="949" t="str">
        <f t="shared" si="10"/>
        <v/>
      </c>
      <c r="AD562" s="953">
        <f t="shared" si="11"/>
        <v>0</v>
      </c>
      <c r="AE562" s="956"/>
      <c r="AF562" s="889"/>
      <c r="AG562" s="810" t="b">
        <v>0</v>
      </c>
      <c r="AH562" s="780"/>
      <c r="AI562" s="780"/>
      <c r="AJ562" s="780"/>
      <c r="AK562" s="780"/>
      <c r="AL562" s="780"/>
      <c r="AM562" s="780"/>
      <c r="AN562" s="780"/>
      <c r="AO562" s="780"/>
      <c r="AP562" s="780"/>
      <c r="AQ562" s="780"/>
      <c r="AR562" s="780"/>
      <c r="AS562" s="780"/>
      <c r="AT562" s="780"/>
      <c r="AU562" s="780"/>
      <c r="AV562" s="780"/>
      <c r="AW562" s="780"/>
    </row>
    <row r="563">
      <c r="A563" s="941"/>
      <c r="B563" s="941"/>
      <c r="C563" s="995"/>
      <c r="D563" s="995"/>
      <c r="E563" s="995"/>
      <c r="F563" s="946"/>
      <c r="G563" s="946"/>
      <c r="H563" s="946"/>
      <c r="I563" s="947">
        <v>0.00138428</v>
      </c>
      <c r="J563" s="948">
        <v>0.035</v>
      </c>
      <c r="K563" s="949">
        <f t="shared" si="22"/>
        <v>0</v>
      </c>
      <c r="L563" s="950">
        <f t="shared" si="23"/>
        <v>0</v>
      </c>
      <c r="M563" s="948">
        <v>0.0215</v>
      </c>
      <c r="N563" s="951">
        <f t="shared" si="24"/>
        <v>0.00141404202</v>
      </c>
      <c r="O563" s="949">
        <f t="shared" si="25"/>
        <v>15</v>
      </c>
      <c r="P563" s="949">
        <f t="shared" si="77"/>
        <v>0.0215</v>
      </c>
      <c r="Q563" s="952">
        <f t="shared" si="79"/>
        <v>0</v>
      </c>
      <c r="R563" s="952">
        <f t="shared" si="78"/>
        <v>0</v>
      </c>
      <c r="S563" s="953"/>
      <c r="T563" s="949">
        <v>0.06</v>
      </c>
      <c r="U563" s="954"/>
      <c r="V563" s="949"/>
      <c r="W563" s="953"/>
      <c r="X563" s="949">
        <f t="shared" si="7"/>
        <v>0</v>
      </c>
      <c r="Y563" s="955"/>
      <c r="Z563" s="953" t="str">
        <f t="shared" si="8"/>
        <v/>
      </c>
      <c r="AA563" s="949">
        <f t="shared" si="9"/>
        <v>0</v>
      </c>
      <c r="AB563" s="955"/>
      <c r="AC563" s="949" t="str">
        <f t="shared" si="10"/>
        <v/>
      </c>
      <c r="AD563" s="953">
        <f t="shared" si="11"/>
        <v>0</v>
      </c>
      <c r="AE563" s="956"/>
      <c r="AF563" s="889"/>
      <c r="AG563" s="810" t="b">
        <v>0</v>
      </c>
      <c r="AH563" s="780"/>
      <c r="AI563" s="780"/>
      <c r="AJ563" s="780"/>
      <c r="AK563" s="780"/>
      <c r="AL563" s="780"/>
      <c r="AM563" s="780"/>
      <c r="AN563" s="780"/>
      <c r="AO563" s="780"/>
      <c r="AP563" s="780"/>
      <c r="AQ563" s="780"/>
      <c r="AR563" s="780"/>
      <c r="AS563" s="780"/>
      <c r="AT563" s="780"/>
      <c r="AU563" s="780"/>
      <c r="AV563" s="780"/>
      <c r="AW563" s="780"/>
    </row>
    <row r="564">
      <c r="A564" s="941"/>
      <c r="B564" s="941"/>
      <c r="C564" s="995"/>
      <c r="D564" s="995"/>
      <c r="E564" s="995"/>
      <c r="F564" s="946"/>
      <c r="G564" s="946"/>
      <c r="H564" s="946"/>
      <c r="I564" s="947">
        <v>0.00138428</v>
      </c>
      <c r="J564" s="948">
        <v>0.035</v>
      </c>
      <c r="K564" s="949">
        <f t="shared" si="22"/>
        <v>0</v>
      </c>
      <c r="L564" s="950">
        <f t="shared" si="23"/>
        <v>0</v>
      </c>
      <c r="M564" s="948">
        <v>0.0215</v>
      </c>
      <c r="N564" s="951">
        <f t="shared" si="24"/>
        <v>0.00141404202</v>
      </c>
      <c r="O564" s="949">
        <f t="shared" si="25"/>
        <v>15</v>
      </c>
      <c r="P564" s="949">
        <f t="shared" si="77"/>
        <v>0.0215</v>
      </c>
      <c r="Q564" s="952">
        <f t="shared" si="79"/>
        <v>0</v>
      </c>
      <c r="R564" s="952">
        <f t="shared" si="78"/>
        <v>0</v>
      </c>
      <c r="S564" s="953"/>
      <c r="T564" s="949">
        <v>0.06</v>
      </c>
      <c r="U564" s="954"/>
      <c r="V564" s="949"/>
      <c r="W564" s="953"/>
      <c r="X564" s="949">
        <f t="shared" si="7"/>
        <v>0</v>
      </c>
      <c r="Y564" s="955"/>
      <c r="Z564" s="953" t="str">
        <f t="shared" si="8"/>
        <v/>
      </c>
      <c r="AA564" s="949">
        <f t="shared" si="9"/>
        <v>0</v>
      </c>
      <c r="AB564" s="955"/>
      <c r="AC564" s="949" t="str">
        <f t="shared" si="10"/>
        <v/>
      </c>
      <c r="AD564" s="953">
        <f t="shared" si="11"/>
        <v>0</v>
      </c>
      <c r="AE564" s="956"/>
      <c r="AF564" s="889"/>
      <c r="AG564" s="810" t="b">
        <v>0</v>
      </c>
      <c r="AH564" s="780"/>
      <c r="AI564" s="780"/>
      <c r="AJ564" s="780"/>
      <c r="AK564" s="780"/>
      <c r="AL564" s="780"/>
      <c r="AM564" s="780"/>
      <c r="AN564" s="780"/>
      <c r="AO564" s="780"/>
      <c r="AP564" s="780"/>
      <c r="AQ564" s="780"/>
      <c r="AR564" s="780"/>
      <c r="AS564" s="780"/>
      <c r="AT564" s="780"/>
      <c r="AU564" s="780"/>
      <c r="AV564" s="780"/>
      <c r="AW564" s="780"/>
    </row>
    <row r="565">
      <c r="A565" s="941"/>
      <c r="B565" s="941"/>
      <c r="C565" s="995"/>
      <c r="D565" s="944"/>
      <c r="E565" s="944"/>
      <c r="F565" s="946"/>
      <c r="G565" s="946"/>
      <c r="H565" s="946"/>
      <c r="I565" s="947">
        <v>0.00138428</v>
      </c>
      <c r="J565" s="948">
        <v>0.035</v>
      </c>
      <c r="K565" s="949">
        <f t="shared" si="22"/>
        <v>0</v>
      </c>
      <c r="L565" s="950">
        <f t="shared" si="23"/>
        <v>0</v>
      </c>
      <c r="M565" s="948">
        <v>0.0215</v>
      </c>
      <c r="N565" s="951">
        <f t="shared" si="24"/>
        <v>0.00141404202</v>
      </c>
      <c r="O565" s="949">
        <f t="shared" si="25"/>
        <v>15</v>
      </c>
      <c r="P565" s="949">
        <f t="shared" si="77"/>
        <v>0.0215</v>
      </c>
      <c r="Q565" s="952">
        <f t="shared" si="79"/>
        <v>0</v>
      </c>
      <c r="R565" s="952">
        <f t="shared" si="78"/>
        <v>0</v>
      </c>
      <c r="S565" s="953"/>
      <c r="T565" s="949">
        <v>0.06</v>
      </c>
      <c r="U565" s="954"/>
      <c r="V565" s="949"/>
      <c r="W565" s="953"/>
      <c r="X565" s="949">
        <f t="shared" si="7"/>
        <v>0</v>
      </c>
      <c r="Y565" s="955"/>
      <c r="Z565" s="953" t="str">
        <f t="shared" si="8"/>
        <v/>
      </c>
      <c r="AA565" s="949">
        <f t="shared" si="9"/>
        <v>0</v>
      </c>
      <c r="AB565" s="955"/>
      <c r="AC565" s="949" t="str">
        <f t="shared" si="10"/>
        <v/>
      </c>
      <c r="AD565" s="953">
        <f t="shared" si="11"/>
        <v>0</v>
      </c>
      <c r="AE565" s="956"/>
      <c r="AF565" s="889"/>
      <c r="AG565" s="810" t="b">
        <v>0</v>
      </c>
      <c r="AH565" s="780"/>
      <c r="AI565" s="780"/>
      <c r="AJ565" s="780"/>
      <c r="AK565" s="780"/>
      <c r="AL565" s="780"/>
      <c r="AM565" s="780"/>
      <c r="AN565" s="780"/>
      <c r="AO565" s="780"/>
      <c r="AP565" s="780"/>
      <c r="AQ565" s="780"/>
      <c r="AR565" s="780"/>
      <c r="AS565" s="780"/>
      <c r="AT565" s="780"/>
      <c r="AU565" s="780"/>
      <c r="AV565" s="780"/>
      <c r="AW565" s="780"/>
    </row>
    <row r="566">
      <c r="A566" s="941"/>
      <c r="B566" s="941"/>
      <c r="C566" s="995"/>
      <c r="D566" s="995"/>
      <c r="E566" s="995"/>
      <c r="F566" s="946"/>
      <c r="G566" s="946"/>
      <c r="H566" s="946"/>
      <c r="I566" s="947">
        <v>0.00138428</v>
      </c>
      <c r="J566" s="948">
        <v>0.035</v>
      </c>
      <c r="K566" s="949">
        <f t="shared" si="22"/>
        <v>0</v>
      </c>
      <c r="L566" s="950">
        <f t="shared" si="23"/>
        <v>0</v>
      </c>
      <c r="M566" s="948">
        <v>0.0215</v>
      </c>
      <c r="N566" s="951">
        <f t="shared" si="24"/>
        <v>0.00141404202</v>
      </c>
      <c r="O566" s="949">
        <f t="shared" si="25"/>
        <v>15</v>
      </c>
      <c r="P566" s="949">
        <f t="shared" si="77"/>
        <v>0.0215</v>
      </c>
      <c r="Q566" s="952">
        <f t="shared" si="79"/>
        <v>0</v>
      </c>
      <c r="R566" s="952">
        <f t="shared" si="78"/>
        <v>0</v>
      </c>
      <c r="S566" s="953"/>
      <c r="T566" s="949">
        <v>0.06</v>
      </c>
      <c r="U566" s="954"/>
      <c r="V566" s="949"/>
      <c r="W566" s="953"/>
      <c r="X566" s="949">
        <f t="shared" si="7"/>
        <v>0</v>
      </c>
      <c r="Y566" s="955"/>
      <c r="Z566" s="953" t="str">
        <f t="shared" si="8"/>
        <v/>
      </c>
      <c r="AA566" s="949">
        <f t="shared" si="9"/>
        <v>0</v>
      </c>
      <c r="AB566" s="955"/>
      <c r="AC566" s="949" t="str">
        <f t="shared" si="10"/>
        <v/>
      </c>
      <c r="AD566" s="953">
        <f t="shared" si="11"/>
        <v>0</v>
      </c>
      <c r="AE566" s="956"/>
      <c r="AF566" s="889"/>
      <c r="AG566" s="810" t="b">
        <v>0</v>
      </c>
      <c r="AH566" s="780"/>
      <c r="AI566" s="780"/>
      <c r="AJ566" s="780"/>
      <c r="AK566" s="780"/>
      <c r="AL566" s="780"/>
      <c r="AM566" s="780"/>
      <c r="AN566" s="780"/>
      <c r="AO566" s="780"/>
      <c r="AP566" s="780"/>
      <c r="AQ566" s="780"/>
      <c r="AR566" s="780"/>
      <c r="AS566" s="780"/>
      <c r="AT566" s="780"/>
      <c r="AU566" s="780"/>
      <c r="AV566" s="780"/>
      <c r="AW566" s="780"/>
    </row>
    <row r="567">
      <c r="A567" s="941"/>
      <c r="B567" s="941"/>
      <c r="C567" s="995"/>
      <c r="D567" s="944"/>
      <c r="E567" s="944"/>
      <c r="F567" s="946"/>
      <c r="G567" s="946"/>
      <c r="H567" s="946"/>
      <c r="I567" s="947">
        <v>0.00138428</v>
      </c>
      <c r="J567" s="948">
        <v>0.035</v>
      </c>
      <c r="K567" s="949">
        <f t="shared" si="22"/>
        <v>0</v>
      </c>
      <c r="L567" s="950">
        <f t="shared" si="23"/>
        <v>0</v>
      </c>
      <c r="M567" s="948">
        <v>0.0215</v>
      </c>
      <c r="N567" s="951">
        <f t="shared" si="24"/>
        <v>0.00141404202</v>
      </c>
      <c r="O567" s="949">
        <f t="shared" si="25"/>
        <v>15</v>
      </c>
      <c r="P567" s="949">
        <f t="shared" si="77"/>
        <v>0.0215</v>
      </c>
      <c r="Q567" s="952">
        <f t="shared" si="79"/>
        <v>0</v>
      </c>
      <c r="R567" s="952">
        <f t="shared" si="78"/>
        <v>0</v>
      </c>
      <c r="S567" s="953"/>
      <c r="T567" s="949">
        <v>0.06</v>
      </c>
      <c r="U567" s="954"/>
      <c r="V567" s="949"/>
      <c r="W567" s="953"/>
      <c r="X567" s="949">
        <f t="shared" si="7"/>
        <v>0</v>
      </c>
      <c r="Y567" s="955"/>
      <c r="Z567" s="953" t="str">
        <f t="shared" si="8"/>
        <v/>
      </c>
      <c r="AA567" s="949">
        <f t="shared" si="9"/>
        <v>0</v>
      </c>
      <c r="AB567" s="955"/>
      <c r="AC567" s="949" t="str">
        <f t="shared" si="10"/>
        <v/>
      </c>
      <c r="AD567" s="953">
        <f t="shared" si="11"/>
        <v>0</v>
      </c>
      <c r="AE567" s="956"/>
      <c r="AF567" s="889"/>
      <c r="AG567" s="810" t="b">
        <v>0</v>
      </c>
      <c r="AH567" s="780"/>
      <c r="AI567" s="780"/>
      <c r="AJ567" s="780"/>
      <c r="AK567" s="780"/>
      <c r="AL567" s="780"/>
      <c r="AM567" s="780"/>
      <c r="AN567" s="780"/>
      <c r="AO567" s="780"/>
      <c r="AP567" s="780"/>
      <c r="AQ567" s="780"/>
      <c r="AR567" s="780"/>
      <c r="AS567" s="780"/>
      <c r="AT567" s="780"/>
      <c r="AU567" s="780"/>
      <c r="AV567" s="780"/>
      <c r="AW567" s="780"/>
    </row>
    <row r="568">
      <c r="A568" s="941"/>
      <c r="B568" s="941"/>
      <c r="C568" s="995"/>
      <c r="D568" s="995"/>
      <c r="E568" s="995"/>
      <c r="F568" s="946"/>
      <c r="G568" s="946"/>
      <c r="H568" s="946"/>
      <c r="I568" s="947">
        <v>0.00138428</v>
      </c>
      <c r="J568" s="948">
        <v>0.035</v>
      </c>
      <c r="K568" s="949">
        <f t="shared" si="22"/>
        <v>0</v>
      </c>
      <c r="L568" s="950">
        <f t="shared" si="23"/>
        <v>0</v>
      </c>
      <c r="M568" s="948">
        <v>0.0215</v>
      </c>
      <c r="N568" s="951">
        <f t="shared" si="24"/>
        <v>0.00141404202</v>
      </c>
      <c r="O568" s="949">
        <f t="shared" si="25"/>
        <v>15</v>
      </c>
      <c r="P568" s="949">
        <f t="shared" si="77"/>
        <v>0.0215</v>
      </c>
      <c r="Q568" s="952">
        <f t="shared" si="79"/>
        <v>0</v>
      </c>
      <c r="R568" s="952">
        <f t="shared" si="78"/>
        <v>0</v>
      </c>
      <c r="S568" s="953"/>
      <c r="T568" s="949">
        <v>0.06</v>
      </c>
      <c r="U568" s="954"/>
      <c r="V568" s="949"/>
      <c r="W568" s="953"/>
      <c r="X568" s="949">
        <f t="shared" si="7"/>
        <v>0</v>
      </c>
      <c r="Y568" s="955"/>
      <c r="Z568" s="953" t="str">
        <f t="shared" si="8"/>
        <v/>
      </c>
      <c r="AA568" s="949">
        <f t="shared" si="9"/>
        <v>0</v>
      </c>
      <c r="AB568" s="955"/>
      <c r="AC568" s="949" t="str">
        <f t="shared" si="10"/>
        <v/>
      </c>
      <c r="AD568" s="953">
        <f t="shared" si="11"/>
        <v>0</v>
      </c>
      <c r="AE568" s="956"/>
      <c r="AF568" s="889"/>
      <c r="AG568" s="810" t="b">
        <v>0</v>
      </c>
      <c r="AH568" s="780"/>
      <c r="AI568" s="780"/>
      <c r="AJ568" s="780"/>
      <c r="AK568" s="780"/>
      <c r="AL568" s="780"/>
      <c r="AM568" s="780"/>
      <c r="AN568" s="780"/>
      <c r="AO568" s="780"/>
      <c r="AP568" s="780"/>
      <c r="AQ568" s="780"/>
      <c r="AR568" s="780"/>
      <c r="AS568" s="780"/>
      <c r="AT568" s="780"/>
      <c r="AU568" s="780"/>
      <c r="AV568" s="780"/>
      <c r="AW568" s="780"/>
    </row>
    <row r="569">
      <c r="A569" s="941"/>
      <c r="B569" s="941"/>
      <c r="C569" s="995"/>
      <c r="D569" s="944"/>
      <c r="E569" s="944"/>
      <c r="F569" s="946"/>
      <c r="G569" s="946"/>
      <c r="H569" s="946"/>
      <c r="I569" s="947">
        <v>0.00138428</v>
      </c>
      <c r="J569" s="948">
        <v>0.035</v>
      </c>
      <c r="K569" s="949">
        <f t="shared" si="22"/>
        <v>0</v>
      </c>
      <c r="L569" s="950">
        <f t="shared" si="23"/>
        <v>0</v>
      </c>
      <c r="M569" s="948">
        <v>0.0215</v>
      </c>
      <c r="N569" s="951">
        <f t="shared" si="24"/>
        <v>0.00141404202</v>
      </c>
      <c r="O569" s="949">
        <f t="shared" si="25"/>
        <v>15</v>
      </c>
      <c r="P569" s="949">
        <f t="shared" si="77"/>
        <v>0.0215</v>
      </c>
      <c r="Q569" s="952">
        <f t="shared" si="79"/>
        <v>0</v>
      </c>
      <c r="R569" s="952">
        <f t="shared" si="78"/>
        <v>0</v>
      </c>
      <c r="S569" s="953"/>
      <c r="T569" s="949">
        <v>0.06</v>
      </c>
      <c r="U569" s="954"/>
      <c r="V569" s="949"/>
      <c r="W569" s="953"/>
      <c r="X569" s="949">
        <f t="shared" si="7"/>
        <v>0</v>
      </c>
      <c r="Y569" s="955"/>
      <c r="Z569" s="953" t="str">
        <f t="shared" si="8"/>
        <v/>
      </c>
      <c r="AA569" s="949">
        <f t="shared" si="9"/>
        <v>0</v>
      </c>
      <c r="AB569" s="955"/>
      <c r="AC569" s="949" t="str">
        <f t="shared" si="10"/>
        <v/>
      </c>
      <c r="AD569" s="953">
        <f t="shared" si="11"/>
        <v>0</v>
      </c>
      <c r="AE569" s="956"/>
      <c r="AF569" s="889"/>
      <c r="AG569" s="810" t="b">
        <v>0</v>
      </c>
      <c r="AH569" s="780"/>
      <c r="AI569" s="780"/>
      <c r="AJ569" s="780"/>
      <c r="AK569" s="780"/>
      <c r="AL569" s="780"/>
      <c r="AM569" s="780"/>
      <c r="AN569" s="780"/>
      <c r="AO569" s="780"/>
      <c r="AP569" s="780"/>
      <c r="AQ569" s="780"/>
      <c r="AR569" s="780"/>
      <c r="AS569" s="780"/>
      <c r="AT569" s="780"/>
      <c r="AU569" s="780"/>
      <c r="AV569" s="780"/>
      <c r="AW569" s="780"/>
    </row>
    <row r="570">
      <c r="A570" s="941"/>
      <c r="B570" s="941"/>
      <c r="C570" s="995"/>
      <c r="D570" s="995"/>
      <c r="E570" s="995"/>
      <c r="F570" s="946"/>
      <c r="G570" s="946"/>
      <c r="H570" s="946"/>
      <c r="I570" s="947">
        <v>0.00138428</v>
      </c>
      <c r="J570" s="948">
        <v>0.035</v>
      </c>
      <c r="K570" s="949">
        <f t="shared" si="22"/>
        <v>0</v>
      </c>
      <c r="L570" s="950">
        <f t="shared" si="23"/>
        <v>0</v>
      </c>
      <c r="M570" s="948">
        <v>0.0215</v>
      </c>
      <c r="N570" s="951">
        <f t="shared" si="24"/>
        <v>0.00141404202</v>
      </c>
      <c r="O570" s="949">
        <f t="shared" si="25"/>
        <v>15</v>
      </c>
      <c r="P570" s="949">
        <f t="shared" si="77"/>
        <v>0.0215</v>
      </c>
      <c r="Q570" s="952">
        <f t="shared" si="79"/>
        <v>0</v>
      </c>
      <c r="R570" s="952">
        <f t="shared" si="78"/>
        <v>0</v>
      </c>
      <c r="S570" s="953"/>
      <c r="T570" s="949">
        <v>0.06</v>
      </c>
      <c r="U570" s="954"/>
      <c r="V570" s="949"/>
      <c r="W570" s="953"/>
      <c r="X570" s="949">
        <f t="shared" si="7"/>
        <v>0</v>
      </c>
      <c r="Y570" s="955"/>
      <c r="Z570" s="953" t="str">
        <f t="shared" si="8"/>
        <v/>
      </c>
      <c r="AA570" s="949">
        <f t="shared" si="9"/>
        <v>0</v>
      </c>
      <c r="AB570" s="955"/>
      <c r="AC570" s="949" t="str">
        <f t="shared" si="10"/>
        <v/>
      </c>
      <c r="AD570" s="953">
        <f t="shared" si="11"/>
        <v>0</v>
      </c>
      <c r="AE570" s="956"/>
      <c r="AF570" s="889"/>
      <c r="AG570" s="810" t="b">
        <v>0</v>
      </c>
      <c r="AH570" s="780"/>
      <c r="AI570" s="780"/>
      <c r="AJ570" s="780"/>
      <c r="AK570" s="780"/>
      <c r="AL570" s="780"/>
      <c r="AM570" s="780"/>
      <c r="AN570" s="780"/>
      <c r="AO570" s="780"/>
      <c r="AP570" s="780"/>
      <c r="AQ570" s="780"/>
      <c r="AR570" s="780"/>
      <c r="AS570" s="780"/>
      <c r="AT570" s="780"/>
      <c r="AU570" s="780"/>
      <c r="AV570" s="780"/>
      <c r="AW570" s="780"/>
    </row>
    <row r="571">
      <c r="A571" s="941"/>
      <c r="B571" s="941"/>
      <c r="C571" s="995"/>
      <c r="D571" s="944"/>
      <c r="E571" s="944"/>
      <c r="F571" s="946"/>
      <c r="G571" s="946"/>
      <c r="H571" s="946"/>
      <c r="I571" s="947">
        <v>0.00138428</v>
      </c>
      <c r="J571" s="948">
        <v>0.035</v>
      </c>
      <c r="K571" s="949">
        <f t="shared" si="22"/>
        <v>0</v>
      </c>
      <c r="L571" s="950">
        <f t="shared" si="23"/>
        <v>0</v>
      </c>
      <c r="M571" s="948">
        <v>0.0215</v>
      </c>
      <c r="N571" s="951">
        <f t="shared" si="24"/>
        <v>0.00141404202</v>
      </c>
      <c r="O571" s="949">
        <f t="shared" si="25"/>
        <v>15</v>
      </c>
      <c r="P571" s="949">
        <f t="shared" si="77"/>
        <v>0.0215</v>
      </c>
      <c r="Q571" s="952">
        <f t="shared" si="79"/>
        <v>0</v>
      </c>
      <c r="R571" s="952">
        <f t="shared" si="78"/>
        <v>0</v>
      </c>
      <c r="S571" s="953"/>
      <c r="T571" s="949">
        <v>0.06</v>
      </c>
      <c r="U571" s="954"/>
      <c r="V571" s="949"/>
      <c r="W571" s="953"/>
      <c r="X571" s="949">
        <f t="shared" si="7"/>
        <v>0</v>
      </c>
      <c r="Y571" s="955"/>
      <c r="Z571" s="953" t="str">
        <f t="shared" si="8"/>
        <v/>
      </c>
      <c r="AA571" s="949">
        <f t="shared" si="9"/>
        <v>0</v>
      </c>
      <c r="AB571" s="955"/>
      <c r="AC571" s="949" t="str">
        <f t="shared" si="10"/>
        <v/>
      </c>
      <c r="AD571" s="953">
        <f t="shared" si="11"/>
        <v>0</v>
      </c>
      <c r="AE571" s="956"/>
      <c r="AF571" s="889"/>
      <c r="AG571" s="810" t="b">
        <v>0</v>
      </c>
      <c r="AH571" s="780"/>
      <c r="AI571" s="780"/>
      <c r="AJ571" s="780"/>
      <c r="AK571" s="780"/>
      <c r="AL571" s="780"/>
      <c r="AM571" s="780"/>
      <c r="AN571" s="780"/>
      <c r="AO571" s="780"/>
      <c r="AP571" s="780"/>
      <c r="AQ571" s="780"/>
      <c r="AR571" s="780"/>
      <c r="AS571" s="780"/>
      <c r="AT571" s="780"/>
      <c r="AU571" s="780"/>
      <c r="AV571" s="780"/>
      <c r="AW571" s="780"/>
    </row>
    <row r="572">
      <c r="A572" s="941"/>
      <c r="B572" s="941"/>
      <c r="C572" s="995"/>
      <c r="D572" s="995"/>
      <c r="E572" s="995"/>
      <c r="F572" s="946"/>
      <c r="G572" s="946"/>
      <c r="H572" s="946"/>
      <c r="I572" s="947">
        <v>0.00138428</v>
      </c>
      <c r="J572" s="948">
        <v>0.035</v>
      </c>
      <c r="K572" s="949">
        <f t="shared" si="22"/>
        <v>0</v>
      </c>
      <c r="L572" s="950">
        <f t="shared" si="23"/>
        <v>0</v>
      </c>
      <c r="M572" s="948">
        <v>0.0215</v>
      </c>
      <c r="N572" s="951">
        <f t="shared" si="24"/>
        <v>0.00141404202</v>
      </c>
      <c r="O572" s="949">
        <f t="shared" si="25"/>
        <v>15</v>
      </c>
      <c r="P572" s="949">
        <f t="shared" si="77"/>
        <v>0.0215</v>
      </c>
      <c r="Q572" s="952">
        <f t="shared" si="79"/>
        <v>0</v>
      </c>
      <c r="R572" s="952">
        <f t="shared" si="78"/>
        <v>0</v>
      </c>
      <c r="S572" s="953"/>
      <c r="T572" s="949">
        <v>0.06</v>
      </c>
      <c r="U572" s="954"/>
      <c r="V572" s="949"/>
      <c r="W572" s="953"/>
      <c r="X572" s="949">
        <f t="shared" si="7"/>
        <v>0</v>
      </c>
      <c r="Y572" s="955"/>
      <c r="Z572" s="953" t="str">
        <f t="shared" si="8"/>
        <v/>
      </c>
      <c r="AA572" s="949">
        <f t="shared" si="9"/>
        <v>0</v>
      </c>
      <c r="AB572" s="955"/>
      <c r="AC572" s="949" t="str">
        <f t="shared" si="10"/>
        <v/>
      </c>
      <c r="AD572" s="953">
        <f t="shared" si="11"/>
        <v>0</v>
      </c>
      <c r="AE572" s="956"/>
      <c r="AF572" s="889"/>
      <c r="AG572" s="810" t="b">
        <v>0</v>
      </c>
      <c r="AH572" s="780"/>
      <c r="AI572" s="780"/>
      <c r="AJ572" s="780"/>
      <c r="AK572" s="780"/>
      <c r="AL572" s="780"/>
      <c r="AM572" s="780"/>
      <c r="AN572" s="780"/>
      <c r="AO572" s="780"/>
      <c r="AP572" s="780"/>
      <c r="AQ572" s="780"/>
      <c r="AR572" s="780"/>
      <c r="AS572" s="780"/>
      <c r="AT572" s="780"/>
      <c r="AU572" s="780"/>
      <c r="AV572" s="780"/>
      <c r="AW572" s="780"/>
    </row>
    <row r="573">
      <c r="A573" s="941"/>
      <c r="B573" s="941"/>
      <c r="C573" s="995"/>
      <c r="D573" s="944"/>
      <c r="E573" s="944"/>
      <c r="F573" s="946"/>
      <c r="G573" s="946"/>
      <c r="H573" s="946"/>
      <c r="I573" s="947">
        <v>0.00138428</v>
      </c>
      <c r="J573" s="948">
        <v>0.035</v>
      </c>
      <c r="K573" s="949">
        <f t="shared" si="22"/>
        <v>0</v>
      </c>
      <c r="L573" s="950">
        <f t="shared" si="23"/>
        <v>0</v>
      </c>
      <c r="M573" s="948">
        <v>0.0215</v>
      </c>
      <c r="N573" s="951">
        <f t="shared" si="24"/>
        <v>0.00141404202</v>
      </c>
      <c r="O573" s="949">
        <f t="shared" si="25"/>
        <v>15</v>
      </c>
      <c r="P573" s="949">
        <f t="shared" si="77"/>
        <v>0.0215</v>
      </c>
      <c r="Q573" s="952">
        <f t="shared" si="79"/>
        <v>0</v>
      </c>
      <c r="R573" s="952">
        <f t="shared" si="78"/>
        <v>0</v>
      </c>
      <c r="S573" s="953"/>
      <c r="T573" s="949">
        <v>0.06</v>
      </c>
      <c r="U573" s="954"/>
      <c r="V573" s="949"/>
      <c r="W573" s="953"/>
      <c r="X573" s="949">
        <f t="shared" si="7"/>
        <v>0</v>
      </c>
      <c r="Y573" s="955"/>
      <c r="Z573" s="953" t="str">
        <f t="shared" si="8"/>
        <v/>
      </c>
      <c r="AA573" s="949">
        <f t="shared" si="9"/>
        <v>0</v>
      </c>
      <c r="AB573" s="955"/>
      <c r="AC573" s="949" t="str">
        <f t="shared" si="10"/>
        <v/>
      </c>
      <c r="AD573" s="953">
        <f t="shared" si="11"/>
        <v>0</v>
      </c>
      <c r="AE573" s="956"/>
      <c r="AF573" s="889"/>
      <c r="AG573" s="810" t="b">
        <v>0</v>
      </c>
      <c r="AH573" s="780"/>
      <c r="AI573" s="780"/>
      <c r="AJ573" s="780"/>
      <c r="AK573" s="780"/>
      <c r="AL573" s="780"/>
      <c r="AM573" s="780"/>
      <c r="AN573" s="780"/>
      <c r="AO573" s="780"/>
      <c r="AP573" s="780"/>
      <c r="AQ573" s="780"/>
      <c r="AR573" s="780"/>
      <c r="AS573" s="780"/>
      <c r="AT573" s="780"/>
      <c r="AU573" s="780"/>
      <c r="AV573" s="780"/>
      <c r="AW573" s="780"/>
    </row>
    <row r="574">
      <c r="A574" s="941"/>
      <c r="B574" s="941"/>
      <c r="C574" s="995"/>
      <c r="D574" s="995"/>
      <c r="E574" s="995"/>
      <c r="F574" s="946"/>
      <c r="G574" s="946"/>
      <c r="H574" s="946"/>
      <c r="I574" s="947">
        <v>0.00138428</v>
      </c>
      <c r="J574" s="948">
        <v>0.035</v>
      </c>
      <c r="K574" s="949">
        <f t="shared" si="22"/>
        <v>0</v>
      </c>
      <c r="L574" s="950">
        <f t="shared" si="23"/>
        <v>0</v>
      </c>
      <c r="M574" s="948">
        <v>0.0215</v>
      </c>
      <c r="N574" s="951">
        <f t="shared" si="24"/>
        <v>0.00141404202</v>
      </c>
      <c r="O574" s="949">
        <f t="shared" si="25"/>
        <v>15</v>
      </c>
      <c r="P574" s="949">
        <f t="shared" si="77"/>
        <v>0.0215</v>
      </c>
      <c r="Q574" s="952">
        <f t="shared" si="79"/>
        <v>0</v>
      </c>
      <c r="R574" s="952">
        <f t="shared" si="78"/>
        <v>0</v>
      </c>
      <c r="S574" s="953"/>
      <c r="T574" s="949">
        <v>0.06</v>
      </c>
      <c r="U574" s="954"/>
      <c r="V574" s="949"/>
      <c r="W574" s="953"/>
      <c r="X574" s="949">
        <f t="shared" si="7"/>
        <v>0</v>
      </c>
      <c r="Y574" s="955"/>
      <c r="Z574" s="953" t="str">
        <f t="shared" si="8"/>
        <v/>
      </c>
      <c r="AA574" s="949">
        <f t="shared" si="9"/>
        <v>0</v>
      </c>
      <c r="AB574" s="955"/>
      <c r="AC574" s="949" t="str">
        <f t="shared" si="10"/>
        <v/>
      </c>
      <c r="AD574" s="953">
        <f t="shared" si="11"/>
        <v>0</v>
      </c>
      <c r="AE574" s="956"/>
      <c r="AF574" s="889"/>
      <c r="AG574" s="810" t="b">
        <v>0</v>
      </c>
      <c r="AH574" s="780"/>
      <c r="AI574" s="780"/>
      <c r="AJ574" s="780"/>
      <c r="AK574" s="780"/>
      <c r="AL574" s="780"/>
      <c r="AM574" s="780"/>
      <c r="AN574" s="780"/>
      <c r="AO574" s="780"/>
      <c r="AP574" s="780"/>
      <c r="AQ574" s="780"/>
      <c r="AR574" s="780"/>
      <c r="AS574" s="780"/>
      <c r="AT574" s="780"/>
      <c r="AU574" s="780"/>
      <c r="AV574" s="780"/>
      <c r="AW574" s="780"/>
    </row>
    <row r="575">
      <c r="A575" s="941"/>
      <c r="B575" s="941"/>
      <c r="C575" s="995"/>
      <c r="D575" s="944"/>
      <c r="E575" s="944"/>
      <c r="F575" s="946"/>
      <c r="G575" s="946"/>
      <c r="H575" s="946"/>
      <c r="I575" s="947">
        <v>0.00138428</v>
      </c>
      <c r="J575" s="948">
        <v>0.035</v>
      </c>
      <c r="K575" s="949">
        <f t="shared" si="22"/>
        <v>0</v>
      </c>
      <c r="L575" s="950">
        <f t="shared" si="23"/>
        <v>0</v>
      </c>
      <c r="M575" s="948">
        <v>0.0215</v>
      </c>
      <c r="N575" s="951">
        <f t="shared" si="24"/>
        <v>0.00141404202</v>
      </c>
      <c r="O575" s="949">
        <f t="shared" si="25"/>
        <v>15</v>
      </c>
      <c r="P575" s="949">
        <f t="shared" si="77"/>
        <v>0.0215</v>
      </c>
      <c r="Q575" s="952">
        <f t="shared" si="79"/>
        <v>0</v>
      </c>
      <c r="R575" s="952">
        <f t="shared" si="78"/>
        <v>0</v>
      </c>
      <c r="S575" s="953"/>
      <c r="T575" s="949">
        <v>0.06</v>
      </c>
      <c r="U575" s="954"/>
      <c r="V575" s="949"/>
      <c r="W575" s="953"/>
      <c r="X575" s="949">
        <f t="shared" si="7"/>
        <v>0</v>
      </c>
      <c r="Y575" s="955"/>
      <c r="Z575" s="953" t="str">
        <f t="shared" si="8"/>
        <v/>
      </c>
      <c r="AA575" s="949">
        <f t="shared" si="9"/>
        <v>0</v>
      </c>
      <c r="AB575" s="955"/>
      <c r="AC575" s="949" t="str">
        <f t="shared" si="10"/>
        <v/>
      </c>
      <c r="AD575" s="953">
        <f t="shared" si="11"/>
        <v>0</v>
      </c>
      <c r="AE575" s="956"/>
      <c r="AF575" s="889"/>
      <c r="AG575" s="810" t="b">
        <v>0</v>
      </c>
      <c r="AH575" s="780"/>
      <c r="AI575" s="780"/>
      <c r="AJ575" s="780"/>
      <c r="AK575" s="780"/>
      <c r="AL575" s="780"/>
      <c r="AM575" s="780"/>
      <c r="AN575" s="780"/>
      <c r="AO575" s="780"/>
      <c r="AP575" s="780"/>
      <c r="AQ575" s="780"/>
      <c r="AR575" s="780"/>
      <c r="AS575" s="780"/>
      <c r="AT575" s="780"/>
      <c r="AU575" s="780"/>
      <c r="AV575" s="780"/>
      <c r="AW575" s="780"/>
    </row>
    <row r="576">
      <c r="A576" s="941"/>
      <c r="B576" s="941"/>
      <c r="C576" s="995"/>
      <c r="D576" s="995"/>
      <c r="E576" s="995"/>
      <c r="F576" s="946"/>
      <c r="G576" s="946"/>
      <c r="H576" s="946"/>
      <c r="I576" s="947">
        <v>0.00138428</v>
      </c>
      <c r="J576" s="948">
        <v>0.035</v>
      </c>
      <c r="K576" s="949">
        <f t="shared" si="22"/>
        <v>0</v>
      </c>
      <c r="L576" s="950">
        <f t="shared" si="23"/>
        <v>0</v>
      </c>
      <c r="M576" s="948">
        <v>0.0215</v>
      </c>
      <c r="N576" s="951">
        <f t="shared" si="24"/>
        <v>0.00141404202</v>
      </c>
      <c r="O576" s="949">
        <f t="shared" si="25"/>
        <v>15</v>
      </c>
      <c r="P576" s="949">
        <f t="shared" si="77"/>
        <v>0.0215</v>
      </c>
      <c r="Q576" s="952">
        <f t="shared" si="79"/>
        <v>0</v>
      </c>
      <c r="R576" s="952">
        <f t="shared" si="78"/>
        <v>0</v>
      </c>
      <c r="S576" s="953"/>
      <c r="T576" s="949">
        <v>0.06</v>
      </c>
      <c r="U576" s="954"/>
      <c r="V576" s="949"/>
      <c r="W576" s="953"/>
      <c r="X576" s="949">
        <f t="shared" si="7"/>
        <v>0</v>
      </c>
      <c r="Y576" s="955"/>
      <c r="Z576" s="953" t="str">
        <f t="shared" si="8"/>
        <v/>
      </c>
      <c r="AA576" s="949">
        <f t="shared" si="9"/>
        <v>0</v>
      </c>
      <c r="AB576" s="955"/>
      <c r="AC576" s="949" t="str">
        <f t="shared" si="10"/>
        <v/>
      </c>
      <c r="AD576" s="953">
        <f t="shared" si="11"/>
        <v>0</v>
      </c>
      <c r="AE576" s="956"/>
      <c r="AF576" s="889"/>
      <c r="AG576" s="810" t="b">
        <v>0</v>
      </c>
      <c r="AH576" s="780"/>
      <c r="AI576" s="780"/>
      <c r="AJ576" s="780"/>
      <c r="AK576" s="780"/>
      <c r="AL576" s="780"/>
      <c r="AM576" s="780"/>
      <c r="AN576" s="780"/>
      <c r="AO576" s="780"/>
      <c r="AP576" s="780"/>
      <c r="AQ576" s="780"/>
      <c r="AR576" s="780"/>
      <c r="AS576" s="780"/>
      <c r="AT576" s="780"/>
      <c r="AU576" s="780"/>
      <c r="AV576" s="780"/>
      <c r="AW576" s="780"/>
    </row>
    <row r="577">
      <c r="A577" s="941"/>
      <c r="B577" s="941"/>
      <c r="C577" s="995"/>
      <c r="D577" s="944"/>
      <c r="E577" s="944"/>
      <c r="F577" s="946"/>
      <c r="G577" s="946"/>
      <c r="H577" s="946"/>
      <c r="I577" s="947">
        <v>0.00138428</v>
      </c>
      <c r="J577" s="948">
        <v>0.035</v>
      </c>
      <c r="K577" s="949">
        <f t="shared" si="22"/>
        <v>0</v>
      </c>
      <c r="L577" s="950">
        <f t="shared" si="23"/>
        <v>0</v>
      </c>
      <c r="M577" s="948">
        <v>0.0215</v>
      </c>
      <c r="N577" s="951">
        <f t="shared" si="24"/>
        <v>0.00141404202</v>
      </c>
      <c r="O577" s="949">
        <f t="shared" si="25"/>
        <v>15</v>
      </c>
      <c r="P577" s="949">
        <f t="shared" si="77"/>
        <v>0.0215</v>
      </c>
      <c r="Q577" s="952">
        <f t="shared" si="79"/>
        <v>0</v>
      </c>
      <c r="R577" s="952">
        <f t="shared" si="78"/>
        <v>0</v>
      </c>
      <c r="S577" s="953"/>
      <c r="T577" s="949">
        <v>0.06</v>
      </c>
      <c r="U577" s="954"/>
      <c r="V577" s="949"/>
      <c r="W577" s="953"/>
      <c r="X577" s="949">
        <f t="shared" si="7"/>
        <v>0</v>
      </c>
      <c r="Y577" s="955"/>
      <c r="Z577" s="953" t="str">
        <f t="shared" si="8"/>
        <v/>
      </c>
      <c r="AA577" s="949">
        <f t="shared" si="9"/>
        <v>0</v>
      </c>
      <c r="AB577" s="955"/>
      <c r="AC577" s="949" t="str">
        <f t="shared" si="10"/>
        <v/>
      </c>
      <c r="AD577" s="953">
        <f t="shared" si="11"/>
        <v>0</v>
      </c>
      <c r="AE577" s="956"/>
      <c r="AF577" s="889"/>
      <c r="AG577" s="810" t="b">
        <v>0</v>
      </c>
      <c r="AH577" s="780"/>
      <c r="AI577" s="780"/>
      <c r="AJ577" s="780"/>
      <c r="AK577" s="780"/>
      <c r="AL577" s="780"/>
      <c r="AM577" s="780"/>
      <c r="AN577" s="780"/>
      <c r="AO577" s="780"/>
      <c r="AP577" s="780"/>
      <c r="AQ577" s="780"/>
      <c r="AR577" s="780"/>
      <c r="AS577" s="780"/>
      <c r="AT577" s="780"/>
      <c r="AU577" s="780"/>
      <c r="AV577" s="780"/>
      <c r="AW577" s="780"/>
    </row>
    <row r="578">
      <c r="A578" s="941"/>
      <c r="B578" s="941"/>
      <c r="C578" s="995"/>
      <c r="D578" s="995"/>
      <c r="E578" s="995"/>
      <c r="F578" s="946"/>
      <c r="G578" s="946"/>
      <c r="H578" s="946"/>
      <c r="I578" s="947">
        <v>0.00138428</v>
      </c>
      <c r="J578" s="948">
        <v>0.035</v>
      </c>
      <c r="K578" s="949">
        <f t="shared" si="22"/>
        <v>0</v>
      </c>
      <c r="L578" s="950">
        <f t="shared" si="23"/>
        <v>0</v>
      </c>
      <c r="M578" s="948">
        <v>0.0215</v>
      </c>
      <c r="N578" s="951">
        <f t="shared" si="24"/>
        <v>0.00141404202</v>
      </c>
      <c r="O578" s="949">
        <f t="shared" si="25"/>
        <v>15</v>
      </c>
      <c r="P578" s="949">
        <f t="shared" si="77"/>
        <v>0.0215</v>
      </c>
      <c r="Q578" s="952">
        <f t="shared" si="79"/>
        <v>0</v>
      </c>
      <c r="R578" s="952">
        <f t="shared" si="78"/>
        <v>0</v>
      </c>
      <c r="S578" s="953"/>
      <c r="T578" s="949">
        <v>0.06</v>
      </c>
      <c r="U578" s="954"/>
      <c r="V578" s="949"/>
      <c r="W578" s="953"/>
      <c r="X578" s="949">
        <f t="shared" si="7"/>
        <v>0</v>
      </c>
      <c r="Y578" s="955"/>
      <c r="Z578" s="953" t="str">
        <f t="shared" si="8"/>
        <v/>
      </c>
      <c r="AA578" s="949">
        <f t="shared" si="9"/>
        <v>0</v>
      </c>
      <c r="AB578" s="955"/>
      <c r="AC578" s="949" t="str">
        <f t="shared" si="10"/>
        <v/>
      </c>
      <c r="AD578" s="953">
        <f t="shared" si="11"/>
        <v>0</v>
      </c>
      <c r="AE578" s="956"/>
      <c r="AF578" s="889"/>
      <c r="AG578" s="810" t="b">
        <v>0</v>
      </c>
      <c r="AH578" s="780"/>
      <c r="AI578" s="780"/>
      <c r="AJ578" s="780"/>
      <c r="AK578" s="780"/>
      <c r="AL578" s="780"/>
      <c r="AM578" s="780"/>
      <c r="AN578" s="780"/>
      <c r="AO578" s="780"/>
      <c r="AP578" s="780"/>
      <c r="AQ578" s="780"/>
      <c r="AR578" s="780"/>
      <c r="AS578" s="780"/>
      <c r="AT578" s="780"/>
      <c r="AU578" s="780"/>
      <c r="AV578" s="780"/>
      <c r="AW578" s="780"/>
    </row>
    <row r="579">
      <c r="A579" s="941"/>
      <c r="B579" s="941"/>
      <c r="C579" s="995"/>
      <c r="D579" s="944"/>
      <c r="E579" s="944"/>
      <c r="F579" s="946"/>
      <c r="G579" s="946"/>
      <c r="H579" s="946"/>
      <c r="I579" s="947">
        <v>0.00138428</v>
      </c>
      <c r="J579" s="948">
        <v>0.035</v>
      </c>
      <c r="K579" s="949">
        <f t="shared" si="22"/>
        <v>0</v>
      </c>
      <c r="L579" s="950">
        <f t="shared" si="23"/>
        <v>0</v>
      </c>
      <c r="M579" s="948">
        <v>0.0215</v>
      </c>
      <c r="N579" s="951">
        <f t="shared" si="24"/>
        <v>0.00141404202</v>
      </c>
      <c r="O579" s="949">
        <f t="shared" si="25"/>
        <v>15</v>
      </c>
      <c r="P579" s="949">
        <f t="shared" si="77"/>
        <v>0.0215</v>
      </c>
      <c r="Q579" s="952">
        <f t="shared" si="79"/>
        <v>0</v>
      </c>
      <c r="R579" s="952">
        <f t="shared" si="78"/>
        <v>0</v>
      </c>
      <c r="S579" s="953"/>
      <c r="T579" s="949">
        <v>0.06</v>
      </c>
      <c r="U579" s="954"/>
      <c r="V579" s="949"/>
      <c r="W579" s="953"/>
      <c r="X579" s="949">
        <f t="shared" si="7"/>
        <v>0</v>
      </c>
      <c r="Y579" s="955"/>
      <c r="Z579" s="953" t="str">
        <f t="shared" si="8"/>
        <v/>
      </c>
      <c r="AA579" s="949">
        <f t="shared" si="9"/>
        <v>0</v>
      </c>
      <c r="AB579" s="955"/>
      <c r="AC579" s="949" t="str">
        <f t="shared" si="10"/>
        <v/>
      </c>
      <c r="AD579" s="953">
        <f t="shared" si="11"/>
        <v>0</v>
      </c>
      <c r="AE579" s="956"/>
      <c r="AF579" s="889"/>
      <c r="AG579" s="810" t="b">
        <v>0</v>
      </c>
      <c r="AH579" s="780"/>
      <c r="AI579" s="780"/>
      <c r="AJ579" s="780"/>
      <c r="AK579" s="780"/>
      <c r="AL579" s="780"/>
      <c r="AM579" s="780"/>
      <c r="AN579" s="780"/>
      <c r="AO579" s="780"/>
      <c r="AP579" s="780"/>
      <c r="AQ579" s="780"/>
      <c r="AR579" s="780"/>
      <c r="AS579" s="780"/>
      <c r="AT579" s="780"/>
      <c r="AU579" s="780"/>
      <c r="AV579" s="780"/>
      <c r="AW579" s="780"/>
    </row>
    <row r="580">
      <c r="A580" s="941"/>
      <c r="B580" s="941"/>
      <c r="C580" s="995"/>
      <c r="D580" s="995"/>
      <c r="E580" s="995"/>
      <c r="F580" s="946"/>
      <c r="G580" s="946"/>
      <c r="H580" s="946"/>
      <c r="I580" s="947">
        <v>0.00138428</v>
      </c>
      <c r="J580" s="948">
        <v>0.035</v>
      </c>
      <c r="K580" s="949">
        <f t="shared" si="22"/>
        <v>0</v>
      </c>
      <c r="L580" s="950">
        <f t="shared" si="23"/>
        <v>0</v>
      </c>
      <c r="M580" s="948">
        <v>0.0215</v>
      </c>
      <c r="N580" s="951">
        <f t="shared" si="24"/>
        <v>0.00141404202</v>
      </c>
      <c r="O580" s="949">
        <f t="shared" si="25"/>
        <v>15</v>
      </c>
      <c r="P580" s="949">
        <f t="shared" si="77"/>
        <v>0.0215</v>
      </c>
      <c r="Q580" s="952">
        <f t="shared" si="79"/>
        <v>0</v>
      </c>
      <c r="R580" s="952">
        <f t="shared" si="78"/>
        <v>0</v>
      </c>
      <c r="S580" s="953"/>
      <c r="T580" s="949">
        <v>0.06</v>
      </c>
      <c r="U580" s="954"/>
      <c r="V580" s="949"/>
      <c r="W580" s="953"/>
      <c r="X580" s="949">
        <f t="shared" si="7"/>
        <v>0</v>
      </c>
      <c r="Y580" s="955"/>
      <c r="Z580" s="953" t="str">
        <f t="shared" si="8"/>
        <v/>
      </c>
      <c r="AA580" s="949">
        <f t="shared" si="9"/>
        <v>0</v>
      </c>
      <c r="AB580" s="955"/>
      <c r="AC580" s="949" t="str">
        <f t="shared" si="10"/>
        <v/>
      </c>
      <c r="AD580" s="953">
        <f t="shared" si="11"/>
        <v>0</v>
      </c>
      <c r="AE580" s="956"/>
      <c r="AF580" s="889"/>
      <c r="AG580" s="810" t="b">
        <v>0</v>
      </c>
      <c r="AH580" s="780"/>
      <c r="AI580" s="780"/>
      <c r="AJ580" s="780"/>
      <c r="AK580" s="780"/>
      <c r="AL580" s="780"/>
      <c r="AM580" s="780"/>
      <c r="AN580" s="780"/>
      <c r="AO580" s="780"/>
      <c r="AP580" s="780"/>
      <c r="AQ580" s="780"/>
      <c r="AR580" s="780"/>
      <c r="AS580" s="780"/>
      <c r="AT580" s="780"/>
      <c r="AU580" s="780"/>
      <c r="AV580" s="780"/>
      <c r="AW580" s="780"/>
    </row>
    <row r="581">
      <c r="A581" s="941"/>
      <c r="B581" s="941"/>
      <c r="C581" s="995"/>
      <c r="D581" s="944"/>
      <c r="E581" s="944"/>
      <c r="F581" s="946"/>
      <c r="G581" s="946"/>
      <c r="H581" s="946"/>
      <c r="I581" s="947">
        <v>0.00138428</v>
      </c>
      <c r="J581" s="948">
        <v>0.035</v>
      </c>
      <c r="K581" s="949">
        <f t="shared" si="22"/>
        <v>0</v>
      </c>
      <c r="L581" s="950">
        <f t="shared" si="23"/>
        <v>0</v>
      </c>
      <c r="M581" s="948">
        <v>0.0215</v>
      </c>
      <c r="N581" s="951">
        <f t="shared" si="24"/>
        <v>0.00141404202</v>
      </c>
      <c r="O581" s="949">
        <f t="shared" si="25"/>
        <v>15</v>
      </c>
      <c r="P581" s="949">
        <f t="shared" si="77"/>
        <v>0.0215</v>
      </c>
      <c r="Q581" s="952">
        <f t="shared" si="79"/>
        <v>0</v>
      </c>
      <c r="R581" s="952">
        <f t="shared" si="78"/>
        <v>0</v>
      </c>
      <c r="S581" s="953"/>
      <c r="T581" s="949">
        <v>0.06</v>
      </c>
      <c r="U581" s="954"/>
      <c r="V581" s="949"/>
      <c r="W581" s="953"/>
      <c r="X581" s="949">
        <f t="shared" si="7"/>
        <v>0</v>
      </c>
      <c r="Y581" s="955"/>
      <c r="Z581" s="953" t="str">
        <f t="shared" si="8"/>
        <v/>
      </c>
      <c r="AA581" s="949">
        <f t="shared" si="9"/>
        <v>0</v>
      </c>
      <c r="AB581" s="955"/>
      <c r="AC581" s="949" t="str">
        <f t="shared" si="10"/>
        <v/>
      </c>
      <c r="AD581" s="953">
        <f t="shared" si="11"/>
        <v>0</v>
      </c>
      <c r="AE581" s="956"/>
      <c r="AF581" s="889"/>
      <c r="AG581" s="810" t="b">
        <v>0</v>
      </c>
      <c r="AH581" s="780"/>
      <c r="AI581" s="780"/>
      <c r="AJ581" s="780"/>
      <c r="AK581" s="780"/>
      <c r="AL581" s="780"/>
      <c r="AM581" s="780"/>
      <c r="AN581" s="780"/>
      <c r="AO581" s="780"/>
      <c r="AP581" s="780"/>
      <c r="AQ581" s="780"/>
      <c r="AR581" s="780"/>
      <c r="AS581" s="780"/>
      <c r="AT581" s="780"/>
      <c r="AU581" s="780"/>
      <c r="AV581" s="780"/>
      <c r="AW581" s="780"/>
    </row>
    <row r="582">
      <c r="A582" s="941"/>
      <c r="B582" s="941"/>
      <c r="C582" s="995"/>
      <c r="D582" s="995"/>
      <c r="E582" s="995"/>
      <c r="F582" s="946"/>
      <c r="G582" s="946"/>
      <c r="H582" s="946"/>
      <c r="I582" s="947">
        <v>0.00138428</v>
      </c>
      <c r="J582" s="948">
        <v>0.035</v>
      </c>
      <c r="K582" s="949">
        <f t="shared" si="22"/>
        <v>0</v>
      </c>
      <c r="L582" s="950">
        <f t="shared" si="23"/>
        <v>0</v>
      </c>
      <c r="M582" s="948">
        <v>0.0215</v>
      </c>
      <c r="N582" s="951">
        <f t="shared" si="24"/>
        <v>0.00141404202</v>
      </c>
      <c r="O582" s="949">
        <f t="shared" si="25"/>
        <v>15</v>
      </c>
      <c r="P582" s="949">
        <f t="shared" si="77"/>
        <v>0.0215</v>
      </c>
      <c r="Q582" s="952">
        <f t="shared" si="79"/>
        <v>0</v>
      </c>
      <c r="R582" s="952">
        <f t="shared" si="78"/>
        <v>0</v>
      </c>
      <c r="S582" s="953"/>
      <c r="T582" s="949">
        <v>0.06</v>
      </c>
      <c r="U582" s="954"/>
      <c r="V582" s="949"/>
      <c r="W582" s="953"/>
      <c r="X582" s="949">
        <f t="shared" si="7"/>
        <v>0</v>
      </c>
      <c r="Y582" s="955"/>
      <c r="Z582" s="953" t="str">
        <f t="shared" si="8"/>
        <v/>
      </c>
      <c r="AA582" s="949">
        <f t="shared" si="9"/>
        <v>0</v>
      </c>
      <c r="AB582" s="955"/>
      <c r="AC582" s="949" t="str">
        <f t="shared" si="10"/>
        <v/>
      </c>
      <c r="AD582" s="953">
        <f t="shared" si="11"/>
        <v>0</v>
      </c>
      <c r="AE582" s="956"/>
      <c r="AF582" s="889"/>
      <c r="AG582" s="810" t="b">
        <v>0</v>
      </c>
      <c r="AH582" s="780"/>
      <c r="AI582" s="780"/>
      <c r="AJ582" s="780"/>
      <c r="AK582" s="780"/>
      <c r="AL582" s="780"/>
      <c r="AM582" s="780"/>
      <c r="AN582" s="780"/>
      <c r="AO582" s="780"/>
      <c r="AP582" s="780"/>
      <c r="AQ582" s="780"/>
      <c r="AR582" s="780"/>
      <c r="AS582" s="780"/>
      <c r="AT582" s="780"/>
      <c r="AU582" s="780"/>
      <c r="AV582" s="780"/>
      <c r="AW582" s="780"/>
    </row>
    <row r="583">
      <c r="A583" s="941"/>
      <c r="B583" s="941"/>
      <c r="C583" s="995"/>
      <c r="D583" s="944"/>
      <c r="E583" s="944"/>
      <c r="F583" s="946"/>
      <c r="G583" s="946"/>
      <c r="H583" s="946"/>
      <c r="I583" s="947">
        <v>0.00138428</v>
      </c>
      <c r="J583" s="948">
        <v>0.035</v>
      </c>
      <c r="K583" s="949">
        <f t="shared" si="22"/>
        <v>0</v>
      </c>
      <c r="L583" s="950">
        <f t="shared" si="23"/>
        <v>0</v>
      </c>
      <c r="M583" s="948">
        <v>0.0215</v>
      </c>
      <c r="N583" s="951">
        <f t="shared" si="24"/>
        <v>0.00141404202</v>
      </c>
      <c r="O583" s="949">
        <f t="shared" si="25"/>
        <v>15</v>
      </c>
      <c r="P583" s="949">
        <f t="shared" si="77"/>
        <v>0.0215</v>
      </c>
      <c r="Q583" s="952">
        <f t="shared" si="79"/>
        <v>0</v>
      </c>
      <c r="R583" s="952">
        <f t="shared" si="78"/>
        <v>0</v>
      </c>
      <c r="S583" s="953"/>
      <c r="T583" s="949">
        <v>0.06</v>
      </c>
      <c r="U583" s="954"/>
      <c r="V583" s="949"/>
      <c r="W583" s="953"/>
      <c r="X583" s="949">
        <f t="shared" si="7"/>
        <v>0</v>
      </c>
      <c r="Y583" s="955"/>
      <c r="Z583" s="953" t="str">
        <f t="shared" si="8"/>
        <v/>
      </c>
      <c r="AA583" s="949">
        <f t="shared" si="9"/>
        <v>0</v>
      </c>
      <c r="AB583" s="955"/>
      <c r="AC583" s="949" t="str">
        <f t="shared" si="10"/>
        <v/>
      </c>
      <c r="AD583" s="953">
        <f t="shared" si="11"/>
        <v>0</v>
      </c>
      <c r="AE583" s="956"/>
      <c r="AF583" s="889"/>
      <c r="AG583" s="810" t="b">
        <v>0</v>
      </c>
      <c r="AH583" s="780"/>
      <c r="AI583" s="780"/>
      <c r="AJ583" s="780"/>
      <c r="AK583" s="780"/>
      <c r="AL583" s="780"/>
      <c r="AM583" s="780"/>
      <c r="AN583" s="780"/>
      <c r="AO583" s="780"/>
      <c r="AP583" s="780"/>
      <c r="AQ583" s="780"/>
      <c r="AR583" s="780"/>
      <c r="AS583" s="780"/>
      <c r="AT583" s="780"/>
      <c r="AU583" s="780"/>
      <c r="AV583" s="780"/>
      <c r="AW583" s="780"/>
    </row>
    <row r="584">
      <c r="A584" s="941"/>
      <c r="B584" s="941"/>
      <c r="C584" s="995"/>
      <c r="D584" s="995"/>
      <c r="E584" s="995"/>
      <c r="F584" s="946"/>
      <c r="G584" s="946"/>
      <c r="H584" s="946"/>
      <c r="I584" s="947">
        <v>0.00138428</v>
      </c>
      <c r="J584" s="948">
        <v>0.035</v>
      </c>
      <c r="K584" s="949">
        <f t="shared" si="22"/>
        <v>0</v>
      </c>
      <c r="L584" s="950">
        <f t="shared" si="23"/>
        <v>0</v>
      </c>
      <c r="M584" s="948">
        <v>0.0215</v>
      </c>
      <c r="N584" s="951">
        <f t="shared" si="24"/>
        <v>0.00141404202</v>
      </c>
      <c r="O584" s="949">
        <f t="shared" si="25"/>
        <v>15</v>
      </c>
      <c r="P584" s="949">
        <f t="shared" si="77"/>
        <v>0.0215</v>
      </c>
      <c r="Q584" s="952">
        <f t="shared" si="79"/>
        <v>0</v>
      </c>
      <c r="R584" s="952">
        <f t="shared" si="78"/>
        <v>0</v>
      </c>
      <c r="S584" s="953"/>
      <c r="T584" s="949">
        <v>0.06</v>
      </c>
      <c r="U584" s="954"/>
      <c r="V584" s="949"/>
      <c r="W584" s="953"/>
      <c r="X584" s="949">
        <f t="shared" si="7"/>
        <v>0</v>
      </c>
      <c r="Y584" s="955"/>
      <c r="Z584" s="953" t="str">
        <f t="shared" si="8"/>
        <v/>
      </c>
      <c r="AA584" s="949">
        <f t="shared" si="9"/>
        <v>0</v>
      </c>
      <c r="AB584" s="955"/>
      <c r="AC584" s="949" t="str">
        <f t="shared" si="10"/>
        <v/>
      </c>
      <c r="AD584" s="953">
        <f t="shared" si="11"/>
        <v>0</v>
      </c>
      <c r="AE584" s="956"/>
      <c r="AF584" s="889"/>
      <c r="AG584" s="810" t="b">
        <v>0</v>
      </c>
      <c r="AH584" s="780"/>
      <c r="AI584" s="780"/>
      <c r="AJ584" s="780"/>
      <c r="AK584" s="780"/>
      <c r="AL584" s="780"/>
      <c r="AM584" s="780"/>
      <c r="AN584" s="780"/>
      <c r="AO584" s="780"/>
      <c r="AP584" s="780"/>
      <c r="AQ584" s="780"/>
      <c r="AR584" s="780"/>
      <c r="AS584" s="780"/>
      <c r="AT584" s="780"/>
      <c r="AU584" s="780"/>
      <c r="AV584" s="780"/>
      <c r="AW584" s="780"/>
    </row>
    <row r="585">
      <c r="A585" s="941"/>
      <c r="B585" s="941"/>
      <c r="C585" s="995"/>
      <c r="D585" s="944"/>
      <c r="E585" s="944"/>
      <c r="F585" s="946"/>
      <c r="G585" s="946"/>
      <c r="H585" s="946"/>
      <c r="I585" s="947">
        <v>0.00138428</v>
      </c>
      <c r="J585" s="948">
        <v>0.035</v>
      </c>
      <c r="K585" s="949">
        <f t="shared" si="22"/>
        <v>0</v>
      </c>
      <c r="L585" s="950">
        <f t="shared" si="23"/>
        <v>0</v>
      </c>
      <c r="M585" s="948">
        <v>0.0215</v>
      </c>
      <c r="N585" s="951">
        <f t="shared" si="24"/>
        <v>0.00141404202</v>
      </c>
      <c r="O585" s="949">
        <f t="shared" si="25"/>
        <v>15</v>
      </c>
      <c r="P585" s="949">
        <f t="shared" si="77"/>
        <v>0.0215</v>
      </c>
      <c r="Q585" s="952">
        <f t="shared" si="79"/>
        <v>0</v>
      </c>
      <c r="R585" s="952">
        <f t="shared" si="78"/>
        <v>0</v>
      </c>
      <c r="S585" s="953"/>
      <c r="T585" s="949">
        <v>0.06</v>
      </c>
      <c r="U585" s="954"/>
      <c r="V585" s="949"/>
      <c r="W585" s="953"/>
      <c r="X585" s="949">
        <f t="shared" si="7"/>
        <v>0</v>
      </c>
      <c r="Y585" s="955"/>
      <c r="Z585" s="953" t="str">
        <f t="shared" si="8"/>
        <v/>
      </c>
      <c r="AA585" s="949">
        <f t="shared" si="9"/>
        <v>0</v>
      </c>
      <c r="AB585" s="955"/>
      <c r="AC585" s="949" t="str">
        <f t="shared" si="10"/>
        <v/>
      </c>
      <c r="AD585" s="953">
        <f t="shared" si="11"/>
        <v>0</v>
      </c>
      <c r="AE585" s="956"/>
      <c r="AF585" s="889"/>
      <c r="AG585" s="810" t="b">
        <v>0</v>
      </c>
      <c r="AH585" s="780"/>
      <c r="AI585" s="780"/>
      <c r="AJ585" s="780"/>
      <c r="AK585" s="780"/>
      <c r="AL585" s="780"/>
      <c r="AM585" s="780"/>
      <c r="AN585" s="780"/>
      <c r="AO585" s="780"/>
      <c r="AP585" s="780"/>
      <c r="AQ585" s="780"/>
      <c r="AR585" s="780"/>
      <c r="AS585" s="780"/>
      <c r="AT585" s="780"/>
      <c r="AU585" s="780"/>
      <c r="AV585" s="780"/>
      <c r="AW585" s="780"/>
    </row>
    <row r="586">
      <c r="A586" s="941"/>
      <c r="B586" s="941"/>
      <c r="C586" s="995"/>
      <c r="D586" s="995"/>
      <c r="E586" s="995"/>
      <c r="F586" s="946"/>
      <c r="G586" s="946"/>
      <c r="H586" s="946"/>
      <c r="I586" s="947">
        <v>0.00138428</v>
      </c>
      <c r="J586" s="948">
        <v>0.035</v>
      </c>
      <c r="K586" s="949">
        <f t="shared" si="22"/>
        <v>0</v>
      </c>
      <c r="L586" s="950">
        <f t="shared" si="23"/>
        <v>0</v>
      </c>
      <c r="M586" s="948">
        <v>0.0215</v>
      </c>
      <c r="N586" s="951">
        <f t="shared" si="24"/>
        <v>0.00141404202</v>
      </c>
      <c r="O586" s="949">
        <f t="shared" si="25"/>
        <v>15</v>
      </c>
      <c r="P586" s="949">
        <f t="shared" si="77"/>
        <v>0.0215</v>
      </c>
      <c r="Q586" s="952">
        <f t="shared" si="79"/>
        <v>0</v>
      </c>
      <c r="R586" s="952">
        <f t="shared" si="78"/>
        <v>0</v>
      </c>
      <c r="S586" s="953"/>
      <c r="T586" s="949">
        <v>0.06</v>
      </c>
      <c r="U586" s="954"/>
      <c r="V586" s="949"/>
      <c r="W586" s="953"/>
      <c r="X586" s="949">
        <f t="shared" si="7"/>
        <v>0</v>
      </c>
      <c r="Y586" s="955"/>
      <c r="Z586" s="953" t="str">
        <f t="shared" si="8"/>
        <v/>
      </c>
      <c r="AA586" s="949">
        <f t="shared" si="9"/>
        <v>0</v>
      </c>
      <c r="AB586" s="955"/>
      <c r="AC586" s="949" t="str">
        <f t="shared" si="10"/>
        <v/>
      </c>
      <c r="AD586" s="953">
        <f t="shared" si="11"/>
        <v>0</v>
      </c>
      <c r="AE586" s="956"/>
      <c r="AF586" s="889"/>
      <c r="AG586" s="810" t="b">
        <v>0</v>
      </c>
      <c r="AH586" s="780"/>
      <c r="AI586" s="780"/>
      <c r="AJ586" s="780"/>
      <c r="AK586" s="780"/>
      <c r="AL586" s="780"/>
      <c r="AM586" s="780"/>
      <c r="AN586" s="780"/>
      <c r="AO586" s="780"/>
      <c r="AP586" s="780"/>
      <c r="AQ586" s="780"/>
      <c r="AR586" s="780"/>
      <c r="AS586" s="780"/>
      <c r="AT586" s="780"/>
      <c r="AU586" s="780"/>
      <c r="AV586" s="780"/>
      <c r="AW586" s="780"/>
    </row>
    <row r="587">
      <c r="A587" s="941"/>
      <c r="B587" s="941"/>
      <c r="C587" s="995"/>
      <c r="D587" s="944"/>
      <c r="E587" s="944"/>
      <c r="F587" s="946"/>
      <c r="G587" s="946"/>
      <c r="H587" s="946"/>
      <c r="I587" s="947">
        <v>0.00138428</v>
      </c>
      <c r="J587" s="948">
        <v>0.035</v>
      </c>
      <c r="K587" s="949">
        <f t="shared" si="22"/>
        <v>0</v>
      </c>
      <c r="L587" s="950">
        <f t="shared" si="23"/>
        <v>0</v>
      </c>
      <c r="M587" s="948">
        <v>0.0215</v>
      </c>
      <c r="N587" s="951">
        <f t="shared" si="24"/>
        <v>0.00141404202</v>
      </c>
      <c r="O587" s="949">
        <f t="shared" si="25"/>
        <v>15</v>
      </c>
      <c r="P587" s="949">
        <f t="shared" si="77"/>
        <v>0.0215</v>
      </c>
      <c r="Q587" s="952">
        <f t="shared" si="79"/>
        <v>0</v>
      </c>
      <c r="R587" s="952">
        <f t="shared" si="78"/>
        <v>0</v>
      </c>
      <c r="S587" s="953"/>
      <c r="T587" s="949">
        <v>0.06</v>
      </c>
      <c r="U587" s="954"/>
      <c r="V587" s="949"/>
      <c r="W587" s="953"/>
      <c r="X587" s="949">
        <f t="shared" si="7"/>
        <v>0</v>
      </c>
      <c r="Y587" s="955"/>
      <c r="Z587" s="953" t="str">
        <f t="shared" si="8"/>
        <v/>
      </c>
      <c r="AA587" s="949">
        <f t="shared" si="9"/>
        <v>0</v>
      </c>
      <c r="AB587" s="955"/>
      <c r="AC587" s="949" t="str">
        <f t="shared" si="10"/>
        <v/>
      </c>
      <c r="AD587" s="953">
        <f t="shared" si="11"/>
        <v>0</v>
      </c>
      <c r="AE587" s="956"/>
      <c r="AF587" s="889"/>
      <c r="AG587" s="810" t="b">
        <v>0</v>
      </c>
      <c r="AH587" s="780"/>
      <c r="AI587" s="780"/>
      <c r="AJ587" s="780"/>
      <c r="AK587" s="780"/>
      <c r="AL587" s="780"/>
      <c r="AM587" s="780"/>
      <c r="AN587" s="780"/>
      <c r="AO587" s="780"/>
      <c r="AP587" s="780"/>
      <c r="AQ587" s="780"/>
      <c r="AR587" s="780"/>
      <c r="AS587" s="780"/>
      <c r="AT587" s="780"/>
      <c r="AU587" s="780"/>
      <c r="AV587" s="780"/>
      <c r="AW587" s="780"/>
    </row>
    <row r="588">
      <c r="A588" s="941"/>
      <c r="B588" s="941"/>
      <c r="C588" s="995"/>
      <c r="D588" s="995"/>
      <c r="E588" s="995"/>
      <c r="F588" s="946"/>
      <c r="G588" s="946"/>
      <c r="H588" s="946"/>
      <c r="I588" s="947">
        <v>0.00138428</v>
      </c>
      <c r="J588" s="948">
        <v>0.035</v>
      </c>
      <c r="K588" s="949">
        <f t="shared" si="22"/>
        <v>0</v>
      </c>
      <c r="L588" s="950">
        <f t="shared" si="23"/>
        <v>0</v>
      </c>
      <c r="M588" s="948">
        <v>0.0215</v>
      </c>
      <c r="N588" s="951">
        <f t="shared" si="24"/>
        <v>0.00141404202</v>
      </c>
      <c r="O588" s="949">
        <f t="shared" si="25"/>
        <v>15</v>
      </c>
      <c r="P588" s="949">
        <f t="shared" si="77"/>
        <v>0.0215</v>
      </c>
      <c r="Q588" s="952">
        <f t="shared" si="79"/>
        <v>0</v>
      </c>
      <c r="R588" s="952">
        <f t="shared" si="78"/>
        <v>0</v>
      </c>
      <c r="S588" s="953"/>
      <c r="T588" s="949">
        <v>0.06</v>
      </c>
      <c r="U588" s="954"/>
      <c r="V588" s="949"/>
      <c r="W588" s="953"/>
      <c r="X588" s="949">
        <f t="shared" si="7"/>
        <v>0</v>
      </c>
      <c r="Y588" s="955"/>
      <c r="Z588" s="953" t="str">
        <f t="shared" si="8"/>
        <v/>
      </c>
      <c r="AA588" s="949">
        <f t="shared" si="9"/>
        <v>0</v>
      </c>
      <c r="AB588" s="955"/>
      <c r="AC588" s="949" t="str">
        <f t="shared" si="10"/>
        <v/>
      </c>
      <c r="AD588" s="953">
        <f t="shared" si="11"/>
        <v>0</v>
      </c>
      <c r="AE588" s="956"/>
      <c r="AF588" s="889"/>
      <c r="AG588" s="810" t="b">
        <v>0</v>
      </c>
      <c r="AH588" s="780"/>
      <c r="AI588" s="780"/>
      <c r="AJ588" s="780"/>
      <c r="AK588" s="780"/>
      <c r="AL588" s="780"/>
      <c r="AM588" s="780"/>
      <c r="AN588" s="780"/>
      <c r="AO588" s="780"/>
      <c r="AP588" s="780"/>
      <c r="AQ588" s="780"/>
      <c r="AR588" s="780"/>
      <c r="AS588" s="780"/>
      <c r="AT588" s="780"/>
      <c r="AU588" s="780"/>
      <c r="AV588" s="780"/>
      <c r="AW588" s="780"/>
    </row>
    <row r="589">
      <c r="A589" s="941"/>
      <c r="B589" s="941"/>
      <c r="C589" s="995"/>
      <c r="D589" s="944"/>
      <c r="E589" s="944"/>
      <c r="F589" s="946"/>
      <c r="G589" s="946"/>
      <c r="H589" s="946"/>
      <c r="I589" s="947">
        <v>0.00138428</v>
      </c>
      <c r="J589" s="948">
        <v>0.035</v>
      </c>
      <c r="K589" s="949">
        <f t="shared" si="22"/>
        <v>0</v>
      </c>
      <c r="L589" s="950">
        <f t="shared" si="23"/>
        <v>0</v>
      </c>
      <c r="M589" s="948">
        <v>0.0215</v>
      </c>
      <c r="N589" s="951">
        <f t="shared" si="24"/>
        <v>0.00141404202</v>
      </c>
      <c r="O589" s="949">
        <f t="shared" si="25"/>
        <v>15</v>
      </c>
      <c r="P589" s="949">
        <f t="shared" si="77"/>
        <v>0.0215</v>
      </c>
      <c r="Q589" s="952">
        <f t="shared" si="79"/>
        <v>0</v>
      </c>
      <c r="R589" s="952">
        <f t="shared" si="78"/>
        <v>0</v>
      </c>
      <c r="S589" s="953"/>
      <c r="T589" s="949">
        <v>0.06</v>
      </c>
      <c r="U589" s="954"/>
      <c r="V589" s="949"/>
      <c r="W589" s="953"/>
      <c r="X589" s="949">
        <f t="shared" si="7"/>
        <v>0</v>
      </c>
      <c r="Y589" s="955"/>
      <c r="Z589" s="953" t="str">
        <f t="shared" si="8"/>
        <v/>
      </c>
      <c r="AA589" s="949">
        <f t="shared" si="9"/>
        <v>0</v>
      </c>
      <c r="AB589" s="955"/>
      <c r="AC589" s="949" t="str">
        <f t="shared" si="10"/>
        <v/>
      </c>
      <c r="AD589" s="953">
        <f t="shared" si="11"/>
        <v>0</v>
      </c>
      <c r="AE589" s="956"/>
      <c r="AF589" s="889"/>
      <c r="AG589" s="810" t="b">
        <v>0</v>
      </c>
      <c r="AH589" s="780"/>
      <c r="AI589" s="780"/>
      <c r="AJ589" s="780"/>
      <c r="AK589" s="780"/>
      <c r="AL589" s="780"/>
      <c r="AM589" s="780"/>
      <c r="AN589" s="780"/>
      <c r="AO589" s="780"/>
      <c r="AP589" s="780"/>
      <c r="AQ589" s="780"/>
      <c r="AR589" s="780"/>
      <c r="AS589" s="780"/>
      <c r="AT589" s="780"/>
      <c r="AU589" s="780"/>
      <c r="AV589" s="780"/>
      <c r="AW589" s="780"/>
    </row>
    <row r="590">
      <c r="A590" s="941"/>
      <c r="B590" s="941"/>
      <c r="C590" s="995"/>
      <c r="D590" s="995"/>
      <c r="E590" s="995"/>
      <c r="F590" s="946"/>
      <c r="G590" s="946"/>
      <c r="H590" s="946"/>
      <c r="I590" s="947">
        <v>0.00138428</v>
      </c>
      <c r="J590" s="948">
        <v>0.035</v>
      </c>
      <c r="K590" s="949">
        <f t="shared" si="22"/>
        <v>0</v>
      </c>
      <c r="L590" s="950">
        <f t="shared" si="23"/>
        <v>0</v>
      </c>
      <c r="M590" s="948">
        <v>0.0215</v>
      </c>
      <c r="N590" s="951">
        <f t="shared" si="24"/>
        <v>0.00141404202</v>
      </c>
      <c r="O590" s="949">
        <f t="shared" si="25"/>
        <v>15</v>
      </c>
      <c r="P590" s="949">
        <f t="shared" si="77"/>
        <v>0.0215</v>
      </c>
      <c r="Q590" s="952">
        <f t="shared" si="79"/>
        <v>0</v>
      </c>
      <c r="R590" s="952">
        <f t="shared" si="78"/>
        <v>0</v>
      </c>
      <c r="S590" s="953"/>
      <c r="T590" s="949">
        <v>0.06</v>
      </c>
      <c r="U590" s="954"/>
      <c r="V590" s="949"/>
      <c r="W590" s="953"/>
      <c r="X590" s="949">
        <f t="shared" si="7"/>
        <v>0</v>
      </c>
      <c r="Y590" s="955"/>
      <c r="Z590" s="953" t="str">
        <f t="shared" si="8"/>
        <v/>
      </c>
      <c r="AA590" s="949">
        <f t="shared" si="9"/>
        <v>0</v>
      </c>
      <c r="AB590" s="955"/>
      <c r="AC590" s="949" t="str">
        <f t="shared" si="10"/>
        <v/>
      </c>
      <c r="AD590" s="953">
        <f t="shared" si="11"/>
        <v>0</v>
      </c>
      <c r="AE590" s="956"/>
      <c r="AF590" s="889"/>
      <c r="AG590" s="810" t="b">
        <v>0</v>
      </c>
      <c r="AH590" s="780"/>
      <c r="AI590" s="780"/>
      <c r="AJ590" s="780"/>
      <c r="AK590" s="780"/>
      <c r="AL590" s="780"/>
      <c r="AM590" s="780"/>
      <c r="AN590" s="780"/>
      <c r="AO590" s="780"/>
      <c r="AP590" s="780"/>
      <c r="AQ590" s="780"/>
      <c r="AR590" s="780"/>
      <c r="AS590" s="780"/>
      <c r="AT590" s="780"/>
      <c r="AU590" s="780"/>
      <c r="AV590" s="780"/>
      <c r="AW590" s="780"/>
    </row>
    <row r="591">
      <c r="A591" s="941"/>
      <c r="B591" s="941"/>
      <c r="C591" s="995"/>
      <c r="D591" s="944"/>
      <c r="E591" s="944"/>
      <c r="F591" s="946"/>
      <c r="G591" s="946"/>
      <c r="H591" s="946"/>
      <c r="I591" s="947">
        <v>0.00138428</v>
      </c>
      <c r="J591" s="948">
        <v>0.035</v>
      </c>
      <c r="K591" s="949">
        <f t="shared" si="22"/>
        <v>0</v>
      </c>
      <c r="L591" s="950">
        <f t="shared" si="23"/>
        <v>0</v>
      </c>
      <c r="M591" s="948">
        <v>0.0215</v>
      </c>
      <c r="N591" s="951">
        <f t="shared" si="24"/>
        <v>0.00141404202</v>
      </c>
      <c r="O591" s="949">
        <f t="shared" si="25"/>
        <v>15</v>
      </c>
      <c r="P591" s="949">
        <f t="shared" si="77"/>
        <v>0.0215</v>
      </c>
      <c r="Q591" s="952">
        <f t="shared" si="79"/>
        <v>0</v>
      </c>
      <c r="R591" s="952">
        <f t="shared" si="78"/>
        <v>0</v>
      </c>
      <c r="S591" s="953"/>
      <c r="T591" s="949">
        <v>0.06</v>
      </c>
      <c r="U591" s="954"/>
      <c r="V591" s="949"/>
      <c r="W591" s="953"/>
      <c r="X591" s="949">
        <f t="shared" si="7"/>
        <v>0</v>
      </c>
      <c r="Y591" s="955"/>
      <c r="Z591" s="953" t="str">
        <f t="shared" si="8"/>
        <v/>
      </c>
      <c r="AA591" s="949">
        <f t="shared" si="9"/>
        <v>0</v>
      </c>
      <c r="AB591" s="955"/>
      <c r="AC591" s="949" t="str">
        <f t="shared" si="10"/>
        <v/>
      </c>
      <c r="AD591" s="953">
        <f t="shared" si="11"/>
        <v>0</v>
      </c>
      <c r="AE591" s="956"/>
      <c r="AF591" s="889"/>
      <c r="AG591" s="810" t="b">
        <v>0</v>
      </c>
      <c r="AH591" s="780"/>
      <c r="AI591" s="780"/>
      <c r="AJ591" s="780"/>
      <c r="AK591" s="780"/>
      <c r="AL591" s="780"/>
      <c r="AM591" s="780"/>
      <c r="AN591" s="780"/>
      <c r="AO591" s="780"/>
      <c r="AP591" s="780"/>
      <c r="AQ591" s="780"/>
      <c r="AR591" s="780"/>
      <c r="AS591" s="780"/>
      <c r="AT591" s="780"/>
      <c r="AU591" s="780"/>
      <c r="AV591" s="780"/>
      <c r="AW591" s="780"/>
    </row>
    <row r="592">
      <c r="A592" s="941"/>
      <c r="B592" s="941"/>
      <c r="C592" s="995"/>
      <c r="D592" s="995"/>
      <c r="E592" s="995"/>
      <c r="F592" s="946"/>
      <c r="G592" s="946"/>
      <c r="H592" s="946"/>
      <c r="I592" s="947">
        <v>0.00138428</v>
      </c>
      <c r="J592" s="948">
        <v>0.035</v>
      </c>
      <c r="K592" s="949">
        <f t="shared" si="22"/>
        <v>0</v>
      </c>
      <c r="L592" s="950">
        <f t="shared" si="23"/>
        <v>0</v>
      </c>
      <c r="M592" s="948">
        <v>0.0215</v>
      </c>
      <c r="N592" s="951">
        <f t="shared" si="24"/>
        <v>0.00141404202</v>
      </c>
      <c r="O592" s="949">
        <f t="shared" si="25"/>
        <v>15</v>
      </c>
      <c r="P592" s="949">
        <f t="shared" si="77"/>
        <v>0.0215</v>
      </c>
      <c r="Q592" s="952">
        <f t="shared" si="79"/>
        <v>0</v>
      </c>
      <c r="R592" s="952">
        <f t="shared" si="78"/>
        <v>0</v>
      </c>
      <c r="S592" s="953"/>
      <c r="T592" s="949">
        <v>0.06</v>
      </c>
      <c r="U592" s="954"/>
      <c r="V592" s="949"/>
      <c r="W592" s="953"/>
      <c r="X592" s="949">
        <f t="shared" si="7"/>
        <v>0</v>
      </c>
      <c r="Y592" s="955"/>
      <c r="Z592" s="953" t="str">
        <f t="shared" si="8"/>
        <v/>
      </c>
      <c r="AA592" s="949">
        <f t="shared" si="9"/>
        <v>0</v>
      </c>
      <c r="AB592" s="955"/>
      <c r="AC592" s="949" t="str">
        <f t="shared" si="10"/>
        <v/>
      </c>
      <c r="AD592" s="953">
        <f t="shared" si="11"/>
        <v>0</v>
      </c>
      <c r="AE592" s="956"/>
      <c r="AF592" s="889"/>
      <c r="AG592" s="810" t="b">
        <v>0</v>
      </c>
      <c r="AH592" s="780"/>
      <c r="AI592" s="780"/>
      <c r="AJ592" s="780"/>
      <c r="AK592" s="780"/>
      <c r="AL592" s="780"/>
      <c r="AM592" s="780"/>
      <c r="AN592" s="780"/>
      <c r="AO592" s="780"/>
      <c r="AP592" s="780"/>
      <c r="AQ592" s="780"/>
      <c r="AR592" s="780"/>
      <c r="AS592" s="780"/>
      <c r="AT592" s="780"/>
      <c r="AU592" s="780"/>
      <c r="AV592" s="780"/>
      <c r="AW592" s="780"/>
    </row>
    <row r="593">
      <c r="A593" s="941"/>
      <c r="B593" s="941"/>
      <c r="C593" s="995"/>
      <c r="D593" s="944"/>
      <c r="E593" s="944"/>
      <c r="F593" s="946"/>
      <c r="G593" s="946"/>
      <c r="H593" s="946"/>
      <c r="I593" s="947">
        <v>0.00138428</v>
      </c>
      <c r="J593" s="948">
        <v>0.035</v>
      </c>
      <c r="K593" s="949">
        <f t="shared" si="22"/>
        <v>0</v>
      </c>
      <c r="L593" s="950">
        <f t="shared" si="23"/>
        <v>0</v>
      </c>
      <c r="M593" s="948">
        <v>0.0215</v>
      </c>
      <c r="N593" s="951">
        <f t="shared" si="24"/>
        <v>0.00141404202</v>
      </c>
      <c r="O593" s="949">
        <f t="shared" si="25"/>
        <v>15</v>
      </c>
      <c r="P593" s="949">
        <f t="shared" si="77"/>
        <v>0.0215</v>
      </c>
      <c r="Q593" s="952">
        <f t="shared" si="79"/>
        <v>0</v>
      </c>
      <c r="R593" s="952">
        <f t="shared" si="78"/>
        <v>0</v>
      </c>
      <c r="S593" s="953"/>
      <c r="T593" s="949">
        <v>0.06</v>
      </c>
      <c r="U593" s="954"/>
      <c r="V593" s="949"/>
      <c r="W593" s="953"/>
      <c r="X593" s="949">
        <f t="shared" si="7"/>
        <v>0</v>
      </c>
      <c r="Y593" s="955"/>
      <c r="Z593" s="953" t="str">
        <f t="shared" si="8"/>
        <v/>
      </c>
      <c r="AA593" s="949">
        <f t="shared" si="9"/>
        <v>0</v>
      </c>
      <c r="AB593" s="955"/>
      <c r="AC593" s="949" t="str">
        <f t="shared" si="10"/>
        <v/>
      </c>
      <c r="AD593" s="953">
        <f t="shared" si="11"/>
        <v>0</v>
      </c>
      <c r="AE593" s="956"/>
      <c r="AF593" s="889"/>
      <c r="AG593" s="810" t="b">
        <v>0</v>
      </c>
      <c r="AH593" s="780"/>
      <c r="AI593" s="780"/>
      <c r="AJ593" s="780"/>
      <c r="AK593" s="780"/>
      <c r="AL593" s="780"/>
      <c r="AM593" s="780"/>
      <c r="AN593" s="780"/>
      <c r="AO593" s="780"/>
      <c r="AP593" s="780"/>
      <c r="AQ593" s="780"/>
      <c r="AR593" s="780"/>
      <c r="AS593" s="780"/>
      <c r="AT593" s="780"/>
      <c r="AU593" s="780"/>
      <c r="AV593" s="780"/>
      <c r="AW593" s="780"/>
    </row>
    <row r="594">
      <c r="A594" s="941"/>
      <c r="B594" s="941"/>
      <c r="C594" s="995"/>
      <c r="D594" s="995"/>
      <c r="E594" s="995"/>
      <c r="F594" s="946"/>
      <c r="G594" s="946"/>
      <c r="H594" s="946"/>
      <c r="I594" s="947">
        <v>0.00138428</v>
      </c>
      <c r="J594" s="948">
        <v>0.035</v>
      </c>
      <c r="K594" s="949">
        <f t="shared" si="22"/>
        <v>0</v>
      </c>
      <c r="L594" s="950">
        <f t="shared" si="23"/>
        <v>0</v>
      </c>
      <c r="M594" s="948">
        <v>0.0215</v>
      </c>
      <c r="N594" s="951">
        <f t="shared" si="24"/>
        <v>0.00141404202</v>
      </c>
      <c r="O594" s="949">
        <f t="shared" si="25"/>
        <v>15</v>
      </c>
      <c r="P594" s="949">
        <f t="shared" si="77"/>
        <v>0.0215</v>
      </c>
      <c r="Q594" s="952">
        <f t="shared" si="79"/>
        <v>0</v>
      </c>
      <c r="R594" s="952">
        <f t="shared" si="78"/>
        <v>0</v>
      </c>
      <c r="S594" s="953"/>
      <c r="T594" s="949">
        <v>0.06</v>
      </c>
      <c r="U594" s="954"/>
      <c r="V594" s="949"/>
      <c r="W594" s="953"/>
      <c r="X594" s="949">
        <f t="shared" si="7"/>
        <v>0</v>
      </c>
      <c r="Y594" s="955"/>
      <c r="Z594" s="953" t="str">
        <f t="shared" si="8"/>
        <v/>
      </c>
      <c r="AA594" s="949">
        <f t="shared" si="9"/>
        <v>0</v>
      </c>
      <c r="AB594" s="955"/>
      <c r="AC594" s="949" t="str">
        <f t="shared" si="10"/>
        <v/>
      </c>
      <c r="AD594" s="953">
        <f t="shared" si="11"/>
        <v>0</v>
      </c>
      <c r="AE594" s="956"/>
      <c r="AF594" s="889"/>
      <c r="AG594" s="810" t="b">
        <v>0</v>
      </c>
      <c r="AH594" s="780"/>
      <c r="AI594" s="780"/>
      <c r="AJ594" s="780"/>
      <c r="AK594" s="780"/>
      <c r="AL594" s="780"/>
      <c r="AM594" s="780"/>
      <c r="AN594" s="780"/>
      <c r="AO594" s="780"/>
      <c r="AP594" s="780"/>
      <c r="AQ594" s="780"/>
      <c r="AR594" s="780"/>
      <c r="AS594" s="780"/>
      <c r="AT594" s="780"/>
      <c r="AU594" s="780"/>
      <c r="AV594" s="780"/>
      <c r="AW594" s="780"/>
    </row>
    <row r="595">
      <c r="A595" s="941"/>
      <c r="B595" s="941"/>
      <c r="C595" s="995"/>
      <c r="D595" s="944"/>
      <c r="E595" s="944"/>
      <c r="F595" s="946"/>
      <c r="G595" s="946"/>
      <c r="H595" s="946"/>
      <c r="I595" s="947">
        <v>0.00138428</v>
      </c>
      <c r="J595" s="948">
        <v>0.035</v>
      </c>
      <c r="K595" s="949">
        <f t="shared" si="22"/>
        <v>0</v>
      </c>
      <c r="L595" s="950">
        <f t="shared" si="23"/>
        <v>0</v>
      </c>
      <c r="M595" s="948">
        <v>0.0215</v>
      </c>
      <c r="N595" s="951">
        <f t="shared" si="24"/>
        <v>0.00141404202</v>
      </c>
      <c r="O595" s="949">
        <f t="shared" si="25"/>
        <v>15</v>
      </c>
      <c r="P595" s="949">
        <f t="shared" si="77"/>
        <v>0.0215</v>
      </c>
      <c r="Q595" s="952">
        <f t="shared" si="79"/>
        <v>0</v>
      </c>
      <c r="R595" s="952">
        <f t="shared" si="78"/>
        <v>0</v>
      </c>
      <c r="S595" s="953"/>
      <c r="T595" s="949">
        <v>0.06</v>
      </c>
      <c r="U595" s="954"/>
      <c r="V595" s="949"/>
      <c r="W595" s="953"/>
      <c r="X595" s="949">
        <f t="shared" si="7"/>
        <v>0</v>
      </c>
      <c r="Y595" s="955"/>
      <c r="Z595" s="953" t="str">
        <f t="shared" si="8"/>
        <v/>
      </c>
      <c r="AA595" s="949">
        <f t="shared" si="9"/>
        <v>0</v>
      </c>
      <c r="AB595" s="955"/>
      <c r="AC595" s="949" t="str">
        <f t="shared" si="10"/>
        <v/>
      </c>
      <c r="AD595" s="953">
        <f t="shared" si="11"/>
        <v>0</v>
      </c>
      <c r="AE595" s="956"/>
      <c r="AF595" s="889"/>
      <c r="AG595" s="810" t="b">
        <v>0</v>
      </c>
      <c r="AH595" s="780"/>
      <c r="AI595" s="780"/>
      <c r="AJ595" s="780"/>
      <c r="AK595" s="780"/>
      <c r="AL595" s="780"/>
      <c r="AM595" s="780"/>
      <c r="AN595" s="780"/>
      <c r="AO595" s="780"/>
      <c r="AP595" s="780"/>
      <c r="AQ595" s="780"/>
      <c r="AR595" s="780"/>
      <c r="AS595" s="780"/>
      <c r="AT595" s="780"/>
      <c r="AU595" s="780"/>
      <c r="AV595" s="780"/>
      <c r="AW595" s="780"/>
    </row>
    <row r="596">
      <c r="A596" s="941"/>
      <c r="B596" s="941"/>
      <c r="C596" s="995"/>
      <c r="D596" s="995"/>
      <c r="E596" s="995"/>
      <c r="F596" s="946"/>
      <c r="G596" s="946"/>
      <c r="H596" s="946"/>
      <c r="I596" s="947">
        <v>0.00138428</v>
      </c>
      <c r="J596" s="948">
        <v>0.035</v>
      </c>
      <c r="K596" s="949">
        <f t="shared" si="22"/>
        <v>0</v>
      </c>
      <c r="L596" s="950">
        <f t="shared" si="23"/>
        <v>0</v>
      </c>
      <c r="M596" s="948">
        <v>0.0215</v>
      </c>
      <c r="N596" s="951">
        <f t="shared" si="24"/>
        <v>0.00141404202</v>
      </c>
      <c r="O596" s="949">
        <f t="shared" si="25"/>
        <v>15</v>
      </c>
      <c r="P596" s="949">
        <f t="shared" si="77"/>
        <v>0.0215</v>
      </c>
      <c r="Q596" s="952">
        <f t="shared" si="79"/>
        <v>0</v>
      </c>
      <c r="R596" s="952">
        <f t="shared" si="78"/>
        <v>0</v>
      </c>
      <c r="S596" s="953"/>
      <c r="T596" s="949">
        <v>0.06</v>
      </c>
      <c r="U596" s="954"/>
      <c r="V596" s="949"/>
      <c r="W596" s="953"/>
      <c r="X596" s="949">
        <f t="shared" si="7"/>
        <v>0</v>
      </c>
      <c r="Y596" s="955"/>
      <c r="Z596" s="953" t="str">
        <f t="shared" si="8"/>
        <v/>
      </c>
      <c r="AA596" s="949">
        <f t="shared" si="9"/>
        <v>0</v>
      </c>
      <c r="AB596" s="955"/>
      <c r="AC596" s="949" t="str">
        <f t="shared" si="10"/>
        <v/>
      </c>
      <c r="AD596" s="953">
        <f t="shared" si="11"/>
        <v>0</v>
      </c>
      <c r="AE596" s="956"/>
      <c r="AF596" s="889"/>
      <c r="AG596" s="810" t="b">
        <v>0</v>
      </c>
      <c r="AH596" s="780"/>
      <c r="AI596" s="780"/>
      <c r="AJ596" s="780"/>
      <c r="AK596" s="780"/>
      <c r="AL596" s="780"/>
      <c r="AM596" s="780"/>
      <c r="AN596" s="780"/>
      <c r="AO596" s="780"/>
      <c r="AP596" s="780"/>
      <c r="AQ596" s="780"/>
      <c r="AR596" s="780"/>
      <c r="AS596" s="780"/>
      <c r="AT596" s="780"/>
      <c r="AU596" s="780"/>
      <c r="AV596" s="780"/>
      <c r="AW596" s="780"/>
    </row>
    <row r="597">
      <c r="A597" s="941"/>
      <c r="B597" s="941"/>
      <c r="C597" s="995"/>
      <c r="D597" s="944"/>
      <c r="E597" s="944"/>
      <c r="F597" s="946"/>
      <c r="G597" s="946"/>
      <c r="H597" s="946"/>
      <c r="I597" s="947">
        <v>0.00138428</v>
      </c>
      <c r="J597" s="948">
        <v>0.035</v>
      </c>
      <c r="K597" s="949">
        <f t="shared" si="22"/>
        <v>0</v>
      </c>
      <c r="L597" s="950">
        <f t="shared" si="23"/>
        <v>0</v>
      </c>
      <c r="M597" s="948">
        <v>0.0215</v>
      </c>
      <c r="N597" s="951">
        <f t="shared" si="24"/>
        <v>0.00141404202</v>
      </c>
      <c r="O597" s="949">
        <f t="shared" si="25"/>
        <v>15</v>
      </c>
      <c r="P597" s="949">
        <f t="shared" si="77"/>
        <v>0.0215</v>
      </c>
      <c r="Q597" s="952">
        <f t="shared" si="79"/>
        <v>0</v>
      </c>
      <c r="R597" s="952">
        <f t="shared" si="78"/>
        <v>0</v>
      </c>
      <c r="S597" s="953"/>
      <c r="T597" s="949">
        <v>0.06</v>
      </c>
      <c r="U597" s="954"/>
      <c r="V597" s="949"/>
      <c r="W597" s="953"/>
      <c r="X597" s="949">
        <f t="shared" si="7"/>
        <v>0</v>
      </c>
      <c r="Y597" s="955"/>
      <c r="Z597" s="953" t="str">
        <f t="shared" si="8"/>
        <v/>
      </c>
      <c r="AA597" s="949">
        <f t="shared" si="9"/>
        <v>0</v>
      </c>
      <c r="AB597" s="955"/>
      <c r="AC597" s="949" t="str">
        <f t="shared" si="10"/>
        <v/>
      </c>
      <c r="AD597" s="953">
        <f t="shared" si="11"/>
        <v>0</v>
      </c>
      <c r="AE597" s="956"/>
      <c r="AF597" s="889"/>
      <c r="AG597" s="810" t="b">
        <v>0</v>
      </c>
      <c r="AH597" s="780"/>
      <c r="AI597" s="780"/>
      <c r="AJ597" s="780"/>
      <c r="AK597" s="780"/>
      <c r="AL597" s="780"/>
      <c r="AM597" s="780"/>
      <c r="AN597" s="780"/>
      <c r="AO597" s="780"/>
      <c r="AP597" s="780"/>
      <c r="AQ597" s="780"/>
      <c r="AR597" s="780"/>
      <c r="AS597" s="780"/>
      <c r="AT597" s="780"/>
      <c r="AU597" s="780"/>
      <c r="AV597" s="780"/>
      <c r="AW597" s="780"/>
    </row>
    <row r="598">
      <c r="A598" s="941"/>
      <c r="B598" s="941"/>
      <c r="C598" s="995"/>
      <c r="D598" s="995"/>
      <c r="E598" s="995"/>
      <c r="F598" s="946"/>
      <c r="G598" s="946"/>
      <c r="H598" s="946"/>
      <c r="I598" s="947">
        <v>0.00138428</v>
      </c>
      <c r="J598" s="948">
        <v>0.035</v>
      </c>
      <c r="K598" s="949">
        <f t="shared" si="22"/>
        <v>0</v>
      </c>
      <c r="L598" s="950">
        <f t="shared" si="23"/>
        <v>0</v>
      </c>
      <c r="M598" s="948">
        <v>0.0215</v>
      </c>
      <c r="N598" s="951">
        <f t="shared" si="24"/>
        <v>0.00141404202</v>
      </c>
      <c r="O598" s="949">
        <f t="shared" si="25"/>
        <v>15</v>
      </c>
      <c r="P598" s="949">
        <f t="shared" si="77"/>
        <v>0.0215</v>
      </c>
      <c r="Q598" s="952">
        <f t="shared" si="79"/>
        <v>0</v>
      </c>
      <c r="R598" s="952">
        <f t="shared" si="78"/>
        <v>0</v>
      </c>
      <c r="S598" s="953"/>
      <c r="T598" s="949">
        <v>0.06</v>
      </c>
      <c r="U598" s="954"/>
      <c r="V598" s="949"/>
      <c r="W598" s="953"/>
      <c r="X598" s="949">
        <f t="shared" si="7"/>
        <v>0</v>
      </c>
      <c r="Y598" s="955"/>
      <c r="Z598" s="953" t="str">
        <f t="shared" si="8"/>
        <v/>
      </c>
      <c r="AA598" s="949">
        <f t="shared" si="9"/>
        <v>0</v>
      </c>
      <c r="AB598" s="955"/>
      <c r="AC598" s="949" t="str">
        <f t="shared" si="10"/>
        <v/>
      </c>
      <c r="AD598" s="953">
        <f t="shared" si="11"/>
        <v>0</v>
      </c>
      <c r="AE598" s="956"/>
      <c r="AF598" s="889"/>
      <c r="AG598" s="810" t="b">
        <v>0</v>
      </c>
      <c r="AH598" s="780"/>
      <c r="AI598" s="780"/>
      <c r="AJ598" s="780"/>
      <c r="AK598" s="780"/>
      <c r="AL598" s="780"/>
      <c r="AM598" s="780"/>
      <c r="AN598" s="780"/>
      <c r="AO598" s="780"/>
      <c r="AP598" s="780"/>
      <c r="AQ598" s="780"/>
      <c r="AR598" s="780"/>
      <c r="AS598" s="780"/>
      <c r="AT598" s="780"/>
      <c r="AU598" s="780"/>
      <c r="AV598" s="780"/>
      <c r="AW598" s="780"/>
    </row>
    <row r="599">
      <c r="A599" s="941"/>
      <c r="B599" s="941"/>
      <c r="C599" s="995"/>
      <c r="D599" s="944"/>
      <c r="E599" s="944"/>
      <c r="F599" s="946"/>
      <c r="G599" s="946"/>
      <c r="H599" s="946"/>
      <c r="I599" s="947">
        <v>0.00138428</v>
      </c>
      <c r="J599" s="948">
        <v>0.035</v>
      </c>
      <c r="K599" s="949">
        <f t="shared" si="22"/>
        <v>0</v>
      </c>
      <c r="L599" s="950">
        <f t="shared" si="23"/>
        <v>0</v>
      </c>
      <c r="M599" s="948">
        <v>0.0215</v>
      </c>
      <c r="N599" s="951">
        <f t="shared" si="24"/>
        <v>0.00141404202</v>
      </c>
      <c r="O599" s="949">
        <f t="shared" si="25"/>
        <v>15</v>
      </c>
      <c r="P599" s="949">
        <f t="shared" si="77"/>
        <v>0.0215</v>
      </c>
      <c r="Q599" s="952">
        <f t="shared" si="79"/>
        <v>0</v>
      </c>
      <c r="R599" s="952">
        <f t="shared" si="78"/>
        <v>0</v>
      </c>
      <c r="S599" s="953"/>
      <c r="T599" s="949">
        <v>0.06</v>
      </c>
      <c r="U599" s="954"/>
      <c r="V599" s="949"/>
      <c r="W599" s="953"/>
      <c r="X599" s="949">
        <f t="shared" si="7"/>
        <v>0</v>
      </c>
      <c r="Y599" s="955"/>
      <c r="Z599" s="953" t="str">
        <f t="shared" si="8"/>
        <v/>
      </c>
      <c r="AA599" s="949">
        <f t="shared" si="9"/>
        <v>0</v>
      </c>
      <c r="AB599" s="955"/>
      <c r="AC599" s="949" t="str">
        <f t="shared" si="10"/>
        <v/>
      </c>
      <c r="AD599" s="953">
        <f t="shared" si="11"/>
        <v>0</v>
      </c>
      <c r="AE599" s="956"/>
      <c r="AF599" s="889"/>
      <c r="AG599" s="810" t="b">
        <v>0</v>
      </c>
      <c r="AH599" s="780"/>
      <c r="AI599" s="780"/>
      <c r="AJ599" s="780"/>
      <c r="AK599" s="780"/>
      <c r="AL599" s="780"/>
      <c r="AM599" s="780"/>
      <c r="AN599" s="780"/>
      <c r="AO599" s="780"/>
      <c r="AP599" s="780"/>
      <c r="AQ599" s="780"/>
      <c r="AR599" s="780"/>
      <c r="AS599" s="780"/>
      <c r="AT599" s="780"/>
      <c r="AU599" s="780"/>
      <c r="AV599" s="780"/>
      <c r="AW599" s="780"/>
    </row>
    <row r="600">
      <c r="A600" s="941"/>
      <c r="B600" s="941"/>
      <c r="C600" s="995"/>
      <c r="D600" s="995"/>
      <c r="E600" s="995"/>
      <c r="F600" s="946"/>
      <c r="G600" s="946"/>
      <c r="H600" s="946"/>
      <c r="I600" s="947">
        <v>0.00138428</v>
      </c>
      <c r="J600" s="948">
        <v>0.035</v>
      </c>
      <c r="K600" s="949">
        <f t="shared" si="22"/>
        <v>0</v>
      </c>
      <c r="L600" s="950">
        <f t="shared" si="23"/>
        <v>0</v>
      </c>
      <c r="M600" s="948">
        <v>0.0215</v>
      </c>
      <c r="N600" s="951">
        <f t="shared" si="24"/>
        <v>0.00141404202</v>
      </c>
      <c r="O600" s="949">
        <f t="shared" si="25"/>
        <v>15</v>
      </c>
      <c r="P600" s="949">
        <f t="shared" si="77"/>
        <v>0.0215</v>
      </c>
      <c r="Q600" s="952">
        <f t="shared" si="79"/>
        <v>0</v>
      </c>
      <c r="R600" s="952">
        <f t="shared" si="78"/>
        <v>0</v>
      </c>
      <c r="S600" s="953"/>
      <c r="T600" s="949">
        <v>0.06</v>
      </c>
      <c r="U600" s="954"/>
      <c r="V600" s="949"/>
      <c r="W600" s="953"/>
      <c r="X600" s="949">
        <f t="shared" si="7"/>
        <v>0</v>
      </c>
      <c r="Y600" s="955"/>
      <c r="Z600" s="953" t="str">
        <f t="shared" si="8"/>
        <v/>
      </c>
      <c r="AA600" s="949">
        <f t="shared" si="9"/>
        <v>0</v>
      </c>
      <c r="AB600" s="955"/>
      <c r="AC600" s="949" t="str">
        <f t="shared" si="10"/>
        <v/>
      </c>
      <c r="AD600" s="953">
        <f t="shared" si="11"/>
        <v>0</v>
      </c>
      <c r="AE600" s="956"/>
      <c r="AF600" s="889"/>
      <c r="AG600" s="810" t="b">
        <v>0</v>
      </c>
      <c r="AH600" s="780"/>
      <c r="AI600" s="780"/>
      <c r="AJ600" s="780"/>
      <c r="AK600" s="780"/>
      <c r="AL600" s="780"/>
      <c r="AM600" s="780"/>
      <c r="AN600" s="780"/>
      <c r="AO600" s="780"/>
      <c r="AP600" s="780"/>
      <c r="AQ600" s="780"/>
      <c r="AR600" s="780"/>
      <c r="AS600" s="780"/>
      <c r="AT600" s="780"/>
      <c r="AU600" s="780"/>
      <c r="AV600" s="780"/>
      <c r="AW600" s="780"/>
    </row>
    <row r="601">
      <c r="A601" s="941"/>
      <c r="B601" s="941"/>
      <c r="C601" s="995"/>
      <c r="D601" s="944"/>
      <c r="E601" s="944"/>
      <c r="F601" s="946"/>
      <c r="G601" s="946"/>
      <c r="H601" s="946"/>
      <c r="I601" s="947">
        <v>0.00138428</v>
      </c>
      <c r="J601" s="948">
        <v>0.035</v>
      </c>
      <c r="K601" s="949">
        <f t="shared" si="22"/>
        <v>0</v>
      </c>
      <c r="L601" s="950">
        <f t="shared" si="23"/>
        <v>0</v>
      </c>
      <c r="M601" s="948">
        <v>0.0215</v>
      </c>
      <c r="N601" s="951">
        <f t="shared" si="24"/>
        <v>0.00141404202</v>
      </c>
      <c r="O601" s="949">
        <f t="shared" si="25"/>
        <v>15</v>
      </c>
      <c r="P601" s="949">
        <f t="shared" si="77"/>
        <v>0.0215</v>
      </c>
      <c r="Q601" s="952">
        <f t="shared" si="79"/>
        <v>0</v>
      </c>
      <c r="R601" s="952">
        <f t="shared" si="78"/>
        <v>0</v>
      </c>
      <c r="S601" s="953"/>
      <c r="T601" s="949">
        <v>0.06</v>
      </c>
      <c r="U601" s="954"/>
      <c r="V601" s="949"/>
      <c r="W601" s="953"/>
      <c r="X601" s="949">
        <f t="shared" si="7"/>
        <v>0</v>
      </c>
      <c r="Y601" s="955"/>
      <c r="Z601" s="953" t="str">
        <f t="shared" si="8"/>
        <v/>
      </c>
      <c r="AA601" s="949">
        <f t="shared" si="9"/>
        <v>0</v>
      </c>
      <c r="AB601" s="955"/>
      <c r="AC601" s="949" t="str">
        <f t="shared" si="10"/>
        <v/>
      </c>
      <c r="AD601" s="953">
        <f t="shared" si="11"/>
        <v>0</v>
      </c>
      <c r="AE601" s="956"/>
      <c r="AF601" s="889"/>
      <c r="AG601" s="810" t="b">
        <v>0</v>
      </c>
      <c r="AH601" s="780"/>
      <c r="AI601" s="780"/>
      <c r="AJ601" s="780"/>
      <c r="AK601" s="780"/>
      <c r="AL601" s="780"/>
      <c r="AM601" s="780"/>
      <c r="AN601" s="780"/>
      <c r="AO601" s="780"/>
      <c r="AP601" s="780"/>
      <c r="AQ601" s="780"/>
      <c r="AR601" s="780"/>
      <c r="AS601" s="780"/>
      <c r="AT601" s="780"/>
      <c r="AU601" s="780"/>
      <c r="AV601" s="780"/>
      <c r="AW601" s="780"/>
    </row>
    <row r="602">
      <c r="A602" s="941"/>
      <c r="B602" s="941"/>
      <c r="C602" s="995"/>
      <c r="D602" s="995"/>
      <c r="E602" s="995"/>
      <c r="F602" s="946"/>
      <c r="G602" s="946"/>
      <c r="H602" s="946"/>
      <c r="I602" s="947">
        <v>0.00138428</v>
      </c>
      <c r="J602" s="948">
        <v>0.035</v>
      </c>
      <c r="K602" s="949">
        <f t="shared" si="22"/>
        <v>0</v>
      </c>
      <c r="L602" s="950">
        <f t="shared" si="23"/>
        <v>0</v>
      </c>
      <c r="M602" s="948">
        <v>0.0215</v>
      </c>
      <c r="N602" s="951">
        <f t="shared" si="24"/>
        <v>0.00141404202</v>
      </c>
      <c r="O602" s="949">
        <f t="shared" si="25"/>
        <v>15</v>
      </c>
      <c r="P602" s="949">
        <f t="shared" si="77"/>
        <v>0.0215</v>
      </c>
      <c r="Q602" s="952">
        <f t="shared" si="79"/>
        <v>0</v>
      </c>
      <c r="R602" s="952">
        <f t="shared" si="78"/>
        <v>0</v>
      </c>
      <c r="S602" s="953"/>
      <c r="T602" s="949">
        <v>0.06</v>
      </c>
      <c r="U602" s="954"/>
      <c r="V602" s="949"/>
      <c r="W602" s="953"/>
      <c r="X602" s="949">
        <f t="shared" si="7"/>
        <v>0</v>
      </c>
      <c r="Y602" s="955"/>
      <c r="Z602" s="953" t="str">
        <f t="shared" si="8"/>
        <v/>
      </c>
      <c r="AA602" s="949">
        <f t="shared" si="9"/>
        <v>0</v>
      </c>
      <c r="AB602" s="955"/>
      <c r="AC602" s="949" t="str">
        <f t="shared" si="10"/>
        <v/>
      </c>
      <c r="AD602" s="953">
        <f t="shared" si="11"/>
        <v>0</v>
      </c>
      <c r="AE602" s="956"/>
      <c r="AF602" s="889"/>
      <c r="AG602" s="810" t="b">
        <v>0</v>
      </c>
      <c r="AH602" s="780"/>
      <c r="AI602" s="780"/>
      <c r="AJ602" s="780"/>
      <c r="AK602" s="780"/>
      <c r="AL602" s="780"/>
      <c r="AM602" s="780"/>
      <c r="AN602" s="780"/>
      <c r="AO602" s="780"/>
      <c r="AP602" s="780"/>
      <c r="AQ602" s="780"/>
      <c r="AR602" s="780"/>
      <c r="AS602" s="780"/>
      <c r="AT602" s="780"/>
      <c r="AU602" s="780"/>
      <c r="AV602" s="780"/>
      <c r="AW602" s="780"/>
    </row>
    <row r="603">
      <c r="A603" s="941"/>
      <c r="B603" s="941"/>
      <c r="C603" s="995"/>
      <c r="D603" s="944"/>
      <c r="E603" s="944"/>
      <c r="F603" s="1000"/>
      <c r="G603" s="1000"/>
      <c r="H603" s="1000"/>
      <c r="I603" s="947">
        <v>0.00138428</v>
      </c>
      <c r="J603" s="948">
        <v>0.035</v>
      </c>
      <c r="K603" s="949">
        <f t="shared" si="22"/>
        <v>0</v>
      </c>
      <c r="L603" s="950">
        <f t="shared" si="23"/>
        <v>0</v>
      </c>
      <c r="M603" s="948">
        <v>0.0215</v>
      </c>
      <c r="N603" s="951">
        <f t="shared" si="24"/>
        <v>0.00141404202</v>
      </c>
      <c r="O603" s="949">
        <f t="shared" si="25"/>
        <v>15</v>
      </c>
      <c r="P603" s="949">
        <f t="shared" si="77"/>
        <v>0.0215</v>
      </c>
      <c r="Q603" s="952">
        <f t="shared" si="79"/>
        <v>0</v>
      </c>
      <c r="R603" s="952">
        <f t="shared" si="78"/>
        <v>0</v>
      </c>
      <c r="S603" s="953"/>
      <c r="T603" s="949">
        <v>0.06</v>
      </c>
      <c r="U603" s="954"/>
      <c r="V603" s="949"/>
      <c r="W603" s="953"/>
      <c r="X603" s="949">
        <f t="shared" si="7"/>
        <v>0</v>
      </c>
      <c r="Y603" s="955"/>
      <c r="Z603" s="953" t="str">
        <f t="shared" si="8"/>
        <v/>
      </c>
      <c r="AA603" s="949">
        <f t="shared" si="9"/>
        <v>0</v>
      </c>
      <c r="AB603" s="955"/>
      <c r="AC603" s="949" t="str">
        <f t="shared" si="10"/>
        <v/>
      </c>
      <c r="AD603" s="953">
        <f t="shared" si="11"/>
        <v>0</v>
      </c>
      <c r="AE603" s="956"/>
      <c r="AF603" s="889"/>
      <c r="AG603" s="810" t="b">
        <v>0</v>
      </c>
      <c r="AH603" s="780"/>
      <c r="AI603" s="780"/>
      <c r="AJ603" s="780"/>
      <c r="AK603" s="780"/>
      <c r="AL603" s="780"/>
      <c r="AM603" s="780"/>
      <c r="AN603" s="780"/>
      <c r="AO603" s="780"/>
      <c r="AP603" s="780"/>
      <c r="AQ603" s="780"/>
      <c r="AR603" s="780"/>
      <c r="AS603" s="780"/>
      <c r="AT603" s="780"/>
      <c r="AU603" s="780"/>
      <c r="AV603" s="780"/>
      <c r="AW603" s="780"/>
    </row>
    <row r="604">
      <c r="A604" s="941"/>
      <c r="B604" s="941"/>
      <c r="C604" s="995"/>
      <c r="D604" s="995"/>
      <c r="E604" s="995"/>
      <c r="F604" s="946"/>
      <c r="G604" s="946"/>
      <c r="H604" s="946"/>
      <c r="I604" s="947">
        <v>0.00138428</v>
      </c>
      <c r="J604" s="948">
        <v>0.035</v>
      </c>
      <c r="K604" s="949">
        <f t="shared" si="22"/>
        <v>0</v>
      </c>
      <c r="L604" s="950">
        <f t="shared" si="23"/>
        <v>0</v>
      </c>
      <c r="M604" s="948">
        <v>0.0215</v>
      </c>
      <c r="N604" s="951">
        <f t="shared" si="24"/>
        <v>0.00141404202</v>
      </c>
      <c r="O604" s="949">
        <f t="shared" si="25"/>
        <v>15</v>
      </c>
      <c r="P604" s="949">
        <f t="shared" si="77"/>
        <v>0.0215</v>
      </c>
      <c r="Q604" s="952">
        <f t="shared" si="79"/>
        <v>0</v>
      </c>
      <c r="R604" s="952">
        <f t="shared" si="78"/>
        <v>0</v>
      </c>
      <c r="S604" s="953"/>
      <c r="T604" s="949">
        <v>0.06</v>
      </c>
      <c r="U604" s="954"/>
      <c r="V604" s="949"/>
      <c r="W604" s="953"/>
      <c r="X604" s="949">
        <f t="shared" si="7"/>
        <v>0</v>
      </c>
      <c r="Y604" s="955"/>
      <c r="Z604" s="953" t="str">
        <f t="shared" si="8"/>
        <v/>
      </c>
      <c r="AA604" s="949">
        <f t="shared" si="9"/>
        <v>0</v>
      </c>
      <c r="AB604" s="955"/>
      <c r="AC604" s="949" t="str">
        <f t="shared" si="10"/>
        <v/>
      </c>
      <c r="AD604" s="953">
        <f t="shared" si="11"/>
        <v>0</v>
      </c>
      <c r="AE604" s="956"/>
      <c r="AF604" s="889"/>
      <c r="AG604" s="810" t="b">
        <v>0</v>
      </c>
      <c r="AH604" s="780"/>
      <c r="AI604" s="780"/>
      <c r="AJ604" s="780"/>
      <c r="AK604" s="780"/>
      <c r="AL604" s="780"/>
      <c r="AM604" s="780"/>
      <c r="AN604" s="780"/>
      <c r="AO604" s="780"/>
      <c r="AP604" s="780"/>
      <c r="AQ604" s="780"/>
      <c r="AR604" s="780"/>
      <c r="AS604" s="780"/>
      <c r="AT604" s="780"/>
      <c r="AU604" s="780"/>
      <c r="AV604" s="780"/>
      <c r="AW604" s="780"/>
    </row>
    <row r="605">
      <c r="A605" s="941"/>
      <c r="B605" s="941"/>
      <c r="C605" s="995"/>
      <c r="D605" s="995"/>
      <c r="E605" s="995"/>
      <c r="F605" s="946"/>
      <c r="G605" s="946"/>
      <c r="H605" s="946"/>
      <c r="I605" s="947">
        <v>0.00138428</v>
      </c>
      <c r="J605" s="948">
        <v>0.035</v>
      </c>
      <c r="K605" s="949">
        <f t="shared" si="22"/>
        <v>0</v>
      </c>
      <c r="L605" s="950">
        <f t="shared" si="23"/>
        <v>0</v>
      </c>
      <c r="M605" s="948">
        <v>0.0215</v>
      </c>
      <c r="N605" s="951">
        <f t="shared" si="24"/>
        <v>0.00141404202</v>
      </c>
      <c r="O605" s="949">
        <f t="shared" si="25"/>
        <v>15</v>
      </c>
      <c r="P605" s="949">
        <f t="shared" si="77"/>
        <v>0.0215</v>
      </c>
      <c r="Q605" s="952">
        <f t="shared" si="79"/>
        <v>0</v>
      </c>
      <c r="R605" s="952">
        <f t="shared" si="78"/>
        <v>0</v>
      </c>
      <c r="S605" s="953"/>
      <c r="T605" s="949">
        <v>0.06</v>
      </c>
      <c r="U605" s="954"/>
      <c r="V605" s="949"/>
      <c r="W605" s="953"/>
      <c r="X605" s="949">
        <f t="shared" si="7"/>
        <v>0</v>
      </c>
      <c r="Y605" s="955"/>
      <c r="Z605" s="953" t="str">
        <f t="shared" si="8"/>
        <v/>
      </c>
      <c r="AA605" s="949">
        <f t="shared" si="9"/>
        <v>0</v>
      </c>
      <c r="AB605" s="955"/>
      <c r="AC605" s="949" t="str">
        <f t="shared" si="10"/>
        <v/>
      </c>
      <c r="AD605" s="953">
        <f t="shared" si="11"/>
        <v>0</v>
      </c>
      <c r="AE605" s="956"/>
      <c r="AF605" s="889"/>
      <c r="AG605" s="810" t="b">
        <v>0</v>
      </c>
      <c r="AH605" s="780"/>
      <c r="AI605" s="780"/>
      <c r="AJ605" s="780"/>
      <c r="AK605" s="780"/>
      <c r="AL605" s="780"/>
      <c r="AM605" s="780"/>
      <c r="AN605" s="780"/>
      <c r="AO605" s="780"/>
      <c r="AP605" s="780"/>
      <c r="AQ605" s="780"/>
      <c r="AR605" s="780"/>
      <c r="AS605" s="780"/>
      <c r="AT605" s="780"/>
      <c r="AU605" s="780"/>
      <c r="AV605" s="780"/>
      <c r="AW605" s="780"/>
    </row>
    <row r="606">
      <c r="A606" s="941"/>
      <c r="B606" s="941"/>
      <c r="C606" s="995"/>
      <c r="D606" s="995"/>
      <c r="E606" s="995"/>
      <c r="F606" s="946"/>
      <c r="G606" s="946"/>
      <c r="H606" s="946"/>
      <c r="I606" s="947">
        <v>0.00138428</v>
      </c>
      <c r="J606" s="948">
        <v>0.035</v>
      </c>
      <c r="K606" s="949">
        <f t="shared" si="22"/>
        <v>0</v>
      </c>
      <c r="L606" s="950">
        <f t="shared" si="23"/>
        <v>0</v>
      </c>
      <c r="M606" s="948">
        <v>0.0215</v>
      </c>
      <c r="N606" s="951">
        <f t="shared" si="24"/>
        <v>0.00141404202</v>
      </c>
      <c r="O606" s="949">
        <f t="shared" si="25"/>
        <v>15</v>
      </c>
      <c r="P606" s="949">
        <f t="shared" si="77"/>
        <v>0.0215</v>
      </c>
      <c r="Q606" s="952">
        <f t="shared" si="79"/>
        <v>0</v>
      </c>
      <c r="R606" s="952">
        <f t="shared" si="78"/>
        <v>0</v>
      </c>
      <c r="S606" s="953"/>
      <c r="T606" s="949">
        <v>0.06</v>
      </c>
      <c r="U606" s="954"/>
      <c r="V606" s="949"/>
      <c r="W606" s="953"/>
      <c r="X606" s="949">
        <f t="shared" si="7"/>
        <v>0</v>
      </c>
      <c r="Y606" s="955"/>
      <c r="Z606" s="953" t="str">
        <f t="shared" si="8"/>
        <v/>
      </c>
      <c r="AA606" s="949">
        <f t="shared" si="9"/>
        <v>0</v>
      </c>
      <c r="AB606" s="955"/>
      <c r="AC606" s="949" t="str">
        <f t="shared" si="10"/>
        <v/>
      </c>
      <c r="AD606" s="953">
        <f t="shared" si="11"/>
        <v>0</v>
      </c>
      <c r="AE606" s="956"/>
      <c r="AF606" s="889"/>
      <c r="AG606" s="810" t="b">
        <v>0</v>
      </c>
      <c r="AH606" s="780"/>
      <c r="AI606" s="780"/>
      <c r="AJ606" s="780"/>
      <c r="AK606" s="780"/>
      <c r="AL606" s="780"/>
      <c r="AM606" s="780"/>
      <c r="AN606" s="780"/>
      <c r="AO606" s="780"/>
      <c r="AP606" s="780"/>
      <c r="AQ606" s="780"/>
      <c r="AR606" s="780"/>
      <c r="AS606" s="780"/>
      <c r="AT606" s="780"/>
      <c r="AU606" s="780"/>
      <c r="AV606" s="780"/>
      <c r="AW606" s="780"/>
    </row>
    <row r="607">
      <c r="A607" s="941"/>
      <c r="B607" s="941"/>
      <c r="C607" s="995"/>
      <c r="D607" s="1001"/>
      <c r="E607" s="944"/>
      <c r="F607" s="946"/>
      <c r="G607" s="946"/>
      <c r="H607" s="946"/>
      <c r="I607" s="947">
        <v>0.00138428</v>
      </c>
      <c r="J607" s="948">
        <v>0.035</v>
      </c>
      <c r="K607" s="949">
        <f t="shared" si="22"/>
        <v>0</v>
      </c>
      <c r="L607" s="950">
        <f t="shared" si="23"/>
        <v>0</v>
      </c>
      <c r="M607" s="948">
        <v>0.0215</v>
      </c>
      <c r="N607" s="951">
        <f t="shared" si="24"/>
        <v>0.00141404202</v>
      </c>
      <c r="O607" s="949">
        <f t="shared" si="25"/>
        <v>15</v>
      </c>
      <c r="P607" s="949">
        <f t="shared" si="77"/>
        <v>0.0215</v>
      </c>
      <c r="Q607" s="952">
        <f t="shared" si="79"/>
        <v>0</v>
      </c>
      <c r="R607" s="952">
        <f t="shared" si="78"/>
        <v>0</v>
      </c>
      <c r="S607" s="953"/>
      <c r="T607" s="949">
        <v>0.06</v>
      </c>
      <c r="U607" s="954"/>
      <c r="V607" s="949"/>
      <c r="W607" s="953"/>
      <c r="X607" s="949">
        <f t="shared" si="7"/>
        <v>0</v>
      </c>
      <c r="Y607" s="955"/>
      <c r="Z607" s="953" t="str">
        <f t="shared" si="8"/>
        <v/>
      </c>
      <c r="AA607" s="949">
        <f t="shared" si="9"/>
        <v>0</v>
      </c>
      <c r="AB607" s="955"/>
      <c r="AC607" s="949" t="str">
        <f t="shared" si="10"/>
        <v/>
      </c>
      <c r="AD607" s="953">
        <f t="shared" si="11"/>
        <v>0</v>
      </c>
      <c r="AE607" s="956"/>
      <c r="AF607" s="889"/>
      <c r="AG607" s="810" t="b">
        <v>0</v>
      </c>
      <c r="AH607" s="780"/>
      <c r="AI607" s="780"/>
      <c r="AJ607" s="780"/>
      <c r="AK607" s="780"/>
      <c r="AL607" s="780"/>
      <c r="AM607" s="780"/>
      <c r="AN607" s="780"/>
      <c r="AO607" s="780"/>
      <c r="AP607" s="780"/>
      <c r="AQ607" s="780"/>
      <c r="AR607" s="780"/>
      <c r="AS607" s="780"/>
      <c r="AT607" s="780"/>
      <c r="AU607" s="780"/>
      <c r="AV607" s="780"/>
      <c r="AW607" s="780"/>
    </row>
    <row r="608">
      <c r="A608" s="941"/>
      <c r="B608" s="941"/>
      <c r="C608" s="995"/>
      <c r="D608" s="995"/>
      <c r="E608" s="995"/>
      <c r="F608" s="946"/>
      <c r="G608" s="946"/>
      <c r="H608" s="946"/>
      <c r="I608" s="947">
        <v>0.00138428</v>
      </c>
      <c r="J608" s="948">
        <v>0.035</v>
      </c>
      <c r="K608" s="949">
        <f t="shared" si="22"/>
        <v>0</v>
      </c>
      <c r="L608" s="950">
        <f t="shared" si="23"/>
        <v>0</v>
      </c>
      <c r="M608" s="948">
        <v>0.0215</v>
      </c>
      <c r="N608" s="951">
        <f t="shared" si="24"/>
        <v>0.00141404202</v>
      </c>
      <c r="O608" s="949">
        <f t="shared" si="25"/>
        <v>15</v>
      </c>
      <c r="P608" s="949">
        <f t="shared" si="77"/>
        <v>0.0215</v>
      </c>
      <c r="Q608" s="952">
        <f t="shared" si="79"/>
        <v>0</v>
      </c>
      <c r="R608" s="952">
        <f t="shared" si="78"/>
        <v>0</v>
      </c>
      <c r="S608" s="953"/>
      <c r="T608" s="949">
        <v>0.06</v>
      </c>
      <c r="U608" s="954"/>
      <c r="V608" s="949"/>
      <c r="W608" s="953"/>
      <c r="X608" s="949">
        <f t="shared" si="7"/>
        <v>0</v>
      </c>
      <c r="Y608" s="955"/>
      <c r="Z608" s="953" t="str">
        <f t="shared" si="8"/>
        <v/>
      </c>
      <c r="AA608" s="949">
        <f t="shared" si="9"/>
        <v>0</v>
      </c>
      <c r="AB608" s="955"/>
      <c r="AC608" s="949" t="str">
        <f t="shared" si="10"/>
        <v/>
      </c>
      <c r="AD608" s="953">
        <f t="shared" si="11"/>
        <v>0</v>
      </c>
      <c r="AE608" s="956"/>
      <c r="AF608" s="889"/>
      <c r="AG608" s="810" t="b">
        <v>0</v>
      </c>
      <c r="AH608" s="780"/>
      <c r="AI608" s="780"/>
      <c r="AJ608" s="780"/>
      <c r="AK608" s="780"/>
      <c r="AL608" s="780"/>
      <c r="AM608" s="780"/>
      <c r="AN608" s="780"/>
      <c r="AO608" s="780"/>
      <c r="AP608" s="780"/>
      <c r="AQ608" s="780"/>
      <c r="AR608" s="780"/>
      <c r="AS608" s="780"/>
      <c r="AT608" s="780"/>
      <c r="AU608" s="780"/>
      <c r="AV608" s="780"/>
      <c r="AW608" s="780"/>
    </row>
    <row r="609">
      <c r="A609" s="941"/>
      <c r="B609" s="941"/>
      <c r="C609" s="995"/>
      <c r="D609" s="995"/>
      <c r="E609" s="995"/>
      <c r="F609" s="946"/>
      <c r="G609" s="946"/>
      <c r="H609" s="946"/>
      <c r="I609" s="947">
        <v>0.00138428</v>
      </c>
      <c r="J609" s="948">
        <v>0.035</v>
      </c>
      <c r="K609" s="949">
        <f t="shared" si="22"/>
        <v>0</v>
      </c>
      <c r="L609" s="950">
        <f t="shared" si="23"/>
        <v>0</v>
      </c>
      <c r="M609" s="948">
        <v>0.0215</v>
      </c>
      <c r="N609" s="951">
        <f t="shared" si="24"/>
        <v>0.00141404202</v>
      </c>
      <c r="O609" s="949">
        <f t="shared" si="25"/>
        <v>15</v>
      </c>
      <c r="P609" s="949">
        <f t="shared" si="77"/>
        <v>0.0215</v>
      </c>
      <c r="Q609" s="952">
        <f t="shared" si="79"/>
        <v>0</v>
      </c>
      <c r="R609" s="952">
        <f t="shared" si="78"/>
        <v>0</v>
      </c>
      <c r="S609" s="953"/>
      <c r="T609" s="949">
        <v>0.06</v>
      </c>
      <c r="U609" s="954"/>
      <c r="V609" s="949"/>
      <c r="W609" s="953"/>
      <c r="X609" s="949">
        <f t="shared" si="7"/>
        <v>0</v>
      </c>
      <c r="Y609" s="955"/>
      <c r="Z609" s="953" t="str">
        <f t="shared" si="8"/>
        <v/>
      </c>
      <c r="AA609" s="949">
        <f t="shared" si="9"/>
        <v>0</v>
      </c>
      <c r="AB609" s="955"/>
      <c r="AC609" s="949" t="str">
        <f t="shared" si="10"/>
        <v/>
      </c>
      <c r="AD609" s="953">
        <f t="shared" si="11"/>
        <v>0</v>
      </c>
      <c r="AE609" s="956"/>
      <c r="AF609" s="889"/>
      <c r="AG609" s="810" t="b">
        <v>0</v>
      </c>
      <c r="AH609" s="780"/>
      <c r="AI609" s="780"/>
      <c r="AJ609" s="780"/>
      <c r="AK609" s="780"/>
      <c r="AL609" s="780"/>
      <c r="AM609" s="780"/>
      <c r="AN609" s="780"/>
      <c r="AO609" s="780"/>
      <c r="AP609" s="780"/>
      <c r="AQ609" s="780"/>
      <c r="AR609" s="780"/>
      <c r="AS609" s="780"/>
      <c r="AT609" s="780"/>
      <c r="AU609" s="780"/>
      <c r="AV609" s="780"/>
      <c r="AW609" s="780"/>
    </row>
    <row r="610">
      <c r="A610" s="941"/>
      <c r="B610" s="941"/>
      <c r="C610" s="995"/>
      <c r="D610" s="995"/>
      <c r="E610" s="995"/>
      <c r="F610" s="946"/>
      <c r="G610" s="946"/>
      <c r="H610" s="946"/>
      <c r="I610" s="947">
        <v>0.00138428</v>
      </c>
      <c r="J610" s="948">
        <v>0.035</v>
      </c>
      <c r="K610" s="949">
        <f t="shared" si="22"/>
        <v>0</v>
      </c>
      <c r="L610" s="950">
        <f t="shared" si="23"/>
        <v>0</v>
      </c>
      <c r="M610" s="948">
        <v>0.0215</v>
      </c>
      <c r="N610" s="951">
        <f t="shared" si="24"/>
        <v>0.00141404202</v>
      </c>
      <c r="O610" s="949">
        <f t="shared" si="25"/>
        <v>15</v>
      </c>
      <c r="P610" s="949">
        <f t="shared" si="77"/>
        <v>0.0215</v>
      </c>
      <c r="Q610" s="952">
        <f t="shared" si="79"/>
        <v>0</v>
      </c>
      <c r="R610" s="952">
        <f t="shared" si="78"/>
        <v>0</v>
      </c>
      <c r="S610" s="953"/>
      <c r="T610" s="949">
        <v>0.06</v>
      </c>
      <c r="U610" s="954"/>
      <c r="V610" s="949"/>
      <c r="W610" s="953"/>
      <c r="X610" s="949">
        <f t="shared" si="7"/>
        <v>0</v>
      </c>
      <c r="Y610" s="955"/>
      <c r="Z610" s="953" t="str">
        <f t="shared" si="8"/>
        <v/>
      </c>
      <c r="AA610" s="949">
        <f t="shared" si="9"/>
        <v>0</v>
      </c>
      <c r="AB610" s="955"/>
      <c r="AC610" s="949" t="str">
        <f t="shared" si="10"/>
        <v/>
      </c>
      <c r="AD610" s="953">
        <f t="shared" si="11"/>
        <v>0</v>
      </c>
      <c r="AE610" s="956"/>
      <c r="AF610" s="889"/>
      <c r="AG610" s="810" t="b">
        <v>0</v>
      </c>
      <c r="AH610" s="780"/>
      <c r="AI610" s="780"/>
      <c r="AJ610" s="780"/>
      <c r="AK610" s="780"/>
      <c r="AL610" s="780"/>
      <c r="AM610" s="780"/>
      <c r="AN610" s="780"/>
      <c r="AO610" s="780"/>
      <c r="AP610" s="780"/>
      <c r="AQ610" s="780"/>
      <c r="AR610" s="780"/>
      <c r="AS610" s="780"/>
      <c r="AT610" s="780"/>
      <c r="AU610" s="780"/>
      <c r="AV610" s="780"/>
      <c r="AW610" s="780"/>
    </row>
    <row r="611">
      <c r="A611" s="941"/>
      <c r="B611" s="941"/>
      <c r="C611" s="995"/>
      <c r="D611" s="995"/>
      <c r="E611" s="995"/>
      <c r="F611" s="946"/>
      <c r="G611" s="946"/>
      <c r="H611" s="946"/>
      <c r="I611" s="947">
        <v>0.00138428</v>
      </c>
      <c r="J611" s="948">
        <v>0.035</v>
      </c>
      <c r="K611" s="949">
        <f t="shared" si="22"/>
        <v>0</v>
      </c>
      <c r="L611" s="950">
        <f t="shared" si="23"/>
        <v>0</v>
      </c>
      <c r="M611" s="948">
        <v>0.0215</v>
      </c>
      <c r="N611" s="951">
        <f t="shared" si="24"/>
        <v>0.00141404202</v>
      </c>
      <c r="O611" s="949">
        <f t="shared" si="25"/>
        <v>15</v>
      </c>
      <c r="P611" s="949">
        <f t="shared" si="77"/>
        <v>0.0215</v>
      </c>
      <c r="Q611" s="952">
        <f t="shared" si="79"/>
        <v>0</v>
      </c>
      <c r="R611" s="952">
        <f t="shared" si="78"/>
        <v>0</v>
      </c>
      <c r="S611" s="953"/>
      <c r="T611" s="949">
        <v>0.06</v>
      </c>
      <c r="U611" s="954"/>
      <c r="V611" s="949"/>
      <c r="W611" s="953"/>
      <c r="X611" s="949">
        <f t="shared" si="7"/>
        <v>0</v>
      </c>
      <c r="Y611" s="955"/>
      <c r="Z611" s="953" t="str">
        <f t="shared" si="8"/>
        <v/>
      </c>
      <c r="AA611" s="949">
        <f t="shared" si="9"/>
        <v>0</v>
      </c>
      <c r="AB611" s="955"/>
      <c r="AC611" s="949" t="str">
        <f t="shared" si="10"/>
        <v/>
      </c>
      <c r="AD611" s="953">
        <f t="shared" si="11"/>
        <v>0</v>
      </c>
      <c r="AE611" s="956"/>
      <c r="AF611" s="889"/>
      <c r="AG611" s="810" t="b">
        <v>0</v>
      </c>
      <c r="AH611" s="780"/>
      <c r="AI611" s="780"/>
      <c r="AJ611" s="780"/>
      <c r="AK611" s="780"/>
      <c r="AL611" s="780"/>
      <c r="AM611" s="780"/>
      <c r="AN611" s="780"/>
      <c r="AO611" s="780"/>
      <c r="AP611" s="780"/>
      <c r="AQ611" s="780"/>
      <c r="AR611" s="780"/>
      <c r="AS611" s="780"/>
      <c r="AT611" s="780"/>
      <c r="AU611" s="780"/>
      <c r="AV611" s="780"/>
      <c r="AW611" s="780"/>
    </row>
    <row r="612">
      <c r="A612" s="941"/>
      <c r="B612" s="941"/>
      <c r="C612" s="995"/>
      <c r="D612" s="995"/>
      <c r="E612" s="995"/>
      <c r="F612" s="946"/>
      <c r="G612" s="946"/>
      <c r="H612" s="946"/>
      <c r="I612" s="947">
        <v>0.00138428</v>
      </c>
      <c r="J612" s="948">
        <v>0.035</v>
      </c>
      <c r="K612" s="949">
        <f t="shared" si="22"/>
        <v>0</v>
      </c>
      <c r="L612" s="950">
        <f t="shared" si="23"/>
        <v>0</v>
      </c>
      <c r="M612" s="948">
        <v>0.0215</v>
      </c>
      <c r="N612" s="951">
        <f t="shared" si="24"/>
        <v>0.00141404202</v>
      </c>
      <c r="O612" s="949">
        <f t="shared" si="25"/>
        <v>15</v>
      </c>
      <c r="P612" s="949">
        <f t="shared" si="77"/>
        <v>0.0215</v>
      </c>
      <c r="Q612" s="952">
        <f t="shared" si="79"/>
        <v>0</v>
      </c>
      <c r="R612" s="952">
        <f t="shared" si="78"/>
        <v>0</v>
      </c>
      <c r="S612" s="953"/>
      <c r="T612" s="949">
        <v>0.06</v>
      </c>
      <c r="U612" s="954"/>
      <c r="V612" s="949"/>
      <c r="W612" s="953"/>
      <c r="X612" s="949">
        <f t="shared" si="7"/>
        <v>0</v>
      </c>
      <c r="Y612" s="955"/>
      <c r="Z612" s="953" t="str">
        <f t="shared" si="8"/>
        <v/>
      </c>
      <c r="AA612" s="949">
        <f t="shared" si="9"/>
        <v>0</v>
      </c>
      <c r="AB612" s="955"/>
      <c r="AC612" s="949" t="str">
        <f t="shared" si="10"/>
        <v/>
      </c>
      <c r="AD612" s="953">
        <f t="shared" si="11"/>
        <v>0</v>
      </c>
      <c r="AE612" s="956"/>
      <c r="AF612" s="889"/>
      <c r="AG612" s="810" t="b">
        <v>0</v>
      </c>
      <c r="AH612" s="780"/>
      <c r="AI612" s="780"/>
      <c r="AJ612" s="780"/>
      <c r="AK612" s="780"/>
      <c r="AL612" s="780"/>
      <c r="AM612" s="780"/>
      <c r="AN612" s="780"/>
      <c r="AO612" s="780"/>
      <c r="AP612" s="780"/>
      <c r="AQ612" s="780"/>
      <c r="AR612" s="780"/>
      <c r="AS612" s="780"/>
      <c r="AT612" s="780"/>
      <c r="AU612" s="780"/>
      <c r="AV612" s="780"/>
      <c r="AW612" s="780"/>
    </row>
    <row r="613">
      <c r="A613" s="941"/>
      <c r="B613" s="941"/>
      <c r="C613" s="995"/>
      <c r="D613" s="995"/>
      <c r="E613" s="995"/>
      <c r="F613" s="946"/>
      <c r="G613" s="946"/>
      <c r="H613" s="946"/>
      <c r="I613" s="947">
        <v>0.00138428</v>
      </c>
      <c r="J613" s="948">
        <v>0.035</v>
      </c>
      <c r="K613" s="949">
        <f t="shared" si="22"/>
        <v>0</v>
      </c>
      <c r="L613" s="950">
        <f t="shared" si="23"/>
        <v>0</v>
      </c>
      <c r="M613" s="948">
        <v>0.0215</v>
      </c>
      <c r="N613" s="951">
        <f t="shared" si="24"/>
        <v>0.00141404202</v>
      </c>
      <c r="O613" s="949">
        <f t="shared" si="25"/>
        <v>15</v>
      </c>
      <c r="P613" s="949">
        <f t="shared" si="77"/>
        <v>0.0215</v>
      </c>
      <c r="Q613" s="952">
        <f t="shared" si="79"/>
        <v>0</v>
      </c>
      <c r="R613" s="952">
        <f t="shared" si="78"/>
        <v>0</v>
      </c>
      <c r="S613" s="953"/>
      <c r="T613" s="949">
        <v>0.06</v>
      </c>
      <c r="U613" s="954"/>
      <c r="V613" s="949"/>
      <c r="W613" s="953"/>
      <c r="X613" s="949">
        <f t="shared" si="7"/>
        <v>0</v>
      </c>
      <c r="Y613" s="955"/>
      <c r="Z613" s="953" t="str">
        <f t="shared" si="8"/>
        <v/>
      </c>
      <c r="AA613" s="949">
        <f t="shared" si="9"/>
        <v>0</v>
      </c>
      <c r="AB613" s="955"/>
      <c r="AC613" s="949" t="str">
        <f t="shared" si="10"/>
        <v/>
      </c>
      <c r="AD613" s="953">
        <f t="shared" si="11"/>
        <v>0</v>
      </c>
      <c r="AE613" s="956"/>
      <c r="AF613" s="889"/>
      <c r="AG613" s="810" t="b">
        <v>0</v>
      </c>
      <c r="AH613" s="780"/>
      <c r="AI613" s="780"/>
      <c r="AJ613" s="780"/>
      <c r="AK613" s="780"/>
      <c r="AL613" s="780"/>
      <c r="AM613" s="780"/>
      <c r="AN613" s="780"/>
      <c r="AO613" s="780"/>
      <c r="AP613" s="780"/>
      <c r="AQ613" s="780"/>
      <c r="AR613" s="780"/>
      <c r="AS613" s="780"/>
      <c r="AT613" s="780"/>
      <c r="AU613" s="780"/>
      <c r="AV613" s="780"/>
      <c r="AW613" s="780"/>
    </row>
    <row r="614">
      <c r="A614" s="941"/>
      <c r="B614" s="941"/>
      <c r="C614" s="995"/>
      <c r="D614" s="995"/>
      <c r="E614" s="995"/>
      <c r="F614" s="946"/>
      <c r="G614" s="946"/>
      <c r="H614" s="946"/>
      <c r="I614" s="947">
        <v>0.00138428</v>
      </c>
      <c r="J614" s="948">
        <v>0.035</v>
      </c>
      <c r="K614" s="949">
        <f t="shared" si="22"/>
        <v>0</v>
      </c>
      <c r="L614" s="950">
        <f t="shared" si="23"/>
        <v>0</v>
      </c>
      <c r="M614" s="948">
        <v>0.0215</v>
      </c>
      <c r="N614" s="951">
        <f t="shared" si="24"/>
        <v>0.00141404202</v>
      </c>
      <c r="O614" s="949">
        <f t="shared" si="25"/>
        <v>15</v>
      </c>
      <c r="P614" s="949">
        <f t="shared" si="77"/>
        <v>0.0215</v>
      </c>
      <c r="Q614" s="952">
        <f t="shared" si="79"/>
        <v>0</v>
      </c>
      <c r="R614" s="952">
        <f t="shared" si="78"/>
        <v>0</v>
      </c>
      <c r="S614" s="953"/>
      <c r="T614" s="949">
        <v>0.06</v>
      </c>
      <c r="U614" s="954"/>
      <c r="V614" s="949"/>
      <c r="W614" s="953"/>
      <c r="X614" s="949">
        <f t="shared" si="7"/>
        <v>0</v>
      </c>
      <c r="Y614" s="955"/>
      <c r="Z614" s="953" t="str">
        <f t="shared" si="8"/>
        <v/>
      </c>
      <c r="AA614" s="949">
        <f t="shared" si="9"/>
        <v>0</v>
      </c>
      <c r="AB614" s="955"/>
      <c r="AC614" s="949" t="str">
        <f t="shared" si="10"/>
        <v/>
      </c>
      <c r="AD614" s="953">
        <f t="shared" si="11"/>
        <v>0</v>
      </c>
      <c r="AE614" s="956"/>
      <c r="AF614" s="889"/>
      <c r="AG614" s="810" t="b">
        <v>0</v>
      </c>
      <c r="AH614" s="780"/>
      <c r="AI614" s="780"/>
      <c r="AJ614" s="780"/>
      <c r="AK614" s="780"/>
      <c r="AL614" s="780"/>
      <c r="AM614" s="780"/>
      <c r="AN614" s="780"/>
      <c r="AO614" s="780"/>
      <c r="AP614" s="780"/>
      <c r="AQ614" s="780"/>
      <c r="AR614" s="780"/>
      <c r="AS614" s="780"/>
      <c r="AT614" s="780"/>
      <c r="AU614" s="780"/>
      <c r="AV614" s="780"/>
      <c r="AW614" s="780"/>
    </row>
    <row r="615">
      <c r="A615" s="941"/>
      <c r="B615" s="941"/>
      <c r="C615" s="995"/>
      <c r="D615" s="995"/>
      <c r="E615" s="995"/>
      <c r="F615" s="946"/>
      <c r="G615" s="946"/>
      <c r="H615" s="946"/>
      <c r="I615" s="947">
        <v>0.00138428</v>
      </c>
      <c r="J615" s="948">
        <v>0.035</v>
      </c>
      <c r="K615" s="949">
        <f t="shared" si="22"/>
        <v>0</v>
      </c>
      <c r="L615" s="950">
        <f t="shared" si="23"/>
        <v>0</v>
      </c>
      <c r="M615" s="948">
        <v>0.0215</v>
      </c>
      <c r="N615" s="951">
        <f t="shared" si="24"/>
        <v>0.00141404202</v>
      </c>
      <c r="O615" s="949">
        <f t="shared" si="25"/>
        <v>15</v>
      </c>
      <c r="P615" s="949">
        <f t="shared" si="77"/>
        <v>0.0215</v>
      </c>
      <c r="Q615" s="952">
        <f t="shared" si="79"/>
        <v>0</v>
      </c>
      <c r="R615" s="952">
        <f t="shared" si="78"/>
        <v>0</v>
      </c>
      <c r="S615" s="953"/>
      <c r="T615" s="949">
        <v>0.06</v>
      </c>
      <c r="U615" s="954"/>
      <c r="V615" s="949"/>
      <c r="W615" s="953"/>
      <c r="X615" s="949">
        <f t="shared" si="7"/>
        <v>0</v>
      </c>
      <c r="Y615" s="955"/>
      <c r="Z615" s="953" t="str">
        <f t="shared" si="8"/>
        <v/>
      </c>
      <c r="AA615" s="949">
        <f t="shared" si="9"/>
        <v>0</v>
      </c>
      <c r="AB615" s="955"/>
      <c r="AC615" s="949" t="str">
        <f t="shared" si="10"/>
        <v/>
      </c>
      <c r="AD615" s="953">
        <f t="shared" si="11"/>
        <v>0</v>
      </c>
      <c r="AE615" s="956"/>
      <c r="AF615" s="889"/>
      <c r="AG615" s="810" t="b">
        <v>0</v>
      </c>
      <c r="AH615" s="780"/>
      <c r="AI615" s="780"/>
      <c r="AJ615" s="780"/>
      <c r="AK615" s="780"/>
      <c r="AL615" s="780"/>
      <c r="AM615" s="780"/>
      <c r="AN615" s="780"/>
      <c r="AO615" s="780"/>
      <c r="AP615" s="780"/>
      <c r="AQ615" s="780"/>
      <c r="AR615" s="780"/>
      <c r="AS615" s="780"/>
      <c r="AT615" s="780"/>
      <c r="AU615" s="780"/>
      <c r="AV615" s="780"/>
      <c r="AW615" s="780"/>
    </row>
    <row r="616">
      <c r="A616" s="941"/>
      <c r="B616" s="941"/>
      <c r="C616" s="995"/>
      <c r="D616" s="995"/>
      <c r="E616" s="995"/>
      <c r="F616" s="946"/>
      <c r="G616" s="946"/>
      <c r="H616" s="946"/>
      <c r="I616" s="947">
        <v>0.00138428</v>
      </c>
      <c r="J616" s="948">
        <v>0.035</v>
      </c>
      <c r="K616" s="949">
        <f t="shared" si="22"/>
        <v>0</v>
      </c>
      <c r="L616" s="950">
        <f t="shared" si="23"/>
        <v>0</v>
      </c>
      <c r="M616" s="948">
        <v>0.0215</v>
      </c>
      <c r="N616" s="951">
        <f t="shared" si="24"/>
        <v>0.00141404202</v>
      </c>
      <c r="O616" s="949">
        <f t="shared" si="25"/>
        <v>15</v>
      </c>
      <c r="P616" s="949">
        <f t="shared" si="77"/>
        <v>0.0215</v>
      </c>
      <c r="Q616" s="952">
        <f t="shared" si="79"/>
        <v>0</v>
      </c>
      <c r="R616" s="952">
        <f t="shared" si="78"/>
        <v>0</v>
      </c>
      <c r="S616" s="953"/>
      <c r="T616" s="949">
        <v>0.06</v>
      </c>
      <c r="U616" s="954"/>
      <c r="V616" s="949"/>
      <c r="W616" s="953"/>
      <c r="X616" s="949">
        <f t="shared" si="7"/>
        <v>0</v>
      </c>
      <c r="Y616" s="955"/>
      <c r="Z616" s="953" t="str">
        <f t="shared" si="8"/>
        <v/>
      </c>
      <c r="AA616" s="949">
        <f t="shared" si="9"/>
        <v>0</v>
      </c>
      <c r="AB616" s="955"/>
      <c r="AC616" s="949" t="str">
        <f t="shared" si="10"/>
        <v/>
      </c>
      <c r="AD616" s="953">
        <f t="shared" si="11"/>
        <v>0</v>
      </c>
      <c r="AE616" s="956"/>
      <c r="AF616" s="889"/>
      <c r="AG616" s="810" t="b">
        <v>0</v>
      </c>
      <c r="AH616" s="780"/>
      <c r="AI616" s="780"/>
      <c r="AJ616" s="780"/>
      <c r="AK616" s="780"/>
      <c r="AL616" s="780"/>
      <c r="AM616" s="780"/>
      <c r="AN616" s="780"/>
      <c r="AO616" s="780"/>
      <c r="AP616" s="780"/>
      <c r="AQ616" s="780"/>
      <c r="AR616" s="780"/>
      <c r="AS616" s="780"/>
      <c r="AT616" s="780"/>
      <c r="AU616" s="780"/>
      <c r="AV616" s="780"/>
      <c r="AW616" s="780"/>
    </row>
    <row r="617">
      <c r="A617" s="941"/>
      <c r="B617" s="941"/>
      <c r="C617" s="995"/>
      <c r="D617" s="995"/>
      <c r="E617" s="995"/>
      <c r="F617" s="946"/>
      <c r="G617" s="946"/>
      <c r="H617" s="946"/>
      <c r="I617" s="947">
        <v>0.00138428</v>
      </c>
      <c r="J617" s="948">
        <v>0.035</v>
      </c>
      <c r="K617" s="949">
        <f t="shared" si="22"/>
        <v>0</v>
      </c>
      <c r="L617" s="950">
        <f t="shared" si="23"/>
        <v>0</v>
      </c>
      <c r="M617" s="948">
        <v>0.0215</v>
      </c>
      <c r="N617" s="951">
        <f t="shared" si="24"/>
        <v>0.00141404202</v>
      </c>
      <c r="O617" s="949">
        <f t="shared" si="25"/>
        <v>15</v>
      </c>
      <c r="P617" s="949">
        <f t="shared" si="77"/>
        <v>0.0215</v>
      </c>
      <c r="Q617" s="952">
        <f t="shared" si="79"/>
        <v>0</v>
      </c>
      <c r="R617" s="952">
        <f t="shared" si="78"/>
        <v>0</v>
      </c>
      <c r="S617" s="953"/>
      <c r="T617" s="949">
        <v>0.06</v>
      </c>
      <c r="U617" s="954"/>
      <c r="V617" s="949"/>
      <c r="W617" s="953"/>
      <c r="X617" s="949">
        <f t="shared" si="7"/>
        <v>0</v>
      </c>
      <c r="Y617" s="955"/>
      <c r="Z617" s="953" t="str">
        <f t="shared" si="8"/>
        <v/>
      </c>
      <c r="AA617" s="949">
        <f t="shared" si="9"/>
        <v>0</v>
      </c>
      <c r="AB617" s="955"/>
      <c r="AC617" s="949" t="str">
        <f t="shared" si="10"/>
        <v/>
      </c>
      <c r="AD617" s="953">
        <f t="shared" si="11"/>
        <v>0</v>
      </c>
      <c r="AE617" s="956"/>
      <c r="AF617" s="889"/>
      <c r="AG617" s="810" t="b">
        <v>0</v>
      </c>
      <c r="AH617" s="780"/>
      <c r="AI617" s="780"/>
      <c r="AJ617" s="780"/>
      <c r="AK617" s="780"/>
      <c r="AL617" s="780"/>
      <c r="AM617" s="780"/>
      <c r="AN617" s="780"/>
      <c r="AO617" s="780"/>
      <c r="AP617" s="780"/>
      <c r="AQ617" s="780"/>
      <c r="AR617" s="780"/>
      <c r="AS617" s="780"/>
      <c r="AT617" s="780"/>
      <c r="AU617" s="780"/>
      <c r="AV617" s="780"/>
      <c r="AW617" s="780"/>
    </row>
    <row r="618">
      <c r="A618" s="941"/>
      <c r="B618" s="941"/>
      <c r="C618" s="995"/>
      <c r="D618" s="1001"/>
      <c r="E618" s="944"/>
      <c r="F618" s="946"/>
      <c r="G618" s="946"/>
      <c r="H618" s="946"/>
      <c r="I618" s="947">
        <v>0.00138428</v>
      </c>
      <c r="J618" s="948">
        <v>0.035</v>
      </c>
      <c r="K618" s="949">
        <f t="shared" si="22"/>
        <v>0</v>
      </c>
      <c r="L618" s="950">
        <f t="shared" si="23"/>
        <v>0</v>
      </c>
      <c r="M618" s="948">
        <v>0.0215</v>
      </c>
      <c r="N618" s="951">
        <f t="shared" si="24"/>
        <v>0.00141404202</v>
      </c>
      <c r="O618" s="949">
        <f t="shared" si="25"/>
        <v>15</v>
      </c>
      <c r="P618" s="949">
        <f t="shared" si="77"/>
        <v>0.0215</v>
      </c>
      <c r="Q618" s="952">
        <f t="shared" si="79"/>
        <v>0</v>
      </c>
      <c r="R618" s="952">
        <f t="shared" si="78"/>
        <v>0</v>
      </c>
      <c r="S618" s="953"/>
      <c r="T618" s="949">
        <v>0.06</v>
      </c>
      <c r="U618" s="954"/>
      <c r="V618" s="949"/>
      <c r="W618" s="953"/>
      <c r="X618" s="949">
        <f t="shared" si="7"/>
        <v>0</v>
      </c>
      <c r="Y618" s="955"/>
      <c r="Z618" s="953" t="str">
        <f t="shared" si="8"/>
        <v/>
      </c>
      <c r="AA618" s="949">
        <f t="shared" si="9"/>
        <v>0</v>
      </c>
      <c r="AB618" s="955"/>
      <c r="AC618" s="949" t="str">
        <f t="shared" si="10"/>
        <v/>
      </c>
      <c r="AD618" s="953">
        <f t="shared" si="11"/>
        <v>0</v>
      </c>
      <c r="AE618" s="956"/>
      <c r="AF618" s="889"/>
      <c r="AG618" s="810" t="b">
        <v>0</v>
      </c>
      <c r="AH618" s="780"/>
      <c r="AI618" s="780"/>
      <c r="AJ618" s="780"/>
      <c r="AK618" s="780"/>
      <c r="AL618" s="780"/>
      <c r="AM618" s="780"/>
      <c r="AN618" s="780"/>
      <c r="AO618" s="780"/>
      <c r="AP618" s="780"/>
      <c r="AQ618" s="780"/>
      <c r="AR618" s="780"/>
      <c r="AS618" s="780"/>
      <c r="AT618" s="780"/>
      <c r="AU618" s="780"/>
      <c r="AV618" s="780"/>
      <c r="AW618" s="780"/>
    </row>
    <row r="619">
      <c r="A619" s="941"/>
      <c r="B619" s="941"/>
      <c r="C619" s="995"/>
      <c r="D619" s="995"/>
      <c r="E619" s="995"/>
      <c r="F619" s="946"/>
      <c r="G619" s="946"/>
      <c r="H619" s="946"/>
      <c r="I619" s="947">
        <v>0.00138428</v>
      </c>
      <c r="J619" s="948">
        <v>0.035</v>
      </c>
      <c r="K619" s="949">
        <f t="shared" si="22"/>
        <v>0</v>
      </c>
      <c r="L619" s="950">
        <f t="shared" si="23"/>
        <v>0</v>
      </c>
      <c r="M619" s="948">
        <v>0.0215</v>
      </c>
      <c r="N619" s="951">
        <f t="shared" si="24"/>
        <v>0.00141404202</v>
      </c>
      <c r="O619" s="949">
        <f t="shared" si="25"/>
        <v>15</v>
      </c>
      <c r="P619" s="949">
        <f t="shared" si="77"/>
        <v>0.0215</v>
      </c>
      <c r="Q619" s="952">
        <f t="shared" si="79"/>
        <v>0</v>
      </c>
      <c r="R619" s="952">
        <f t="shared" si="78"/>
        <v>0</v>
      </c>
      <c r="S619" s="953"/>
      <c r="T619" s="949">
        <v>0.06</v>
      </c>
      <c r="U619" s="954"/>
      <c r="V619" s="949"/>
      <c r="W619" s="953"/>
      <c r="X619" s="949">
        <f t="shared" si="7"/>
        <v>0</v>
      </c>
      <c r="Y619" s="955"/>
      <c r="Z619" s="953" t="str">
        <f t="shared" si="8"/>
        <v/>
      </c>
      <c r="AA619" s="949">
        <f t="shared" si="9"/>
        <v>0</v>
      </c>
      <c r="AB619" s="955"/>
      <c r="AC619" s="949" t="str">
        <f t="shared" si="10"/>
        <v/>
      </c>
      <c r="AD619" s="953">
        <f t="shared" si="11"/>
        <v>0</v>
      </c>
      <c r="AE619" s="956"/>
      <c r="AF619" s="889"/>
      <c r="AG619" s="810" t="b">
        <v>0</v>
      </c>
      <c r="AH619" s="780"/>
      <c r="AI619" s="780"/>
      <c r="AJ619" s="780"/>
      <c r="AK619" s="780"/>
      <c r="AL619" s="780"/>
      <c r="AM619" s="780"/>
      <c r="AN619" s="780"/>
      <c r="AO619" s="780"/>
      <c r="AP619" s="780"/>
      <c r="AQ619" s="780"/>
      <c r="AR619" s="780"/>
      <c r="AS619" s="780"/>
      <c r="AT619" s="780"/>
      <c r="AU619" s="780"/>
      <c r="AV619" s="780"/>
      <c r="AW619" s="780"/>
    </row>
    <row r="620">
      <c r="A620" s="941"/>
      <c r="B620" s="941"/>
      <c r="C620" s="995"/>
      <c r="D620" s="995"/>
      <c r="E620" s="995"/>
      <c r="F620" s="946"/>
      <c r="G620" s="946"/>
      <c r="H620" s="946"/>
      <c r="I620" s="947">
        <v>0.00138428</v>
      </c>
      <c r="J620" s="948">
        <v>0.035</v>
      </c>
      <c r="K620" s="949">
        <f t="shared" si="22"/>
        <v>0</v>
      </c>
      <c r="L620" s="950">
        <f t="shared" si="23"/>
        <v>0</v>
      </c>
      <c r="M620" s="948">
        <v>0.0215</v>
      </c>
      <c r="N620" s="951">
        <f t="shared" si="24"/>
        <v>0.00141404202</v>
      </c>
      <c r="O620" s="949">
        <f t="shared" si="25"/>
        <v>15</v>
      </c>
      <c r="P620" s="949">
        <f t="shared" si="77"/>
        <v>0.0215</v>
      </c>
      <c r="Q620" s="952">
        <f t="shared" si="79"/>
        <v>0</v>
      </c>
      <c r="R620" s="952">
        <f t="shared" si="78"/>
        <v>0</v>
      </c>
      <c r="S620" s="953"/>
      <c r="T620" s="949">
        <v>0.06</v>
      </c>
      <c r="U620" s="954"/>
      <c r="V620" s="949"/>
      <c r="W620" s="953"/>
      <c r="X620" s="949">
        <f t="shared" si="7"/>
        <v>0</v>
      </c>
      <c r="Y620" s="955"/>
      <c r="Z620" s="953" t="str">
        <f t="shared" si="8"/>
        <v/>
      </c>
      <c r="AA620" s="949">
        <f t="shared" si="9"/>
        <v>0</v>
      </c>
      <c r="AB620" s="955"/>
      <c r="AC620" s="949" t="str">
        <f t="shared" si="10"/>
        <v/>
      </c>
      <c r="AD620" s="953">
        <f t="shared" si="11"/>
        <v>0</v>
      </c>
      <c r="AE620" s="956"/>
      <c r="AF620" s="889"/>
      <c r="AG620" s="810" t="b">
        <v>0</v>
      </c>
      <c r="AH620" s="780"/>
      <c r="AI620" s="780"/>
      <c r="AJ620" s="780"/>
      <c r="AK620" s="780"/>
      <c r="AL620" s="780"/>
      <c r="AM620" s="780"/>
      <c r="AN620" s="780"/>
      <c r="AO620" s="780"/>
      <c r="AP620" s="780"/>
      <c r="AQ620" s="780"/>
      <c r="AR620" s="780"/>
      <c r="AS620" s="780"/>
      <c r="AT620" s="780"/>
      <c r="AU620" s="780"/>
      <c r="AV620" s="780"/>
      <c r="AW620" s="780"/>
    </row>
    <row r="621">
      <c r="A621" s="941"/>
      <c r="B621" s="941"/>
      <c r="C621" s="995"/>
      <c r="D621" s="995"/>
      <c r="E621" s="995"/>
      <c r="F621" s="946"/>
      <c r="G621" s="946"/>
      <c r="H621" s="946"/>
      <c r="I621" s="947">
        <v>0.00138428</v>
      </c>
      <c r="J621" s="948">
        <v>0.035</v>
      </c>
      <c r="K621" s="949">
        <f t="shared" si="22"/>
        <v>0</v>
      </c>
      <c r="L621" s="950">
        <f t="shared" si="23"/>
        <v>0</v>
      </c>
      <c r="M621" s="948">
        <v>0.0215</v>
      </c>
      <c r="N621" s="951">
        <f t="shared" si="24"/>
        <v>0.00141404202</v>
      </c>
      <c r="O621" s="949">
        <f t="shared" si="25"/>
        <v>15</v>
      </c>
      <c r="P621" s="949">
        <f t="shared" si="77"/>
        <v>0.0215</v>
      </c>
      <c r="Q621" s="952">
        <f t="shared" si="79"/>
        <v>0</v>
      </c>
      <c r="R621" s="952">
        <f t="shared" si="78"/>
        <v>0</v>
      </c>
      <c r="S621" s="953"/>
      <c r="T621" s="949">
        <v>0.06</v>
      </c>
      <c r="U621" s="954"/>
      <c r="V621" s="949"/>
      <c r="W621" s="953"/>
      <c r="X621" s="949">
        <f t="shared" si="7"/>
        <v>0</v>
      </c>
      <c r="Y621" s="955"/>
      <c r="Z621" s="953" t="str">
        <f t="shared" si="8"/>
        <v/>
      </c>
      <c r="AA621" s="949">
        <f t="shared" si="9"/>
        <v>0</v>
      </c>
      <c r="AB621" s="955"/>
      <c r="AC621" s="949" t="str">
        <f t="shared" si="10"/>
        <v/>
      </c>
      <c r="AD621" s="953">
        <f t="shared" si="11"/>
        <v>0</v>
      </c>
      <c r="AE621" s="956"/>
      <c r="AF621" s="889"/>
      <c r="AG621" s="810" t="b">
        <v>0</v>
      </c>
      <c r="AH621" s="780"/>
      <c r="AI621" s="780"/>
      <c r="AJ621" s="780"/>
      <c r="AK621" s="780"/>
      <c r="AL621" s="780"/>
      <c r="AM621" s="780"/>
      <c r="AN621" s="780"/>
      <c r="AO621" s="780"/>
      <c r="AP621" s="780"/>
      <c r="AQ621" s="780"/>
      <c r="AR621" s="780"/>
      <c r="AS621" s="780"/>
      <c r="AT621" s="780"/>
      <c r="AU621" s="780"/>
      <c r="AV621" s="780"/>
      <c r="AW621" s="780"/>
    </row>
    <row r="622">
      <c r="A622" s="941"/>
      <c r="B622" s="941"/>
      <c r="C622" s="995"/>
      <c r="D622" s="995"/>
      <c r="E622" s="995"/>
      <c r="F622" s="946"/>
      <c r="G622" s="946"/>
      <c r="H622" s="946"/>
      <c r="I622" s="947">
        <v>0.00138428</v>
      </c>
      <c r="J622" s="948">
        <v>0.035</v>
      </c>
      <c r="K622" s="949">
        <f t="shared" si="22"/>
        <v>0</v>
      </c>
      <c r="L622" s="950">
        <f t="shared" si="23"/>
        <v>0</v>
      </c>
      <c r="M622" s="948">
        <v>0.0215</v>
      </c>
      <c r="N622" s="951">
        <f t="shared" si="24"/>
        <v>0.00141404202</v>
      </c>
      <c r="O622" s="949">
        <f t="shared" si="25"/>
        <v>15</v>
      </c>
      <c r="P622" s="949">
        <f t="shared" si="77"/>
        <v>0.0215</v>
      </c>
      <c r="Q622" s="952">
        <f t="shared" si="79"/>
        <v>0</v>
      </c>
      <c r="R622" s="952">
        <f t="shared" si="78"/>
        <v>0</v>
      </c>
      <c r="S622" s="953"/>
      <c r="T622" s="949">
        <v>0.06</v>
      </c>
      <c r="U622" s="954"/>
      <c r="V622" s="949"/>
      <c r="W622" s="953"/>
      <c r="X622" s="949">
        <f t="shared" si="7"/>
        <v>0</v>
      </c>
      <c r="Y622" s="955"/>
      <c r="Z622" s="953" t="str">
        <f t="shared" si="8"/>
        <v/>
      </c>
      <c r="AA622" s="949">
        <f t="shared" si="9"/>
        <v>0</v>
      </c>
      <c r="AB622" s="955"/>
      <c r="AC622" s="949" t="str">
        <f t="shared" si="10"/>
        <v/>
      </c>
      <c r="AD622" s="953">
        <f t="shared" si="11"/>
        <v>0</v>
      </c>
      <c r="AE622" s="956"/>
      <c r="AF622" s="889"/>
      <c r="AG622" s="810" t="b">
        <v>0</v>
      </c>
      <c r="AH622" s="780"/>
      <c r="AI622" s="780"/>
      <c r="AJ622" s="780"/>
      <c r="AK622" s="780"/>
      <c r="AL622" s="780"/>
      <c r="AM622" s="780"/>
      <c r="AN622" s="780"/>
      <c r="AO622" s="780"/>
      <c r="AP622" s="780"/>
      <c r="AQ622" s="780"/>
      <c r="AR622" s="780"/>
      <c r="AS622" s="780"/>
      <c r="AT622" s="780"/>
      <c r="AU622" s="780"/>
      <c r="AV622" s="780"/>
      <c r="AW622" s="780"/>
    </row>
    <row r="623">
      <c r="A623" s="941"/>
      <c r="B623" s="941"/>
      <c r="C623" s="995"/>
      <c r="D623" s="995"/>
      <c r="E623" s="995"/>
      <c r="F623" s="946"/>
      <c r="G623" s="946"/>
      <c r="H623" s="946"/>
      <c r="I623" s="947">
        <v>0.00138428</v>
      </c>
      <c r="J623" s="948">
        <v>0.035</v>
      </c>
      <c r="K623" s="949">
        <f t="shared" si="22"/>
        <v>0</v>
      </c>
      <c r="L623" s="950">
        <f t="shared" si="23"/>
        <v>0</v>
      </c>
      <c r="M623" s="948">
        <v>0.0215</v>
      </c>
      <c r="N623" s="951">
        <f t="shared" si="24"/>
        <v>0.00141404202</v>
      </c>
      <c r="O623" s="949">
        <f t="shared" si="25"/>
        <v>15</v>
      </c>
      <c r="P623" s="949">
        <f t="shared" si="77"/>
        <v>0.0215</v>
      </c>
      <c r="Q623" s="952">
        <f t="shared" si="79"/>
        <v>0</v>
      </c>
      <c r="R623" s="952">
        <f t="shared" si="78"/>
        <v>0</v>
      </c>
      <c r="S623" s="953"/>
      <c r="T623" s="949">
        <v>0.06</v>
      </c>
      <c r="U623" s="954"/>
      <c r="V623" s="949"/>
      <c r="W623" s="953"/>
      <c r="X623" s="949">
        <f t="shared" si="7"/>
        <v>0</v>
      </c>
      <c r="Y623" s="955"/>
      <c r="Z623" s="953" t="str">
        <f t="shared" si="8"/>
        <v/>
      </c>
      <c r="AA623" s="949">
        <f t="shared" si="9"/>
        <v>0</v>
      </c>
      <c r="AB623" s="955"/>
      <c r="AC623" s="949" t="str">
        <f t="shared" si="10"/>
        <v/>
      </c>
      <c r="AD623" s="953">
        <f t="shared" si="11"/>
        <v>0</v>
      </c>
      <c r="AE623" s="956"/>
      <c r="AF623" s="889"/>
      <c r="AG623" s="810" t="b">
        <v>0</v>
      </c>
      <c r="AH623" s="780"/>
      <c r="AI623" s="780"/>
      <c r="AJ623" s="780"/>
      <c r="AK623" s="780"/>
      <c r="AL623" s="780"/>
      <c r="AM623" s="780"/>
      <c r="AN623" s="780"/>
      <c r="AO623" s="780"/>
      <c r="AP623" s="780"/>
      <c r="AQ623" s="780"/>
      <c r="AR623" s="780"/>
      <c r="AS623" s="780"/>
      <c r="AT623" s="780"/>
      <c r="AU623" s="780"/>
      <c r="AV623" s="780"/>
      <c r="AW623" s="780"/>
    </row>
    <row r="624">
      <c r="A624" s="941"/>
      <c r="B624" s="941"/>
      <c r="C624" s="995"/>
      <c r="D624" s="995"/>
      <c r="E624" s="995"/>
      <c r="F624" s="946"/>
      <c r="G624" s="946"/>
      <c r="H624" s="946"/>
      <c r="I624" s="947">
        <v>0.00138428</v>
      </c>
      <c r="J624" s="948">
        <v>0.035</v>
      </c>
      <c r="K624" s="949">
        <f t="shared" si="22"/>
        <v>0</v>
      </c>
      <c r="L624" s="950">
        <f t="shared" si="23"/>
        <v>0</v>
      </c>
      <c r="M624" s="948">
        <v>0.0215</v>
      </c>
      <c r="N624" s="951">
        <f t="shared" si="24"/>
        <v>0.00141404202</v>
      </c>
      <c r="O624" s="949">
        <f t="shared" si="25"/>
        <v>15</v>
      </c>
      <c r="P624" s="949">
        <f t="shared" si="77"/>
        <v>0.0215</v>
      </c>
      <c r="Q624" s="952">
        <f t="shared" si="79"/>
        <v>0</v>
      </c>
      <c r="R624" s="952">
        <f t="shared" si="78"/>
        <v>0</v>
      </c>
      <c r="S624" s="953"/>
      <c r="T624" s="949">
        <v>0.06</v>
      </c>
      <c r="U624" s="954"/>
      <c r="V624" s="949"/>
      <c r="W624" s="953"/>
      <c r="X624" s="949">
        <f t="shared" si="7"/>
        <v>0</v>
      </c>
      <c r="Y624" s="955"/>
      <c r="Z624" s="953" t="str">
        <f t="shared" si="8"/>
        <v/>
      </c>
      <c r="AA624" s="949">
        <f t="shared" si="9"/>
        <v>0</v>
      </c>
      <c r="AB624" s="955"/>
      <c r="AC624" s="949" t="str">
        <f t="shared" si="10"/>
        <v/>
      </c>
      <c r="AD624" s="953">
        <f t="shared" si="11"/>
        <v>0</v>
      </c>
      <c r="AE624" s="956"/>
      <c r="AF624" s="889"/>
      <c r="AG624" s="810" t="b">
        <v>0</v>
      </c>
      <c r="AH624" s="780"/>
      <c r="AI624" s="780"/>
      <c r="AJ624" s="780"/>
      <c r="AK624" s="780"/>
      <c r="AL624" s="780"/>
      <c r="AM624" s="780"/>
      <c r="AN624" s="780"/>
      <c r="AO624" s="780"/>
      <c r="AP624" s="780"/>
      <c r="AQ624" s="780"/>
      <c r="AR624" s="780"/>
      <c r="AS624" s="780"/>
      <c r="AT624" s="780"/>
      <c r="AU624" s="780"/>
      <c r="AV624" s="780"/>
      <c r="AW624" s="780"/>
    </row>
    <row r="625">
      <c r="A625" s="941"/>
      <c r="B625" s="941"/>
      <c r="C625" s="995"/>
      <c r="D625" s="944"/>
      <c r="E625" s="944"/>
      <c r="F625" s="946"/>
      <c r="G625" s="946"/>
      <c r="H625" s="946"/>
      <c r="I625" s="947">
        <v>0.00138428</v>
      </c>
      <c r="J625" s="948">
        <v>0.035</v>
      </c>
      <c r="K625" s="949">
        <f t="shared" si="22"/>
        <v>0</v>
      </c>
      <c r="L625" s="950">
        <f t="shared" si="23"/>
        <v>0</v>
      </c>
      <c r="M625" s="948">
        <v>0.0215</v>
      </c>
      <c r="N625" s="951">
        <f t="shared" si="24"/>
        <v>0.00141404202</v>
      </c>
      <c r="O625" s="949">
        <f t="shared" si="25"/>
        <v>15</v>
      </c>
      <c r="P625" s="949">
        <f t="shared" si="77"/>
        <v>0.0215</v>
      </c>
      <c r="Q625" s="952">
        <f t="shared" si="79"/>
        <v>0</v>
      </c>
      <c r="R625" s="952">
        <f t="shared" si="78"/>
        <v>0</v>
      </c>
      <c r="S625" s="953"/>
      <c r="T625" s="949">
        <v>0.06</v>
      </c>
      <c r="U625" s="954"/>
      <c r="V625" s="949"/>
      <c r="W625" s="953"/>
      <c r="X625" s="949">
        <f t="shared" si="7"/>
        <v>0</v>
      </c>
      <c r="Y625" s="955"/>
      <c r="Z625" s="953" t="str">
        <f t="shared" si="8"/>
        <v/>
      </c>
      <c r="AA625" s="949">
        <f t="shared" si="9"/>
        <v>0</v>
      </c>
      <c r="AB625" s="955"/>
      <c r="AC625" s="949" t="str">
        <f t="shared" si="10"/>
        <v/>
      </c>
      <c r="AD625" s="953">
        <f t="shared" si="11"/>
        <v>0</v>
      </c>
      <c r="AE625" s="956"/>
      <c r="AF625" s="889"/>
      <c r="AG625" s="810" t="b">
        <v>0</v>
      </c>
      <c r="AH625" s="780"/>
      <c r="AI625" s="780"/>
      <c r="AJ625" s="780"/>
      <c r="AK625" s="780"/>
      <c r="AL625" s="780"/>
      <c r="AM625" s="780"/>
      <c r="AN625" s="780"/>
      <c r="AO625" s="780"/>
      <c r="AP625" s="780"/>
      <c r="AQ625" s="780"/>
      <c r="AR625" s="780"/>
      <c r="AS625" s="780"/>
      <c r="AT625" s="780"/>
      <c r="AU625" s="780"/>
      <c r="AV625" s="780"/>
      <c r="AW625" s="780"/>
    </row>
    <row r="626">
      <c r="A626" s="941"/>
      <c r="B626" s="941"/>
      <c r="C626" s="995"/>
      <c r="D626" s="995"/>
      <c r="E626" s="995"/>
      <c r="F626" s="946"/>
      <c r="G626" s="946"/>
      <c r="H626" s="946"/>
      <c r="I626" s="947">
        <v>0.00138428</v>
      </c>
      <c r="J626" s="948">
        <v>0.035</v>
      </c>
      <c r="K626" s="949">
        <f t="shared" si="22"/>
        <v>0</v>
      </c>
      <c r="L626" s="950">
        <f t="shared" si="23"/>
        <v>0</v>
      </c>
      <c r="M626" s="948">
        <v>0.0215</v>
      </c>
      <c r="N626" s="951">
        <f t="shared" si="24"/>
        <v>0.00141404202</v>
      </c>
      <c r="O626" s="949">
        <f t="shared" si="25"/>
        <v>15</v>
      </c>
      <c r="P626" s="949">
        <f t="shared" si="77"/>
        <v>0.0215</v>
      </c>
      <c r="Q626" s="952">
        <f t="shared" si="79"/>
        <v>0</v>
      </c>
      <c r="R626" s="952">
        <f t="shared" si="78"/>
        <v>0</v>
      </c>
      <c r="S626" s="953"/>
      <c r="T626" s="949">
        <v>0.06</v>
      </c>
      <c r="U626" s="954"/>
      <c r="V626" s="949"/>
      <c r="W626" s="953"/>
      <c r="X626" s="949">
        <f t="shared" si="7"/>
        <v>0</v>
      </c>
      <c r="Y626" s="955"/>
      <c r="Z626" s="953" t="str">
        <f t="shared" si="8"/>
        <v/>
      </c>
      <c r="AA626" s="949">
        <f t="shared" si="9"/>
        <v>0</v>
      </c>
      <c r="AB626" s="955"/>
      <c r="AC626" s="949" t="str">
        <f t="shared" si="10"/>
        <v/>
      </c>
      <c r="AD626" s="953">
        <f t="shared" si="11"/>
        <v>0</v>
      </c>
      <c r="AE626" s="956"/>
      <c r="AF626" s="889"/>
      <c r="AG626" s="810" t="b">
        <v>0</v>
      </c>
      <c r="AH626" s="780"/>
      <c r="AI626" s="780"/>
      <c r="AJ626" s="780"/>
      <c r="AK626" s="780"/>
      <c r="AL626" s="780"/>
      <c r="AM626" s="780"/>
      <c r="AN626" s="780"/>
      <c r="AO626" s="780"/>
      <c r="AP626" s="780"/>
      <c r="AQ626" s="780"/>
      <c r="AR626" s="780"/>
      <c r="AS626" s="780"/>
      <c r="AT626" s="780"/>
      <c r="AU626" s="780"/>
      <c r="AV626" s="780"/>
      <c r="AW626" s="780"/>
    </row>
    <row r="627">
      <c r="A627" s="941"/>
      <c r="B627" s="941"/>
      <c r="C627" s="995"/>
      <c r="D627" s="944"/>
      <c r="E627" s="944"/>
      <c r="F627" s="946"/>
      <c r="G627" s="946"/>
      <c r="H627" s="946"/>
      <c r="I627" s="947">
        <v>0.00138428</v>
      </c>
      <c r="J627" s="948">
        <v>0.035</v>
      </c>
      <c r="K627" s="949">
        <f t="shared" si="22"/>
        <v>0</v>
      </c>
      <c r="L627" s="950">
        <f t="shared" si="23"/>
        <v>0</v>
      </c>
      <c r="M627" s="948">
        <v>0.0215</v>
      </c>
      <c r="N627" s="951">
        <f t="shared" si="24"/>
        <v>0.00141404202</v>
      </c>
      <c r="O627" s="949">
        <f t="shared" si="25"/>
        <v>15</v>
      </c>
      <c r="P627" s="949">
        <f t="shared" si="77"/>
        <v>0.0215</v>
      </c>
      <c r="Q627" s="952">
        <f t="shared" si="79"/>
        <v>0</v>
      </c>
      <c r="R627" s="952">
        <f t="shared" si="78"/>
        <v>0</v>
      </c>
      <c r="S627" s="953"/>
      <c r="T627" s="949">
        <v>0.06</v>
      </c>
      <c r="U627" s="954"/>
      <c r="V627" s="949"/>
      <c r="W627" s="953"/>
      <c r="X627" s="949">
        <f t="shared" si="7"/>
        <v>0</v>
      </c>
      <c r="Y627" s="955"/>
      <c r="Z627" s="953" t="str">
        <f t="shared" si="8"/>
        <v/>
      </c>
      <c r="AA627" s="949">
        <f t="shared" si="9"/>
        <v>0</v>
      </c>
      <c r="AB627" s="955"/>
      <c r="AC627" s="949" t="str">
        <f t="shared" si="10"/>
        <v/>
      </c>
      <c r="AD627" s="953">
        <f t="shared" si="11"/>
        <v>0</v>
      </c>
      <c r="AE627" s="956"/>
      <c r="AF627" s="889"/>
      <c r="AG627" s="810" t="b">
        <v>0</v>
      </c>
      <c r="AH627" s="780"/>
      <c r="AI627" s="780"/>
      <c r="AJ627" s="780"/>
      <c r="AK627" s="780"/>
      <c r="AL627" s="780"/>
      <c r="AM627" s="780"/>
      <c r="AN627" s="780"/>
      <c r="AO627" s="780"/>
      <c r="AP627" s="780"/>
      <c r="AQ627" s="780"/>
      <c r="AR627" s="780"/>
      <c r="AS627" s="780"/>
      <c r="AT627" s="780"/>
      <c r="AU627" s="780"/>
      <c r="AV627" s="780"/>
      <c r="AW627" s="780"/>
    </row>
    <row r="628">
      <c r="A628" s="941"/>
      <c r="B628" s="941"/>
      <c r="C628" s="995"/>
      <c r="D628" s="995"/>
      <c r="E628" s="995"/>
      <c r="F628" s="946"/>
      <c r="G628" s="946"/>
      <c r="H628" s="946"/>
      <c r="I628" s="947">
        <v>0.00138428</v>
      </c>
      <c r="J628" s="948">
        <v>0.035</v>
      </c>
      <c r="K628" s="949">
        <f t="shared" si="22"/>
        <v>0</v>
      </c>
      <c r="L628" s="950">
        <f t="shared" si="23"/>
        <v>0</v>
      </c>
      <c r="M628" s="948">
        <v>0.0215</v>
      </c>
      <c r="N628" s="951">
        <f t="shared" si="24"/>
        <v>0.00141404202</v>
      </c>
      <c r="O628" s="949">
        <f t="shared" si="25"/>
        <v>15</v>
      </c>
      <c r="P628" s="949">
        <f t="shared" si="77"/>
        <v>0.0215</v>
      </c>
      <c r="Q628" s="952">
        <f t="shared" si="79"/>
        <v>0</v>
      </c>
      <c r="R628" s="952">
        <f t="shared" si="78"/>
        <v>0</v>
      </c>
      <c r="S628" s="953"/>
      <c r="T628" s="949">
        <v>0.06</v>
      </c>
      <c r="U628" s="954"/>
      <c r="V628" s="949"/>
      <c r="W628" s="953"/>
      <c r="X628" s="949">
        <f t="shared" si="7"/>
        <v>0</v>
      </c>
      <c r="Y628" s="955"/>
      <c r="Z628" s="953" t="str">
        <f t="shared" si="8"/>
        <v/>
      </c>
      <c r="AA628" s="949">
        <f t="shared" si="9"/>
        <v>0</v>
      </c>
      <c r="AB628" s="955"/>
      <c r="AC628" s="949" t="str">
        <f t="shared" si="10"/>
        <v/>
      </c>
      <c r="AD628" s="953">
        <f t="shared" si="11"/>
        <v>0</v>
      </c>
      <c r="AE628" s="956"/>
      <c r="AF628" s="889"/>
      <c r="AG628" s="810" t="b">
        <v>0</v>
      </c>
      <c r="AH628" s="780"/>
      <c r="AI628" s="780"/>
      <c r="AJ628" s="780"/>
      <c r="AK628" s="780"/>
      <c r="AL628" s="780"/>
      <c r="AM628" s="780"/>
      <c r="AN628" s="780"/>
      <c r="AO628" s="780"/>
      <c r="AP628" s="780"/>
      <c r="AQ628" s="780"/>
      <c r="AR628" s="780"/>
      <c r="AS628" s="780"/>
      <c r="AT628" s="780"/>
      <c r="AU628" s="780"/>
      <c r="AV628" s="780"/>
      <c r="AW628" s="780"/>
    </row>
    <row r="629">
      <c r="A629" s="941"/>
      <c r="B629" s="941"/>
      <c r="C629" s="995"/>
      <c r="D629" s="944"/>
      <c r="E629" s="944"/>
      <c r="F629" s="946"/>
      <c r="G629" s="946"/>
      <c r="H629" s="946"/>
      <c r="I629" s="947">
        <v>0.00138428</v>
      </c>
      <c r="J629" s="948">
        <v>0.035</v>
      </c>
      <c r="K629" s="949">
        <f t="shared" si="22"/>
        <v>0</v>
      </c>
      <c r="L629" s="950">
        <f t="shared" si="23"/>
        <v>0</v>
      </c>
      <c r="M629" s="948">
        <v>0.0215</v>
      </c>
      <c r="N629" s="951">
        <f t="shared" si="24"/>
        <v>0.00141404202</v>
      </c>
      <c r="O629" s="949">
        <f t="shared" si="25"/>
        <v>15</v>
      </c>
      <c r="P629" s="949">
        <f t="shared" si="77"/>
        <v>0.0215</v>
      </c>
      <c r="Q629" s="952">
        <f t="shared" si="79"/>
        <v>0</v>
      </c>
      <c r="R629" s="952">
        <f t="shared" si="78"/>
        <v>0</v>
      </c>
      <c r="S629" s="953"/>
      <c r="T629" s="949">
        <v>0.06</v>
      </c>
      <c r="U629" s="954"/>
      <c r="V629" s="949"/>
      <c r="W629" s="953"/>
      <c r="X629" s="949">
        <f t="shared" si="7"/>
        <v>0</v>
      </c>
      <c r="Y629" s="955"/>
      <c r="Z629" s="953" t="str">
        <f t="shared" si="8"/>
        <v/>
      </c>
      <c r="AA629" s="949">
        <f t="shared" si="9"/>
        <v>0</v>
      </c>
      <c r="AB629" s="955"/>
      <c r="AC629" s="949" t="str">
        <f t="shared" si="10"/>
        <v/>
      </c>
      <c r="AD629" s="953">
        <f t="shared" si="11"/>
        <v>0</v>
      </c>
      <c r="AE629" s="956"/>
      <c r="AF629" s="889"/>
      <c r="AG629" s="810" t="b">
        <v>0</v>
      </c>
      <c r="AH629" s="780"/>
      <c r="AI629" s="780"/>
      <c r="AJ629" s="780"/>
      <c r="AK629" s="780"/>
      <c r="AL629" s="780"/>
      <c r="AM629" s="780"/>
      <c r="AN629" s="780"/>
      <c r="AO629" s="780"/>
      <c r="AP629" s="780"/>
      <c r="AQ629" s="780"/>
      <c r="AR629" s="780"/>
      <c r="AS629" s="780"/>
      <c r="AT629" s="780"/>
      <c r="AU629" s="780"/>
      <c r="AV629" s="780"/>
      <c r="AW629" s="780"/>
    </row>
    <row r="630">
      <c r="A630" s="941"/>
      <c r="B630" s="941"/>
      <c r="C630" s="995"/>
      <c r="D630" s="995"/>
      <c r="E630" s="995"/>
      <c r="F630" s="946"/>
      <c r="G630" s="946"/>
      <c r="H630" s="946"/>
      <c r="I630" s="947">
        <v>0.00138428</v>
      </c>
      <c r="J630" s="948">
        <v>0.035</v>
      </c>
      <c r="K630" s="949">
        <f t="shared" si="22"/>
        <v>0</v>
      </c>
      <c r="L630" s="950">
        <f t="shared" si="23"/>
        <v>0</v>
      </c>
      <c r="M630" s="948">
        <v>0.0215</v>
      </c>
      <c r="N630" s="951">
        <f t="shared" si="24"/>
        <v>0.00141404202</v>
      </c>
      <c r="O630" s="949">
        <f t="shared" si="25"/>
        <v>15</v>
      </c>
      <c r="P630" s="949">
        <f t="shared" si="77"/>
        <v>0.0215</v>
      </c>
      <c r="Q630" s="952">
        <f t="shared" si="79"/>
        <v>0</v>
      </c>
      <c r="R630" s="952">
        <f t="shared" si="78"/>
        <v>0</v>
      </c>
      <c r="S630" s="953"/>
      <c r="T630" s="949">
        <v>0.06</v>
      </c>
      <c r="U630" s="954"/>
      <c r="V630" s="949"/>
      <c r="W630" s="953"/>
      <c r="X630" s="949">
        <f t="shared" si="7"/>
        <v>0</v>
      </c>
      <c r="Y630" s="955"/>
      <c r="Z630" s="953" t="str">
        <f t="shared" si="8"/>
        <v/>
      </c>
      <c r="AA630" s="949">
        <f t="shared" si="9"/>
        <v>0</v>
      </c>
      <c r="AB630" s="955"/>
      <c r="AC630" s="949" t="str">
        <f t="shared" si="10"/>
        <v/>
      </c>
      <c r="AD630" s="953">
        <f t="shared" si="11"/>
        <v>0</v>
      </c>
      <c r="AE630" s="956"/>
      <c r="AF630" s="889"/>
      <c r="AG630" s="810" t="b">
        <v>0</v>
      </c>
      <c r="AH630" s="780"/>
      <c r="AI630" s="780"/>
      <c r="AJ630" s="780"/>
      <c r="AK630" s="780"/>
      <c r="AL630" s="780"/>
      <c r="AM630" s="780"/>
      <c r="AN630" s="780"/>
      <c r="AO630" s="780"/>
      <c r="AP630" s="780"/>
      <c r="AQ630" s="780"/>
      <c r="AR630" s="780"/>
      <c r="AS630" s="780"/>
      <c r="AT630" s="780"/>
      <c r="AU630" s="780"/>
      <c r="AV630" s="780"/>
      <c r="AW630" s="780"/>
    </row>
    <row r="631">
      <c r="A631" s="941"/>
      <c r="B631" s="941"/>
      <c r="C631" s="995"/>
      <c r="D631" s="944"/>
      <c r="E631" s="944"/>
      <c r="F631" s="946"/>
      <c r="G631" s="946"/>
      <c r="H631" s="946"/>
      <c r="I631" s="947">
        <v>0.00138428</v>
      </c>
      <c r="J631" s="948">
        <v>0.035</v>
      </c>
      <c r="K631" s="949">
        <f t="shared" si="22"/>
        <v>0</v>
      </c>
      <c r="L631" s="950">
        <f t="shared" si="23"/>
        <v>0</v>
      </c>
      <c r="M631" s="948">
        <v>0.0215</v>
      </c>
      <c r="N631" s="951">
        <f t="shared" si="24"/>
        <v>0.00141404202</v>
      </c>
      <c r="O631" s="949">
        <f t="shared" si="25"/>
        <v>15</v>
      </c>
      <c r="P631" s="949">
        <f t="shared" si="77"/>
        <v>0.0215</v>
      </c>
      <c r="Q631" s="952">
        <f t="shared" si="79"/>
        <v>0</v>
      </c>
      <c r="R631" s="952">
        <f t="shared" si="78"/>
        <v>0</v>
      </c>
      <c r="S631" s="953"/>
      <c r="T631" s="949">
        <v>0.06</v>
      </c>
      <c r="U631" s="954"/>
      <c r="V631" s="949"/>
      <c r="W631" s="953"/>
      <c r="X631" s="949">
        <f t="shared" si="7"/>
        <v>0</v>
      </c>
      <c r="Y631" s="955"/>
      <c r="Z631" s="953" t="str">
        <f t="shared" si="8"/>
        <v/>
      </c>
      <c r="AA631" s="949">
        <f t="shared" si="9"/>
        <v>0</v>
      </c>
      <c r="AB631" s="955"/>
      <c r="AC631" s="949" t="str">
        <f t="shared" si="10"/>
        <v/>
      </c>
      <c r="AD631" s="953">
        <f t="shared" si="11"/>
        <v>0</v>
      </c>
      <c r="AE631" s="956"/>
      <c r="AF631" s="889"/>
      <c r="AG631" s="810" t="b">
        <v>0</v>
      </c>
      <c r="AH631" s="780"/>
      <c r="AI631" s="780"/>
      <c r="AJ631" s="780"/>
      <c r="AK631" s="780"/>
      <c r="AL631" s="780"/>
      <c r="AM631" s="780"/>
      <c r="AN631" s="780"/>
      <c r="AO631" s="780"/>
      <c r="AP631" s="780"/>
      <c r="AQ631" s="780"/>
      <c r="AR631" s="780"/>
      <c r="AS631" s="780"/>
      <c r="AT631" s="780"/>
      <c r="AU631" s="780"/>
      <c r="AV631" s="780"/>
      <c r="AW631" s="780"/>
    </row>
    <row r="632">
      <c r="A632" s="941"/>
      <c r="B632" s="941"/>
      <c r="C632" s="995"/>
      <c r="D632" s="995"/>
      <c r="E632" s="995"/>
      <c r="F632" s="946"/>
      <c r="G632" s="946"/>
      <c r="H632" s="946"/>
      <c r="I632" s="947">
        <v>0.00138428</v>
      </c>
      <c r="J632" s="948">
        <v>0.035</v>
      </c>
      <c r="K632" s="949">
        <f t="shared" si="22"/>
        <v>0</v>
      </c>
      <c r="L632" s="950">
        <f t="shared" si="23"/>
        <v>0</v>
      </c>
      <c r="M632" s="948">
        <v>0.0215</v>
      </c>
      <c r="N632" s="951">
        <f t="shared" si="24"/>
        <v>0.00141404202</v>
      </c>
      <c r="O632" s="949">
        <f t="shared" si="25"/>
        <v>15</v>
      </c>
      <c r="P632" s="949">
        <f t="shared" si="77"/>
        <v>0.0215</v>
      </c>
      <c r="Q632" s="952">
        <f t="shared" si="79"/>
        <v>0</v>
      </c>
      <c r="R632" s="952">
        <f t="shared" si="78"/>
        <v>0</v>
      </c>
      <c r="S632" s="953"/>
      <c r="T632" s="949">
        <v>0.06</v>
      </c>
      <c r="U632" s="954"/>
      <c r="V632" s="949"/>
      <c r="W632" s="953"/>
      <c r="X632" s="949">
        <f t="shared" si="7"/>
        <v>0</v>
      </c>
      <c r="Y632" s="955"/>
      <c r="Z632" s="953" t="str">
        <f t="shared" si="8"/>
        <v/>
      </c>
      <c r="AA632" s="949">
        <f t="shared" si="9"/>
        <v>0</v>
      </c>
      <c r="AB632" s="955"/>
      <c r="AC632" s="949" t="str">
        <f t="shared" si="10"/>
        <v/>
      </c>
      <c r="AD632" s="953">
        <f t="shared" si="11"/>
        <v>0</v>
      </c>
      <c r="AE632" s="956"/>
      <c r="AF632" s="889"/>
      <c r="AG632" s="810" t="b">
        <v>0</v>
      </c>
      <c r="AH632" s="780"/>
      <c r="AI632" s="780"/>
      <c r="AJ632" s="780"/>
      <c r="AK632" s="780"/>
      <c r="AL632" s="780"/>
      <c r="AM632" s="780"/>
      <c r="AN632" s="780"/>
      <c r="AO632" s="780"/>
      <c r="AP632" s="780"/>
      <c r="AQ632" s="780"/>
      <c r="AR632" s="780"/>
      <c r="AS632" s="780"/>
      <c r="AT632" s="780"/>
      <c r="AU632" s="780"/>
      <c r="AV632" s="780"/>
      <c r="AW632" s="780"/>
    </row>
    <row r="633">
      <c r="A633" s="941"/>
      <c r="B633" s="941"/>
      <c r="C633" s="995"/>
      <c r="D633" s="944"/>
      <c r="E633" s="944"/>
      <c r="F633" s="946"/>
      <c r="G633" s="946"/>
      <c r="H633" s="946"/>
      <c r="I633" s="947">
        <v>0.00138428</v>
      </c>
      <c r="J633" s="948">
        <v>0.035</v>
      </c>
      <c r="K633" s="949">
        <f t="shared" si="22"/>
        <v>0</v>
      </c>
      <c r="L633" s="950">
        <f t="shared" si="23"/>
        <v>0</v>
      </c>
      <c r="M633" s="948">
        <v>0.0215</v>
      </c>
      <c r="N633" s="951">
        <f t="shared" si="24"/>
        <v>0.00141404202</v>
      </c>
      <c r="O633" s="949">
        <f t="shared" si="25"/>
        <v>15</v>
      </c>
      <c r="P633" s="949">
        <f t="shared" si="77"/>
        <v>0.0215</v>
      </c>
      <c r="Q633" s="952">
        <f t="shared" si="79"/>
        <v>0</v>
      </c>
      <c r="R633" s="952">
        <f t="shared" si="78"/>
        <v>0</v>
      </c>
      <c r="S633" s="953"/>
      <c r="T633" s="949">
        <v>0.06</v>
      </c>
      <c r="U633" s="954"/>
      <c r="V633" s="949"/>
      <c r="W633" s="953"/>
      <c r="X633" s="949">
        <f t="shared" si="7"/>
        <v>0</v>
      </c>
      <c r="Y633" s="955"/>
      <c r="Z633" s="953" t="str">
        <f t="shared" si="8"/>
        <v/>
      </c>
      <c r="AA633" s="949">
        <f t="shared" si="9"/>
        <v>0</v>
      </c>
      <c r="AB633" s="955"/>
      <c r="AC633" s="949" t="str">
        <f t="shared" si="10"/>
        <v/>
      </c>
      <c r="AD633" s="953">
        <f t="shared" si="11"/>
        <v>0</v>
      </c>
      <c r="AE633" s="956"/>
      <c r="AF633" s="889"/>
      <c r="AG633" s="810" t="b">
        <v>0</v>
      </c>
      <c r="AH633" s="780"/>
      <c r="AI633" s="780"/>
      <c r="AJ633" s="780"/>
      <c r="AK633" s="780"/>
      <c r="AL633" s="780"/>
      <c r="AM633" s="780"/>
      <c r="AN633" s="780"/>
      <c r="AO633" s="780"/>
      <c r="AP633" s="780"/>
      <c r="AQ633" s="780"/>
      <c r="AR633" s="780"/>
      <c r="AS633" s="780"/>
      <c r="AT633" s="780"/>
      <c r="AU633" s="780"/>
      <c r="AV633" s="780"/>
      <c r="AW633" s="780"/>
    </row>
    <row r="634">
      <c r="A634" s="941"/>
      <c r="B634" s="941"/>
      <c r="C634" s="995"/>
      <c r="D634" s="995"/>
      <c r="E634" s="995"/>
      <c r="F634" s="946"/>
      <c r="G634" s="946"/>
      <c r="H634" s="946"/>
      <c r="I634" s="947">
        <v>0.00138428</v>
      </c>
      <c r="J634" s="948">
        <v>0.035</v>
      </c>
      <c r="K634" s="949">
        <f t="shared" si="22"/>
        <v>0</v>
      </c>
      <c r="L634" s="950">
        <f t="shared" si="23"/>
        <v>0</v>
      </c>
      <c r="M634" s="948">
        <v>0.0215</v>
      </c>
      <c r="N634" s="951">
        <f t="shared" si="24"/>
        <v>0.00141404202</v>
      </c>
      <c r="O634" s="949">
        <f t="shared" si="25"/>
        <v>15</v>
      </c>
      <c r="P634" s="949">
        <f t="shared" si="77"/>
        <v>0.0215</v>
      </c>
      <c r="Q634" s="952">
        <f t="shared" si="79"/>
        <v>0</v>
      </c>
      <c r="R634" s="952">
        <f t="shared" si="78"/>
        <v>0</v>
      </c>
      <c r="S634" s="953"/>
      <c r="T634" s="949">
        <v>0.06</v>
      </c>
      <c r="U634" s="954"/>
      <c r="V634" s="949"/>
      <c r="W634" s="953"/>
      <c r="X634" s="949">
        <f t="shared" si="7"/>
        <v>0</v>
      </c>
      <c r="Y634" s="955"/>
      <c r="Z634" s="953" t="str">
        <f t="shared" si="8"/>
        <v/>
      </c>
      <c r="AA634" s="949">
        <f t="shared" si="9"/>
        <v>0</v>
      </c>
      <c r="AB634" s="955"/>
      <c r="AC634" s="949" t="str">
        <f t="shared" si="10"/>
        <v/>
      </c>
      <c r="AD634" s="953">
        <f t="shared" si="11"/>
        <v>0</v>
      </c>
      <c r="AE634" s="956"/>
      <c r="AF634" s="889"/>
      <c r="AG634" s="810" t="b">
        <v>0</v>
      </c>
      <c r="AH634" s="780"/>
      <c r="AI634" s="780"/>
      <c r="AJ634" s="780"/>
      <c r="AK634" s="780"/>
      <c r="AL634" s="780"/>
      <c r="AM634" s="780"/>
      <c r="AN634" s="780"/>
      <c r="AO634" s="780"/>
      <c r="AP634" s="780"/>
      <c r="AQ634" s="780"/>
      <c r="AR634" s="780"/>
      <c r="AS634" s="780"/>
      <c r="AT634" s="780"/>
      <c r="AU634" s="780"/>
      <c r="AV634" s="780"/>
      <c r="AW634" s="780"/>
    </row>
    <row r="635">
      <c r="A635" s="941"/>
      <c r="B635" s="941"/>
      <c r="C635" s="995"/>
      <c r="D635" s="944"/>
      <c r="E635" s="944"/>
      <c r="F635" s="946"/>
      <c r="G635" s="946"/>
      <c r="H635" s="946"/>
      <c r="I635" s="947">
        <v>0.00138428</v>
      </c>
      <c r="J635" s="948">
        <v>0.035</v>
      </c>
      <c r="K635" s="949">
        <f t="shared" si="22"/>
        <v>0</v>
      </c>
      <c r="L635" s="950">
        <f t="shared" si="23"/>
        <v>0</v>
      </c>
      <c r="M635" s="948">
        <v>0.0215</v>
      </c>
      <c r="N635" s="951">
        <f t="shared" si="24"/>
        <v>0.00141404202</v>
      </c>
      <c r="O635" s="949">
        <f t="shared" si="25"/>
        <v>15</v>
      </c>
      <c r="P635" s="949">
        <f t="shared" si="77"/>
        <v>0.0215</v>
      </c>
      <c r="Q635" s="952">
        <f t="shared" si="79"/>
        <v>0</v>
      </c>
      <c r="R635" s="952">
        <f t="shared" si="78"/>
        <v>0</v>
      </c>
      <c r="S635" s="953"/>
      <c r="T635" s="949">
        <v>0.06</v>
      </c>
      <c r="U635" s="954"/>
      <c r="V635" s="949"/>
      <c r="W635" s="953"/>
      <c r="X635" s="949">
        <f t="shared" si="7"/>
        <v>0</v>
      </c>
      <c r="Y635" s="955"/>
      <c r="Z635" s="953" t="str">
        <f t="shared" si="8"/>
        <v/>
      </c>
      <c r="AA635" s="949">
        <f t="shared" si="9"/>
        <v>0</v>
      </c>
      <c r="AB635" s="955"/>
      <c r="AC635" s="949" t="str">
        <f t="shared" si="10"/>
        <v/>
      </c>
      <c r="AD635" s="953">
        <f t="shared" si="11"/>
        <v>0</v>
      </c>
      <c r="AE635" s="956"/>
      <c r="AF635" s="889"/>
      <c r="AG635" s="810" t="b">
        <v>0</v>
      </c>
      <c r="AH635" s="780"/>
      <c r="AI635" s="780"/>
      <c r="AJ635" s="780"/>
      <c r="AK635" s="780"/>
      <c r="AL635" s="780"/>
      <c r="AM635" s="780"/>
      <c r="AN635" s="780"/>
      <c r="AO635" s="780"/>
      <c r="AP635" s="780"/>
      <c r="AQ635" s="780"/>
      <c r="AR635" s="780"/>
      <c r="AS635" s="780"/>
      <c r="AT635" s="780"/>
      <c r="AU635" s="780"/>
      <c r="AV635" s="780"/>
      <c r="AW635" s="780"/>
    </row>
    <row r="636">
      <c r="A636" s="941"/>
      <c r="B636" s="941"/>
      <c r="C636" s="995"/>
      <c r="D636" s="995"/>
      <c r="E636" s="995"/>
      <c r="F636" s="946"/>
      <c r="G636" s="946"/>
      <c r="H636" s="946"/>
      <c r="I636" s="947">
        <v>0.00138428</v>
      </c>
      <c r="J636" s="948">
        <v>0.035</v>
      </c>
      <c r="K636" s="949">
        <f t="shared" si="22"/>
        <v>0</v>
      </c>
      <c r="L636" s="950">
        <f t="shared" si="23"/>
        <v>0</v>
      </c>
      <c r="M636" s="948">
        <v>0.0215</v>
      </c>
      <c r="N636" s="951">
        <f t="shared" si="24"/>
        <v>0.00141404202</v>
      </c>
      <c r="O636" s="949">
        <f t="shared" si="25"/>
        <v>15</v>
      </c>
      <c r="P636" s="949">
        <f t="shared" si="77"/>
        <v>0.0215</v>
      </c>
      <c r="Q636" s="952">
        <f t="shared" si="79"/>
        <v>0</v>
      </c>
      <c r="R636" s="952">
        <f t="shared" si="78"/>
        <v>0</v>
      </c>
      <c r="S636" s="953"/>
      <c r="T636" s="949">
        <v>0.06</v>
      </c>
      <c r="U636" s="954"/>
      <c r="V636" s="949"/>
      <c r="W636" s="953"/>
      <c r="X636" s="949">
        <f t="shared" si="7"/>
        <v>0</v>
      </c>
      <c r="Y636" s="955"/>
      <c r="Z636" s="953" t="str">
        <f t="shared" si="8"/>
        <v/>
      </c>
      <c r="AA636" s="949">
        <f t="shared" si="9"/>
        <v>0</v>
      </c>
      <c r="AB636" s="955"/>
      <c r="AC636" s="949" t="str">
        <f t="shared" si="10"/>
        <v/>
      </c>
      <c r="AD636" s="953">
        <f t="shared" si="11"/>
        <v>0</v>
      </c>
      <c r="AE636" s="956"/>
      <c r="AF636" s="889"/>
      <c r="AG636" s="810" t="b">
        <v>0</v>
      </c>
      <c r="AH636" s="780"/>
      <c r="AI636" s="780"/>
      <c r="AJ636" s="780"/>
      <c r="AK636" s="780"/>
      <c r="AL636" s="780"/>
      <c r="AM636" s="780"/>
      <c r="AN636" s="780"/>
      <c r="AO636" s="780"/>
      <c r="AP636" s="780"/>
      <c r="AQ636" s="780"/>
      <c r="AR636" s="780"/>
      <c r="AS636" s="780"/>
      <c r="AT636" s="780"/>
      <c r="AU636" s="780"/>
      <c r="AV636" s="780"/>
      <c r="AW636" s="780"/>
    </row>
    <row r="637">
      <c r="A637" s="941"/>
      <c r="B637" s="941"/>
      <c r="C637" s="995"/>
      <c r="D637" s="944"/>
      <c r="E637" s="944"/>
      <c r="F637" s="946"/>
      <c r="G637" s="946"/>
      <c r="H637" s="946"/>
      <c r="I637" s="947">
        <v>0.00138428</v>
      </c>
      <c r="J637" s="948">
        <v>0.035</v>
      </c>
      <c r="K637" s="949">
        <f t="shared" si="22"/>
        <v>0</v>
      </c>
      <c r="L637" s="950">
        <f t="shared" si="23"/>
        <v>0</v>
      </c>
      <c r="M637" s="948">
        <v>0.0215</v>
      </c>
      <c r="N637" s="951">
        <f t="shared" si="24"/>
        <v>0.00141404202</v>
      </c>
      <c r="O637" s="949">
        <f t="shared" si="25"/>
        <v>15</v>
      </c>
      <c r="P637" s="949">
        <f t="shared" si="77"/>
        <v>0.0215</v>
      </c>
      <c r="Q637" s="952">
        <f t="shared" si="79"/>
        <v>0</v>
      </c>
      <c r="R637" s="952">
        <f t="shared" si="78"/>
        <v>0</v>
      </c>
      <c r="S637" s="953"/>
      <c r="T637" s="949">
        <v>0.06</v>
      </c>
      <c r="U637" s="954"/>
      <c r="V637" s="949"/>
      <c r="W637" s="953"/>
      <c r="X637" s="949">
        <f t="shared" si="7"/>
        <v>0</v>
      </c>
      <c r="Y637" s="955"/>
      <c r="Z637" s="953" t="str">
        <f t="shared" si="8"/>
        <v/>
      </c>
      <c r="AA637" s="949">
        <f t="shared" si="9"/>
        <v>0</v>
      </c>
      <c r="AB637" s="955"/>
      <c r="AC637" s="949" t="str">
        <f t="shared" si="10"/>
        <v/>
      </c>
      <c r="AD637" s="953">
        <f t="shared" si="11"/>
        <v>0</v>
      </c>
      <c r="AE637" s="956"/>
      <c r="AF637" s="889"/>
      <c r="AG637" s="810" t="b">
        <v>0</v>
      </c>
      <c r="AH637" s="780"/>
      <c r="AI637" s="780"/>
      <c r="AJ637" s="780"/>
      <c r="AK637" s="780"/>
      <c r="AL637" s="780"/>
      <c r="AM637" s="780"/>
      <c r="AN637" s="780"/>
      <c r="AO637" s="780"/>
      <c r="AP637" s="780"/>
      <c r="AQ637" s="780"/>
      <c r="AR637" s="780"/>
      <c r="AS637" s="780"/>
      <c r="AT637" s="780"/>
      <c r="AU637" s="780"/>
      <c r="AV637" s="780"/>
      <c r="AW637" s="780"/>
    </row>
    <row r="638">
      <c r="A638" s="941"/>
      <c r="B638" s="941"/>
      <c r="C638" s="995"/>
      <c r="D638" s="995"/>
      <c r="E638" s="995"/>
      <c r="F638" s="946"/>
      <c r="G638" s="946"/>
      <c r="H638" s="946"/>
      <c r="I638" s="947">
        <v>0.00138428</v>
      </c>
      <c r="J638" s="948">
        <v>0.035</v>
      </c>
      <c r="K638" s="949">
        <f t="shared" si="22"/>
        <v>0</v>
      </c>
      <c r="L638" s="950">
        <f t="shared" si="23"/>
        <v>0</v>
      </c>
      <c r="M638" s="948">
        <v>0.0215</v>
      </c>
      <c r="N638" s="951">
        <f t="shared" si="24"/>
        <v>0.00141404202</v>
      </c>
      <c r="O638" s="949">
        <f t="shared" si="25"/>
        <v>15</v>
      </c>
      <c r="P638" s="949">
        <f t="shared" si="77"/>
        <v>0.0215</v>
      </c>
      <c r="Q638" s="952">
        <f t="shared" si="79"/>
        <v>0</v>
      </c>
      <c r="R638" s="952">
        <f t="shared" si="78"/>
        <v>0</v>
      </c>
      <c r="S638" s="953"/>
      <c r="T638" s="949">
        <v>0.06</v>
      </c>
      <c r="U638" s="954"/>
      <c r="V638" s="949"/>
      <c r="W638" s="953"/>
      <c r="X638" s="949">
        <f t="shared" si="7"/>
        <v>0</v>
      </c>
      <c r="Y638" s="955"/>
      <c r="Z638" s="953" t="str">
        <f t="shared" si="8"/>
        <v/>
      </c>
      <c r="AA638" s="949">
        <f t="shared" si="9"/>
        <v>0</v>
      </c>
      <c r="AB638" s="955"/>
      <c r="AC638" s="949" t="str">
        <f t="shared" si="10"/>
        <v/>
      </c>
      <c r="AD638" s="953">
        <f t="shared" si="11"/>
        <v>0</v>
      </c>
      <c r="AE638" s="956"/>
      <c r="AF638" s="889"/>
      <c r="AG638" s="810" t="b">
        <v>0</v>
      </c>
      <c r="AH638" s="780"/>
      <c r="AI638" s="780"/>
      <c r="AJ638" s="780"/>
      <c r="AK638" s="780"/>
      <c r="AL638" s="780"/>
      <c r="AM638" s="780"/>
      <c r="AN638" s="780"/>
      <c r="AO638" s="780"/>
      <c r="AP638" s="780"/>
      <c r="AQ638" s="780"/>
      <c r="AR638" s="780"/>
      <c r="AS638" s="780"/>
      <c r="AT638" s="780"/>
      <c r="AU638" s="780"/>
      <c r="AV638" s="780"/>
      <c r="AW638" s="780"/>
    </row>
    <row r="639">
      <c r="A639" s="941"/>
      <c r="B639" s="941"/>
      <c r="C639" s="995"/>
      <c r="D639" s="944"/>
      <c r="E639" s="944"/>
      <c r="F639" s="946"/>
      <c r="G639" s="946"/>
      <c r="H639" s="946"/>
      <c r="I639" s="947">
        <v>0.00138428</v>
      </c>
      <c r="J639" s="948">
        <v>0.035</v>
      </c>
      <c r="K639" s="949">
        <f t="shared" si="22"/>
        <v>0</v>
      </c>
      <c r="L639" s="950">
        <f t="shared" si="23"/>
        <v>0</v>
      </c>
      <c r="M639" s="948">
        <v>0.0215</v>
      </c>
      <c r="N639" s="951">
        <f t="shared" si="24"/>
        <v>0.00141404202</v>
      </c>
      <c r="O639" s="949">
        <f t="shared" si="25"/>
        <v>15</v>
      </c>
      <c r="P639" s="949">
        <f t="shared" si="77"/>
        <v>0.0215</v>
      </c>
      <c r="Q639" s="952">
        <f t="shared" si="79"/>
        <v>0</v>
      </c>
      <c r="R639" s="952">
        <f t="shared" si="78"/>
        <v>0</v>
      </c>
      <c r="S639" s="953"/>
      <c r="T639" s="949">
        <v>0.06</v>
      </c>
      <c r="U639" s="954"/>
      <c r="V639" s="949"/>
      <c r="W639" s="953"/>
      <c r="X639" s="949">
        <f t="shared" si="7"/>
        <v>0</v>
      </c>
      <c r="Y639" s="955"/>
      <c r="Z639" s="953" t="str">
        <f t="shared" si="8"/>
        <v/>
      </c>
      <c r="AA639" s="949">
        <f t="shared" si="9"/>
        <v>0</v>
      </c>
      <c r="AB639" s="955"/>
      <c r="AC639" s="949" t="str">
        <f t="shared" si="10"/>
        <v/>
      </c>
      <c r="AD639" s="953">
        <f t="shared" si="11"/>
        <v>0</v>
      </c>
      <c r="AE639" s="956"/>
      <c r="AF639" s="889"/>
      <c r="AG639" s="810" t="b">
        <v>0</v>
      </c>
      <c r="AH639" s="780"/>
      <c r="AI639" s="780"/>
      <c r="AJ639" s="780"/>
      <c r="AK639" s="780"/>
      <c r="AL639" s="780"/>
      <c r="AM639" s="780"/>
      <c r="AN639" s="780"/>
      <c r="AO639" s="780"/>
      <c r="AP639" s="780"/>
      <c r="AQ639" s="780"/>
      <c r="AR639" s="780"/>
      <c r="AS639" s="780"/>
      <c r="AT639" s="780"/>
      <c r="AU639" s="780"/>
      <c r="AV639" s="780"/>
      <c r="AW639" s="780"/>
    </row>
    <row r="640">
      <c r="A640" s="941"/>
      <c r="B640" s="941"/>
      <c r="C640" s="995"/>
      <c r="D640" s="995"/>
      <c r="E640" s="995"/>
      <c r="F640" s="946"/>
      <c r="G640" s="946"/>
      <c r="H640" s="946"/>
      <c r="I640" s="947">
        <v>0.00138428</v>
      </c>
      <c r="J640" s="948">
        <v>0.035</v>
      </c>
      <c r="K640" s="949">
        <f t="shared" si="22"/>
        <v>0</v>
      </c>
      <c r="L640" s="950">
        <f t="shared" si="23"/>
        <v>0</v>
      </c>
      <c r="M640" s="948">
        <v>0.0215</v>
      </c>
      <c r="N640" s="951">
        <f t="shared" si="24"/>
        <v>0.00141404202</v>
      </c>
      <c r="O640" s="949">
        <f t="shared" si="25"/>
        <v>15</v>
      </c>
      <c r="P640" s="949">
        <f t="shared" si="77"/>
        <v>0.0215</v>
      </c>
      <c r="Q640" s="952">
        <f t="shared" si="79"/>
        <v>0</v>
      </c>
      <c r="R640" s="952">
        <f t="shared" si="78"/>
        <v>0</v>
      </c>
      <c r="S640" s="953"/>
      <c r="T640" s="949">
        <v>0.06</v>
      </c>
      <c r="U640" s="954"/>
      <c r="V640" s="949"/>
      <c r="W640" s="953"/>
      <c r="X640" s="949">
        <f t="shared" si="7"/>
        <v>0</v>
      </c>
      <c r="Y640" s="955"/>
      <c r="Z640" s="953" t="str">
        <f t="shared" si="8"/>
        <v/>
      </c>
      <c r="AA640" s="949">
        <f t="shared" si="9"/>
        <v>0</v>
      </c>
      <c r="AB640" s="955"/>
      <c r="AC640" s="949" t="str">
        <f t="shared" si="10"/>
        <v/>
      </c>
      <c r="AD640" s="953">
        <f t="shared" si="11"/>
        <v>0</v>
      </c>
      <c r="AE640" s="956"/>
      <c r="AF640" s="889"/>
      <c r="AG640" s="810" t="b">
        <v>0</v>
      </c>
      <c r="AH640" s="780"/>
      <c r="AI640" s="780"/>
      <c r="AJ640" s="780"/>
      <c r="AK640" s="780"/>
      <c r="AL640" s="780"/>
      <c r="AM640" s="780"/>
      <c r="AN640" s="780"/>
      <c r="AO640" s="780"/>
      <c r="AP640" s="780"/>
      <c r="AQ640" s="780"/>
      <c r="AR640" s="780"/>
      <c r="AS640" s="780"/>
      <c r="AT640" s="780"/>
      <c r="AU640" s="780"/>
      <c r="AV640" s="780"/>
      <c r="AW640" s="780"/>
    </row>
    <row r="641">
      <c r="A641" s="941"/>
      <c r="B641" s="941"/>
      <c r="C641" s="995"/>
      <c r="D641" s="944"/>
      <c r="E641" s="944"/>
      <c r="F641" s="946"/>
      <c r="G641" s="946"/>
      <c r="H641" s="946"/>
      <c r="I641" s="947">
        <v>0.00138428</v>
      </c>
      <c r="J641" s="948">
        <v>0.035</v>
      </c>
      <c r="K641" s="949">
        <f t="shared" si="22"/>
        <v>0</v>
      </c>
      <c r="L641" s="950">
        <f t="shared" si="23"/>
        <v>0</v>
      </c>
      <c r="M641" s="948">
        <v>0.0215</v>
      </c>
      <c r="N641" s="951">
        <f t="shared" si="24"/>
        <v>0.00141404202</v>
      </c>
      <c r="O641" s="949">
        <f t="shared" si="25"/>
        <v>15</v>
      </c>
      <c r="P641" s="949">
        <f t="shared" si="77"/>
        <v>0.0215</v>
      </c>
      <c r="Q641" s="952">
        <f t="shared" si="79"/>
        <v>0</v>
      </c>
      <c r="R641" s="952">
        <f t="shared" si="78"/>
        <v>0</v>
      </c>
      <c r="S641" s="953"/>
      <c r="T641" s="949">
        <v>0.06</v>
      </c>
      <c r="U641" s="954"/>
      <c r="V641" s="949"/>
      <c r="W641" s="953"/>
      <c r="X641" s="949">
        <f t="shared" si="7"/>
        <v>0</v>
      </c>
      <c r="Y641" s="955"/>
      <c r="Z641" s="953" t="str">
        <f t="shared" si="8"/>
        <v/>
      </c>
      <c r="AA641" s="949">
        <f t="shared" si="9"/>
        <v>0</v>
      </c>
      <c r="AB641" s="955"/>
      <c r="AC641" s="949" t="str">
        <f t="shared" si="10"/>
        <v/>
      </c>
      <c r="AD641" s="953">
        <f t="shared" si="11"/>
        <v>0</v>
      </c>
      <c r="AE641" s="956"/>
      <c r="AF641" s="889"/>
      <c r="AG641" s="810" t="b">
        <v>0</v>
      </c>
      <c r="AH641" s="780"/>
      <c r="AI641" s="780"/>
      <c r="AJ641" s="780"/>
      <c r="AK641" s="780"/>
      <c r="AL641" s="780"/>
      <c r="AM641" s="780"/>
      <c r="AN641" s="780"/>
      <c r="AO641" s="780"/>
      <c r="AP641" s="780"/>
      <c r="AQ641" s="780"/>
      <c r="AR641" s="780"/>
      <c r="AS641" s="780"/>
      <c r="AT641" s="780"/>
      <c r="AU641" s="780"/>
      <c r="AV641" s="780"/>
      <c r="AW641" s="780"/>
    </row>
    <row r="642">
      <c r="A642" s="941"/>
      <c r="B642" s="941"/>
      <c r="C642" s="995"/>
      <c r="D642" s="995"/>
      <c r="E642" s="995"/>
      <c r="F642" s="946"/>
      <c r="G642" s="946"/>
      <c r="H642" s="946"/>
      <c r="I642" s="947">
        <v>0.00138428</v>
      </c>
      <c r="J642" s="948">
        <v>0.035</v>
      </c>
      <c r="K642" s="949">
        <f t="shared" si="22"/>
        <v>0</v>
      </c>
      <c r="L642" s="950">
        <f t="shared" si="23"/>
        <v>0</v>
      </c>
      <c r="M642" s="948">
        <v>0.0215</v>
      </c>
      <c r="N642" s="951">
        <f t="shared" si="24"/>
        <v>0.00141404202</v>
      </c>
      <c r="O642" s="949">
        <f t="shared" si="25"/>
        <v>15</v>
      </c>
      <c r="P642" s="949">
        <f t="shared" si="77"/>
        <v>0.0215</v>
      </c>
      <c r="Q642" s="952">
        <f t="shared" si="79"/>
        <v>0</v>
      </c>
      <c r="R642" s="952">
        <f t="shared" si="78"/>
        <v>0</v>
      </c>
      <c r="S642" s="953"/>
      <c r="T642" s="949">
        <v>0.06</v>
      </c>
      <c r="U642" s="954"/>
      <c r="V642" s="949"/>
      <c r="W642" s="953"/>
      <c r="X642" s="949">
        <f t="shared" si="7"/>
        <v>0</v>
      </c>
      <c r="Y642" s="955"/>
      <c r="Z642" s="953" t="str">
        <f t="shared" si="8"/>
        <v/>
      </c>
      <c r="AA642" s="949">
        <f t="shared" si="9"/>
        <v>0</v>
      </c>
      <c r="AB642" s="955"/>
      <c r="AC642" s="949" t="str">
        <f t="shared" si="10"/>
        <v/>
      </c>
      <c r="AD642" s="953">
        <f t="shared" si="11"/>
        <v>0</v>
      </c>
      <c r="AE642" s="956"/>
      <c r="AF642" s="889"/>
      <c r="AG642" s="810" t="b">
        <v>0</v>
      </c>
      <c r="AH642" s="780"/>
      <c r="AI642" s="780"/>
      <c r="AJ642" s="780"/>
      <c r="AK642" s="780"/>
      <c r="AL642" s="780"/>
      <c r="AM642" s="780"/>
      <c r="AN642" s="780"/>
      <c r="AO642" s="780"/>
      <c r="AP642" s="780"/>
      <c r="AQ642" s="780"/>
      <c r="AR642" s="780"/>
      <c r="AS642" s="780"/>
      <c r="AT642" s="780"/>
      <c r="AU642" s="780"/>
      <c r="AV642" s="780"/>
      <c r="AW642" s="780"/>
    </row>
    <row r="643">
      <c r="A643" s="941"/>
      <c r="B643" s="941"/>
      <c r="C643" s="995"/>
      <c r="D643" s="944"/>
      <c r="E643" s="944"/>
      <c r="F643" s="946"/>
      <c r="G643" s="946"/>
      <c r="H643" s="946"/>
      <c r="I643" s="947">
        <v>0.00138428</v>
      </c>
      <c r="J643" s="948">
        <v>0.035</v>
      </c>
      <c r="K643" s="949">
        <f t="shared" si="22"/>
        <v>0</v>
      </c>
      <c r="L643" s="950">
        <f t="shared" si="23"/>
        <v>0</v>
      </c>
      <c r="M643" s="948">
        <v>0.0215</v>
      </c>
      <c r="N643" s="951">
        <f t="shared" si="24"/>
        <v>0.00141404202</v>
      </c>
      <c r="O643" s="949">
        <f t="shared" si="25"/>
        <v>15</v>
      </c>
      <c r="P643" s="949">
        <f t="shared" si="77"/>
        <v>0.0215</v>
      </c>
      <c r="Q643" s="952">
        <f t="shared" si="79"/>
        <v>0</v>
      </c>
      <c r="R643" s="952">
        <f t="shared" si="78"/>
        <v>0</v>
      </c>
      <c r="S643" s="953"/>
      <c r="T643" s="949">
        <v>0.06</v>
      </c>
      <c r="U643" s="954"/>
      <c r="V643" s="949"/>
      <c r="W643" s="953"/>
      <c r="X643" s="949">
        <f t="shared" si="7"/>
        <v>0</v>
      </c>
      <c r="Y643" s="955"/>
      <c r="Z643" s="953" t="str">
        <f t="shared" si="8"/>
        <v/>
      </c>
      <c r="AA643" s="949">
        <f t="shared" si="9"/>
        <v>0</v>
      </c>
      <c r="AB643" s="955"/>
      <c r="AC643" s="949" t="str">
        <f t="shared" si="10"/>
        <v/>
      </c>
      <c r="AD643" s="953">
        <f t="shared" si="11"/>
        <v>0</v>
      </c>
      <c r="AE643" s="956"/>
      <c r="AF643" s="889"/>
      <c r="AG643" s="810" t="b">
        <v>0</v>
      </c>
      <c r="AH643" s="780"/>
      <c r="AI643" s="780"/>
      <c r="AJ643" s="780"/>
      <c r="AK643" s="780"/>
      <c r="AL643" s="780"/>
      <c r="AM643" s="780"/>
      <c r="AN643" s="780"/>
      <c r="AO643" s="780"/>
      <c r="AP643" s="780"/>
      <c r="AQ643" s="780"/>
      <c r="AR643" s="780"/>
      <c r="AS643" s="780"/>
      <c r="AT643" s="780"/>
      <c r="AU643" s="780"/>
      <c r="AV643" s="780"/>
      <c r="AW643" s="780"/>
    </row>
    <row r="644">
      <c r="A644" s="941"/>
      <c r="B644" s="941"/>
      <c r="C644" s="995"/>
      <c r="D644" s="995"/>
      <c r="E644" s="995"/>
      <c r="F644" s="946"/>
      <c r="G644" s="946"/>
      <c r="H644" s="946"/>
      <c r="I644" s="947">
        <v>0.00138428</v>
      </c>
      <c r="J644" s="948">
        <v>0.035</v>
      </c>
      <c r="K644" s="949">
        <f t="shared" si="22"/>
        <v>0</v>
      </c>
      <c r="L644" s="950">
        <f t="shared" si="23"/>
        <v>0</v>
      </c>
      <c r="M644" s="948">
        <v>0.0215</v>
      </c>
      <c r="N644" s="951">
        <f t="shared" si="24"/>
        <v>0.00141404202</v>
      </c>
      <c r="O644" s="949">
        <f t="shared" si="25"/>
        <v>15</v>
      </c>
      <c r="P644" s="949">
        <f t="shared" si="77"/>
        <v>0.0215</v>
      </c>
      <c r="Q644" s="952">
        <f t="shared" si="79"/>
        <v>0</v>
      </c>
      <c r="R644" s="952">
        <f t="shared" si="78"/>
        <v>0</v>
      </c>
      <c r="S644" s="953"/>
      <c r="T644" s="949">
        <v>0.06</v>
      </c>
      <c r="U644" s="954"/>
      <c r="V644" s="949"/>
      <c r="W644" s="953"/>
      <c r="X644" s="949">
        <f t="shared" si="7"/>
        <v>0</v>
      </c>
      <c r="Y644" s="955"/>
      <c r="Z644" s="953" t="str">
        <f t="shared" si="8"/>
        <v/>
      </c>
      <c r="AA644" s="949">
        <f t="shared" si="9"/>
        <v>0</v>
      </c>
      <c r="AB644" s="955"/>
      <c r="AC644" s="949" t="str">
        <f t="shared" si="10"/>
        <v/>
      </c>
      <c r="AD644" s="953">
        <f t="shared" si="11"/>
        <v>0</v>
      </c>
      <c r="AE644" s="956"/>
      <c r="AF644" s="889"/>
      <c r="AG644" s="810" t="b">
        <v>0</v>
      </c>
      <c r="AH644" s="780"/>
      <c r="AI644" s="780"/>
      <c r="AJ644" s="780"/>
      <c r="AK644" s="780"/>
      <c r="AL644" s="780"/>
      <c r="AM644" s="780"/>
      <c r="AN644" s="780"/>
      <c r="AO644" s="780"/>
      <c r="AP644" s="780"/>
      <c r="AQ644" s="780"/>
      <c r="AR644" s="780"/>
      <c r="AS644" s="780"/>
      <c r="AT644" s="780"/>
      <c r="AU644" s="780"/>
      <c r="AV644" s="780"/>
      <c r="AW644" s="780"/>
    </row>
    <row r="645">
      <c r="A645" s="941"/>
      <c r="B645" s="941"/>
      <c r="C645" s="995"/>
      <c r="D645" s="944"/>
      <c r="E645" s="944"/>
      <c r="F645" s="946"/>
      <c r="G645" s="946"/>
      <c r="H645" s="946"/>
      <c r="I645" s="947">
        <v>0.00138428</v>
      </c>
      <c r="J645" s="948">
        <v>0.035</v>
      </c>
      <c r="K645" s="949">
        <f t="shared" si="22"/>
        <v>0</v>
      </c>
      <c r="L645" s="950">
        <f t="shared" si="23"/>
        <v>0</v>
      </c>
      <c r="M645" s="948">
        <v>0.0215</v>
      </c>
      <c r="N645" s="951">
        <f t="shared" si="24"/>
        <v>0.00141404202</v>
      </c>
      <c r="O645" s="949">
        <f t="shared" si="25"/>
        <v>15</v>
      </c>
      <c r="P645" s="949">
        <f t="shared" si="77"/>
        <v>0.0215</v>
      </c>
      <c r="Q645" s="952">
        <f t="shared" si="79"/>
        <v>0</v>
      </c>
      <c r="R645" s="952">
        <f t="shared" si="78"/>
        <v>0</v>
      </c>
      <c r="S645" s="953"/>
      <c r="T645" s="949">
        <v>0.06</v>
      </c>
      <c r="U645" s="954"/>
      <c r="V645" s="949"/>
      <c r="W645" s="953"/>
      <c r="X645" s="949">
        <f t="shared" si="7"/>
        <v>0</v>
      </c>
      <c r="Y645" s="955"/>
      <c r="Z645" s="953" t="str">
        <f t="shared" si="8"/>
        <v/>
      </c>
      <c r="AA645" s="949">
        <f t="shared" si="9"/>
        <v>0</v>
      </c>
      <c r="AB645" s="955"/>
      <c r="AC645" s="949" t="str">
        <f t="shared" si="10"/>
        <v/>
      </c>
      <c r="AD645" s="953">
        <f t="shared" si="11"/>
        <v>0</v>
      </c>
      <c r="AE645" s="956"/>
      <c r="AF645" s="889"/>
      <c r="AG645" s="810" t="b">
        <v>0</v>
      </c>
      <c r="AH645" s="780"/>
      <c r="AI645" s="780"/>
      <c r="AJ645" s="780"/>
      <c r="AK645" s="780"/>
      <c r="AL645" s="780"/>
      <c r="AM645" s="780"/>
      <c r="AN645" s="780"/>
      <c r="AO645" s="780"/>
      <c r="AP645" s="780"/>
      <c r="AQ645" s="780"/>
      <c r="AR645" s="780"/>
      <c r="AS645" s="780"/>
      <c r="AT645" s="780"/>
      <c r="AU645" s="780"/>
      <c r="AV645" s="780"/>
      <c r="AW645" s="780"/>
    </row>
    <row r="646">
      <c r="A646" s="941"/>
      <c r="B646" s="941"/>
      <c r="C646" s="995"/>
      <c r="D646" s="995"/>
      <c r="E646" s="995"/>
      <c r="F646" s="946"/>
      <c r="G646" s="946"/>
      <c r="H646" s="946"/>
      <c r="I646" s="947">
        <v>0.00138428</v>
      </c>
      <c r="J646" s="948">
        <v>0.035</v>
      </c>
      <c r="K646" s="949">
        <f t="shared" si="22"/>
        <v>0</v>
      </c>
      <c r="L646" s="950">
        <f t="shared" si="23"/>
        <v>0</v>
      </c>
      <c r="M646" s="948">
        <v>0.0215</v>
      </c>
      <c r="N646" s="951">
        <f t="shared" si="24"/>
        <v>0.00141404202</v>
      </c>
      <c r="O646" s="949">
        <f t="shared" si="25"/>
        <v>15</v>
      </c>
      <c r="P646" s="949">
        <f t="shared" si="77"/>
        <v>0.0215</v>
      </c>
      <c r="Q646" s="952">
        <f t="shared" si="79"/>
        <v>0</v>
      </c>
      <c r="R646" s="952">
        <f t="shared" si="78"/>
        <v>0</v>
      </c>
      <c r="S646" s="953"/>
      <c r="T646" s="949">
        <v>0.06</v>
      </c>
      <c r="U646" s="954"/>
      <c r="V646" s="949"/>
      <c r="W646" s="953"/>
      <c r="X646" s="949">
        <f t="shared" si="7"/>
        <v>0</v>
      </c>
      <c r="Y646" s="955"/>
      <c r="Z646" s="953" t="str">
        <f t="shared" si="8"/>
        <v/>
      </c>
      <c r="AA646" s="949">
        <f t="shared" si="9"/>
        <v>0</v>
      </c>
      <c r="AB646" s="955"/>
      <c r="AC646" s="949" t="str">
        <f t="shared" si="10"/>
        <v/>
      </c>
      <c r="AD646" s="953">
        <f t="shared" si="11"/>
        <v>0</v>
      </c>
      <c r="AE646" s="956"/>
      <c r="AF646" s="889"/>
      <c r="AG646" s="810" t="b">
        <v>0</v>
      </c>
      <c r="AH646" s="780"/>
      <c r="AI646" s="780"/>
      <c r="AJ646" s="780"/>
      <c r="AK646" s="780"/>
      <c r="AL646" s="780"/>
      <c r="AM646" s="780"/>
      <c r="AN646" s="780"/>
      <c r="AO646" s="780"/>
      <c r="AP646" s="780"/>
      <c r="AQ646" s="780"/>
      <c r="AR646" s="780"/>
      <c r="AS646" s="780"/>
      <c r="AT646" s="780"/>
      <c r="AU646" s="780"/>
      <c r="AV646" s="780"/>
      <c r="AW646" s="780"/>
    </row>
    <row r="647">
      <c r="A647" s="941"/>
      <c r="B647" s="941"/>
      <c r="C647" s="995"/>
      <c r="D647" s="944"/>
      <c r="E647" s="944"/>
      <c r="F647" s="946"/>
      <c r="G647" s="946"/>
      <c r="H647" s="946"/>
      <c r="I647" s="947">
        <v>0.00138428</v>
      </c>
      <c r="J647" s="948">
        <v>0.035</v>
      </c>
      <c r="K647" s="949">
        <f t="shared" si="22"/>
        <v>0</v>
      </c>
      <c r="L647" s="950">
        <f t="shared" si="23"/>
        <v>0</v>
      </c>
      <c r="M647" s="948">
        <v>0.0215</v>
      </c>
      <c r="N647" s="951">
        <f t="shared" si="24"/>
        <v>0.00141404202</v>
      </c>
      <c r="O647" s="949">
        <f t="shared" si="25"/>
        <v>15</v>
      </c>
      <c r="P647" s="949">
        <f t="shared" si="77"/>
        <v>0.0215</v>
      </c>
      <c r="Q647" s="952">
        <f t="shared" si="79"/>
        <v>0</v>
      </c>
      <c r="R647" s="952">
        <f t="shared" si="78"/>
        <v>0</v>
      </c>
      <c r="S647" s="953"/>
      <c r="T647" s="949">
        <v>0.06</v>
      </c>
      <c r="U647" s="954"/>
      <c r="V647" s="949"/>
      <c r="W647" s="953"/>
      <c r="X647" s="949">
        <f t="shared" si="7"/>
        <v>0</v>
      </c>
      <c r="Y647" s="955"/>
      <c r="Z647" s="953" t="str">
        <f t="shared" si="8"/>
        <v/>
      </c>
      <c r="AA647" s="949">
        <f t="shared" si="9"/>
        <v>0</v>
      </c>
      <c r="AB647" s="955"/>
      <c r="AC647" s="949" t="str">
        <f t="shared" si="10"/>
        <v/>
      </c>
      <c r="AD647" s="953">
        <f t="shared" si="11"/>
        <v>0</v>
      </c>
      <c r="AE647" s="956"/>
      <c r="AF647" s="889"/>
      <c r="AG647" s="810" t="b">
        <v>0</v>
      </c>
      <c r="AH647" s="780"/>
      <c r="AI647" s="780"/>
      <c r="AJ647" s="780"/>
      <c r="AK647" s="780"/>
      <c r="AL647" s="780"/>
      <c r="AM647" s="780"/>
      <c r="AN647" s="780"/>
      <c r="AO647" s="780"/>
      <c r="AP647" s="780"/>
      <c r="AQ647" s="780"/>
      <c r="AR647" s="780"/>
      <c r="AS647" s="780"/>
      <c r="AT647" s="780"/>
      <c r="AU647" s="780"/>
      <c r="AV647" s="780"/>
      <c r="AW647" s="780"/>
    </row>
    <row r="648">
      <c r="A648" s="941"/>
      <c r="B648" s="941"/>
      <c r="C648" s="995"/>
      <c r="D648" s="995"/>
      <c r="E648" s="995"/>
      <c r="F648" s="946"/>
      <c r="G648" s="946"/>
      <c r="H648" s="946"/>
      <c r="I648" s="947">
        <v>0.00138428</v>
      </c>
      <c r="J648" s="948">
        <v>0.035</v>
      </c>
      <c r="K648" s="949">
        <f t="shared" si="22"/>
        <v>0</v>
      </c>
      <c r="L648" s="950">
        <f t="shared" si="23"/>
        <v>0</v>
      </c>
      <c r="M648" s="948">
        <v>0.0215</v>
      </c>
      <c r="N648" s="951">
        <f t="shared" si="24"/>
        <v>0.00141404202</v>
      </c>
      <c r="O648" s="949">
        <f t="shared" si="25"/>
        <v>15</v>
      </c>
      <c r="P648" s="949">
        <f t="shared" si="77"/>
        <v>0.0215</v>
      </c>
      <c r="Q648" s="952">
        <f t="shared" si="79"/>
        <v>0</v>
      </c>
      <c r="R648" s="952">
        <f t="shared" si="78"/>
        <v>0</v>
      </c>
      <c r="S648" s="953"/>
      <c r="T648" s="949">
        <v>0.06</v>
      </c>
      <c r="U648" s="954"/>
      <c r="V648" s="949"/>
      <c r="W648" s="953"/>
      <c r="X648" s="949">
        <f t="shared" si="7"/>
        <v>0</v>
      </c>
      <c r="Y648" s="955"/>
      <c r="Z648" s="953" t="str">
        <f t="shared" si="8"/>
        <v/>
      </c>
      <c r="AA648" s="949">
        <f t="shared" si="9"/>
        <v>0</v>
      </c>
      <c r="AB648" s="955"/>
      <c r="AC648" s="949" t="str">
        <f t="shared" si="10"/>
        <v/>
      </c>
      <c r="AD648" s="953">
        <f t="shared" si="11"/>
        <v>0</v>
      </c>
      <c r="AE648" s="956"/>
      <c r="AF648" s="889"/>
      <c r="AG648" s="810" t="b">
        <v>0</v>
      </c>
      <c r="AH648" s="780"/>
      <c r="AI648" s="780"/>
      <c r="AJ648" s="780"/>
      <c r="AK648" s="780"/>
      <c r="AL648" s="780"/>
      <c r="AM648" s="780"/>
      <c r="AN648" s="780"/>
      <c r="AO648" s="780"/>
      <c r="AP648" s="780"/>
      <c r="AQ648" s="780"/>
      <c r="AR648" s="780"/>
      <c r="AS648" s="780"/>
      <c r="AT648" s="780"/>
      <c r="AU648" s="780"/>
      <c r="AV648" s="780"/>
      <c r="AW648" s="780"/>
    </row>
    <row r="649">
      <c r="A649" s="941"/>
      <c r="B649" s="941"/>
      <c r="C649" s="995"/>
      <c r="D649" s="944"/>
      <c r="E649" s="944"/>
      <c r="F649" s="946"/>
      <c r="G649" s="946"/>
      <c r="H649" s="946"/>
      <c r="I649" s="947">
        <v>0.00138428</v>
      </c>
      <c r="J649" s="948">
        <v>0.035</v>
      </c>
      <c r="K649" s="949">
        <f t="shared" si="22"/>
        <v>0</v>
      </c>
      <c r="L649" s="950">
        <f t="shared" si="23"/>
        <v>0</v>
      </c>
      <c r="M649" s="948">
        <v>0.0215</v>
      </c>
      <c r="N649" s="951">
        <f t="shared" si="24"/>
        <v>0.00141404202</v>
      </c>
      <c r="O649" s="949">
        <f t="shared" si="25"/>
        <v>15</v>
      </c>
      <c r="P649" s="949">
        <f t="shared" si="77"/>
        <v>0.0215</v>
      </c>
      <c r="Q649" s="952">
        <f t="shared" si="79"/>
        <v>0</v>
      </c>
      <c r="R649" s="952">
        <f t="shared" si="78"/>
        <v>0</v>
      </c>
      <c r="S649" s="953"/>
      <c r="T649" s="949">
        <v>0.06</v>
      </c>
      <c r="U649" s="954"/>
      <c r="V649" s="949"/>
      <c r="W649" s="953"/>
      <c r="X649" s="949">
        <f t="shared" si="7"/>
        <v>0</v>
      </c>
      <c r="Y649" s="955"/>
      <c r="Z649" s="953" t="str">
        <f t="shared" si="8"/>
        <v/>
      </c>
      <c r="AA649" s="949">
        <f t="shared" si="9"/>
        <v>0</v>
      </c>
      <c r="AB649" s="955"/>
      <c r="AC649" s="949" t="str">
        <f t="shared" si="10"/>
        <v/>
      </c>
      <c r="AD649" s="953">
        <f t="shared" si="11"/>
        <v>0</v>
      </c>
      <c r="AE649" s="956"/>
      <c r="AF649" s="889"/>
      <c r="AG649" s="810" t="b">
        <v>0</v>
      </c>
      <c r="AH649" s="780"/>
      <c r="AI649" s="780"/>
      <c r="AJ649" s="780"/>
      <c r="AK649" s="780"/>
      <c r="AL649" s="780"/>
      <c r="AM649" s="780"/>
      <c r="AN649" s="780"/>
      <c r="AO649" s="780"/>
      <c r="AP649" s="780"/>
      <c r="AQ649" s="780"/>
      <c r="AR649" s="780"/>
      <c r="AS649" s="780"/>
      <c r="AT649" s="780"/>
      <c r="AU649" s="780"/>
      <c r="AV649" s="780"/>
      <c r="AW649" s="780"/>
    </row>
    <row r="650">
      <c r="A650" s="941"/>
      <c r="B650" s="941"/>
      <c r="C650" s="995"/>
      <c r="D650" s="995"/>
      <c r="E650" s="995"/>
      <c r="F650" s="946"/>
      <c r="G650" s="946"/>
      <c r="H650" s="946"/>
      <c r="I650" s="947">
        <v>0.00138428</v>
      </c>
      <c r="J650" s="948">
        <v>0.035</v>
      </c>
      <c r="K650" s="949">
        <f t="shared" si="22"/>
        <v>0</v>
      </c>
      <c r="L650" s="950">
        <f t="shared" si="23"/>
        <v>0</v>
      </c>
      <c r="M650" s="948">
        <v>0.0215</v>
      </c>
      <c r="N650" s="951">
        <f t="shared" si="24"/>
        <v>0.00141404202</v>
      </c>
      <c r="O650" s="949">
        <f t="shared" si="25"/>
        <v>15</v>
      </c>
      <c r="P650" s="949">
        <f t="shared" si="77"/>
        <v>0.0215</v>
      </c>
      <c r="Q650" s="952">
        <f t="shared" si="79"/>
        <v>0</v>
      </c>
      <c r="R650" s="952">
        <f t="shared" si="78"/>
        <v>0</v>
      </c>
      <c r="S650" s="953"/>
      <c r="T650" s="949">
        <v>0.06</v>
      </c>
      <c r="U650" s="954"/>
      <c r="V650" s="949"/>
      <c r="W650" s="953"/>
      <c r="X650" s="949">
        <f t="shared" si="7"/>
        <v>0</v>
      </c>
      <c r="Y650" s="955"/>
      <c r="Z650" s="953" t="str">
        <f t="shared" si="8"/>
        <v/>
      </c>
      <c r="AA650" s="949">
        <f t="shared" si="9"/>
        <v>0</v>
      </c>
      <c r="AB650" s="955"/>
      <c r="AC650" s="949" t="str">
        <f t="shared" si="10"/>
        <v/>
      </c>
      <c r="AD650" s="953">
        <f t="shared" si="11"/>
        <v>0</v>
      </c>
      <c r="AE650" s="956"/>
      <c r="AF650" s="889"/>
      <c r="AG650" s="810" t="b">
        <v>0</v>
      </c>
      <c r="AH650" s="780"/>
      <c r="AI650" s="780"/>
      <c r="AJ650" s="780"/>
      <c r="AK650" s="780"/>
      <c r="AL650" s="780"/>
      <c r="AM650" s="780"/>
      <c r="AN650" s="780"/>
      <c r="AO650" s="780"/>
      <c r="AP650" s="780"/>
      <c r="AQ650" s="780"/>
      <c r="AR650" s="780"/>
      <c r="AS650" s="780"/>
      <c r="AT650" s="780"/>
      <c r="AU650" s="780"/>
      <c r="AV650" s="780"/>
      <c r="AW650" s="780"/>
    </row>
    <row r="651">
      <c r="A651" s="941"/>
      <c r="B651" s="941"/>
      <c r="C651" s="995"/>
      <c r="D651" s="944"/>
      <c r="E651" s="944"/>
      <c r="F651" s="946"/>
      <c r="G651" s="946"/>
      <c r="H651" s="946"/>
      <c r="I651" s="947">
        <v>0.00138428</v>
      </c>
      <c r="J651" s="948">
        <v>0.035</v>
      </c>
      <c r="K651" s="949">
        <f t="shared" si="22"/>
        <v>0</v>
      </c>
      <c r="L651" s="950">
        <f t="shared" si="23"/>
        <v>0</v>
      </c>
      <c r="M651" s="948">
        <v>0.0215</v>
      </c>
      <c r="N651" s="951">
        <f t="shared" si="24"/>
        <v>0.00141404202</v>
      </c>
      <c r="O651" s="949">
        <f t="shared" si="25"/>
        <v>15</v>
      </c>
      <c r="P651" s="949">
        <f t="shared" si="77"/>
        <v>0.0215</v>
      </c>
      <c r="Q651" s="952">
        <f t="shared" si="79"/>
        <v>0</v>
      </c>
      <c r="R651" s="952">
        <f t="shared" si="78"/>
        <v>0</v>
      </c>
      <c r="S651" s="953"/>
      <c r="T651" s="949">
        <v>0.06</v>
      </c>
      <c r="U651" s="954"/>
      <c r="V651" s="949"/>
      <c r="W651" s="953"/>
      <c r="X651" s="949">
        <f t="shared" si="7"/>
        <v>0</v>
      </c>
      <c r="Y651" s="955"/>
      <c r="Z651" s="953" t="str">
        <f t="shared" si="8"/>
        <v/>
      </c>
      <c r="AA651" s="949">
        <f t="shared" si="9"/>
        <v>0</v>
      </c>
      <c r="AB651" s="955"/>
      <c r="AC651" s="949" t="str">
        <f t="shared" si="10"/>
        <v/>
      </c>
      <c r="AD651" s="953">
        <f t="shared" si="11"/>
        <v>0</v>
      </c>
      <c r="AE651" s="956"/>
      <c r="AF651" s="889"/>
      <c r="AG651" s="810" t="b">
        <v>0</v>
      </c>
      <c r="AH651" s="780"/>
      <c r="AI651" s="780"/>
      <c r="AJ651" s="780"/>
      <c r="AK651" s="780"/>
      <c r="AL651" s="780"/>
      <c r="AM651" s="780"/>
      <c r="AN651" s="780"/>
      <c r="AO651" s="780"/>
      <c r="AP651" s="780"/>
      <c r="AQ651" s="780"/>
      <c r="AR651" s="780"/>
      <c r="AS651" s="780"/>
      <c r="AT651" s="780"/>
      <c r="AU651" s="780"/>
      <c r="AV651" s="780"/>
      <c r="AW651" s="780"/>
    </row>
    <row r="652">
      <c r="A652" s="941"/>
      <c r="B652" s="941"/>
      <c r="C652" s="995"/>
      <c r="D652" s="995"/>
      <c r="E652" s="995"/>
      <c r="F652" s="946"/>
      <c r="G652" s="946"/>
      <c r="H652" s="946"/>
      <c r="I652" s="947">
        <v>0.00138428</v>
      </c>
      <c r="J652" s="948">
        <v>0.035</v>
      </c>
      <c r="K652" s="949">
        <f t="shared" si="22"/>
        <v>0</v>
      </c>
      <c r="L652" s="950">
        <f t="shared" si="23"/>
        <v>0</v>
      </c>
      <c r="M652" s="948">
        <v>0.0215</v>
      </c>
      <c r="N652" s="951">
        <f t="shared" si="24"/>
        <v>0.00141404202</v>
      </c>
      <c r="O652" s="949">
        <f t="shared" si="25"/>
        <v>15</v>
      </c>
      <c r="P652" s="949">
        <f t="shared" si="77"/>
        <v>0.0215</v>
      </c>
      <c r="Q652" s="952">
        <f t="shared" si="79"/>
        <v>0</v>
      </c>
      <c r="R652" s="952">
        <f t="shared" si="78"/>
        <v>0</v>
      </c>
      <c r="S652" s="953"/>
      <c r="T652" s="949">
        <v>0.06</v>
      </c>
      <c r="U652" s="954"/>
      <c r="V652" s="949"/>
      <c r="W652" s="953"/>
      <c r="X652" s="949">
        <f t="shared" si="7"/>
        <v>0</v>
      </c>
      <c r="Y652" s="955"/>
      <c r="Z652" s="953" t="str">
        <f t="shared" si="8"/>
        <v/>
      </c>
      <c r="AA652" s="949">
        <f t="shared" si="9"/>
        <v>0</v>
      </c>
      <c r="AB652" s="955"/>
      <c r="AC652" s="949" t="str">
        <f t="shared" si="10"/>
        <v/>
      </c>
      <c r="AD652" s="953">
        <f t="shared" si="11"/>
        <v>0</v>
      </c>
      <c r="AE652" s="956"/>
      <c r="AF652" s="889"/>
      <c r="AG652" s="810" t="b">
        <v>0</v>
      </c>
      <c r="AH652" s="780"/>
      <c r="AI652" s="780"/>
      <c r="AJ652" s="780"/>
      <c r="AK652" s="780"/>
      <c r="AL652" s="780"/>
      <c r="AM652" s="780"/>
      <c r="AN652" s="780"/>
      <c r="AO652" s="780"/>
      <c r="AP652" s="780"/>
      <c r="AQ652" s="780"/>
      <c r="AR652" s="780"/>
      <c r="AS652" s="780"/>
      <c r="AT652" s="780"/>
      <c r="AU652" s="780"/>
      <c r="AV652" s="780"/>
      <c r="AW652" s="780"/>
    </row>
    <row r="653">
      <c r="A653" s="941"/>
      <c r="B653" s="941"/>
      <c r="C653" s="995"/>
      <c r="D653" s="944"/>
      <c r="E653" s="944"/>
      <c r="F653" s="946"/>
      <c r="G653" s="946"/>
      <c r="H653" s="946"/>
      <c r="I653" s="947">
        <v>0.00138428</v>
      </c>
      <c r="J653" s="948">
        <v>0.035</v>
      </c>
      <c r="K653" s="949">
        <f t="shared" si="22"/>
        <v>0</v>
      </c>
      <c r="L653" s="950">
        <f t="shared" si="23"/>
        <v>0</v>
      </c>
      <c r="M653" s="948">
        <v>0.0215</v>
      </c>
      <c r="N653" s="951">
        <f t="shared" si="24"/>
        <v>0.00141404202</v>
      </c>
      <c r="O653" s="949">
        <f t="shared" si="25"/>
        <v>15</v>
      </c>
      <c r="P653" s="949">
        <f t="shared" si="77"/>
        <v>0.0215</v>
      </c>
      <c r="Q653" s="952">
        <f t="shared" si="79"/>
        <v>0</v>
      </c>
      <c r="R653" s="952">
        <f t="shared" si="78"/>
        <v>0</v>
      </c>
      <c r="S653" s="953"/>
      <c r="T653" s="949">
        <v>0.06</v>
      </c>
      <c r="U653" s="954"/>
      <c r="V653" s="949"/>
      <c r="W653" s="953"/>
      <c r="X653" s="949">
        <f t="shared" si="7"/>
        <v>0</v>
      </c>
      <c r="Y653" s="955"/>
      <c r="Z653" s="953" t="str">
        <f t="shared" si="8"/>
        <v/>
      </c>
      <c r="AA653" s="949">
        <f t="shared" si="9"/>
        <v>0</v>
      </c>
      <c r="AB653" s="955"/>
      <c r="AC653" s="949" t="str">
        <f t="shared" si="10"/>
        <v/>
      </c>
      <c r="AD653" s="953">
        <f t="shared" si="11"/>
        <v>0</v>
      </c>
      <c r="AE653" s="956"/>
      <c r="AF653" s="889"/>
      <c r="AG653" s="810" t="b">
        <v>0</v>
      </c>
      <c r="AH653" s="780"/>
      <c r="AI653" s="780"/>
      <c r="AJ653" s="780"/>
      <c r="AK653" s="780"/>
      <c r="AL653" s="780"/>
      <c r="AM653" s="780"/>
      <c r="AN653" s="780"/>
      <c r="AO653" s="780"/>
      <c r="AP653" s="780"/>
      <c r="AQ653" s="780"/>
      <c r="AR653" s="780"/>
      <c r="AS653" s="780"/>
      <c r="AT653" s="780"/>
      <c r="AU653" s="780"/>
      <c r="AV653" s="780"/>
      <c r="AW653" s="780"/>
    </row>
    <row r="654">
      <c r="A654" s="941"/>
      <c r="B654" s="941"/>
      <c r="C654" s="995"/>
      <c r="D654" s="995"/>
      <c r="E654" s="995"/>
      <c r="F654" s="946"/>
      <c r="G654" s="946"/>
      <c r="H654" s="946"/>
      <c r="I654" s="947">
        <v>0.00138428</v>
      </c>
      <c r="J654" s="948">
        <v>0.035</v>
      </c>
      <c r="K654" s="949">
        <f t="shared" si="22"/>
        <v>0</v>
      </c>
      <c r="L654" s="950">
        <f t="shared" si="23"/>
        <v>0</v>
      </c>
      <c r="M654" s="948">
        <v>0.0215</v>
      </c>
      <c r="N654" s="951">
        <f t="shared" si="24"/>
        <v>0.00141404202</v>
      </c>
      <c r="O654" s="949">
        <f t="shared" si="25"/>
        <v>15</v>
      </c>
      <c r="P654" s="949">
        <f t="shared" si="77"/>
        <v>0.0215</v>
      </c>
      <c r="Q654" s="952">
        <f t="shared" si="79"/>
        <v>0</v>
      </c>
      <c r="R654" s="952">
        <f t="shared" si="78"/>
        <v>0</v>
      </c>
      <c r="S654" s="953"/>
      <c r="T654" s="949">
        <v>0.06</v>
      </c>
      <c r="U654" s="954"/>
      <c r="V654" s="949"/>
      <c r="W654" s="953"/>
      <c r="X654" s="949">
        <f t="shared" si="7"/>
        <v>0</v>
      </c>
      <c r="Y654" s="955"/>
      <c r="Z654" s="953" t="str">
        <f t="shared" si="8"/>
        <v/>
      </c>
      <c r="AA654" s="949">
        <f t="shared" si="9"/>
        <v>0</v>
      </c>
      <c r="AB654" s="955"/>
      <c r="AC654" s="949" t="str">
        <f t="shared" si="10"/>
        <v/>
      </c>
      <c r="AD654" s="953">
        <f t="shared" si="11"/>
        <v>0</v>
      </c>
      <c r="AE654" s="956"/>
      <c r="AF654" s="889"/>
      <c r="AG654" s="810" t="b">
        <v>0</v>
      </c>
      <c r="AH654" s="780"/>
      <c r="AI654" s="780"/>
      <c r="AJ654" s="780"/>
      <c r="AK654" s="780"/>
      <c r="AL654" s="780"/>
      <c r="AM654" s="780"/>
      <c r="AN654" s="780"/>
      <c r="AO654" s="780"/>
      <c r="AP654" s="780"/>
      <c r="AQ654" s="780"/>
      <c r="AR654" s="780"/>
      <c r="AS654" s="780"/>
      <c r="AT654" s="780"/>
      <c r="AU654" s="780"/>
      <c r="AV654" s="780"/>
      <c r="AW654" s="780"/>
    </row>
    <row r="655">
      <c r="A655" s="941"/>
      <c r="B655" s="941"/>
      <c r="C655" s="995"/>
      <c r="D655" s="944"/>
      <c r="E655" s="944"/>
      <c r="F655" s="946"/>
      <c r="G655" s="946"/>
      <c r="H655" s="946"/>
      <c r="I655" s="947">
        <v>0.00138428</v>
      </c>
      <c r="J655" s="948">
        <v>0.035</v>
      </c>
      <c r="K655" s="949">
        <f t="shared" si="22"/>
        <v>0</v>
      </c>
      <c r="L655" s="950">
        <f t="shared" si="23"/>
        <v>0</v>
      </c>
      <c r="M655" s="948">
        <v>0.0215</v>
      </c>
      <c r="N655" s="951">
        <f t="shared" si="24"/>
        <v>0.00141404202</v>
      </c>
      <c r="O655" s="949">
        <f t="shared" si="25"/>
        <v>15</v>
      </c>
      <c r="P655" s="949">
        <f t="shared" si="77"/>
        <v>0.0215</v>
      </c>
      <c r="Q655" s="952">
        <f t="shared" si="79"/>
        <v>0</v>
      </c>
      <c r="R655" s="952">
        <f t="shared" si="78"/>
        <v>0</v>
      </c>
      <c r="S655" s="953"/>
      <c r="T655" s="949">
        <v>0.06</v>
      </c>
      <c r="U655" s="954"/>
      <c r="V655" s="949"/>
      <c r="W655" s="953"/>
      <c r="X655" s="949">
        <f t="shared" si="7"/>
        <v>0</v>
      </c>
      <c r="Y655" s="955"/>
      <c r="Z655" s="953" t="str">
        <f t="shared" si="8"/>
        <v/>
      </c>
      <c r="AA655" s="949">
        <f t="shared" si="9"/>
        <v>0</v>
      </c>
      <c r="AB655" s="955"/>
      <c r="AC655" s="949" t="str">
        <f t="shared" si="10"/>
        <v/>
      </c>
      <c r="AD655" s="953">
        <f t="shared" si="11"/>
        <v>0</v>
      </c>
      <c r="AE655" s="956"/>
      <c r="AF655" s="889"/>
      <c r="AG655" s="810" t="b">
        <v>0</v>
      </c>
      <c r="AH655" s="780"/>
      <c r="AI655" s="780"/>
      <c r="AJ655" s="780"/>
      <c r="AK655" s="780"/>
      <c r="AL655" s="780"/>
      <c r="AM655" s="780"/>
      <c r="AN655" s="780"/>
      <c r="AO655" s="780"/>
      <c r="AP655" s="780"/>
      <c r="AQ655" s="780"/>
      <c r="AR655" s="780"/>
      <c r="AS655" s="780"/>
      <c r="AT655" s="780"/>
      <c r="AU655" s="780"/>
      <c r="AV655" s="780"/>
      <c r="AW655" s="780"/>
    </row>
    <row r="656">
      <c r="A656" s="941"/>
      <c r="B656" s="941"/>
      <c r="C656" s="995"/>
      <c r="D656" s="995"/>
      <c r="E656" s="995"/>
      <c r="F656" s="946"/>
      <c r="G656" s="946"/>
      <c r="H656" s="946"/>
      <c r="I656" s="947">
        <v>0.00138428</v>
      </c>
      <c r="J656" s="948">
        <v>0.035</v>
      </c>
      <c r="K656" s="949">
        <f t="shared" si="22"/>
        <v>0</v>
      </c>
      <c r="L656" s="950">
        <f t="shared" si="23"/>
        <v>0</v>
      </c>
      <c r="M656" s="948">
        <v>0.0215</v>
      </c>
      <c r="N656" s="951">
        <f t="shared" si="24"/>
        <v>0.00141404202</v>
      </c>
      <c r="O656" s="949">
        <f t="shared" si="25"/>
        <v>15</v>
      </c>
      <c r="P656" s="949">
        <f t="shared" si="77"/>
        <v>0.0215</v>
      </c>
      <c r="Q656" s="952">
        <f t="shared" si="79"/>
        <v>0</v>
      </c>
      <c r="R656" s="952">
        <f t="shared" si="78"/>
        <v>0</v>
      </c>
      <c r="S656" s="953"/>
      <c r="T656" s="949">
        <v>0.06</v>
      </c>
      <c r="U656" s="954"/>
      <c r="V656" s="949"/>
      <c r="W656" s="953"/>
      <c r="X656" s="949">
        <f t="shared" si="7"/>
        <v>0</v>
      </c>
      <c r="Y656" s="955"/>
      <c r="Z656" s="953" t="str">
        <f t="shared" si="8"/>
        <v/>
      </c>
      <c r="AA656" s="949">
        <f t="shared" si="9"/>
        <v>0</v>
      </c>
      <c r="AB656" s="955"/>
      <c r="AC656" s="949" t="str">
        <f t="shared" si="10"/>
        <v/>
      </c>
      <c r="AD656" s="953">
        <f t="shared" si="11"/>
        <v>0</v>
      </c>
      <c r="AE656" s="956"/>
      <c r="AF656" s="889"/>
      <c r="AG656" s="810" t="b">
        <v>0</v>
      </c>
      <c r="AH656" s="780"/>
      <c r="AI656" s="780"/>
      <c r="AJ656" s="780"/>
      <c r="AK656" s="780"/>
      <c r="AL656" s="780"/>
      <c r="AM656" s="780"/>
      <c r="AN656" s="780"/>
      <c r="AO656" s="780"/>
      <c r="AP656" s="780"/>
      <c r="AQ656" s="780"/>
      <c r="AR656" s="780"/>
      <c r="AS656" s="780"/>
      <c r="AT656" s="780"/>
      <c r="AU656" s="780"/>
      <c r="AV656" s="780"/>
      <c r="AW656" s="780"/>
    </row>
    <row r="657">
      <c r="A657" s="941"/>
      <c r="B657" s="941"/>
      <c r="C657" s="995"/>
      <c r="D657" s="944"/>
      <c r="E657" s="944"/>
      <c r="F657" s="946"/>
      <c r="G657" s="946"/>
      <c r="H657" s="946"/>
      <c r="I657" s="947">
        <v>0.00138428</v>
      </c>
      <c r="J657" s="948">
        <v>0.035</v>
      </c>
      <c r="K657" s="949">
        <f t="shared" si="22"/>
        <v>0</v>
      </c>
      <c r="L657" s="950">
        <f t="shared" si="23"/>
        <v>0</v>
      </c>
      <c r="M657" s="948">
        <v>0.0215</v>
      </c>
      <c r="N657" s="951">
        <f t="shared" si="24"/>
        <v>0.00141404202</v>
      </c>
      <c r="O657" s="949">
        <f t="shared" si="25"/>
        <v>15</v>
      </c>
      <c r="P657" s="949">
        <f t="shared" si="77"/>
        <v>0.0215</v>
      </c>
      <c r="Q657" s="952">
        <f t="shared" si="79"/>
        <v>0</v>
      </c>
      <c r="R657" s="952">
        <f t="shared" si="78"/>
        <v>0</v>
      </c>
      <c r="S657" s="953"/>
      <c r="T657" s="949">
        <v>0.06</v>
      </c>
      <c r="U657" s="954"/>
      <c r="V657" s="949"/>
      <c r="W657" s="953"/>
      <c r="X657" s="949">
        <f t="shared" si="7"/>
        <v>0</v>
      </c>
      <c r="Y657" s="955"/>
      <c r="Z657" s="953" t="str">
        <f t="shared" si="8"/>
        <v/>
      </c>
      <c r="AA657" s="949">
        <f t="shared" si="9"/>
        <v>0</v>
      </c>
      <c r="AB657" s="955"/>
      <c r="AC657" s="949" t="str">
        <f t="shared" si="10"/>
        <v/>
      </c>
      <c r="AD657" s="953">
        <f t="shared" si="11"/>
        <v>0</v>
      </c>
      <c r="AE657" s="956"/>
      <c r="AF657" s="889"/>
      <c r="AG657" s="810" t="b">
        <v>0</v>
      </c>
      <c r="AH657" s="780"/>
      <c r="AI657" s="780"/>
      <c r="AJ657" s="780"/>
      <c r="AK657" s="780"/>
      <c r="AL657" s="780"/>
      <c r="AM657" s="780"/>
      <c r="AN657" s="780"/>
      <c r="AO657" s="780"/>
      <c r="AP657" s="780"/>
      <c r="AQ657" s="780"/>
      <c r="AR657" s="780"/>
      <c r="AS657" s="780"/>
      <c r="AT657" s="780"/>
      <c r="AU657" s="780"/>
      <c r="AV657" s="780"/>
      <c r="AW657" s="780"/>
    </row>
    <row r="658">
      <c r="A658" s="941"/>
      <c r="B658" s="941"/>
      <c r="C658" s="995"/>
      <c r="D658" s="995"/>
      <c r="E658" s="995"/>
      <c r="F658" s="946"/>
      <c r="G658" s="946"/>
      <c r="H658" s="946"/>
      <c r="I658" s="947">
        <v>0.00138428</v>
      </c>
      <c r="J658" s="948">
        <v>0.035</v>
      </c>
      <c r="K658" s="949">
        <f t="shared" si="22"/>
        <v>0</v>
      </c>
      <c r="L658" s="950">
        <f t="shared" si="23"/>
        <v>0</v>
      </c>
      <c r="M658" s="948">
        <v>0.0215</v>
      </c>
      <c r="N658" s="951">
        <f t="shared" si="24"/>
        <v>0.00141404202</v>
      </c>
      <c r="O658" s="949">
        <f t="shared" si="25"/>
        <v>15</v>
      </c>
      <c r="P658" s="949">
        <f t="shared" si="77"/>
        <v>0.0215</v>
      </c>
      <c r="Q658" s="952">
        <f t="shared" si="79"/>
        <v>0</v>
      </c>
      <c r="R658" s="952">
        <f t="shared" si="78"/>
        <v>0</v>
      </c>
      <c r="S658" s="953"/>
      <c r="T658" s="949">
        <v>0.06</v>
      </c>
      <c r="U658" s="954"/>
      <c r="V658" s="949"/>
      <c r="W658" s="953"/>
      <c r="X658" s="949">
        <f t="shared" si="7"/>
        <v>0</v>
      </c>
      <c r="Y658" s="955"/>
      <c r="Z658" s="953" t="str">
        <f t="shared" si="8"/>
        <v/>
      </c>
      <c r="AA658" s="949">
        <f t="shared" si="9"/>
        <v>0</v>
      </c>
      <c r="AB658" s="955"/>
      <c r="AC658" s="949" t="str">
        <f t="shared" si="10"/>
        <v/>
      </c>
      <c r="AD658" s="953">
        <f t="shared" si="11"/>
        <v>0</v>
      </c>
      <c r="AE658" s="956"/>
      <c r="AF658" s="889"/>
      <c r="AG658" s="810" t="b">
        <v>0</v>
      </c>
      <c r="AH658" s="780"/>
      <c r="AI658" s="780"/>
      <c r="AJ658" s="780"/>
      <c r="AK658" s="780"/>
      <c r="AL658" s="780"/>
      <c r="AM658" s="780"/>
      <c r="AN658" s="780"/>
      <c r="AO658" s="780"/>
      <c r="AP658" s="780"/>
      <c r="AQ658" s="780"/>
      <c r="AR658" s="780"/>
      <c r="AS658" s="780"/>
      <c r="AT658" s="780"/>
      <c r="AU658" s="780"/>
      <c r="AV658" s="780"/>
      <c r="AW658" s="780"/>
    </row>
    <row r="659">
      <c r="A659" s="941"/>
      <c r="B659" s="941"/>
      <c r="C659" s="995"/>
      <c r="D659" s="944"/>
      <c r="E659" s="944"/>
      <c r="F659" s="946"/>
      <c r="G659" s="946"/>
      <c r="H659" s="946"/>
      <c r="I659" s="947">
        <v>0.00138428</v>
      </c>
      <c r="J659" s="948">
        <v>0.035</v>
      </c>
      <c r="K659" s="949">
        <f t="shared" si="22"/>
        <v>0</v>
      </c>
      <c r="L659" s="950">
        <f t="shared" si="23"/>
        <v>0</v>
      </c>
      <c r="M659" s="948">
        <v>0.0215</v>
      </c>
      <c r="N659" s="951">
        <f t="shared" si="24"/>
        <v>0.00141404202</v>
      </c>
      <c r="O659" s="949">
        <f t="shared" si="25"/>
        <v>15</v>
      </c>
      <c r="P659" s="949">
        <f t="shared" si="77"/>
        <v>0.0215</v>
      </c>
      <c r="Q659" s="952">
        <f t="shared" si="79"/>
        <v>0</v>
      </c>
      <c r="R659" s="952">
        <f t="shared" si="78"/>
        <v>0</v>
      </c>
      <c r="S659" s="953"/>
      <c r="T659" s="949">
        <v>0.06</v>
      </c>
      <c r="U659" s="954"/>
      <c r="V659" s="949"/>
      <c r="W659" s="953"/>
      <c r="X659" s="949">
        <f t="shared" si="7"/>
        <v>0</v>
      </c>
      <c r="Y659" s="955"/>
      <c r="Z659" s="953" t="str">
        <f t="shared" si="8"/>
        <v/>
      </c>
      <c r="AA659" s="949">
        <f t="shared" si="9"/>
        <v>0</v>
      </c>
      <c r="AB659" s="955"/>
      <c r="AC659" s="949" t="str">
        <f t="shared" si="10"/>
        <v/>
      </c>
      <c r="AD659" s="953">
        <f t="shared" si="11"/>
        <v>0</v>
      </c>
      <c r="AE659" s="956"/>
      <c r="AF659" s="889"/>
      <c r="AG659" s="810" t="b">
        <v>0</v>
      </c>
      <c r="AH659" s="780"/>
      <c r="AI659" s="780"/>
      <c r="AJ659" s="780"/>
      <c r="AK659" s="780"/>
      <c r="AL659" s="780"/>
      <c r="AM659" s="780"/>
      <c r="AN659" s="780"/>
      <c r="AO659" s="780"/>
      <c r="AP659" s="780"/>
      <c r="AQ659" s="780"/>
      <c r="AR659" s="780"/>
      <c r="AS659" s="780"/>
      <c r="AT659" s="780"/>
      <c r="AU659" s="780"/>
      <c r="AV659" s="780"/>
      <c r="AW659" s="780"/>
    </row>
    <row r="660">
      <c r="A660" s="941"/>
      <c r="B660" s="941"/>
      <c r="C660" s="995"/>
      <c r="D660" s="995"/>
      <c r="E660" s="995"/>
      <c r="F660" s="946"/>
      <c r="G660" s="946"/>
      <c r="H660" s="946"/>
      <c r="I660" s="947">
        <v>0.00138428</v>
      </c>
      <c r="J660" s="948">
        <v>0.035</v>
      </c>
      <c r="K660" s="949">
        <f t="shared" si="22"/>
        <v>0</v>
      </c>
      <c r="L660" s="950">
        <f t="shared" si="23"/>
        <v>0</v>
      </c>
      <c r="M660" s="948">
        <v>0.0215</v>
      </c>
      <c r="N660" s="951">
        <f t="shared" si="24"/>
        <v>0.00141404202</v>
      </c>
      <c r="O660" s="949">
        <f t="shared" si="25"/>
        <v>15</v>
      </c>
      <c r="P660" s="949">
        <f t="shared" si="77"/>
        <v>0.0215</v>
      </c>
      <c r="Q660" s="952">
        <f t="shared" si="79"/>
        <v>0</v>
      </c>
      <c r="R660" s="952">
        <f t="shared" si="78"/>
        <v>0</v>
      </c>
      <c r="S660" s="953"/>
      <c r="T660" s="949">
        <v>0.06</v>
      </c>
      <c r="U660" s="954"/>
      <c r="V660" s="949"/>
      <c r="W660" s="953"/>
      <c r="X660" s="949">
        <f t="shared" si="7"/>
        <v>0</v>
      </c>
      <c r="Y660" s="955"/>
      <c r="Z660" s="953" t="str">
        <f t="shared" si="8"/>
        <v/>
      </c>
      <c r="AA660" s="949">
        <f t="shared" si="9"/>
        <v>0</v>
      </c>
      <c r="AB660" s="955"/>
      <c r="AC660" s="949" t="str">
        <f t="shared" si="10"/>
        <v/>
      </c>
      <c r="AD660" s="953">
        <f t="shared" si="11"/>
        <v>0</v>
      </c>
      <c r="AE660" s="956"/>
      <c r="AF660" s="889"/>
      <c r="AG660" s="810" t="b">
        <v>0</v>
      </c>
      <c r="AH660" s="780"/>
      <c r="AI660" s="780"/>
      <c r="AJ660" s="780"/>
      <c r="AK660" s="780"/>
      <c r="AL660" s="780"/>
      <c r="AM660" s="780"/>
      <c r="AN660" s="780"/>
      <c r="AO660" s="780"/>
      <c r="AP660" s="780"/>
      <c r="AQ660" s="780"/>
      <c r="AR660" s="780"/>
      <c r="AS660" s="780"/>
      <c r="AT660" s="780"/>
      <c r="AU660" s="780"/>
      <c r="AV660" s="780"/>
      <c r="AW660" s="780"/>
    </row>
    <row r="661">
      <c r="A661" s="941"/>
      <c r="B661" s="941"/>
      <c r="C661" s="995"/>
      <c r="D661" s="944"/>
      <c r="E661" s="944"/>
      <c r="F661" s="946"/>
      <c r="G661" s="946"/>
      <c r="H661" s="946"/>
      <c r="I661" s="947">
        <v>0.00138428</v>
      </c>
      <c r="J661" s="948">
        <v>0.035</v>
      </c>
      <c r="K661" s="949">
        <f t="shared" si="22"/>
        <v>0</v>
      </c>
      <c r="L661" s="950">
        <f t="shared" si="23"/>
        <v>0</v>
      </c>
      <c r="M661" s="948">
        <v>0.0215</v>
      </c>
      <c r="N661" s="951">
        <f t="shared" si="24"/>
        <v>0.00141404202</v>
      </c>
      <c r="O661" s="949">
        <f t="shared" si="25"/>
        <v>15</v>
      </c>
      <c r="P661" s="949">
        <f t="shared" si="77"/>
        <v>0.0215</v>
      </c>
      <c r="Q661" s="952">
        <f t="shared" si="79"/>
        <v>0</v>
      </c>
      <c r="R661" s="952">
        <f t="shared" si="78"/>
        <v>0</v>
      </c>
      <c r="S661" s="953"/>
      <c r="T661" s="949">
        <v>0.06</v>
      </c>
      <c r="U661" s="954"/>
      <c r="V661" s="949"/>
      <c r="W661" s="953"/>
      <c r="X661" s="949">
        <f t="shared" si="7"/>
        <v>0</v>
      </c>
      <c r="Y661" s="955"/>
      <c r="Z661" s="953" t="str">
        <f t="shared" si="8"/>
        <v/>
      </c>
      <c r="AA661" s="949">
        <f t="shared" si="9"/>
        <v>0</v>
      </c>
      <c r="AB661" s="955"/>
      <c r="AC661" s="949" t="str">
        <f t="shared" si="10"/>
        <v/>
      </c>
      <c r="AD661" s="953">
        <f t="shared" si="11"/>
        <v>0</v>
      </c>
      <c r="AE661" s="956"/>
      <c r="AF661" s="889"/>
      <c r="AG661" s="810" t="b">
        <v>0</v>
      </c>
      <c r="AH661" s="780"/>
      <c r="AI661" s="780"/>
      <c r="AJ661" s="780"/>
      <c r="AK661" s="780"/>
      <c r="AL661" s="780"/>
      <c r="AM661" s="780"/>
      <c r="AN661" s="780"/>
      <c r="AO661" s="780"/>
      <c r="AP661" s="780"/>
      <c r="AQ661" s="780"/>
      <c r="AR661" s="780"/>
      <c r="AS661" s="780"/>
      <c r="AT661" s="780"/>
      <c r="AU661" s="780"/>
      <c r="AV661" s="780"/>
      <c r="AW661" s="780"/>
    </row>
    <row r="662">
      <c r="A662" s="941"/>
      <c r="B662" s="941"/>
      <c r="C662" s="995"/>
      <c r="D662" s="995"/>
      <c r="E662" s="995"/>
      <c r="F662" s="946"/>
      <c r="G662" s="946"/>
      <c r="H662" s="946"/>
      <c r="I662" s="947">
        <v>0.00138428</v>
      </c>
      <c r="J662" s="948">
        <v>0.035</v>
      </c>
      <c r="K662" s="949">
        <f t="shared" si="22"/>
        <v>0</v>
      </c>
      <c r="L662" s="950">
        <f t="shared" si="23"/>
        <v>0</v>
      </c>
      <c r="M662" s="948">
        <v>0.0215</v>
      </c>
      <c r="N662" s="951">
        <f t="shared" si="24"/>
        <v>0.00141404202</v>
      </c>
      <c r="O662" s="949">
        <f t="shared" si="25"/>
        <v>15</v>
      </c>
      <c r="P662" s="949">
        <f t="shared" si="77"/>
        <v>0.0215</v>
      </c>
      <c r="Q662" s="952">
        <f t="shared" si="79"/>
        <v>0</v>
      </c>
      <c r="R662" s="952">
        <f t="shared" si="78"/>
        <v>0</v>
      </c>
      <c r="S662" s="953"/>
      <c r="T662" s="949">
        <v>0.06</v>
      </c>
      <c r="U662" s="954"/>
      <c r="V662" s="949"/>
      <c r="W662" s="953"/>
      <c r="X662" s="949">
        <f t="shared" si="7"/>
        <v>0</v>
      </c>
      <c r="Y662" s="955"/>
      <c r="Z662" s="953" t="str">
        <f t="shared" si="8"/>
        <v/>
      </c>
      <c r="AA662" s="949">
        <f t="shared" si="9"/>
        <v>0</v>
      </c>
      <c r="AB662" s="955"/>
      <c r="AC662" s="949" t="str">
        <f t="shared" si="10"/>
        <v/>
      </c>
      <c r="AD662" s="953">
        <f t="shared" si="11"/>
        <v>0</v>
      </c>
      <c r="AE662" s="956"/>
      <c r="AF662" s="889"/>
      <c r="AG662" s="810" t="b">
        <v>0</v>
      </c>
      <c r="AH662" s="780"/>
      <c r="AI662" s="780"/>
      <c r="AJ662" s="780"/>
      <c r="AK662" s="780"/>
      <c r="AL662" s="780"/>
      <c r="AM662" s="780"/>
      <c r="AN662" s="780"/>
      <c r="AO662" s="780"/>
      <c r="AP662" s="780"/>
      <c r="AQ662" s="780"/>
      <c r="AR662" s="780"/>
      <c r="AS662" s="780"/>
      <c r="AT662" s="780"/>
      <c r="AU662" s="780"/>
      <c r="AV662" s="780"/>
      <c r="AW662" s="780"/>
    </row>
    <row r="663">
      <c r="A663" s="941"/>
      <c r="B663" s="941"/>
      <c r="C663" s="995"/>
      <c r="D663" s="944"/>
      <c r="E663" s="944"/>
      <c r="F663" s="1000"/>
      <c r="G663" s="1000"/>
      <c r="H663" s="1000"/>
      <c r="I663" s="947">
        <v>0.00138428</v>
      </c>
      <c r="J663" s="948">
        <v>0.035</v>
      </c>
      <c r="K663" s="949">
        <f t="shared" si="22"/>
        <v>0</v>
      </c>
      <c r="L663" s="950">
        <f t="shared" si="23"/>
        <v>0</v>
      </c>
      <c r="M663" s="948">
        <v>0.0215</v>
      </c>
      <c r="N663" s="951">
        <f t="shared" si="24"/>
        <v>0.00141404202</v>
      </c>
      <c r="O663" s="949">
        <f t="shared" si="25"/>
        <v>15</v>
      </c>
      <c r="P663" s="949">
        <f t="shared" si="77"/>
        <v>0.0215</v>
      </c>
      <c r="Q663" s="952">
        <f t="shared" si="79"/>
        <v>0</v>
      </c>
      <c r="R663" s="952">
        <f t="shared" si="78"/>
        <v>0</v>
      </c>
      <c r="S663" s="953"/>
      <c r="T663" s="949">
        <v>0.06</v>
      </c>
      <c r="U663" s="954"/>
      <c r="V663" s="949"/>
      <c r="W663" s="953"/>
      <c r="X663" s="949">
        <f t="shared" si="7"/>
        <v>0</v>
      </c>
      <c r="Y663" s="955"/>
      <c r="Z663" s="953" t="str">
        <f t="shared" si="8"/>
        <v/>
      </c>
      <c r="AA663" s="949">
        <f t="shared" si="9"/>
        <v>0</v>
      </c>
      <c r="AB663" s="955"/>
      <c r="AC663" s="949" t="str">
        <f t="shared" si="10"/>
        <v/>
      </c>
      <c r="AD663" s="953">
        <f t="shared" si="11"/>
        <v>0</v>
      </c>
      <c r="AE663" s="956"/>
      <c r="AF663" s="889"/>
      <c r="AG663" s="810" t="b">
        <v>0</v>
      </c>
      <c r="AH663" s="780"/>
      <c r="AI663" s="780"/>
      <c r="AJ663" s="780"/>
      <c r="AK663" s="780"/>
      <c r="AL663" s="780"/>
      <c r="AM663" s="780"/>
      <c r="AN663" s="780"/>
      <c r="AO663" s="780"/>
      <c r="AP663" s="780"/>
      <c r="AQ663" s="780"/>
      <c r="AR663" s="780"/>
      <c r="AS663" s="780"/>
      <c r="AT663" s="780"/>
      <c r="AU663" s="780"/>
      <c r="AV663" s="780"/>
      <c r="AW663" s="780"/>
    </row>
    <row r="664">
      <c r="A664" s="941"/>
      <c r="B664" s="941"/>
      <c r="C664" s="995"/>
      <c r="D664" s="995"/>
      <c r="E664" s="995"/>
      <c r="F664" s="946"/>
      <c r="G664" s="946"/>
      <c r="H664" s="946"/>
      <c r="I664" s="947">
        <v>0.00138428</v>
      </c>
      <c r="J664" s="948">
        <v>0.035</v>
      </c>
      <c r="K664" s="949">
        <f t="shared" si="22"/>
        <v>0</v>
      </c>
      <c r="L664" s="950">
        <f t="shared" si="23"/>
        <v>0</v>
      </c>
      <c r="M664" s="948">
        <v>0.0215</v>
      </c>
      <c r="N664" s="951">
        <f t="shared" si="24"/>
        <v>0.00141404202</v>
      </c>
      <c r="O664" s="949">
        <f t="shared" si="25"/>
        <v>15</v>
      </c>
      <c r="P664" s="949">
        <f t="shared" si="77"/>
        <v>0.0215</v>
      </c>
      <c r="Q664" s="952">
        <f t="shared" si="79"/>
        <v>0</v>
      </c>
      <c r="R664" s="952">
        <f t="shared" si="78"/>
        <v>0</v>
      </c>
      <c r="S664" s="953"/>
      <c r="T664" s="949">
        <v>0.06</v>
      </c>
      <c r="U664" s="954"/>
      <c r="V664" s="949"/>
      <c r="W664" s="953"/>
      <c r="X664" s="949">
        <f t="shared" si="7"/>
        <v>0</v>
      </c>
      <c r="Y664" s="955"/>
      <c r="Z664" s="953" t="str">
        <f t="shared" si="8"/>
        <v/>
      </c>
      <c r="AA664" s="949">
        <f t="shared" si="9"/>
        <v>0</v>
      </c>
      <c r="AB664" s="955"/>
      <c r="AC664" s="949" t="str">
        <f t="shared" si="10"/>
        <v/>
      </c>
      <c r="AD664" s="953">
        <f t="shared" si="11"/>
        <v>0</v>
      </c>
      <c r="AE664" s="956"/>
      <c r="AF664" s="889"/>
      <c r="AG664" s="810" t="b">
        <v>0</v>
      </c>
      <c r="AH664" s="780"/>
      <c r="AI664" s="780"/>
      <c r="AJ664" s="780"/>
      <c r="AK664" s="780"/>
      <c r="AL664" s="780"/>
      <c r="AM664" s="780"/>
      <c r="AN664" s="780"/>
      <c r="AO664" s="780"/>
      <c r="AP664" s="780"/>
      <c r="AQ664" s="780"/>
      <c r="AR664" s="780"/>
      <c r="AS664" s="780"/>
      <c r="AT664" s="780"/>
      <c r="AU664" s="780"/>
      <c r="AV664" s="780"/>
      <c r="AW664" s="780"/>
    </row>
    <row r="665">
      <c r="A665" s="941"/>
      <c r="B665" s="941"/>
      <c r="C665" s="995"/>
      <c r="D665" s="995"/>
      <c r="E665" s="995"/>
      <c r="F665" s="946"/>
      <c r="G665" s="946"/>
      <c r="H665" s="946"/>
      <c r="I665" s="947">
        <v>0.00138428</v>
      </c>
      <c r="J665" s="948">
        <v>0.035</v>
      </c>
      <c r="K665" s="949">
        <f t="shared" si="22"/>
        <v>0</v>
      </c>
      <c r="L665" s="950">
        <f t="shared" si="23"/>
        <v>0</v>
      </c>
      <c r="M665" s="948">
        <v>0.0215</v>
      </c>
      <c r="N665" s="951">
        <f t="shared" si="24"/>
        <v>0.00141404202</v>
      </c>
      <c r="O665" s="949">
        <f t="shared" si="25"/>
        <v>15</v>
      </c>
      <c r="P665" s="949">
        <f t="shared" si="77"/>
        <v>0.0215</v>
      </c>
      <c r="Q665" s="952">
        <f t="shared" si="79"/>
        <v>0</v>
      </c>
      <c r="R665" s="952">
        <f t="shared" si="78"/>
        <v>0</v>
      </c>
      <c r="S665" s="953"/>
      <c r="T665" s="949">
        <v>0.06</v>
      </c>
      <c r="U665" s="954"/>
      <c r="V665" s="949"/>
      <c r="W665" s="953"/>
      <c r="X665" s="949">
        <f t="shared" si="7"/>
        <v>0</v>
      </c>
      <c r="Y665" s="955"/>
      <c r="Z665" s="953" t="str">
        <f t="shared" si="8"/>
        <v/>
      </c>
      <c r="AA665" s="949">
        <f t="shared" si="9"/>
        <v>0</v>
      </c>
      <c r="AB665" s="955"/>
      <c r="AC665" s="949" t="str">
        <f t="shared" si="10"/>
        <v/>
      </c>
      <c r="AD665" s="953">
        <f t="shared" si="11"/>
        <v>0</v>
      </c>
      <c r="AE665" s="956"/>
      <c r="AF665" s="889"/>
      <c r="AG665" s="810" t="b">
        <v>0</v>
      </c>
      <c r="AH665" s="780"/>
      <c r="AI665" s="780"/>
      <c r="AJ665" s="780"/>
      <c r="AK665" s="780"/>
      <c r="AL665" s="780"/>
      <c r="AM665" s="780"/>
      <c r="AN665" s="780"/>
      <c r="AO665" s="780"/>
      <c r="AP665" s="780"/>
      <c r="AQ665" s="780"/>
      <c r="AR665" s="780"/>
      <c r="AS665" s="780"/>
      <c r="AT665" s="780"/>
      <c r="AU665" s="780"/>
      <c r="AV665" s="780"/>
      <c r="AW665" s="780"/>
    </row>
    <row r="666">
      <c r="A666" s="941"/>
      <c r="B666" s="941"/>
      <c r="C666" s="995"/>
      <c r="D666" s="995"/>
      <c r="E666" s="995"/>
      <c r="F666" s="946"/>
      <c r="G666" s="946"/>
      <c r="H666" s="946"/>
      <c r="I666" s="947">
        <v>0.00138428</v>
      </c>
      <c r="J666" s="948">
        <v>0.035</v>
      </c>
      <c r="K666" s="949">
        <f t="shared" si="22"/>
        <v>0</v>
      </c>
      <c r="L666" s="950">
        <f t="shared" si="23"/>
        <v>0</v>
      </c>
      <c r="M666" s="948">
        <v>0.0215</v>
      </c>
      <c r="N666" s="951">
        <f t="shared" si="24"/>
        <v>0.00141404202</v>
      </c>
      <c r="O666" s="949">
        <f t="shared" si="25"/>
        <v>15</v>
      </c>
      <c r="P666" s="949">
        <f t="shared" si="77"/>
        <v>0.0215</v>
      </c>
      <c r="Q666" s="952">
        <f t="shared" si="79"/>
        <v>0</v>
      </c>
      <c r="R666" s="952">
        <f t="shared" si="78"/>
        <v>0</v>
      </c>
      <c r="S666" s="953"/>
      <c r="T666" s="949">
        <v>0.06</v>
      </c>
      <c r="U666" s="954"/>
      <c r="V666" s="949"/>
      <c r="W666" s="953"/>
      <c r="X666" s="949">
        <f t="shared" si="7"/>
        <v>0</v>
      </c>
      <c r="Y666" s="955"/>
      <c r="Z666" s="953" t="str">
        <f t="shared" si="8"/>
        <v/>
      </c>
      <c r="AA666" s="949">
        <f t="shared" si="9"/>
        <v>0</v>
      </c>
      <c r="AB666" s="955"/>
      <c r="AC666" s="949" t="str">
        <f t="shared" si="10"/>
        <v/>
      </c>
      <c r="AD666" s="953">
        <f t="shared" si="11"/>
        <v>0</v>
      </c>
      <c r="AE666" s="956"/>
      <c r="AF666" s="889"/>
      <c r="AG666" s="810" t="b">
        <v>0</v>
      </c>
      <c r="AH666" s="780"/>
      <c r="AI666" s="780"/>
      <c r="AJ666" s="780"/>
      <c r="AK666" s="780"/>
      <c r="AL666" s="780"/>
      <c r="AM666" s="780"/>
      <c r="AN666" s="780"/>
      <c r="AO666" s="780"/>
      <c r="AP666" s="780"/>
      <c r="AQ666" s="780"/>
      <c r="AR666" s="780"/>
      <c r="AS666" s="780"/>
      <c r="AT666" s="780"/>
      <c r="AU666" s="780"/>
      <c r="AV666" s="780"/>
      <c r="AW666" s="780"/>
    </row>
    <row r="667">
      <c r="A667" s="941"/>
      <c r="B667" s="941"/>
      <c r="C667" s="995"/>
      <c r="D667" s="1001"/>
      <c r="E667" s="944"/>
      <c r="F667" s="946"/>
      <c r="G667" s="946"/>
      <c r="H667" s="946"/>
      <c r="I667" s="947">
        <v>0.00138428</v>
      </c>
      <c r="J667" s="948">
        <v>0.035</v>
      </c>
      <c r="K667" s="949">
        <f t="shared" si="22"/>
        <v>0</v>
      </c>
      <c r="L667" s="950">
        <f t="shared" si="23"/>
        <v>0</v>
      </c>
      <c r="M667" s="948">
        <v>0.0215</v>
      </c>
      <c r="N667" s="951">
        <f t="shared" si="24"/>
        <v>0.00141404202</v>
      </c>
      <c r="O667" s="949">
        <f t="shared" si="25"/>
        <v>15</v>
      </c>
      <c r="P667" s="949">
        <f t="shared" si="77"/>
        <v>0.0215</v>
      </c>
      <c r="Q667" s="952">
        <f t="shared" si="79"/>
        <v>0</v>
      </c>
      <c r="R667" s="952">
        <f t="shared" si="78"/>
        <v>0</v>
      </c>
      <c r="S667" s="953"/>
      <c r="T667" s="949">
        <v>0.06</v>
      </c>
      <c r="U667" s="954"/>
      <c r="V667" s="949"/>
      <c r="W667" s="953"/>
      <c r="X667" s="949">
        <f t="shared" si="7"/>
        <v>0</v>
      </c>
      <c r="Y667" s="955"/>
      <c r="Z667" s="953" t="str">
        <f t="shared" si="8"/>
        <v/>
      </c>
      <c r="AA667" s="949">
        <f t="shared" si="9"/>
        <v>0</v>
      </c>
      <c r="AB667" s="955"/>
      <c r="AC667" s="949" t="str">
        <f t="shared" si="10"/>
        <v/>
      </c>
      <c r="AD667" s="953">
        <f t="shared" si="11"/>
        <v>0</v>
      </c>
      <c r="AE667" s="956"/>
      <c r="AF667" s="889"/>
      <c r="AG667" s="810" t="b">
        <v>0</v>
      </c>
      <c r="AH667" s="780"/>
      <c r="AI667" s="780"/>
      <c r="AJ667" s="780"/>
      <c r="AK667" s="780"/>
      <c r="AL667" s="780"/>
      <c r="AM667" s="780"/>
      <c r="AN667" s="780"/>
      <c r="AO667" s="780"/>
      <c r="AP667" s="780"/>
      <c r="AQ667" s="780"/>
      <c r="AR667" s="780"/>
      <c r="AS667" s="780"/>
      <c r="AT667" s="780"/>
      <c r="AU667" s="780"/>
      <c r="AV667" s="780"/>
      <c r="AW667" s="780"/>
    </row>
    <row r="668">
      <c r="A668" s="941"/>
      <c r="B668" s="941"/>
      <c r="C668" s="995"/>
      <c r="D668" s="995"/>
      <c r="E668" s="995"/>
      <c r="F668" s="946"/>
      <c r="G668" s="946"/>
      <c r="H668" s="946"/>
      <c r="I668" s="947">
        <v>0.00138428</v>
      </c>
      <c r="J668" s="948">
        <v>0.035</v>
      </c>
      <c r="K668" s="949">
        <f t="shared" si="22"/>
        <v>0</v>
      </c>
      <c r="L668" s="950">
        <f t="shared" si="23"/>
        <v>0</v>
      </c>
      <c r="M668" s="948">
        <v>0.0215</v>
      </c>
      <c r="N668" s="951">
        <f t="shared" si="24"/>
        <v>0.00141404202</v>
      </c>
      <c r="O668" s="949">
        <f t="shared" si="25"/>
        <v>15</v>
      </c>
      <c r="P668" s="949">
        <f t="shared" si="77"/>
        <v>0.0215</v>
      </c>
      <c r="Q668" s="952">
        <f t="shared" si="79"/>
        <v>0</v>
      </c>
      <c r="R668" s="952">
        <f t="shared" si="78"/>
        <v>0</v>
      </c>
      <c r="S668" s="953"/>
      <c r="T668" s="949">
        <v>0.06</v>
      </c>
      <c r="U668" s="954"/>
      <c r="V668" s="949"/>
      <c r="W668" s="953"/>
      <c r="X668" s="949">
        <f t="shared" si="7"/>
        <v>0</v>
      </c>
      <c r="Y668" s="955"/>
      <c r="Z668" s="953" t="str">
        <f t="shared" si="8"/>
        <v/>
      </c>
      <c r="AA668" s="949">
        <f t="shared" si="9"/>
        <v>0</v>
      </c>
      <c r="AB668" s="955"/>
      <c r="AC668" s="949" t="str">
        <f t="shared" si="10"/>
        <v/>
      </c>
      <c r="AD668" s="953">
        <f t="shared" si="11"/>
        <v>0</v>
      </c>
      <c r="AE668" s="956"/>
      <c r="AF668" s="889"/>
      <c r="AG668" s="810" t="b">
        <v>0</v>
      </c>
      <c r="AH668" s="780"/>
      <c r="AI668" s="780"/>
      <c r="AJ668" s="780"/>
      <c r="AK668" s="780"/>
      <c r="AL668" s="780"/>
      <c r="AM668" s="780"/>
      <c r="AN668" s="780"/>
      <c r="AO668" s="780"/>
      <c r="AP668" s="780"/>
      <c r="AQ668" s="780"/>
      <c r="AR668" s="780"/>
      <c r="AS668" s="780"/>
      <c r="AT668" s="780"/>
      <c r="AU668" s="780"/>
      <c r="AV668" s="780"/>
      <c r="AW668" s="780"/>
    </row>
    <row r="669">
      <c r="A669" s="941"/>
      <c r="B669" s="941"/>
      <c r="C669" s="995"/>
      <c r="D669" s="995"/>
      <c r="E669" s="995"/>
      <c r="F669" s="946"/>
      <c r="G669" s="946"/>
      <c r="H669" s="946"/>
      <c r="I669" s="947">
        <v>0.00138428</v>
      </c>
      <c r="J669" s="948">
        <v>0.035</v>
      </c>
      <c r="K669" s="949">
        <f t="shared" si="22"/>
        <v>0</v>
      </c>
      <c r="L669" s="950">
        <f t="shared" si="23"/>
        <v>0</v>
      </c>
      <c r="M669" s="948">
        <v>0.0215</v>
      </c>
      <c r="N669" s="951">
        <f t="shared" si="24"/>
        <v>0.00141404202</v>
      </c>
      <c r="O669" s="949">
        <f t="shared" si="25"/>
        <v>15</v>
      </c>
      <c r="P669" s="949">
        <f t="shared" si="77"/>
        <v>0.0215</v>
      </c>
      <c r="Q669" s="952">
        <f t="shared" si="79"/>
        <v>0</v>
      </c>
      <c r="R669" s="952">
        <f t="shared" si="78"/>
        <v>0</v>
      </c>
      <c r="S669" s="953"/>
      <c r="T669" s="949">
        <v>0.06</v>
      </c>
      <c r="U669" s="954"/>
      <c r="V669" s="949"/>
      <c r="W669" s="953"/>
      <c r="X669" s="949">
        <f t="shared" si="7"/>
        <v>0</v>
      </c>
      <c r="Y669" s="955"/>
      <c r="Z669" s="953" t="str">
        <f t="shared" si="8"/>
        <v/>
      </c>
      <c r="AA669" s="949">
        <f t="shared" si="9"/>
        <v>0</v>
      </c>
      <c r="AB669" s="955"/>
      <c r="AC669" s="949" t="str">
        <f t="shared" si="10"/>
        <v/>
      </c>
      <c r="AD669" s="953">
        <f t="shared" si="11"/>
        <v>0</v>
      </c>
      <c r="AE669" s="956"/>
      <c r="AF669" s="889"/>
      <c r="AG669" s="810" t="b">
        <v>0</v>
      </c>
      <c r="AH669" s="780"/>
      <c r="AI669" s="780"/>
      <c r="AJ669" s="780"/>
      <c r="AK669" s="780"/>
      <c r="AL669" s="780"/>
      <c r="AM669" s="780"/>
      <c r="AN669" s="780"/>
      <c r="AO669" s="780"/>
      <c r="AP669" s="780"/>
      <c r="AQ669" s="780"/>
      <c r="AR669" s="780"/>
      <c r="AS669" s="780"/>
      <c r="AT669" s="780"/>
      <c r="AU669" s="780"/>
      <c r="AV669" s="780"/>
      <c r="AW669" s="780"/>
    </row>
    <row r="670">
      <c r="A670" s="941"/>
      <c r="B670" s="941"/>
      <c r="C670" s="995"/>
      <c r="D670" s="995"/>
      <c r="E670" s="995"/>
      <c r="F670" s="946"/>
      <c r="G670" s="946"/>
      <c r="H670" s="946"/>
      <c r="I670" s="947">
        <v>0.00138428</v>
      </c>
      <c r="J670" s="948">
        <v>0.035</v>
      </c>
      <c r="K670" s="949">
        <f t="shared" si="22"/>
        <v>0</v>
      </c>
      <c r="L670" s="950">
        <f t="shared" si="23"/>
        <v>0</v>
      </c>
      <c r="M670" s="948">
        <v>0.0215</v>
      </c>
      <c r="N670" s="951">
        <f t="shared" si="24"/>
        <v>0.00141404202</v>
      </c>
      <c r="O670" s="949">
        <f t="shared" si="25"/>
        <v>15</v>
      </c>
      <c r="P670" s="949">
        <f t="shared" si="77"/>
        <v>0.0215</v>
      </c>
      <c r="Q670" s="952">
        <f t="shared" si="79"/>
        <v>0</v>
      </c>
      <c r="R670" s="952">
        <f t="shared" si="78"/>
        <v>0</v>
      </c>
      <c r="S670" s="953"/>
      <c r="T670" s="949">
        <v>0.06</v>
      </c>
      <c r="U670" s="954"/>
      <c r="V670" s="949"/>
      <c r="W670" s="953"/>
      <c r="X670" s="949">
        <f t="shared" si="7"/>
        <v>0</v>
      </c>
      <c r="Y670" s="955"/>
      <c r="Z670" s="953" t="str">
        <f t="shared" si="8"/>
        <v/>
      </c>
      <c r="AA670" s="949">
        <f t="shared" si="9"/>
        <v>0</v>
      </c>
      <c r="AB670" s="955"/>
      <c r="AC670" s="949" t="str">
        <f t="shared" si="10"/>
        <v/>
      </c>
      <c r="AD670" s="953">
        <f t="shared" si="11"/>
        <v>0</v>
      </c>
      <c r="AE670" s="956"/>
      <c r="AF670" s="889"/>
      <c r="AG670" s="810" t="b">
        <v>0</v>
      </c>
      <c r="AH670" s="780"/>
      <c r="AI670" s="780"/>
      <c r="AJ670" s="780"/>
      <c r="AK670" s="780"/>
      <c r="AL670" s="780"/>
      <c r="AM670" s="780"/>
      <c r="AN670" s="780"/>
      <c r="AO670" s="780"/>
      <c r="AP670" s="780"/>
      <c r="AQ670" s="780"/>
      <c r="AR670" s="780"/>
      <c r="AS670" s="780"/>
      <c r="AT670" s="780"/>
      <c r="AU670" s="780"/>
      <c r="AV670" s="780"/>
      <c r="AW670" s="780"/>
    </row>
    <row r="671">
      <c r="A671" s="941"/>
      <c r="B671" s="941"/>
      <c r="C671" s="995"/>
      <c r="D671" s="995"/>
      <c r="E671" s="995"/>
      <c r="F671" s="946"/>
      <c r="G671" s="946"/>
      <c r="H671" s="946"/>
      <c r="I671" s="947">
        <v>0.00138428</v>
      </c>
      <c r="J671" s="948">
        <v>0.035</v>
      </c>
      <c r="K671" s="949">
        <f t="shared" si="22"/>
        <v>0</v>
      </c>
      <c r="L671" s="950">
        <f t="shared" si="23"/>
        <v>0</v>
      </c>
      <c r="M671" s="948">
        <v>0.0215</v>
      </c>
      <c r="N671" s="951">
        <f t="shared" si="24"/>
        <v>0.00141404202</v>
      </c>
      <c r="O671" s="949">
        <f t="shared" si="25"/>
        <v>15</v>
      </c>
      <c r="P671" s="949">
        <f t="shared" si="77"/>
        <v>0.0215</v>
      </c>
      <c r="Q671" s="952">
        <f t="shared" si="79"/>
        <v>0</v>
      </c>
      <c r="R671" s="952">
        <f t="shared" si="78"/>
        <v>0</v>
      </c>
      <c r="S671" s="953"/>
      <c r="T671" s="949">
        <v>0.06</v>
      </c>
      <c r="U671" s="954"/>
      <c r="V671" s="949"/>
      <c r="W671" s="953"/>
      <c r="X671" s="949">
        <f t="shared" si="7"/>
        <v>0</v>
      </c>
      <c r="Y671" s="955"/>
      <c r="Z671" s="953" t="str">
        <f t="shared" si="8"/>
        <v/>
      </c>
      <c r="AA671" s="949">
        <f t="shared" si="9"/>
        <v>0</v>
      </c>
      <c r="AB671" s="955"/>
      <c r="AC671" s="949" t="str">
        <f t="shared" si="10"/>
        <v/>
      </c>
      <c r="AD671" s="953">
        <f t="shared" si="11"/>
        <v>0</v>
      </c>
      <c r="AE671" s="956"/>
      <c r="AF671" s="889"/>
      <c r="AG671" s="810" t="b">
        <v>0</v>
      </c>
      <c r="AH671" s="780"/>
      <c r="AI671" s="780"/>
      <c r="AJ671" s="780"/>
      <c r="AK671" s="780"/>
      <c r="AL671" s="780"/>
      <c r="AM671" s="780"/>
      <c r="AN671" s="780"/>
      <c r="AO671" s="780"/>
      <c r="AP671" s="780"/>
      <c r="AQ671" s="780"/>
      <c r="AR671" s="780"/>
      <c r="AS671" s="780"/>
      <c r="AT671" s="780"/>
      <c r="AU671" s="780"/>
      <c r="AV671" s="780"/>
      <c r="AW671" s="780"/>
    </row>
    <row r="672">
      <c r="A672" s="941"/>
      <c r="B672" s="941"/>
      <c r="C672" s="995"/>
      <c r="D672" s="995"/>
      <c r="E672" s="995"/>
      <c r="F672" s="946"/>
      <c r="G672" s="946"/>
      <c r="H672" s="946"/>
      <c r="I672" s="947">
        <v>0.00138428</v>
      </c>
      <c r="J672" s="948">
        <v>0.035</v>
      </c>
      <c r="K672" s="949">
        <f t="shared" si="22"/>
        <v>0</v>
      </c>
      <c r="L672" s="950">
        <f t="shared" si="23"/>
        <v>0</v>
      </c>
      <c r="M672" s="948">
        <v>0.0215</v>
      </c>
      <c r="N672" s="951">
        <f t="shared" si="24"/>
        <v>0.00141404202</v>
      </c>
      <c r="O672" s="949">
        <f t="shared" si="25"/>
        <v>15</v>
      </c>
      <c r="P672" s="949">
        <f t="shared" si="77"/>
        <v>0.0215</v>
      </c>
      <c r="Q672" s="952">
        <f t="shared" si="79"/>
        <v>0</v>
      </c>
      <c r="R672" s="952">
        <f t="shared" si="78"/>
        <v>0</v>
      </c>
      <c r="S672" s="953"/>
      <c r="T672" s="949">
        <v>0.06</v>
      </c>
      <c r="U672" s="954"/>
      <c r="V672" s="949"/>
      <c r="W672" s="953"/>
      <c r="X672" s="949">
        <f t="shared" si="7"/>
        <v>0</v>
      </c>
      <c r="Y672" s="955"/>
      <c r="Z672" s="953" t="str">
        <f t="shared" si="8"/>
        <v/>
      </c>
      <c r="AA672" s="949">
        <f t="shared" si="9"/>
        <v>0</v>
      </c>
      <c r="AB672" s="955"/>
      <c r="AC672" s="949" t="str">
        <f t="shared" si="10"/>
        <v/>
      </c>
      <c r="AD672" s="953">
        <f t="shared" si="11"/>
        <v>0</v>
      </c>
      <c r="AE672" s="956"/>
      <c r="AF672" s="889"/>
      <c r="AG672" s="810" t="b">
        <v>0</v>
      </c>
      <c r="AH672" s="780"/>
      <c r="AI672" s="780"/>
      <c r="AJ672" s="780"/>
      <c r="AK672" s="780"/>
      <c r="AL672" s="780"/>
      <c r="AM672" s="780"/>
      <c r="AN672" s="780"/>
      <c r="AO672" s="780"/>
      <c r="AP672" s="780"/>
      <c r="AQ672" s="780"/>
      <c r="AR672" s="780"/>
      <c r="AS672" s="780"/>
      <c r="AT672" s="780"/>
      <c r="AU672" s="780"/>
      <c r="AV672" s="780"/>
      <c r="AW672" s="780"/>
    </row>
    <row r="673">
      <c r="A673" s="941"/>
      <c r="B673" s="941"/>
      <c r="C673" s="995"/>
      <c r="D673" s="995"/>
      <c r="E673" s="995"/>
      <c r="F673" s="946"/>
      <c r="G673" s="946"/>
      <c r="H673" s="946"/>
      <c r="I673" s="947">
        <v>0.00138428</v>
      </c>
      <c r="J673" s="948">
        <v>0.035</v>
      </c>
      <c r="K673" s="949">
        <f t="shared" si="22"/>
        <v>0</v>
      </c>
      <c r="L673" s="950">
        <f t="shared" si="23"/>
        <v>0</v>
      </c>
      <c r="M673" s="948">
        <v>0.0215</v>
      </c>
      <c r="N673" s="951">
        <f t="shared" si="24"/>
        <v>0.00141404202</v>
      </c>
      <c r="O673" s="949">
        <f t="shared" si="25"/>
        <v>15</v>
      </c>
      <c r="P673" s="949">
        <f t="shared" si="77"/>
        <v>0.0215</v>
      </c>
      <c r="Q673" s="952">
        <f t="shared" si="79"/>
        <v>0</v>
      </c>
      <c r="R673" s="952">
        <f t="shared" si="78"/>
        <v>0</v>
      </c>
      <c r="S673" s="953"/>
      <c r="T673" s="949">
        <v>0.06</v>
      </c>
      <c r="U673" s="954"/>
      <c r="V673" s="949"/>
      <c r="W673" s="953"/>
      <c r="X673" s="949">
        <f t="shared" si="7"/>
        <v>0</v>
      </c>
      <c r="Y673" s="955"/>
      <c r="Z673" s="953" t="str">
        <f t="shared" si="8"/>
        <v/>
      </c>
      <c r="AA673" s="949">
        <f t="shared" si="9"/>
        <v>0</v>
      </c>
      <c r="AB673" s="955"/>
      <c r="AC673" s="949" t="str">
        <f t="shared" si="10"/>
        <v/>
      </c>
      <c r="AD673" s="953">
        <f t="shared" si="11"/>
        <v>0</v>
      </c>
      <c r="AE673" s="956"/>
      <c r="AF673" s="889"/>
      <c r="AG673" s="810" t="b">
        <v>0</v>
      </c>
      <c r="AH673" s="780"/>
      <c r="AI673" s="780"/>
      <c r="AJ673" s="780"/>
      <c r="AK673" s="780"/>
      <c r="AL673" s="780"/>
      <c r="AM673" s="780"/>
      <c r="AN673" s="780"/>
      <c r="AO673" s="780"/>
      <c r="AP673" s="780"/>
      <c r="AQ673" s="780"/>
      <c r="AR673" s="780"/>
      <c r="AS673" s="780"/>
      <c r="AT673" s="780"/>
      <c r="AU673" s="780"/>
      <c r="AV673" s="780"/>
      <c r="AW673" s="780"/>
    </row>
    <row r="674">
      <c r="A674" s="941"/>
      <c r="B674" s="941"/>
      <c r="C674" s="995"/>
      <c r="D674" s="995"/>
      <c r="E674" s="995"/>
      <c r="F674" s="946"/>
      <c r="G674" s="946"/>
      <c r="H674" s="946"/>
      <c r="I674" s="947">
        <v>0.00138428</v>
      </c>
      <c r="J674" s="948">
        <v>0.035</v>
      </c>
      <c r="K674" s="949">
        <f t="shared" si="22"/>
        <v>0</v>
      </c>
      <c r="L674" s="950">
        <f t="shared" si="23"/>
        <v>0</v>
      </c>
      <c r="M674" s="948">
        <v>0.0215</v>
      </c>
      <c r="N674" s="951">
        <f t="shared" si="24"/>
        <v>0.00141404202</v>
      </c>
      <c r="O674" s="949">
        <f t="shared" si="25"/>
        <v>15</v>
      </c>
      <c r="P674" s="949">
        <f t="shared" si="77"/>
        <v>0.0215</v>
      </c>
      <c r="Q674" s="952">
        <f t="shared" si="79"/>
        <v>0</v>
      </c>
      <c r="R674" s="952">
        <f t="shared" si="78"/>
        <v>0</v>
      </c>
      <c r="S674" s="953"/>
      <c r="T674" s="949">
        <v>0.06</v>
      </c>
      <c r="U674" s="954"/>
      <c r="V674" s="949"/>
      <c r="W674" s="953"/>
      <c r="X674" s="949">
        <f t="shared" si="7"/>
        <v>0</v>
      </c>
      <c r="Y674" s="955"/>
      <c r="Z674" s="953" t="str">
        <f t="shared" si="8"/>
        <v/>
      </c>
      <c r="AA674" s="949">
        <f t="shared" si="9"/>
        <v>0</v>
      </c>
      <c r="AB674" s="955"/>
      <c r="AC674" s="949" t="str">
        <f t="shared" si="10"/>
        <v/>
      </c>
      <c r="AD674" s="953">
        <f t="shared" si="11"/>
        <v>0</v>
      </c>
      <c r="AE674" s="956"/>
      <c r="AF674" s="889"/>
      <c r="AG674" s="810" t="b">
        <v>0</v>
      </c>
      <c r="AH674" s="780"/>
      <c r="AI674" s="780"/>
      <c r="AJ674" s="780"/>
      <c r="AK674" s="780"/>
      <c r="AL674" s="780"/>
      <c r="AM674" s="780"/>
      <c r="AN674" s="780"/>
      <c r="AO674" s="780"/>
      <c r="AP674" s="780"/>
      <c r="AQ674" s="780"/>
      <c r="AR674" s="780"/>
      <c r="AS674" s="780"/>
      <c r="AT674" s="780"/>
      <c r="AU674" s="780"/>
      <c r="AV674" s="780"/>
      <c r="AW674" s="780"/>
    </row>
    <row r="675">
      <c r="A675" s="941"/>
      <c r="B675" s="941"/>
      <c r="C675" s="995"/>
      <c r="D675" s="995"/>
      <c r="E675" s="995"/>
      <c r="F675" s="946"/>
      <c r="G675" s="946"/>
      <c r="H675" s="946"/>
      <c r="I675" s="947">
        <v>0.00138428</v>
      </c>
      <c r="J675" s="948">
        <v>0.035</v>
      </c>
      <c r="K675" s="949">
        <f t="shared" si="22"/>
        <v>0</v>
      </c>
      <c r="L675" s="950">
        <f t="shared" si="23"/>
        <v>0</v>
      </c>
      <c r="M675" s="948">
        <v>0.0215</v>
      </c>
      <c r="N675" s="951">
        <f t="shared" si="24"/>
        <v>0.00141404202</v>
      </c>
      <c r="O675" s="949">
        <f t="shared" si="25"/>
        <v>15</v>
      </c>
      <c r="P675" s="949">
        <f t="shared" si="77"/>
        <v>0.0215</v>
      </c>
      <c r="Q675" s="952">
        <f t="shared" si="79"/>
        <v>0</v>
      </c>
      <c r="R675" s="952">
        <f t="shared" si="78"/>
        <v>0</v>
      </c>
      <c r="S675" s="953"/>
      <c r="T675" s="949">
        <v>0.06</v>
      </c>
      <c r="U675" s="954"/>
      <c r="V675" s="949"/>
      <c r="W675" s="953"/>
      <c r="X675" s="949">
        <f t="shared" si="7"/>
        <v>0</v>
      </c>
      <c r="Y675" s="955"/>
      <c r="Z675" s="953" t="str">
        <f t="shared" si="8"/>
        <v/>
      </c>
      <c r="AA675" s="949">
        <f t="shared" si="9"/>
        <v>0</v>
      </c>
      <c r="AB675" s="955"/>
      <c r="AC675" s="949" t="str">
        <f t="shared" si="10"/>
        <v/>
      </c>
      <c r="AD675" s="953">
        <f t="shared" si="11"/>
        <v>0</v>
      </c>
      <c r="AE675" s="956"/>
      <c r="AF675" s="889"/>
      <c r="AG675" s="810" t="b">
        <v>0</v>
      </c>
      <c r="AH675" s="780"/>
      <c r="AI675" s="780"/>
      <c r="AJ675" s="780"/>
      <c r="AK675" s="780"/>
      <c r="AL675" s="780"/>
      <c r="AM675" s="780"/>
      <c r="AN675" s="780"/>
      <c r="AO675" s="780"/>
      <c r="AP675" s="780"/>
      <c r="AQ675" s="780"/>
      <c r="AR675" s="780"/>
      <c r="AS675" s="780"/>
      <c r="AT675" s="780"/>
      <c r="AU675" s="780"/>
      <c r="AV675" s="780"/>
      <c r="AW675" s="780"/>
    </row>
    <row r="676">
      <c r="A676" s="941"/>
      <c r="B676" s="941"/>
      <c r="C676" s="995"/>
      <c r="D676" s="995"/>
      <c r="E676" s="995"/>
      <c r="F676" s="946"/>
      <c r="G676" s="946"/>
      <c r="H676" s="946"/>
      <c r="I676" s="947">
        <v>0.00138428</v>
      </c>
      <c r="J676" s="948">
        <v>0.035</v>
      </c>
      <c r="K676" s="949">
        <f t="shared" si="22"/>
        <v>0</v>
      </c>
      <c r="L676" s="950">
        <f t="shared" si="23"/>
        <v>0</v>
      </c>
      <c r="M676" s="948">
        <v>0.0215</v>
      </c>
      <c r="N676" s="951">
        <f t="shared" si="24"/>
        <v>0.00141404202</v>
      </c>
      <c r="O676" s="949">
        <f t="shared" si="25"/>
        <v>15</v>
      </c>
      <c r="P676" s="949">
        <f t="shared" si="77"/>
        <v>0.0215</v>
      </c>
      <c r="Q676" s="952">
        <f t="shared" si="79"/>
        <v>0</v>
      </c>
      <c r="R676" s="952">
        <f t="shared" si="78"/>
        <v>0</v>
      </c>
      <c r="S676" s="953"/>
      <c r="T676" s="949">
        <v>0.06</v>
      </c>
      <c r="U676" s="954"/>
      <c r="V676" s="949"/>
      <c r="W676" s="953"/>
      <c r="X676" s="949">
        <f t="shared" si="7"/>
        <v>0</v>
      </c>
      <c r="Y676" s="955"/>
      <c r="Z676" s="953" t="str">
        <f t="shared" si="8"/>
        <v/>
      </c>
      <c r="AA676" s="949">
        <f t="shared" si="9"/>
        <v>0</v>
      </c>
      <c r="AB676" s="955"/>
      <c r="AC676" s="949" t="str">
        <f t="shared" si="10"/>
        <v/>
      </c>
      <c r="AD676" s="953">
        <f t="shared" si="11"/>
        <v>0</v>
      </c>
      <c r="AE676" s="956"/>
      <c r="AF676" s="889"/>
      <c r="AG676" s="810" t="b">
        <v>0</v>
      </c>
      <c r="AH676" s="780"/>
      <c r="AI676" s="780"/>
      <c r="AJ676" s="780"/>
      <c r="AK676" s="780"/>
      <c r="AL676" s="780"/>
      <c r="AM676" s="780"/>
      <c r="AN676" s="780"/>
      <c r="AO676" s="780"/>
      <c r="AP676" s="780"/>
      <c r="AQ676" s="780"/>
      <c r="AR676" s="780"/>
      <c r="AS676" s="780"/>
      <c r="AT676" s="780"/>
      <c r="AU676" s="780"/>
      <c r="AV676" s="780"/>
      <c r="AW676" s="780"/>
    </row>
    <row r="677">
      <c r="A677" s="941"/>
      <c r="B677" s="941"/>
      <c r="C677" s="995"/>
      <c r="D677" s="995"/>
      <c r="E677" s="995"/>
      <c r="F677" s="946"/>
      <c r="G677" s="946"/>
      <c r="H677" s="946"/>
      <c r="I677" s="947">
        <v>0.00138428</v>
      </c>
      <c r="J677" s="948">
        <v>0.035</v>
      </c>
      <c r="K677" s="949">
        <f t="shared" si="22"/>
        <v>0</v>
      </c>
      <c r="L677" s="950">
        <f t="shared" si="23"/>
        <v>0</v>
      </c>
      <c r="M677" s="948">
        <v>0.0215</v>
      </c>
      <c r="N677" s="951">
        <f t="shared" si="24"/>
        <v>0.00141404202</v>
      </c>
      <c r="O677" s="949">
        <f t="shared" si="25"/>
        <v>15</v>
      </c>
      <c r="P677" s="949">
        <f t="shared" si="77"/>
        <v>0.0215</v>
      </c>
      <c r="Q677" s="952">
        <f t="shared" si="79"/>
        <v>0</v>
      </c>
      <c r="R677" s="952">
        <f t="shared" si="78"/>
        <v>0</v>
      </c>
      <c r="S677" s="953"/>
      <c r="T677" s="949">
        <v>0.06</v>
      </c>
      <c r="U677" s="954"/>
      <c r="V677" s="949"/>
      <c r="W677" s="953"/>
      <c r="X677" s="949">
        <f t="shared" si="7"/>
        <v>0</v>
      </c>
      <c r="Y677" s="955"/>
      <c r="Z677" s="953" t="str">
        <f t="shared" si="8"/>
        <v/>
      </c>
      <c r="AA677" s="949">
        <f t="shared" si="9"/>
        <v>0</v>
      </c>
      <c r="AB677" s="955"/>
      <c r="AC677" s="949" t="str">
        <f t="shared" si="10"/>
        <v/>
      </c>
      <c r="AD677" s="953">
        <f t="shared" si="11"/>
        <v>0</v>
      </c>
      <c r="AE677" s="956"/>
      <c r="AF677" s="889"/>
      <c r="AG677" s="810" t="b">
        <v>0</v>
      </c>
      <c r="AH677" s="780"/>
      <c r="AI677" s="780"/>
      <c r="AJ677" s="780"/>
      <c r="AK677" s="780"/>
      <c r="AL677" s="780"/>
      <c r="AM677" s="780"/>
      <c r="AN677" s="780"/>
      <c r="AO677" s="780"/>
      <c r="AP677" s="780"/>
      <c r="AQ677" s="780"/>
      <c r="AR677" s="780"/>
      <c r="AS677" s="780"/>
      <c r="AT677" s="780"/>
      <c r="AU677" s="780"/>
      <c r="AV677" s="780"/>
      <c r="AW677" s="780"/>
    </row>
    <row r="678">
      <c r="A678" s="941"/>
      <c r="B678" s="941"/>
      <c r="C678" s="995"/>
      <c r="D678" s="1001"/>
      <c r="E678" s="944"/>
      <c r="F678" s="946"/>
      <c r="G678" s="946"/>
      <c r="H678" s="946"/>
      <c r="I678" s="947">
        <v>0.00138428</v>
      </c>
      <c r="J678" s="948">
        <v>0.035</v>
      </c>
      <c r="K678" s="949">
        <f t="shared" si="22"/>
        <v>0</v>
      </c>
      <c r="L678" s="950">
        <f t="shared" si="23"/>
        <v>0</v>
      </c>
      <c r="M678" s="948">
        <v>0.0215</v>
      </c>
      <c r="N678" s="951">
        <f t="shared" si="24"/>
        <v>0.00141404202</v>
      </c>
      <c r="O678" s="949">
        <f t="shared" si="25"/>
        <v>15</v>
      </c>
      <c r="P678" s="949">
        <f t="shared" si="77"/>
        <v>0.0215</v>
      </c>
      <c r="Q678" s="952">
        <f t="shared" si="79"/>
        <v>0</v>
      </c>
      <c r="R678" s="952">
        <f t="shared" si="78"/>
        <v>0</v>
      </c>
      <c r="S678" s="953"/>
      <c r="T678" s="949">
        <v>0.06</v>
      </c>
      <c r="U678" s="954"/>
      <c r="V678" s="949"/>
      <c r="W678" s="953"/>
      <c r="X678" s="949">
        <f t="shared" si="7"/>
        <v>0</v>
      </c>
      <c r="Y678" s="955"/>
      <c r="Z678" s="953" t="str">
        <f t="shared" si="8"/>
        <v/>
      </c>
      <c r="AA678" s="949">
        <f t="shared" si="9"/>
        <v>0</v>
      </c>
      <c r="AB678" s="955"/>
      <c r="AC678" s="949" t="str">
        <f t="shared" si="10"/>
        <v/>
      </c>
      <c r="AD678" s="953">
        <f t="shared" si="11"/>
        <v>0</v>
      </c>
      <c r="AE678" s="956"/>
      <c r="AF678" s="889"/>
      <c r="AG678" s="810" t="b">
        <v>0</v>
      </c>
      <c r="AH678" s="780"/>
      <c r="AI678" s="780"/>
      <c r="AJ678" s="780"/>
      <c r="AK678" s="780"/>
      <c r="AL678" s="780"/>
      <c r="AM678" s="780"/>
      <c r="AN678" s="780"/>
      <c r="AO678" s="780"/>
      <c r="AP678" s="780"/>
      <c r="AQ678" s="780"/>
      <c r="AR678" s="780"/>
      <c r="AS678" s="780"/>
      <c r="AT678" s="780"/>
      <c r="AU678" s="780"/>
      <c r="AV678" s="780"/>
      <c r="AW678" s="780"/>
    </row>
    <row r="679">
      <c r="A679" s="941"/>
      <c r="B679" s="941"/>
      <c r="C679" s="995"/>
      <c r="D679" s="995"/>
      <c r="E679" s="995"/>
      <c r="F679" s="946"/>
      <c r="G679" s="946"/>
      <c r="H679" s="946"/>
      <c r="I679" s="947">
        <v>0.00138428</v>
      </c>
      <c r="J679" s="948">
        <v>0.035</v>
      </c>
      <c r="K679" s="949">
        <f t="shared" si="22"/>
        <v>0</v>
      </c>
      <c r="L679" s="950">
        <f t="shared" si="23"/>
        <v>0</v>
      </c>
      <c r="M679" s="948">
        <v>0.0215</v>
      </c>
      <c r="N679" s="951">
        <f t="shared" si="24"/>
        <v>0.00141404202</v>
      </c>
      <c r="O679" s="949">
        <f t="shared" si="25"/>
        <v>15</v>
      </c>
      <c r="P679" s="949">
        <f t="shared" si="77"/>
        <v>0.0215</v>
      </c>
      <c r="Q679" s="952">
        <f t="shared" si="79"/>
        <v>0</v>
      </c>
      <c r="R679" s="952">
        <f t="shared" si="78"/>
        <v>0</v>
      </c>
      <c r="S679" s="953"/>
      <c r="T679" s="949">
        <v>0.06</v>
      </c>
      <c r="U679" s="954"/>
      <c r="V679" s="949"/>
      <c r="W679" s="953"/>
      <c r="X679" s="949">
        <f t="shared" si="7"/>
        <v>0</v>
      </c>
      <c r="Y679" s="955"/>
      <c r="Z679" s="953" t="str">
        <f t="shared" si="8"/>
        <v/>
      </c>
      <c r="AA679" s="949">
        <f t="shared" si="9"/>
        <v>0</v>
      </c>
      <c r="AB679" s="955"/>
      <c r="AC679" s="949" t="str">
        <f t="shared" si="10"/>
        <v/>
      </c>
      <c r="AD679" s="953">
        <f t="shared" si="11"/>
        <v>0</v>
      </c>
      <c r="AE679" s="956"/>
      <c r="AF679" s="889"/>
      <c r="AG679" s="810" t="b">
        <v>0</v>
      </c>
      <c r="AH679" s="780"/>
      <c r="AI679" s="780"/>
      <c r="AJ679" s="780"/>
      <c r="AK679" s="780"/>
      <c r="AL679" s="780"/>
      <c r="AM679" s="780"/>
      <c r="AN679" s="780"/>
      <c r="AO679" s="780"/>
      <c r="AP679" s="780"/>
      <c r="AQ679" s="780"/>
      <c r="AR679" s="780"/>
      <c r="AS679" s="780"/>
      <c r="AT679" s="780"/>
      <c r="AU679" s="780"/>
      <c r="AV679" s="780"/>
      <c r="AW679" s="780"/>
    </row>
    <row r="680">
      <c r="A680" s="941"/>
      <c r="B680" s="941"/>
      <c r="C680" s="995"/>
      <c r="D680" s="995"/>
      <c r="E680" s="995"/>
      <c r="F680" s="946"/>
      <c r="G680" s="946"/>
      <c r="H680" s="946"/>
      <c r="I680" s="947">
        <v>0.00138428</v>
      </c>
      <c r="J680" s="948">
        <v>0.035</v>
      </c>
      <c r="K680" s="949">
        <f t="shared" si="22"/>
        <v>0</v>
      </c>
      <c r="L680" s="950">
        <f t="shared" si="23"/>
        <v>0</v>
      </c>
      <c r="M680" s="948">
        <v>0.0215</v>
      </c>
      <c r="N680" s="951">
        <f t="shared" si="24"/>
        <v>0.00141404202</v>
      </c>
      <c r="O680" s="949">
        <f t="shared" si="25"/>
        <v>15</v>
      </c>
      <c r="P680" s="949">
        <f t="shared" si="77"/>
        <v>0.0215</v>
      </c>
      <c r="Q680" s="952">
        <f t="shared" si="79"/>
        <v>0</v>
      </c>
      <c r="R680" s="952">
        <f t="shared" si="78"/>
        <v>0</v>
      </c>
      <c r="S680" s="953"/>
      <c r="T680" s="949">
        <v>0.06</v>
      </c>
      <c r="U680" s="954"/>
      <c r="V680" s="949"/>
      <c r="W680" s="953"/>
      <c r="X680" s="949">
        <f t="shared" si="7"/>
        <v>0</v>
      </c>
      <c r="Y680" s="955"/>
      <c r="Z680" s="953" t="str">
        <f t="shared" si="8"/>
        <v/>
      </c>
      <c r="AA680" s="949">
        <f t="shared" si="9"/>
        <v>0</v>
      </c>
      <c r="AB680" s="955"/>
      <c r="AC680" s="949" t="str">
        <f t="shared" si="10"/>
        <v/>
      </c>
      <c r="AD680" s="953">
        <f t="shared" si="11"/>
        <v>0</v>
      </c>
      <c r="AE680" s="956"/>
      <c r="AF680" s="889"/>
      <c r="AG680" s="810" t="b">
        <v>0</v>
      </c>
      <c r="AH680" s="780"/>
      <c r="AI680" s="780"/>
      <c r="AJ680" s="780"/>
      <c r="AK680" s="780"/>
      <c r="AL680" s="780"/>
      <c r="AM680" s="780"/>
      <c r="AN680" s="780"/>
      <c r="AO680" s="780"/>
      <c r="AP680" s="780"/>
      <c r="AQ680" s="780"/>
      <c r="AR680" s="780"/>
      <c r="AS680" s="780"/>
      <c r="AT680" s="780"/>
      <c r="AU680" s="780"/>
      <c r="AV680" s="780"/>
      <c r="AW680" s="780"/>
    </row>
    <row r="681">
      <c r="A681" s="941"/>
      <c r="B681" s="941"/>
      <c r="C681" s="995"/>
      <c r="D681" s="995"/>
      <c r="E681" s="995"/>
      <c r="F681" s="946"/>
      <c r="G681" s="946"/>
      <c r="H681" s="946"/>
      <c r="I681" s="947">
        <v>0.00138428</v>
      </c>
      <c r="J681" s="948">
        <v>0.035</v>
      </c>
      <c r="K681" s="949">
        <f t="shared" si="22"/>
        <v>0</v>
      </c>
      <c r="L681" s="950">
        <f t="shared" si="23"/>
        <v>0</v>
      </c>
      <c r="M681" s="948">
        <v>0.0215</v>
      </c>
      <c r="N681" s="951">
        <f t="shared" si="24"/>
        <v>0.00141404202</v>
      </c>
      <c r="O681" s="949">
        <f t="shared" si="25"/>
        <v>15</v>
      </c>
      <c r="P681" s="949">
        <f t="shared" si="77"/>
        <v>0.0215</v>
      </c>
      <c r="Q681" s="952">
        <f t="shared" si="79"/>
        <v>0</v>
      </c>
      <c r="R681" s="952">
        <f t="shared" si="78"/>
        <v>0</v>
      </c>
      <c r="S681" s="953"/>
      <c r="T681" s="949">
        <v>0.06</v>
      </c>
      <c r="U681" s="954"/>
      <c r="V681" s="949"/>
      <c r="W681" s="953"/>
      <c r="X681" s="949">
        <f t="shared" si="7"/>
        <v>0</v>
      </c>
      <c r="Y681" s="955"/>
      <c r="Z681" s="953" t="str">
        <f t="shared" si="8"/>
        <v/>
      </c>
      <c r="AA681" s="949">
        <f t="shared" si="9"/>
        <v>0</v>
      </c>
      <c r="AB681" s="955"/>
      <c r="AC681" s="949" t="str">
        <f t="shared" si="10"/>
        <v/>
      </c>
      <c r="AD681" s="953">
        <f t="shared" si="11"/>
        <v>0</v>
      </c>
      <c r="AE681" s="956"/>
      <c r="AF681" s="889"/>
      <c r="AG681" s="810" t="b">
        <v>0</v>
      </c>
      <c r="AH681" s="780"/>
      <c r="AI681" s="780"/>
      <c r="AJ681" s="780"/>
      <c r="AK681" s="780"/>
      <c r="AL681" s="780"/>
      <c r="AM681" s="780"/>
      <c r="AN681" s="780"/>
      <c r="AO681" s="780"/>
      <c r="AP681" s="780"/>
      <c r="AQ681" s="780"/>
      <c r="AR681" s="780"/>
      <c r="AS681" s="780"/>
      <c r="AT681" s="780"/>
      <c r="AU681" s="780"/>
      <c r="AV681" s="780"/>
      <c r="AW681" s="780"/>
    </row>
    <row r="682">
      <c r="A682" s="941"/>
      <c r="B682" s="941"/>
      <c r="C682" s="995"/>
      <c r="D682" s="995"/>
      <c r="E682" s="995"/>
      <c r="F682" s="946"/>
      <c r="G682" s="946"/>
      <c r="H682" s="946"/>
      <c r="I682" s="947">
        <v>0.00138428</v>
      </c>
      <c r="J682" s="948">
        <v>0.035</v>
      </c>
      <c r="K682" s="949">
        <f t="shared" si="22"/>
        <v>0</v>
      </c>
      <c r="L682" s="950">
        <f t="shared" si="23"/>
        <v>0</v>
      </c>
      <c r="M682" s="948">
        <v>0.0215</v>
      </c>
      <c r="N682" s="951">
        <f t="shared" si="24"/>
        <v>0.00141404202</v>
      </c>
      <c r="O682" s="949">
        <f t="shared" si="25"/>
        <v>15</v>
      </c>
      <c r="P682" s="949">
        <f t="shared" si="77"/>
        <v>0.0215</v>
      </c>
      <c r="Q682" s="952">
        <f t="shared" si="79"/>
        <v>0</v>
      </c>
      <c r="R682" s="952">
        <f t="shared" si="78"/>
        <v>0</v>
      </c>
      <c r="S682" s="953"/>
      <c r="T682" s="949">
        <v>0.06</v>
      </c>
      <c r="U682" s="954"/>
      <c r="V682" s="949"/>
      <c r="W682" s="953"/>
      <c r="X682" s="949">
        <f t="shared" si="7"/>
        <v>0</v>
      </c>
      <c r="Y682" s="955"/>
      <c r="Z682" s="953" t="str">
        <f t="shared" si="8"/>
        <v/>
      </c>
      <c r="AA682" s="949">
        <f t="shared" si="9"/>
        <v>0</v>
      </c>
      <c r="AB682" s="955"/>
      <c r="AC682" s="949" t="str">
        <f t="shared" si="10"/>
        <v/>
      </c>
      <c r="AD682" s="953">
        <f t="shared" si="11"/>
        <v>0</v>
      </c>
      <c r="AE682" s="956"/>
      <c r="AF682" s="889"/>
      <c r="AG682" s="810" t="b">
        <v>0</v>
      </c>
      <c r="AH682" s="780"/>
      <c r="AI682" s="780"/>
      <c r="AJ682" s="780"/>
      <c r="AK682" s="780"/>
      <c r="AL682" s="780"/>
      <c r="AM682" s="780"/>
      <c r="AN682" s="780"/>
      <c r="AO682" s="780"/>
      <c r="AP682" s="780"/>
      <c r="AQ682" s="780"/>
      <c r="AR682" s="780"/>
      <c r="AS682" s="780"/>
      <c r="AT682" s="780"/>
      <c r="AU682" s="780"/>
      <c r="AV682" s="780"/>
      <c r="AW682" s="780"/>
    </row>
    <row r="683">
      <c r="A683" s="941"/>
      <c r="B683" s="941"/>
      <c r="C683" s="995"/>
      <c r="D683" s="995"/>
      <c r="E683" s="995"/>
      <c r="F683" s="946"/>
      <c r="G683" s="946"/>
      <c r="H683" s="946"/>
      <c r="I683" s="947">
        <v>0.00138428</v>
      </c>
      <c r="J683" s="948">
        <v>0.035</v>
      </c>
      <c r="K683" s="949">
        <f t="shared" si="22"/>
        <v>0</v>
      </c>
      <c r="L683" s="950">
        <f t="shared" si="23"/>
        <v>0</v>
      </c>
      <c r="M683" s="948">
        <v>0.0215</v>
      </c>
      <c r="N683" s="951">
        <f t="shared" si="24"/>
        <v>0.00141404202</v>
      </c>
      <c r="O683" s="949">
        <f t="shared" si="25"/>
        <v>15</v>
      </c>
      <c r="P683" s="949">
        <f t="shared" si="77"/>
        <v>0.0215</v>
      </c>
      <c r="Q683" s="952">
        <f t="shared" si="79"/>
        <v>0</v>
      </c>
      <c r="R683" s="952">
        <f t="shared" si="78"/>
        <v>0</v>
      </c>
      <c r="S683" s="953"/>
      <c r="T683" s="949">
        <v>0.06</v>
      </c>
      <c r="U683" s="954"/>
      <c r="V683" s="949"/>
      <c r="W683" s="953"/>
      <c r="X683" s="949">
        <f t="shared" si="7"/>
        <v>0</v>
      </c>
      <c r="Y683" s="955"/>
      <c r="Z683" s="953" t="str">
        <f t="shared" si="8"/>
        <v/>
      </c>
      <c r="AA683" s="949">
        <f t="shared" si="9"/>
        <v>0</v>
      </c>
      <c r="AB683" s="955"/>
      <c r="AC683" s="949" t="str">
        <f t="shared" si="10"/>
        <v/>
      </c>
      <c r="AD683" s="953">
        <f t="shared" si="11"/>
        <v>0</v>
      </c>
      <c r="AE683" s="956"/>
      <c r="AF683" s="889"/>
      <c r="AG683" s="810" t="b">
        <v>0</v>
      </c>
      <c r="AH683" s="780"/>
      <c r="AI683" s="780"/>
      <c r="AJ683" s="780"/>
      <c r="AK683" s="780"/>
      <c r="AL683" s="780"/>
      <c r="AM683" s="780"/>
      <c r="AN683" s="780"/>
      <c r="AO683" s="780"/>
      <c r="AP683" s="780"/>
      <c r="AQ683" s="780"/>
      <c r="AR683" s="780"/>
      <c r="AS683" s="780"/>
      <c r="AT683" s="780"/>
      <c r="AU683" s="780"/>
      <c r="AV683" s="780"/>
      <c r="AW683" s="780"/>
    </row>
    <row r="684">
      <c r="A684" s="941"/>
      <c r="B684" s="941"/>
      <c r="C684" s="995"/>
      <c r="D684" s="995"/>
      <c r="E684" s="995"/>
      <c r="F684" s="946"/>
      <c r="G684" s="946"/>
      <c r="H684" s="946"/>
      <c r="I684" s="947">
        <v>0.00138428</v>
      </c>
      <c r="J684" s="948">
        <v>0.035</v>
      </c>
      <c r="K684" s="949">
        <f t="shared" si="22"/>
        <v>0</v>
      </c>
      <c r="L684" s="950">
        <f t="shared" si="23"/>
        <v>0</v>
      </c>
      <c r="M684" s="948">
        <v>0.0215</v>
      </c>
      <c r="N684" s="951">
        <f t="shared" si="24"/>
        <v>0.00141404202</v>
      </c>
      <c r="O684" s="949">
        <f t="shared" si="25"/>
        <v>15</v>
      </c>
      <c r="P684" s="949">
        <f t="shared" si="77"/>
        <v>0.0215</v>
      </c>
      <c r="Q684" s="952">
        <f t="shared" si="79"/>
        <v>0</v>
      </c>
      <c r="R684" s="952">
        <f t="shared" si="78"/>
        <v>0</v>
      </c>
      <c r="S684" s="953"/>
      <c r="T684" s="949">
        <v>0.06</v>
      </c>
      <c r="U684" s="954"/>
      <c r="V684" s="949"/>
      <c r="W684" s="953"/>
      <c r="X684" s="949">
        <f t="shared" si="7"/>
        <v>0</v>
      </c>
      <c r="Y684" s="955"/>
      <c r="Z684" s="953" t="str">
        <f t="shared" si="8"/>
        <v/>
      </c>
      <c r="AA684" s="949">
        <f t="shared" si="9"/>
        <v>0</v>
      </c>
      <c r="AB684" s="955"/>
      <c r="AC684" s="949" t="str">
        <f t="shared" si="10"/>
        <v/>
      </c>
      <c r="AD684" s="953">
        <f t="shared" si="11"/>
        <v>0</v>
      </c>
      <c r="AE684" s="956"/>
      <c r="AF684" s="889"/>
      <c r="AG684" s="810" t="b">
        <v>0</v>
      </c>
      <c r="AH684" s="780"/>
      <c r="AI684" s="780"/>
      <c r="AJ684" s="780"/>
      <c r="AK684" s="780"/>
      <c r="AL684" s="780"/>
      <c r="AM684" s="780"/>
      <c r="AN684" s="780"/>
      <c r="AO684" s="780"/>
      <c r="AP684" s="780"/>
      <c r="AQ684" s="780"/>
      <c r="AR684" s="780"/>
      <c r="AS684" s="780"/>
      <c r="AT684" s="780"/>
      <c r="AU684" s="780"/>
      <c r="AV684" s="780"/>
      <c r="AW684" s="780"/>
    </row>
    <row r="685">
      <c r="A685" s="941"/>
      <c r="B685" s="941"/>
      <c r="C685" s="995"/>
      <c r="D685" s="944"/>
      <c r="E685" s="944"/>
      <c r="F685" s="946"/>
      <c r="G685" s="946"/>
      <c r="H685" s="946"/>
      <c r="I685" s="947">
        <v>0.00138428</v>
      </c>
      <c r="J685" s="948">
        <v>0.035</v>
      </c>
      <c r="K685" s="949">
        <f t="shared" si="22"/>
        <v>0</v>
      </c>
      <c r="L685" s="950">
        <f t="shared" si="23"/>
        <v>0</v>
      </c>
      <c r="M685" s="948">
        <v>0.0215</v>
      </c>
      <c r="N685" s="951">
        <f t="shared" si="24"/>
        <v>0.00141404202</v>
      </c>
      <c r="O685" s="949">
        <f t="shared" si="25"/>
        <v>15</v>
      </c>
      <c r="P685" s="949">
        <f t="shared" si="77"/>
        <v>0.0215</v>
      </c>
      <c r="Q685" s="952">
        <f t="shared" si="79"/>
        <v>0</v>
      </c>
      <c r="R685" s="952">
        <f t="shared" si="78"/>
        <v>0</v>
      </c>
      <c r="S685" s="953"/>
      <c r="T685" s="949">
        <v>0.06</v>
      </c>
      <c r="U685" s="954"/>
      <c r="V685" s="949"/>
      <c r="W685" s="953"/>
      <c r="X685" s="949">
        <f t="shared" si="7"/>
        <v>0</v>
      </c>
      <c r="Y685" s="955"/>
      <c r="Z685" s="953" t="str">
        <f t="shared" si="8"/>
        <v/>
      </c>
      <c r="AA685" s="949">
        <f t="shared" si="9"/>
        <v>0</v>
      </c>
      <c r="AB685" s="955"/>
      <c r="AC685" s="949" t="str">
        <f t="shared" si="10"/>
        <v/>
      </c>
      <c r="AD685" s="953">
        <f t="shared" si="11"/>
        <v>0</v>
      </c>
      <c r="AE685" s="956"/>
      <c r="AF685" s="889"/>
      <c r="AG685" s="810" t="b">
        <v>0</v>
      </c>
      <c r="AH685" s="780"/>
      <c r="AI685" s="780"/>
      <c r="AJ685" s="780"/>
      <c r="AK685" s="780"/>
      <c r="AL685" s="780"/>
      <c r="AM685" s="780"/>
      <c r="AN685" s="780"/>
      <c r="AO685" s="780"/>
      <c r="AP685" s="780"/>
      <c r="AQ685" s="780"/>
      <c r="AR685" s="780"/>
      <c r="AS685" s="780"/>
      <c r="AT685" s="780"/>
      <c r="AU685" s="780"/>
      <c r="AV685" s="780"/>
      <c r="AW685" s="780"/>
    </row>
    <row r="686">
      <c r="A686" s="941"/>
      <c r="B686" s="941"/>
      <c r="C686" s="995"/>
      <c r="D686" s="995"/>
      <c r="E686" s="995"/>
      <c r="F686" s="946"/>
      <c r="G686" s="946"/>
      <c r="H686" s="946"/>
      <c r="I686" s="947">
        <v>0.00138428</v>
      </c>
      <c r="J686" s="948">
        <v>0.035</v>
      </c>
      <c r="K686" s="949">
        <f t="shared" si="22"/>
        <v>0</v>
      </c>
      <c r="L686" s="950">
        <f t="shared" si="23"/>
        <v>0</v>
      </c>
      <c r="M686" s="948">
        <v>0.0215</v>
      </c>
      <c r="N686" s="951">
        <f t="shared" si="24"/>
        <v>0.00141404202</v>
      </c>
      <c r="O686" s="949">
        <f t="shared" si="25"/>
        <v>15</v>
      </c>
      <c r="P686" s="949">
        <f t="shared" si="77"/>
        <v>0.0215</v>
      </c>
      <c r="Q686" s="952">
        <f t="shared" si="79"/>
        <v>0</v>
      </c>
      <c r="R686" s="952">
        <f t="shared" si="78"/>
        <v>0</v>
      </c>
      <c r="S686" s="953"/>
      <c r="T686" s="949">
        <v>0.06</v>
      </c>
      <c r="U686" s="954"/>
      <c r="V686" s="949"/>
      <c r="W686" s="953"/>
      <c r="X686" s="949">
        <f t="shared" si="7"/>
        <v>0</v>
      </c>
      <c r="Y686" s="955"/>
      <c r="Z686" s="953" t="str">
        <f t="shared" si="8"/>
        <v/>
      </c>
      <c r="AA686" s="949">
        <f t="shared" si="9"/>
        <v>0</v>
      </c>
      <c r="AB686" s="955"/>
      <c r="AC686" s="949" t="str">
        <f t="shared" si="10"/>
        <v/>
      </c>
      <c r="AD686" s="953">
        <f t="shared" si="11"/>
        <v>0</v>
      </c>
      <c r="AE686" s="956"/>
      <c r="AF686" s="889"/>
      <c r="AG686" s="810" t="b">
        <v>0</v>
      </c>
      <c r="AH686" s="780"/>
      <c r="AI686" s="780"/>
      <c r="AJ686" s="780"/>
      <c r="AK686" s="780"/>
      <c r="AL686" s="780"/>
      <c r="AM686" s="780"/>
      <c r="AN686" s="780"/>
      <c r="AO686" s="780"/>
      <c r="AP686" s="780"/>
      <c r="AQ686" s="780"/>
      <c r="AR686" s="780"/>
      <c r="AS686" s="780"/>
      <c r="AT686" s="780"/>
      <c r="AU686" s="780"/>
      <c r="AV686" s="780"/>
      <c r="AW686" s="780"/>
    </row>
    <row r="687">
      <c r="A687" s="941"/>
      <c r="B687" s="941"/>
      <c r="C687" s="995"/>
      <c r="D687" s="944"/>
      <c r="E687" s="944"/>
      <c r="F687" s="946"/>
      <c r="G687" s="946"/>
      <c r="H687" s="946"/>
      <c r="I687" s="947">
        <v>0.00138428</v>
      </c>
      <c r="J687" s="948">
        <v>0.035</v>
      </c>
      <c r="K687" s="949">
        <f t="shared" si="22"/>
        <v>0</v>
      </c>
      <c r="L687" s="950">
        <f t="shared" si="23"/>
        <v>0</v>
      </c>
      <c r="M687" s="948">
        <v>0.0215</v>
      </c>
      <c r="N687" s="951">
        <f t="shared" si="24"/>
        <v>0.00141404202</v>
      </c>
      <c r="O687" s="949">
        <f t="shared" si="25"/>
        <v>15</v>
      </c>
      <c r="P687" s="949">
        <f t="shared" si="77"/>
        <v>0.0215</v>
      </c>
      <c r="Q687" s="952">
        <f t="shared" si="79"/>
        <v>0</v>
      </c>
      <c r="R687" s="952">
        <f t="shared" si="78"/>
        <v>0</v>
      </c>
      <c r="S687" s="953"/>
      <c r="T687" s="949">
        <v>0.06</v>
      </c>
      <c r="U687" s="954"/>
      <c r="V687" s="949"/>
      <c r="W687" s="953"/>
      <c r="X687" s="949">
        <f t="shared" si="7"/>
        <v>0</v>
      </c>
      <c r="Y687" s="955"/>
      <c r="Z687" s="953" t="str">
        <f t="shared" si="8"/>
        <v/>
      </c>
      <c r="AA687" s="949">
        <f t="shared" si="9"/>
        <v>0</v>
      </c>
      <c r="AB687" s="955"/>
      <c r="AC687" s="949" t="str">
        <f t="shared" si="10"/>
        <v/>
      </c>
      <c r="AD687" s="953">
        <f t="shared" si="11"/>
        <v>0</v>
      </c>
      <c r="AE687" s="956"/>
      <c r="AF687" s="889"/>
      <c r="AG687" s="810" t="b">
        <v>0</v>
      </c>
      <c r="AH687" s="780"/>
      <c r="AI687" s="780"/>
      <c r="AJ687" s="780"/>
      <c r="AK687" s="780"/>
      <c r="AL687" s="780"/>
      <c r="AM687" s="780"/>
      <c r="AN687" s="780"/>
      <c r="AO687" s="780"/>
      <c r="AP687" s="780"/>
      <c r="AQ687" s="780"/>
      <c r="AR687" s="780"/>
      <c r="AS687" s="780"/>
      <c r="AT687" s="780"/>
      <c r="AU687" s="780"/>
      <c r="AV687" s="780"/>
      <c r="AW687" s="780"/>
    </row>
    <row r="688">
      <c r="A688" s="941"/>
      <c r="B688" s="941"/>
      <c r="C688" s="995"/>
      <c r="D688" s="995"/>
      <c r="E688" s="995"/>
      <c r="F688" s="946"/>
      <c r="G688" s="946"/>
      <c r="H688" s="946"/>
      <c r="I688" s="947">
        <v>0.00138428</v>
      </c>
      <c r="J688" s="948">
        <v>0.035</v>
      </c>
      <c r="K688" s="949">
        <f t="shared" si="22"/>
        <v>0</v>
      </c>
      <c r="L688" s="950">
        <f t="shared" si="23"/>
        <v>0</v>
      </c>
      <c r="M688" s="948">
        <v>0.0215</v>
      </c>
      <c r="N688" s="951">
        <f t="shared" si="24"/>
        <v>0.00141404202</v>
      </c>
      <c r="O688" s="949">
        <f t="shared" si="25"/>
        <v>15</v>
      </c>
      <c r="P688" s="949">
        <f t="shared" si="77"/>
        <v>0.0215</v>
      </c>
      <c r="Q688" s="952">
        <f t="shared" si="79"/>
        <v>0</v>
      </c>
      <c r="R688" s="952">
        <f t="shared" si="78"/>
        <v>0</v>
      </c>
      <c r="S688" s="953"/>
      <c r="T688" s="949">
        <v>0.06</v>
      </c>
      <c r="U688" s="954"/>
      <c r="V688" s="949"/>
      <c r="W688" s="953"/>
      <c r="X688" s="949">
        <f t="shared" si="7"/>
        <v>0</v>
      </c>
      <c r="Y688" s="955"/>
      <c r="Z688" s="953" t="str">
        <f t="shared" si="8"/>
        <v/>
      </c>
      <c r="AA688" s="949">
        <f t="shared" si="9"/>
        <v>0</v>
      </c>
      <c r="AB688" s="955"/>
      <c r="AC688" s="949" t="str">
        <f t="shared" si="10"/>
        <v/>
      </c>
      <c r="AD688" s="953">
        <f t="shared" si="11"/>
        <v>0</v>
      </c>
      <c r="AE688" s="956"/>
      <c r="AF688" s="889"/>
      <c r="AG688" s="810" t="b">
        <v>0</v>
      </c>
      <c r="AH688" s="780"/>
      <c r="AI688" s="780"/>
      <c r="AJ688" s="780"/>
      <c r="AK688" s="780"/>
      <c r="AL688" s="780"/>
      <c r="AM688" s="780"/>
      <c r="AN688" s="780"/>
      <c r="AO688" s="780"/>
      <c r="AP688" s="780"/>
      <c r="AQ688" s="780"/>
      <c r="AR688" s="780"/>
      <c r="AS688" s="780"/>
      <c r="AT688" s="780"/>
      <c r="AU688" s="780"/>
      <c r="AV688" s="780"/>
      <c r="AW688" s="780"/>
    </row>
    <row r="689">
      <c r="A689" s="941"/>
      <c r="B689" s="941"/>
      <c r="C689" s="995"/>
      <c r="D689" s="944"/>
      <c r="E689" s="944"/>
      <c r="F689" s="946"/>
      <c r="G689" s="946"/>
      <c r="H689" s="946"/>
      <c r="I689" s="947">
        <v>0.00138428</v>
      </c>
      <c r="J689" s="948">
        <v>0.035</v>
      </c>
      <c r="K689" s="949">
        <f t="shared" si="22"/>
        <v>0</v>
      </c>
      <c r="L689" s="950">
        <f t="shared" si="23"/>
        <v>0</v>
      </c>
      <c r="M689" s="948">
        <v>0.0215</v>
      </c>
      <c r="N689" s="951">
        <f t="shared" si="24"/>
        <v>0.00141404202</v>
      </c>
      <c r="O689" s="949">
        <f t="shared" si="25"/>
        <v>15</v>
      </c>
      <c r="P689" s="949">
        <f t="shared" si="77"/>
        <v>0.0215</v>
      </c>
      <c r="Q689" s="952">
        <f t="shared" si="79"/>
        <v>0</v>
      </c>
      <c r="R689" s="952">
        <f t="shared" si="78"/>
        <v>0</v>
      </c>
      <c r="S689" s="953"/>
      <c r="T689" s="949">
        <v>0.06</v>
      </c>
      <c r="U689" s="954"/>
      <c r="V689" s="949"/>
      <c r="W689" s="953"/>
      <c r="X689" s="949">
        <f t="shared" si="7"/>
        <v>0</v>
      </c>
      <c r="Y689" s="955"/>
      <c r="Z689" s="953" t="str">
        <f t="shared" si="8"/>
        <v/>
      </c>
      <c r="AA689" s="949">
        <f t="shared" si="9"/>
        <v>0</v>
      </c>
      <c r="AB689" s="955"/>
      <c r="AC689" s="949" t="str">
        <f t="shared" si="10"/>
        <v/>
      </c>
      <c r="AD689" s="953">
        <f t="shared" si="11"/>
        <v>0</v>
      </c>
      <c r="AE689" s="956"/>
      <c r="AF689" s="889"/>
      <c r="AG689" s="810" t="b">
        <v>0</v>
      </c>
      <c r="AH689" s="780"/>
      <c r="AI689" s="780"/>
      <c r="AJ689" s="780"/>
      <c r="AK689" s="780"/>
      <c r="AL689" s="780"/>
      <c r="AM689" s="780"/>
      <c r="AN689" s="780"/>
      <c r="AO689" s="780"/>
      <c r="AP689" s="780"/>
      <c r="AQ689" s="780"/>
      <c r="AR689" s="780"/>
      <c r="AS689" s="780"/>
      <c r="AT689" s="780"/>
      <c r="AU689" s="780"/>
      <c r="AV689" s="780"/>
      <c r="AW689" s="780"/>
    </row>
    <row r="690">
      <c r="A690" s="941"/>
      <c r="B690" s="941"/>
      <c r="C690" s="995"/>
      <c r="D690" s="995"/>
      <c r="E690" s="995"/>
      <c r="F690" s="946"/>
      <c r="G690" s="946"/>
      <c r="H690" s="946"/>
      <c r="I690" s="947">
        <v>0.00138428</v>
      </c>
      <c r="J690" s="948">
        <v>0.035</v>
      </c>
      <c r="K690" s="949">
        <f t="shared" si="22"/>
        <v>0</v>
      </c>
      <c r="L690" s="950">
        <f t="shared" si="23"/>
        <v>0</v>
      </c>
      <c r="M690" s="948">
        <v>0.0215</v>
      </c>
      <c r="N690" s="951">
        <f t="shared" si="24"/>
        <v>0.00141404202</v>
      </c>
      <c r="O690" s="949">
        <f t="shared" si="25"/>
        <v>15</v>
      </c>
      <c r="P690" s="949">
        <f t="shared" si="77"/>
        <v>0.0215</v>
      </c>
      <c r="Q690" s="952">
        <f t="shared" si="79"/>
        <v>0</v>
      </c>
      <c r="R690" s="952">
        <f t="shared" si="78"/>
        <v>0</v>
      </c>
      <c r="S690" s="953"/>
      <c r="T690" s="949">
        <v>0.06</v>
      </c>
      <c r="U690" s="954"/>
      <c r="V690" s="949"/>
      <c r="W690" s="953"/>
      <c r="X690" s="949">
        <f t="shared" si="7"/>
        <v>0</v>
      </c>
      <c r="Y690" s="955"/>
      <c r="Z690" s="953" t="str">
        <f t="shared" si="8"/>
        <v/>
      </c>
      <c r="AA690" s="949">
        <f t="shared" si="9"/>
        <v>0</v>
      </c>
      <c r="AB690" s="955"/>
      <c r="AC690" s="949" t="str">
        <f t="shared" si="10"/>
        <v/>
      </c>
      <c r="AD690" s="953">
        <f t="shared" si="11"/>
        <v>0</v>
      </c>
      <c r="AE690" s="956"/>
      <c r="AF690" s="889"/>
      <c r="AG690" s="810" t="b">
        <v>0</v>
      </c>
      <c r="AH690" s="780"/>
      <c r="AI690" s="780"/>
      <c r="AJ690" s="780"/>
      <c r="AK690" s="780"/>
      <c r="AL690" s="780"/>
      <c r="AM690" s="780"/>
      <c r="AN690" s="780"/>
      <c r="AO690" s="780"/>
      <c r="AP690" s="780"/>
      <c r="AQ690" s="780"/>
      <c r="AR690" s="780"/>
      <c r="AS690" s="780"/>
      <c r="AT690" s="780"/>
      <c r="AU690" s="780"/>
      <c r="AV690" s="780"/>
      <c r="AW690" s="780"/>
    </row>
    <row r="691">
      <c r="A691" s="941"/>
      <c r="B691" s="941"/>
      <c r="C691" s="995"/>
      <c r="D691" s="944"/>
      <c r="E691" s="944"/>
      <c r="F691" s="946"/>
      <c r="G691" s="946"/>
      <c r="H691" s="946"/>
      <c r="I691" s="947">
        <v>0.00138428</v>
      </c>
      <c r="J691" s="948">
        <v>0.035</v>
      </c>
      <c r="K691" s="949">
        <f t="shared" si="22"/>
        <v>0</v>
      </c>
      <c r="L691" s="950">
        <f t="shared" si="23"/>
        <v>0</v>
      </c>
      <c r="M691" s="948">
        <v>0.0215</v>
      </c>
      <c r="N691" s="951">
        <f t="shared" si="24"/>
        <v>0.00141404202</v>
      </c>
      <c r="O691" s="949">
        <f t="shared" si="25"/>
        <v>15</v>
      </c>
      <c r="P691" s="949">
        <f t="shared" si="77"/>
        <v>0.0215</v>
      </c>
      <c r="Q691" s="952">
        <f t="shared" si="79"/>
        <v>0</v>
      </c>
      <c r="R691" s="952">
        <f t="shared" si="78"/>
        <v>0</v>
      </c>
      <c r="S691" s="953"/>
      <c r="T691" s="949">
        <v>0.06</v>
      </c>
      <c r="U691" s="954"/>
      <c r="V691" s="949"/>
      <c r="W691" s="953"/>
      <c r="X691" s="949">
        <f t="shared" si="7"/>
        <v>0</v>
      </c>
      <c r="Y691" s="955"/>
      <c r="Z691" s="953" t="str">
        <f t="shared" si="8"/>
        <v/>
      </c>
      <c r="AA691" s="949">
        <f t="shared" si="9"/>
        <v>0</v>
      </c>
      <c r="AB691" s="955"/>
      <c r="AC691" s="949" t="str">
        <f t="shared" si="10"/>
        <v/>
      </c>
      <c r="AD691" s="953">
        <f t="shared" si="11"/>
        <v>0</v>
      </c>
      <c r="AE691" s="956"/>
      <c r="AF691" s="889"/>
      <c r="AG691" s="810" t="b">
        <v>0</v>
      </c>
      <c r="AH691" s="780"/>
      <c r="AI691" s="780"/>
      <c r="AJ691" s="780"/>
      <c r="AK691" s="780"/>
      <c r="AL691" s="780"/>
      <c r="AM691" s="780"/>
      <c r="AN691" s="780"/>
      <c r="AO691" s="780"/>
      <c r="AP691" s="780"/>
      <c r="AQ691" s="780"/>
      <c r="AR691" s="780"/>
      <c r="AS691" s="780"/>
      <c r="AT691" s="780"/>
      <c r="AU691" s="780"/>
      <c r="AV691" s="780"/>
      <c r="AW691" s="780"/>
    </row>
    <row r="692">
      <c r="A692" s="941"/>
      <c r="B692" s="941"/>
      <c r="C692" s="995"/>
      <c r="D692" s="995"/>
      <c r="E692" s="995"/>
      <c r="F692" s="946"/>
      <c r="G692" s="946"/>
      <c r="H692" s="946"/>
      <c r="I692" s="947">
        <v>0.00138428</v>
      </c>
      <c r="J692" s="948">
        <v>0.035</v>
      </c>
      <c r="K692" s="949">
        <f t="shared" si="22"/>
        <v>0</v>
      </c>
      <c r="L692" s="950">
        <f t="shared" si="23"/>
        <v>0</v>
      </c>
      <c r="M692" s="948">
        <v>0.0215</v>
      </c>
      <c r="N692" s="951">
        <f t="shared" si="24"/>
        <v>0.00141404202</v>
      </c>
      <c r="O692" s="949">
        <f t="shared" si="25"/>
        <v>15</v>
      </c>
      <c r="P692" s="949">
        <f t="shared" si="77"/>
        <v>0.0215</v>
      </c>
      <c r="Q692" s="952">
        <f t="shared" si="79"/>
        <v>0</v>
      </c>
      <c r="R692" s="952">
        <f t="shared" si="78"/>
        <v>0</v>
      </c>
      <c r="S692" s="953"/>
      <c r="T692" s="949">
        <v>0.06</v>
      </c>
      <c r="U692" s="954"/>
      <c r="V692" s="949"/>
      <c r="W692" s="953"/>
      <c r="X692" s="949">
        <f t="shared" si="7"/>
        <v>0</v>
      </c>
      <c r="Y692" s="955"/>
      <c r="Z692" s="953" t="str">
        <f t="shared" si="8"/>
        <v/>
      </c>
      <c r="AA692" s="949">
        <f t="shared" si="9"/>
        <v>0</v>
      </c>
      <c r="AB692" s="955"/>
      <c r="AC692" s="949" t="str">
        <f t="shared" si="10"/>
        <v/>
      </c>
      <c r="AD692" s="953">
        <f t="shared" si="11"/>
        <v>0</v>
      </c>
      <c r="AE692" s="956"/>
      <c r="AF692" s="889"/>
      <c r="AG692" s="810" t="b">
        <v>0</v>
      </c>
      <c r="AH692" s="780"/>
      <c r="AI692" s="780"/>
      <c r="AJ692" s="780"/>
      <c r="AK692" s="780"/>
      <c r="AL692" s="780"/>
      <c r="AM692" s="780"/>
      <c r="AN692" s="780"/>
      <c r="AO692" s="780"/>
      <c r="AP692" s="780"/>
      <c r="AQ692" s="780"/>
      <c r="AR692" s="780"/>
      <c r="AS692" s="780"/>
      <c r="AT692" s="780"/>
      <c r="AU692" s="780"/>
      <c r="AV692" s="780"/>
      <c r="AW692" s="780"/>
    </row>
    <row r="693">
      <c r="A693" s="941"/>
      <c r="B693" s="941"/>
      <c r="C693" s="995"/>
      <c r="D693" s="944"/>
      <c r="E693" s="944"/>
      <c r="F693" s="946"/>
      <c r="G693" s="946"/>
      <c r="H693" s="946"/>
      <c r="I693" s="947">
        <v>0.00138428</v>
      </c>
      <c r="J693" s="948">
        <v>0.035</v>
      </c>
      <c r="K693" s="949">
        <f t="shared" si="22"/>
        <v>0</v>
      </c>
      <c r="L693" s="950">
        <f t="shared" si="23"/>
        <v>0</v>
      </c>
      <c r="M693" s="948">
        <v>0.0215</v>
      </c>
      <c r="N693" s="951">
        <f t="shared" si="24"/>
        <v>0.00141404202</v>
      </c>
      <c r="O693" s="949">
        <f t="shared" si="25"/>
        <v>15</v>
      </c>
      <c r="P693" s="949">
        <f t="shared" si="77"/>
        <v>0.0215</v>
      </c>
      <c r="Q693" s="952">
        <f t="shared" si="79"/>
        <v>0</v>
      </c>
      <c r="R693" s="952">
        <f t="shared" si="78"/>
        <v>0</v>
      </c>
      <c r="S693" s="953"/>
      <c r="T693" s="949">
        <v>0.06</v>
      </c>
      <c r="U693" s="954"/>
      <c r="V693" s="949"/>
      <c r="W693" s="953"/>
      <c r="X693" s="949">
        <f t="shared" si="7"/>
        <v>0</v>
      </c>
      <c r="Y693" s="955"/>
      <c r="Z693" s="953" t="str">
        <f t="shared" si="8"/>
        <v/>
      </c>
      <c r="AA693" s="949">
        <f t="shared" si="9"/>
        <v>0</v>
      </c>
      <c r="AB693" s="955"/>
      <c r="AC693" s="949" t="str">
        <f t="shared" si="10"/>
        <v/>
      </c>
      <c r="AD693" s="953">
        <f t="shared" si="11"/>
        <v>0</v>
      </c>
      <c r="AE693" s="956"/>
      <c r="AF693" s="889"/>
      <c r="AG693" s="810" t="b">
        <v>0</v>
      </c>
      <c r="AH693" s="780"/>
      <c r="AI693" s="780"/>
      <c r="AJ693" s="780"/>
      <c r="AK693" s="780"/>
      <c r="AL693" s="780"/>
      <c r="AM693" s="780"/>
      <c r="AN693" s="780"/>
      <c r="AO693" s="780"/>
      <c r="AP693" s="780"/>
      <c r="AQ693" s="780"/>
      <c r="AR693" s="780"/>
      <c r="AS693" s="780"/>
      <c r="AT693" s="780"/>
      <c r="AU693" s="780"/>
      <c r="AV693" s="780"/>
      <c r="AW693" s="780"/>
    </row>
    <row r="694">
      <c r="A694" s="941"/>
      <c r="B694" s="941"/>
      <c r="C694" s="995"/>
      <c r="D694" s="995"/>
      <c r="E694" s="995"/>
      <c r="F694" s="946"/>
      <c r="G694" s="946"/>
      <c r="H694" s="946"/>
      <c r="I694" s="947">
        <v>0.00138428</v>
      </c>
      <c r="J694" s="948">
        <v>0.035</v>
      </c>
      <c r="K694" s="949">
        <f t="shared" si="22"/>
        <v>0</v>
      </c>
      <c r="L694" s="950">
        <f t="shared" si="23"/>
        <v>0</v>
      </c>
      <c r="M694" s="948">
        <v>0.0215</v>
      </c>
      <c r="N694" s="951">
        <f t="shared" si="24"/>
        <v>0.00141404202</v>
      </c>
      <c r="O694" s="949">
        <f t="shared" si="25"/>
        <v>15</v>
      </c>
      <c r="P694" s="949">
        <f t="shared" si="77"/>
        <v>0.0215</v>
      </c>
      <c r="Q694" s="952">
        <f t="shared" si="79"/>
        <v>0</v>
      </c>
      <c r="R694" s="952">
        <f t="shared" si="78"/>
        <v>0</v>
      </c>
      <c r="S694" s="953"/>
      <c r="T694" s="949">
        <v>0.06</v>
      </c>
      <c r="U694" s="954"/>
      <c r="V694" s="949"/>
      <c r="W694" s="953"/>
      <c r="X694" s="949">
        <f t="shared" si="7"/>
        <v>0</v>
      </c>
      <c r="Y694" s="955"/>
      <c r="Z694" s="953" t="str">
        <f t="shared" si="8"/>
        <v/>
      </c>
      <c r="AA694" s="949">
        <f t="shared" si="9"/>
        <v>0</v>
      </c>
      <c r="AB694" s="955"/>
      <c r="AC694" s="949" t="str">
        <f t="shared" si="10"/>
        <v/>
      </c>
      <c r="AD694" s="953">
        <f t="shared" si="11"/>
        <v>0</v>
      </c>
      <c r="AE694" s="956"/>
      <c r="AF694" s="889"/>
      <c r="AG694" s="810" t="b">
        <v>0</v>
      </c>
      <c r="AH694" s="780"/>
      <c r="AI694" s="780"/>
      <c r="AJ694" s="780"/>
      <c r="AK694" s="780"/>
      <c r="AL694" s="780"/>
      <c r="AM694" s="780"/>
      <c r="AN694" s="780"/>
      <c r="AO694" s="780"/>
      <c r="AP694" s="780"/>
      <c r="AQ694" s="780"/>
      <c r="AR694" s="780"/>
      <c r="AS694" s="780"/>
      <c r="AT694" s="780"/>
      <c r="AU694" s="780"/>
      <c r="AV694" s="780"/>
      <c r="AW694" s="780"/>
    </row>
    <row r="695">
      <c r="A695" s="941"/>
      <c r="B695" s="941"/>
      <c r="C695" s="995"/>
      <c r="D695" s="944"/>
      <c r="E695" s="944"/>
      <c r="F695" s="946"/>
      <c r="G695" s="946"/>
      <c r="H695" s="946"/>
      <c r="I695" s="947">
        <v>0.00138428</v>
      </c>
      <c r="J695" s="948">
        <v>0.035</v>
      </c>
      <c r="K695" s="949">
        <f t="shared" si="22"/>
        <v>0</v>
      </c>
      <c r="L695" s="950">
        <f t="shared" si="23"/>
        <v>0</v>
      </c>
      <c r="M695" s="948">
        <v>0.0215</v>
      </c>
      <c r="N695" s="951">
        <f t="shared" si="24"/>
        <v>0.00141404202</v>
      </c>
      <c r="O695" s="949">
        <f t="shared" si="25"/>
        <v>15</v>
      </c>
      <c r="P695" s="949">
        <f t="shared" si="77"/>
        <v>0.0215</v>
      </c>
      <c r="Q695" s="952">
        <f t="shared" si="79"/>
        <v>0</v>
      </c>
      <c r="R695" s="952">
        <f t="shared" si="78"/>
        <v>0</v>
      </c>
      <c r="S695" s="953"/>
      <c r="T695" s="949">
        <v>0.06</v>
      </c>
      <c r="U695" s="954"/>
      <c r="V695" s="949"/>
      <c r="W695" s="953"/>
      <c r="X695" s="949">
        <f t="shared" si="7"/>
        <v>0</v>
      </c>
      <c r="Y695" s="955"/>
      <c r="Z695" s="953" t="str">
        <f t="shared" si="8"/>
        <v/>
      </c>
      <c r="AA695" s="949">
        <f t="shared" si="9"/>
        <v>0</v>
      </c>
      <c r="AB695" s="955"/>
      <c r="AC695" s="949" t="str">
        <f t="shared" si="10"/>
        <v/>
      </c>
      <c r="AD695" s="953">
        <f t="shared" si="11"/>
        <v>0</v>
      </c>
      <c r="AE695" s="956"/>
      <c r="AF695" s="889"/>
      <c r="AG695" s="810" t="b">
        <v>0</v>
      </c>
      <c r="AH695" s="780"/>
      <c r="AI695" s="780"/>
      <c r="AJ695" s="780"/>
      <c r="AK695" s="780"/>
      <c r="AL695" s="780"/>
      <c r="AM695" s="780"/>
      <c r="AN695" s="780"/>
      <c r="AO695" s="780"/>
      <c r="AP695" s="780"/>
      <c r="AQ695" s="780"/>
      <c r="AR695" s="780"/>
      <c r="AS695" s="780"/>
      <c r="AT695" s="780"/>
      <c r="AU695" s="780"/>
      <c r="AV695" s="780"/>
      <c r="AW695" s="780"/>
    </row>
    <row r="696">
      <c r="A696" s="941"/>
      <c r="B696" s="941"/>
      <c r="C696" s="995"/>
      <c r="D696" s="995"/>
      <c r="E696" s="995"/>
      <c r="F696" s="946"/>
      <c r="G696" s="946"/>
      <c r="H696" s="946"/>
      <c r="I696" s="947">
        <v>0.00138428</v>
      </c>
      <c r="J696" s="948">
        <v>0.035</v>
      </c>
      <c r="K696" s="949">
        <f t="shared" si="22"/>
        <v>0</v>
      </c>
      <c r="L696" s="950">
        <f t="shared" si="23"/>
        <v>0</v>
      </c>
      <c r="M696" s="948">
        <v>0.0215</v>
      </c>
      <c r="N696" s="951">
        <f t="shared" si="24"/>
        <v>0.00141404202</v>
      </c>
      <c r="O696" s="949">
        <f t="shared" si="25"/>
        <v>15</v>
      </c>
      <c r="P696" s="949">
        <f t="shared" si="77"/>
        <v>0.0215</v>
      </c>
      <c r="Q696" s="952">
        <f t="shared" si="79"/>
        <v>0</v>
      </c>
      <c r="R696" s="952">
        <f t="shared" si="78"/>
        <v>0</v>
      </c>
      <c r="S696" s="953"/>
      <c r="T696" s="949">
        <v>0.06</v>
      </c>
      <c r="U696" s="954"/>
      <c r="V696" s="949"/>
      <c r="W696" s="953"/>
      <c r="X696" s="949">
        <f t="shared" si="7"/>
        <v>0</v>
      </c>
      <c r="Y696" s="955"/>
      <c r="Z696" s="953" t="str">
        <f t="shared" si="8"/>
        <v/>
      </c>
      <c r="AA696" s="949">
        <f t="shared" si="9"/>
        <v>0</v>
      </c>
      <c r="AB696" s="955"/>
      <c r="AC696" s="949" t="str">
        <f t="shared" si="10"/>
        <v/>
      </c>
      <c r="AD696" s="953">
        <f t="shared" si="11"/>
        <v>0</v>
      </c>
      <c r="AE696" s="956"/>
      <c r="AF696" s="889"/>
      <c r="AG696" s="810" t="b">
        <v>0</v>
      </c>
      <c r="AH696" s="780"/>
      <c r="AI696" s="780"/>
      <c r="AJ696" s="780"/>
      <c r="AK696" s="780"/>
      <c r="AL696" s="780"/>
      <c r="AM696" s="780"/>
      <c r="AN696" s="780"/>
      <c r="AO696" s="780"/>
      <c r="AP696" s="780"/>
      <c r="AQ696" s="780"/>
      <c r="AR696" s="780"/>
      <c r="AS696" s="780"/>
      <c r="AT696" s="780"/>
      <c r="AU696" s="780"/>
      <c r="AV696" s="780"/>
      <c r="AW696" s="780"/>
    </row>
    <row r="697">
      <c r="A697" s="941"/>
      <c r="B697" s="941"/>
      <c r="C697" s="995"/>
      <c r="D697" s="944"/>
      <c r="E697" s="944"/>
      <c r="F697" s="946"/>
      <c r="G697" s="946"/>
      <c r="H697" s="946"/>
      <c r="I697" s="947">
        <v>0.00138428</v>
      </c>
      <c r="J697" s="948">
        <v>0.035</v>
      </c>
      <c r="K697" s="949">
        <f t="shared" si="22"/>
        <v>0</v>
      </c>
      <c r="L697" s="950">
        <f t="shared" si="23"/>
        <v>0</v>
      </c>
      <c r="M697" s="948">
        <v>0.0215</v>
      </c>
      <c r="N697" s="951">
        <f t="shared" si="24"/>
        <v>0.00141404202</v>
      </c>
      <c r="O697" s="949">
        <f t="shared" si="25"/>
        <v>15</v>
      </c>
      <c r="P697" s="949">
        <f t="shared" si="77"/>
        <v>0.0215</v>
      </c>
      <c r="Q697" s="952">
        <f t="shared" si="79"/>
        <v>0</v>
      </c>
      <c r="R697" s="952">
        <f t="shared" si="78"/>
        <v>0</v>
      </c>
      <c r="S697" s="953"/>
      <c r="T697" s="949">
        <v>0.06</v>
      </c>
      <c r="U697" s="954"/>
      <c r="V697" s="949"/>
      <c r="W697" s="953"/>
      <c r="X697" s="949">
        <f t="shared" si="7"/>
        <v>0</v>
      </c>
      <c r="Y697" s="955"/>
      <c r="Z697" s="953" t="str">
        <f t="shared" si="8"/>
        <v/>
      </c>
      <c r="AA697" s="949">
        <f t="shared" si="9"/>
        <v>0</v>
      </c>
      <c r="AB697" s="955"/>
      <c r="AC697" s="949" t="str">
        <f t="shared" si="10"/>
        <v/>
      </c>
      <c r="AD697" s="953">
        <f t="shared" si="11"/>
        <v>0</v>
      </c>
      <c r="AE697" s="956"/>
      <c r="AF697" s="889"/>
      <c r="AG697" s="810" t="b">
        <v>0</v>
      </c>
      <c r="AH697" s="780"/>
      <c r="AI697" s="780"/>
      <c r="AJ697" s="780"/>
      <c r="AK697" s="780"/>
      <c r="AL697" s="780"/>
      <c r="AM697" s="780"/>
      <c r="AN697" s="780"/>
      <c r="AO697" s="780"/>
      <c r="AP697" s="780"/>
      <c r="AQ697" s="780"/>
      <c r="AR697" s="780"/>
      <c r="AS697" s="780"/>
      <c r="AT697" s="780"/>
      <c r="AU697" s="780"/>
      <c r="AV697" s="780"/>
      <c r="AW697" s="780"/>
    </row>
    <row r="698">
      <c r="A698" s="941"/>
      <c r="B698" s="941"/>
      <c r="C698" s="995"/>
      <c r="D698" s="995"/>
      <c r="E698" s="995"/>
      <c r="F698" s="946"/>
      <c r="G698" s="946"/>
      <c r="H698" s="946"/>
      <c r="I698" s="947">
        <v>0.00138428</v>
      </c>
      <c r="J698" s="948">
        <v>0.035</v>
      </c>
      <c r="K698" s="949">
        <f t="shared" si="22"/>
        <v>0</v>
      </c>
      <c r="L698" s="950">
        <f t="shared" si="23"/>
        <v>0</v>
      </c>
      <c r="M698" s="948">
        <v>0.0215</v>
      </c>
      <c r="N698" s="951">
        <f t="shared" si="24"/>
        <v>0.00141404202</v>
      </c>
      <c r="O698" s="949">
        <f t="shared" si="25"/>
        <v>15</v>
      </c>
      <c r="P698" s="949">
        <f t="shared" si="77"/>
        <v>0.0215</v>
      </c>
      <c r="Q698" s="952">
        <f t="shared" si="79"/>
        <v>0</v>
      </c>
      <c r="R698" s="952">
        <f t="shared" si="78"/>
        <v>0</v>
      </c>
      <c r="S698" s="953"/>
      <c r="T698" s="949">
        <v>0.06</v>
      </c>
      <c r="U698" s="954"/>
      <c r="V698" s="949"/>
      <c r="W698" s="953"/>
      <c r="X698" s="949">
        <f t="shared" si="7"/>
        <v>0</v>
      </c>
      <c r="Y698" s="955"/>
      <c r="Z698" s="953" t="str">
        <f t="shared" si="8"/>
        <v/>
      </c>
      <c r="AA698" s="949">
        <f t="shared" si="9"/>
        <v>0</v>
      </c>
      <c r="AB698" s="955"/>
      <c r="AC698" s="949" t="str">
        <f t="shared" si="10"/>
        <v/>
      </c>
      <c r="AD698" s="953">
        <f t="shared" si="11"/>
        <v>0</v>
      </c>
      <c r="AE698" s="956"/>
      <c r="AF698" s="889"/>
      <c r="AG698" s="810" t="b">
        <v>0</v>
      </c>
      <c r="AH698" s="780"/>
      <c r="AI698" s="780"/>
      <c r="AJ698" s="780"/>
      <c r="AK698" s="780"/>
      <c r="AL698" s="780"/>
      <c r="AM698" s="780"/>
      <c r="AN698" s="780"/>
      <c r="AO698" s="780"/>
      <c r="AP698" s="780"/>
      <c r="AQ698" s="780"/>
      <c r="AR698" s="780"/>
      <c r="AS698" s="780"/>
      <c r="AT698" s="780"/>
      <c r="AU698" s="780"/>
      <c r="AV698" s="780"/>
      <c r="AW698" s="780"/>
    </row>
    <row r="699">
      <c r="A699" s="941"/>
      <c r="B699" s="941"/>
      <c r="C699" s="995"/>
      <c r="D699" s="944"/>
      <c r="E699" s="944"/>
      <c r="F699" s="946"/>
      <c r="G699" s="946"/>
      <c r="H699" s="946"/>
      <c r="I699" s="947">
        <v>0.00138428</v>
      </c>
      <c r="J699" s="948">
        <v>0.035</v>
      </c>
      <c r="K699" s="949">
        <f t="shared" si="22"/>
        <v>0</v>
      </c>
      <c r="L699" s="950">
        <f t="shared" si="23"/>
        <v>0</v>
      </c>
      <c r="M699" s="948">
        <v>0.0215</v>
      </c>
      <c r="N699" s="951">
        <f t="shared" si="24"/>
        <v>0.00141404202</v>
      </c>
      <c r="O699" s="949">
        <f t="shared" si="25"/>
        <v>15</v>
      </c>
      <c r="P699" s="949">
        <f t="shared" si="77"/>
        <v>0.0215</v>
      </c>
      <c r="Q699" s="952">
        <f t="shared" si="79"/>
        <v>0</v>
      </c>
      <c r="R699" s="952">
        <f t="shared" si="78"/>
        <v>0</v>
      </c>
      <c r="S699" s="953"/>
      <c r="T699" s="949">
        <v>0.06</v>
      </c>
      <c r="U699" s="954"/>
      <c r="V699" s="949"/>
      <c r="W699" s="953"/>
      <c r="X699" s="949">
        <f t="shared" si="7"/>
        <v>0</v>
      </c>
      <c r="Y699" s="955"/>
      <c r="Z699" s="953" t="str">
        <f t="shared" si="8"/>
        <v/>
      </c>
      <c r="AA699" s="949">
        <f t="shared" si="9"/>
        <v>0</v>
      </c>
      <c r="AB699" s="955"/>
      <c r="AC699" s="949" t="str">
        <f t="shared" si="10"/>
        <v/>
      </c>
      <c r="AD699" s="953">
        <f t="shared" si="11"/>
        <v>0</v>
      </c>
      <c r="AE699" s="956"/>
      <c r="AF699" s="889"/>
      <c r="AG699" s="810" t="b">
        <v>0</v>
      </c>
      <c r="AH699" s="780"/>
      <c r="AI699" s="780"/>
      <c r="AJ699" s="780"/>
      <c r="AK699" s="780"/>
      <c r="AL699" s="780"/>
      <c r="AM699" s="780"/>
      <c r="AN699" s="780"/>
      <c r="AO699" s="780"/>
      <c r="AP699" s="780"/>
      <c r="AQ699" s="780"/>
      <c r="AR699" s="780"/>
      <c r="AS699" s="780"/>
      <c r="AT699" s="780"/>
      <c r="AU699" s="780"/>
      <c r="AV699" s="780"/>
      <c r="AW699" s="780"/>
    </row>
    <row r="700">
      <c r="A700" s="941"/>
      <c r="B700" s="941"/>
      <c r="C700" s="995"/>
      <c r="D700" s="995"/>
      <c r="E700" s="995"/>
      <c r="F700" s="946"/>
      <c r="G700" s="946"/>
      <c r="H700" s="946"/>
      <c r="I700" s="947">
        <v>0.00138428</v>
      </c>
      <c r="J700" s="948">
        <v>0.035</v>
      </c>
      <c r="K700" s="949">
        <f t="shared" si="22"/>
        <v>0</v>
      </c>
      <c r="L700" s="950">
        <f t="shared" si="23"/>
        <v>0</v>
      </c>
      <c r="M700" s="948">
        <v>0.0215</v>
      </c>
      <c r="N700" s="951">
        <f t="shared" si="24"/>
        <v>0.00141404202</v>
      </c>
      <c r="O700" s="949">
        <f t="shared" si="25"/>
        <v>15</v>
      </c>
      <c r="P700" s="949">
        <f t="shared" si="77"/>
        <v>0.0215</v>
      </c>
      <c r="Q700" s="952">
        <f t="shared" si="79"/>
        <v>0</v>
      </c>
      <c r="R700" s="952">
        <f t="shared" si="78"/>
        <v>0</v>
      </c>
      <c r="S700" s="953"/>
      <c r="T700" s="949">
        <v>0.06</v>
      </c>
      <c r="U700" s="954"/>
      <c r="V700" s="949"/>
      <c r="W700" s="953"/>
      <c r="X700" s="949">
        <f t="shared" si="7"/>
        <v>0</v>
      </c>
      <c r="Y700" s="955"/>
      <c r="Z700" s="953" t="str">
        <f t="shared" si="8"/>
        <v/>
      </c>
      <c r="AA700" s="949">
        <f t="shared" si="9"/>
        <v>0</v>
      </c>
      <c r="AB700" s="955"/>
      <c r="AC700" s="949" t="str">
        <f t="shared" si="10"/>
        <v/>
      </c>
      <c r="AD700" s="953">
        <f t="shared" si="11"/>
        <v>0</v>
      </c>
      <c r="AE700" s="956"/>
      <c r="AF700" s="889"/>
      <c r="AG700" s="810" t="b">
        <v>0</v>
      </c>
      <c r="AH700" s="780"/>
      <c r="AI700" s="780"/>
      <c r="AJ700" s="780"/>
      <c r="AK700" s="780"/>
      <c r="AL700" s="780"/>
      <c r="AM700" s="780"/>
      <c r="AN700" s="780"/>
      <c r="AO700" s="780"/>
      <c r="AP700" s="780"/>
      <c r="AQ700" s="780"/>
      <c r="AR700" s="780"/>
      <c r="AS700" s="780"/>
      <c r="AT700" s="780"/>
      <c r="AU700" s="780"/>
      <c r="AV700" s="780"/>
      <c r="AW700" s="780"/>
    </row>
    <row r="701">
      <c r="A701" s="941"/>
      <c r="B701" s="941"/>
      <c r="C701" s="995"/>
      <c r="D701" s="944"/>
      <c r="E701" s="944"/>
      <c r="F701" s="946"/>
      <c r="G701" s="946"/>
      <c r="H701" s="946"/>
      <c r="I701" s="947">
        <v>0.00138428</v>
      </c>
      <c r="J701" s="948">
        <v>0.035</v>
      </c>
      <c r="K701" s="949">
        <f t="shared" si="22"/>
        <v>0</v>
      </c>
      <c r="L701" s="950">
        <f t="shared" si="23"/>
        <v>0</v>
      </c>
      <c r="M701" s="948">
        <v>0.0215</v>
      </c>
      <c r="N701" s="951">
        <f t="shared" si="24"/>
        <v>0.00141404202</v>
      </c>
      <c r="O701" s="949">
        <f t="shared" si="25"/>
        <v>15</v>
      </c>
      <c r="P701" s="949">
        <f t="shared" si="77"/>
        <v>0.0215</v>
      </c>
      <c r="Q701" s="952">
        <f t="shared" si="79"/>
        <v>0</v>
      </c>
      <c r="R701" s="952">
        <f t="shared" si="78"/>
        <v>0</v>
      </c>
      <c r="S701" s="953"/>
      <c r="T701" s="949">
        <v>0.06</v>
      </c>
      <c r="U701" s="954"/>
      <c r="V701" s="949"/>
      <c r="W701" s="953"/>
      <c r="X701" s="949">
        <f t="shared" si="7"/>
        <v>0</v>
      </c>
      <c r="Y701" s="955"/>
      <c r="Z701" s="953" t="str">
        <f t="shared" si="8"/>
        <v/>
      </c>
      <c r="AA701" s="949">
        <f t="shared" si="9"/>
        <v>0</v>
      </c>
      <c r="AB701" s="955"/>
      <c r="AC701" s="949" t="str">
        <f t="shared" si="10"/>
        <v/>
      </c>
      <c r="AD701" s="953">
        <f t="shared" si="11"/>
        <v>0</v>
      </c>
      <c r="AE701" s="956"/>
      <c r="AF701" s="889"/>
      <c r="AG701" s="810" t="b">
        <v>0</v>
      </c>
      <c r="AH701" s="780"/>
      <c r="AI701" s="780"/>
      <c r="AJ701" s="780"/>
      <c r="AK701" s="780"/>
      <c r="AL701" s="780"/>
      <c r="AM701" s="780"/>
      <c r="AN701" s="780"/>
      <c r="AO701" s="780"/>
      <c r="AP701" s="780"/>
      <c r="AQ701" s="780"/>
      <c r="AR701" s="780"/>
      <c r="AS701" s="780"/>
      <c r="AT701" s="780"/>
      <c r="AU701" s="780"/>
      <c r="AV701" s="780"/>
      <c r="AW701" s="780"/>
    </row>
    <row r="702">
      <c r="A702" s="941"/>
      <c r="B702" s="941"/>
      <c r="C702" s="995"/>
      <c r="D702" s="995"/>
      <c r="E702" s="995"/>
      <c r="F702" s="946"/>
      <c r="G702" s="946"/>
      <c r="H702" s="946"/>
      <c r="I702" s="947">
        <v>0.00138428</v>
      </c>
      <c r="J702" s="948">
        <v>0.035</v>
      </c>
      <c r="K702" s="949">
        <f t="shared" si="22"/>
        <v>0</v>
      </c>
      <c r="L702" s="950">
        <f t="shared" si="23"/>
        <v>0</v>
      </c>
      <c r="M702" s="948">
        <v>0.0215</v>
      </c>
      <c r="N702" s="951">
        <f t="shared" si="24"/>
        <v>0.00141404202</v>
      </c>
      <c r="O702" s="949">
        <f t="shared" si="25"/>
        <v>15</v>
      </c>
      <c r="P702" s="949">
        <f t="shared" si="77"/>
        <v>0.0215</v>
      </c>
      <c r="Q702" s="952">
        <f t="shared" si="79"/>
        <v>0</v>
      </c>
      <c r="R702" s="952">
        <f t="shared" si="78"/>
        <v>0</v>
      </c>
      <c r="S702" s="953"/>
      <c r="T702" s="949">
        <v>0.06</v>
      </c>
      <c r="U702" s="954"/>
      <c r="V702" s="949"/>
      <c r="W702" s="953"/>
      <c r="X702" s="949">
        <f t="shared" si="7"/>
        <v>0</v>
      </c>
      <c r="Y702" s="955"/>
      <c r="Z702" s="953" t="str">
        <f t="shared" si="8"/>
        <v/>
      </c>
      <c r="AA702" s="949">
        <f t="shared" si="9"/>
        <v>0</v>
      </c>
      <c r="AB702" s="955"/>
      <c r="AC702" s="949" t="str">
        <f t="shared" si="10"/>
        <v/>
      </c>
      <c r="AD702" s="953">
        <f t="shared" si="11"/>
        <v>0</v>
      </c>
      <c r="AE702" s="956"/>
      <c r="AF702" s="889"/>
      <c r="AG702" s="810" t="b">
        <v>0</v>
      </c>
      <c r="AH702" s="780"/>
      <c r="AI702" s="780"/>
      <c r="AJ702" s="780"/>
      <c r="AK702" s="780"/>
      <c r="AL702" s="780"/>
      <c r="AM702" s="780"/>
      <c r="AN702" s="780"/>
      <c r="AO702" s="780"/>
      <c r="AP702" s="780"/>
      <c r="AQ702" s="780"/>
      <c r="AR702" s="780"/>
      <c r="AS702" s="780"/>
      <c r="AT702" s="780"/>
      <c r="AU702" s="780"/>
      <c r="AV702" s="780"/>
      <c r="AW702" s="780"/>
    </row>
    <row r="703">
      <c r="A703" s="941"/>
      <c r="B703" s="941"/>
      <c r="C703" s="995"/>
      <c r="D703" s="944"/>
      <c r="E703" s="944"/>
      <c r="F703" s="946"/>
      <c r="G703" s="946"/>
      <c r="H703" s="946"/>
      <c r="I703" s="947">
        <v>0.00138428</v>
      </c>
      <c r="J703" s="948">
        <v>0.035</v>
      </c>
      <c r="K703" s="949">
        <f t="shared" si="22"/>
        <v>0</v>
      </c>
      <c r="L703" s="950">
        <f t="shared" si="23"/>
        <v>0</v>
      </c>
      <c r="M703" s="948">
        <v>0.0215</v>
      </c>
      <c r="N703" s="951">
        <f t="shared" si="24"/>
        <v>0.00141404202</v>
      </c>
      <c r="O703" s="949">
        <f t="shared" si="25"/>
        <v>15</v>
      </c>
      <c r="P703" s="949">
        <f t="shared" si="77"/>
        <v>0.0215</v>
      </c>
      <c r="Q703" s="952">
        <f t="shared" si="79"/>
        <v>0</v>
      </c>
      <c r="R703" s="952">
        <f t="shared" si="78"/>
        <v>0</v>
      </c>
      <c r="S703" s="953"/>
      <c r="T703" s="949">
        <v>0.06</v>
      </c>
      <c r="U703" s="954"/>
      <c r="V703" s="949"/>
      <c r="W703" s="953"/>
      <c r="X703" s="949">
        <f t="shared" si="7"/>
        <v>0</v>
      </c>
      <c r="Y703" s="955"/>
      <c r="Z703" s="953" t="str">
        <f t="shared" si="8"/>
        <v/>
      </c>
      <c r="AA703" s="949">
        <f t="shared" si="9"/>
        <v>0</v>
      </c>
      <c r="AB703" s="955"/>
      <c r="AC703" s="949" t="str">
        <f t="shared" si="10"/>
        <v/>
      </c>
      <c r="AD703" s="953">
        <f t="shared" si="11"/>
        <v>0</v>
      </c>
      <c r="AE703" s="956"/>
      <c r="AF703" s="889"/>
      <c r="AG703" s="810" t="b">
        <v>0</v>
      </c>
      <c r="AH703" s="780"/>
      <c r="AI703" s="780"/>
      <c r="AJ703" s="780"/>
      <c r="AK703" s="780"/>
      <c r="AL703" s="780"/>
      <c r="AM703" s="780"/>
      <c r="AN703" s="780"/>
      <c r="AO703" s="780"/>
      <c r="AP703" s="780"/>
      <c r="AQ703" s="780"/>
      <c r="AR703" s="780"/>
      <c r="AS703" s="780"/>
      <c r="AT703" s="780"/>
      <c r="AU703" s="780"/>
      <c r="AV703" s="780"/>
      <c r="AW703" s="780"/>
    </row>
    <row r="704">
      <c r="A704" s="941"/>
      <c r="B704" s="941"/>
      <c r="C704" s="995"/>
      <c r="D704" s="995"/>
      <c r="E704" s="995"/>
      <c r="F704" s="946"/>
      <c r="G704" s="946"/>
      <c r="H704" s="946"/>
      <c r="I704" s="947">
        <v>0.00138428</v>
      </c>
      <c r="J704" s="948">
        <v>0.035</v>
      </c>
      <c r="K704" s="949">
        <f t="shared" si="22"/>
        <v>0</v>
      </c>
      <c r="L704" s="950">
        <f t="shared" si="23"/>
        <v>0</v>
      </c>
      <c r="M704" s="948">
        <v>0.0215</v>
      </c>
      <c r="N704" s="951">
        <f t="shared" si="24"/>
        <v>0.00141404202</v>
      </c>
      <c r="O704" s="949">
        <f t="shared" si="25"/>
        <v>15</v>
      </c>
      <c r="P704" s="949">
        <f t="shared" si="77"/>
        <v>0.0215</v>
      </c>
      <c r="Q704" s="952">
        <f t="shared" si="79"/>
        <v>0</v>
      </c>
      <c r="R704" s="952">
        <f t="shared" si="78"/>
        <v>0</v>
      </c>
      <c r="S704" s="953"/>
      <c r="T704" s="949">
        <v>0.06</v>
      </c>
      <c r="U704" s="954"/>
      <c r="V704" s="949"/>
      <c r="W704" s="953"/>
      <c r="X704" s="949">
        <f t="shared" si="7"/>
        <v>0</v>
      </c>
      <c r="Y704" s="955"/>
      <c r="Z704" s="953" t="str">
        <f t="shared" si="8"/>
        <v/>
      </c>
      <c r="AA704" s="949">
        <f t="shared" si="9"/>
        <v>0</v>
      </c>
      <c r="AB704" s="955"/>
      <c r="AC704" s="949" t="str">
        <f t="shared" si="10"/>
        <v/>
      </c>
      <c r="AD704" s="953">
        <f t="shared" si="11"/>
        <v>0</v>
      </c>
      <c r="AE704" s="956"/>
      <c r="AF704" s="889"/>
      <c r="AG704" s="810" t="b">
        <v>0</v>
      </c>
      <c r="AH704" s="780"/>
      <c r="AI704" s="780"/>
      <c r="AJ704" s="780"/>
      <c r="AK704" s="780"/>
      <c r="AL704" s="780"/>
      <c r="AM704" s="780"/>
      <c r="AN704" s="780"/>
      <c r="AO704" s="780"/>
      <c r="AP704" s="780"/>
      <c r="AQ704" s="780"/>
      <c r="AR704" s="780"/>
      <c r="AS704" s="780"/>
      <c r="AT704" s="780"/>
      <c r="AU704" s="780"/>
      <c r="AV704" s="780"/>
      <c r="AW704" s="780"/>
    </row>
    <row r="705">
      <c r="A705" s="941"/>
      <c r="B705" s="941"/>
      <c r="C705" s="995"/>
      <c r="D705" s="944"/>
      <c r="E705" s="944"/>
      <c r="F705" s="946"/>
      <c r="G705" s="946"/>
      <c r="H705" s="946"/>
      <c r="I705" s="947">
        <v>0.00138428</v>
      </c>
      <c r="J705" s="948">
        <v>0.035</v>
      </c>
      <c r="K705" s="949">
        <f t="shared" si="22"/>
        <v>0</v>
      </c>
      <c r="L705" s="950">
        <f t="shared" si="23"/>
        <v>0</v>
      </c>
      <c r="M705" s="948">
        <v>0.0215</v>
      </c>
      <c r="N705" s="951">
        <f t="shared" si="24"/>
        <v>0.00141404202</v>
      </c>
      <c r="O705" s="949">
        <f t="shared" si="25"/>
        <v>15</v>
      </c>
      <c r="P705" s="949">
        <f t="shared" si="77"/>
        <v>0.0215</v>
      </c>
      <c r="Q705" s="952">
        <f t="shared" si="79"/>
        <v>0</v>
      </c>
      <c r="R705" s="952">
        <f t="shared" si="78"/>
        <v>0</v>
      </c>
      <c r="S705" s="953"/>
      <c r="T705" s="949">
        <v>0.06</v>
      </c>
      <c r="U705" s="954"/>
      <c r="V705" s="949"/>
      <c r="W705" s="953"/>
      <c r="X705" s="949">
        <f t="shared" si="7"/>
        <v>0</v>
      </c>
      <c r="Y705" s="955"/>
      <c r="Z705" s="953" t="str">
        <f t="shared" si="8"/>
        <v/>
      </c>
      <c r="AA705" s="949">
        <f t="shared" si="9"/>
        <v>0</v>
      </c>
      <c r="AB705" s="955"/>
      <c r="AC705" s="949" t="str">
        <f t="shared" si="10"/>
        <v/>
      </c>
      <c r="AD705" s="953">
        <f t="shared" si="11"/>
        <v>0</v>
      </c>
      <c r="AE705" s="956"/>
      <c r="AF705" s="889"/>
      <c r="AG705" s="810" t="b">
        <v>0</v>
      </c>
      <c r="AH705" s="780"/>
      <c r="AI705" s="780"/>
      <c r="AJ705" s="780"/>
      <c r="AK705" s="780"/>
      <c r="AL705" s="780"/>
      <c r="AM705" s="780"/>
      <c r="AN705" s="780"/>
      <c r="AO705" s="780"/>
      <c r="AP705" s="780"/>
      <c r="AQ705" s="780"/>
      <c r="AR705" s="780"/>
      <c r="AS705" s="780"/>
      <c r="AT705" s="780"/>
      <c r="AU705" s="780"/>
      <c r="AV705" s="780"/>
      <c r="AW705" s="780"/>
    </row>
    <row r="706">
      <c r="A706" s="941"/>
      <c r="B706" s="941"/>
      <c r="C706" s="995"/>
      <c r="D706" s="995"/>
      <c r="E706" s="995"/>
      <c r="F706" s="946"/>
      <c r="G706" s="946"/>
      <c r="H706" s="946"/>
      <c r="I706" s="947">
        <v>0.00138428</v>
      </c>
      <c r="J706" s="948">
        <v>0.035</v>
      </c>
      <c r="K706" s="949">
        <f t="shared" si="22"/>
        <v>0</v>
      </c>
      <c r="L706" s="950">
        <f t="shared" si="23"/>
        <v>0</v>
      </c>
      <c r="M706" s="948">
        <v>0.0215</v>
      </c>
      <c r="N706" s="951">
        <f t="shared" si="24"/>
        <v>0.00141404202</v>
      </c>
      <c r="O706" s="949">
        <f t="shared" si="25"/>
        <v>15</v>
      </c>
      <c r="P706" s="949">
        <f t="shared" si="77"/>
        <v>0.0215</v>
      </c>
      <c r="Q706" s="952">
        <f t="shared" si="79"/>
        <v>0</v>
      </c>
      <c r="R706" s="952">
        <f t="shared" si="78"/>
        <v>0</v>
      </c>
      <c r="S706" s="953"/>
      <c r="T706" s="949">
        <v>0.06</v>
      </c>
      <c r="U706" s="954"/>
      <c r="V706" s="949"/>
      <c r="W706" s="953"/>
      <c r="X706" s="949">
        <f t="shared" si="7"/>
        <v>0</v>
      </c>
      <c r="Y706" s="955"/>
      <c r="Z706" s="953" t="str">
        <f t="shared" si="8"/>
        <v/>
      </c>
      <c r="AA706" s="949">
        <f t="shared" si="9"/>
        <v>0</v>
      </c>
      <c r="AB706" s="955"/>
      <c r="AC706" s="949" t="str">
        <f t="shared" si="10"/>
        <v/>
      </c>
      <c r="AD706" s="953">
        <f t="shared" si="11"/>
        <v>0</v>
      </c>
      <c r="AE706" s="956"/>
      <c r="AF706" s="889"/>
      <c r="AG706" s="810" t="b">
        <v>0</v>
      </c>
      <c r="AH706" s="780"/>
      <c r="AI706" s="780"/>
      <c r="AJ706" s="780"/>
      <c r="AK706" s="780"/>
      <c r="AL706" s="780"/>
      <c r="AM706" s="780"/>
      <c r="AN706" s="780"/>
      <c r="AO706" s="780"/>
      <c r="AP706" s="780"/>
      <c r="AQ706" s="780"/>
      <c r="AR706" s="780"/>
      <c r="AS706" s="780"/>
      <c r="AT706" s="780"/>
      <c r="AU706" s="780"/>
      <c r="AV706" s="780"/>
      <c r="AW706" s="780"/>
    </row>
    <row r="707">
      <c r="A707" s="941"/>
      <c r="B707" s="941"/>
      <c r="C707" s="995"/>
      <c r="D707" s="944"/>
      <c r="E707" s="944"/>
      <c r="F707" s="946"/>
      <c r="G707" s="946"/>
      <c r="H707" s="946"/>
      <c r="I707" s="947">
        <v>0.00138428</v>
      </c>
      <c r="J707" s="948">
        <v>0.035</v>
      </c>
      <c r="K707" s="949">
        <f t="shared" si="22"/>
        <v>0</v>
      </c>
      <c r="L707" s="950">
        <f t="shared" si="23"/>
        <v>0</v>
      </c>
      <c r="M707" s="948">
        <v>0.0215</v>
      </c>
      <c r="N707" s="951">
        <f t="shared" si="24"/>
        <v>0.00141404202</v>
      </c>
      <c r="O707" s="949">
        <f t="shared" si="25"/>
        <v>15</v>
      </c>
      <c r="P707" s="949">
        <f t="shared" si="77"/>
        <v>0.0215</v>
      </c>
      <c r="Q707" s="952">
        <f t="shared" si="79"/>
        <v>0</v>
      </c>
      <c r="R707" s="952">
        <f t="shared" si="78"/>
        <v>0</v>
      </c>
      <c r="S707" s="953"/>
      <c r="T707" s="949">
        <v>0.06</v>
      </c>
      <c r="U707" s="954"/>
      <c r="V707" s="949"/>
      <c r="W707" s="953"/>
      <c r="X707" s="949">
        <f t="shared" si="7"/>
        <v>0</v>
      </c>
      <c r="Y707" s="955"/>
      <c r="Z707" s="953" t="str">
        <f t="shared" si="8"/>
        <v/>
      </c>
      <c r="AA707" s="949">
        <f t="shared" si="9"/>
        <v>0</v>
      </c>
      <c r="AB707" s="955"/>
      <c r="AC707" s="949" t="str">
        <f t="shared" si="10"/>
        <v/>
      </c>
      <c r="AD707" s="953">
        <f t="shared" si="11"/>
        <v>0</v>
      </c>
      <c r="AE707" s="956"/>
      <c r="AF707" s="889"/>
      <c r="AG707" s="810" t="b">
        <v>0</v>
      </c>
      <c r="AH707" s="780"/>
      <c r="AI707" s="780"/>
      <c r="AJ707" s="780"/>
      <c r="AK707" s="780"/>
      <c r="AL707" s="780"/>
      <c r="AM707" s="780"/>
      <c r="AN707" s="780"/>
      <c r="AO707" s="780"/>
      <c r="AP707" s="780"/>
      <c r="AQ707" s="780"/>
      <c r="AR707" s="780"/>
      <c r="AS707" s="780"/>
      <c r="AT707" s="780"/>
      <c r="AU707" s="780"/>
      <c r="AV707" s="780"/>
      <c r="AW707" s="780"/>
    </row>
    <row r="708">
      <c r="A708" s="941"/>
      <c r="B708" s="941"/>
      <c r="C708" s="995"/>
      <c r="D708" s="995"/>
      <c r="E708" s="995"/>
      <c r="F708" s="946"/>
      <c r="G708" s="946"/>
      <c r="H708" s="946"/>
      <c r="I708" s="947">
        <v>0.00138428</v>
      </c>
      <c r="J708" s="948">
        <v>0.035</v>
      </c>
      <c r="K708" s="949">
        <f t="shared" si="22"/>
        <v>0</v>
      </c>
      <c r="L708" s="950">
        <f t="shared" si="23"/>
        <v>0</v>
      </c>
      <c r="M708" s="948">
        <v>0.0215</v>
      </c>
      <c r="N708" s="951">
        <f t="shared" si="24"/>
        <v>0.00141404202</v>
      </c>
      <c r="O708" s="949">
        <f t="shared" si="25"/>
        <v>15</v>
      </c>
      <c r="P708" s="949">
        <f t="shared" si="77"/>
        <v>0.0215</v>
      </c>
      <c r="Q708" s="952">
        <f t="shared" si="79"/>
        <v>0</v>
      </c>
      <c r="R708" s="952">
        <f t="shared" si="78"/>
        <v>0</v>
      </c>
      <c r="S708" s="953"/>
      <c r="T708" s="949">
        <v>0.06</v>
      </c>
      <c r="U708" s="954"/>
      <c r="V708" s="949"/>
      <c r="W708" s="953"/>
      <c r="X708" s="949">
        <f t="shared" si="7"/>
        <v>0</v>
      </c>
      <c r="Y708" s="955"/>
      <c r="Z708" s="953" t="str">
        <f t="shared" si="8"/>
        <v/>
      </c>
      <c r="AA708" s="949">
        <f t="shared" si="9"/>
        <v>0</v>
      </c>
      <c r="AB708" s="955"/>
      <c r="AC708" s="949" t="str">
        <f t="shared" si="10"/>
        <v/>
      </c>
      <c r="AD708" s="953">
        <f t="shared" si="11"/>
        <v>0</v>
      </c>
      <c r="AE708" s="956"/>
      <c r="AF708" s="889"/>
      <c r="AG708" s="810" t="b">
        <v>0</v>
      </c>
      <c r="AH708" s="780"/>
      <c r="AI708" s="780"/>
      <c r="AJ708" s="780"/>
      <c r="AK708" s="780"/>
      <c r="AL708" s="780"/>
      <c r="AM708" s="780"/>
      <c r="AN708" s="780"/>
      <c r="AO708" s="780"/>
      <c r="AP708" s="780"/>
      <c r="AQ708" s="780"/>
      <c r="AR708" s="780"/>
      <c r="AS708" s="780"/>
      <c r="AT708" s="780"/>
      <c r="AU708" s="780"/>
      <c r="AV708" s="780"/>
      <c r="AW708" s="780"/>
    </row>
    <row r="709">
      <c r="A709" s="941"/>
      <c r="B709" s="941"/>
      <c r="C709" s="995"/>
      <c r="D709" s="944"/>
      <c r="E709" s="944"/>
      <c r="F709" s="946"/>
      <c r="G709" s="946"/>
      <c r="H709" s="946"/>
      <c r="I709" s="947">
        <v>0.00138428</v>
      </c>
      <c r="J709" s="948">
        <v>0.035</v>
      </c>
      <c r="K709" s="949">
        <f t="shared" si="22"/>
        <v>0</v>
      </c>
      <c r="L709" s="950">
        <f t="shared" si="23"/>
        <v>0</v>
      </c>
      <c r="M709" s="948">
        <v>0.0215</v>
      </c>
      <c r="N709" s="951">
        <f t="shared" si="24"/>
        <v>0.00141404202</v>
      </c>
      <c r="O709" s="949">
        <f t="shared" si="25"/>
        <v>15</v>
      </c>
      <c r="P709" s="949">
        <f t="shared" si="77"/>
        <v>0.0215</v>
      </c>
      <c r="Q709" s="952">
        <f t="shared" si="79"/>
        <v>0</v>
      </c>
      <c r="R709" s="952">
        <f t="shared" si="78"/>
        <v>0</v>
      </c>
      <c r="S709" s="953"/>
      <c r="T709" s="949">
        <v>0.06</v>
      </c>
      <c r="U709" s="954"/>
      <c r="V709" s="949"/>
      <c r="W709" s="953"/>
      <c r="X709" s="949">
        <f t="shared" si="7"/>
        <v>0</v>
      </c>
      <c r="Y709" s="955"/>
      <c r="Z709" s="953" t="str">
        <f t="shared" si="8"/>
        <v/>
      </c>
      <c r="AA709" s="949">
        <f t="shared" si="9"/>
        <v>0</v>
      </c>
      <c r="AB709" s="955"/>
      <c r="AC709" s="949" t="str">
        <f t="shared" si="10"/>
        <v/>
      </c>
      <c r="AD709" s="953">
        <f t="shared" si="11"/>
        <v>0</v>
      </c>
      <c r="AE709" s="956"/>
      <c r="AF709" s="889"/>
      <c r="AG709" s="810" t="b">
        <v>0</v>
      </c>
      <c r="AH709" s="780"/>
      <c r="AI709" s="780"/>
      <c r="AJ709" s="780"/>
      <c r="AK709" s="780"/>
      <c r="AL709" s="780"/>
      <c r="AM709" s="780"/>
      <c r="AN709" s="780"/>
      <c r="AO709" s="780"/>
      <c r="AP709" s="780"/>
      <c r="AQ709" s="780"/>
      <c r="AR709" s="780"/>
      <c r="AS709" s="780"/>
      <c r="AT709" s="780"/>
      <c r="AU709" s="780"/>
      <c r="AV709" s="780"/>
      <c r="AW709" s="780"/>
    </row>
    <row r="710">
      <c r="A710" s="941"/>
      <c r="B710" s="941"/>
      <c r="C710" s="995"/>
      <c r="D710" s="995"/>
      <c r="E710" s="995"/>
      <c r="F710" s="946"/>
      <c r="G710" s="946"/>
      <c r="H710" s="946"/>
      <c r="I710" s="947">
        <v>0.00138428</v>
      </c>
      <c r="J710" s="948">
        <v>0.035</v>
      </c>
      <c r="K710" s="949">
        <f t="shared" si="22"/>
        <v>0</v>
      </c>
      <c r="L710" s="950">
        <f t="shared" si="23"/>
        <v>0</v>
      </c>
      <c r="M710" s="948">
        <v>0.0215</v>
      </c>
      <c r="N710" s="951">
        <f t="shared" si="24"/>
        <v>0.00141404202</v>
      </c>
      <c r="O710" s="949">
        <f t="shared" si="25"/>
        <v>15</v>
      </c>
      <c r="P710" s="949">
        <f t="shared" si="77"/>
        <v>0.0215</v>
      </c>
      <c r="Q710" s="952">
        <f t="shared" si="79"/>
        <v>0</v>
      </c>
      <c r="R710" s="952">
        <f t="shared" si="78"/>
        <v>0</v>
      </c>
      <c r="S710" s="953"/>
      <c r="T710" s="949">
        <v>0.06</v>
      </c>
      <c r="U710" s="954"/>
      <c r="V710" s="949"/>
      <c r="W710" s="953"/>
      <c r="X710" s="949">
        <f t="shared" si="7"/>
        <v>0</v>
      </c>
      <c r="Y710" s="955"/>
      <c r="Z710" s="953" t="str">
        <f t="shared" si="8"/>
        <v/>
      </c>
      <c r="AA710" s="949">
        <f t="shared" si="9"/>
        <v>0</v>
      </c>
      <c r="AB710" s="955"/>
      <c r="AC710" s="949" t="str">
        <f t="shared" si="10"/>
        <v/>
      </c>
      <c r="AD710" s="953">
        <f t="shared" si="11"/>
        <v>0</v>
      </c>
      <c r="AE710" s="956"/>
      <c r="AF710" s="889"/>
      <c r="AG710" s="810" t="b">
        <v>0</v>
      </c>
      <c r="AH710" s="780"/>
      <c r="AI710" s="780"/>
      <c r="AJ710" s="780"/>
      <c r="AK710" s="780"/>
      <c r="AL710" s="780"/>
      <c r="AM710" s="780"/>
      <c r="AN710" s="780"/>
      <c r="AO710" s="780"/>
      <c r="AP710" s="780"/>
      <c r="AQ710" s="780"/>
      <c r="AR710" s="780"/>
      <c r="AS710" s="780"/>
      <c r="AT710" s="780"/>
      <c r="AU710" s="780"/>
      <c r="AV710" s="780"/>
      <c r="AW710" s="780"/>
    </row>
    <row r="711">
      <c r="A711" s="941"/>
      <c r="B711" s="941"/>
      <c r="C711" s="995"/>
      <c r="D711" s="944"/>
      <c r="E711" s="944"/>
      <c r="F711" s="946"/>
      <c r="G711" s="946"/>
      <c r="H711" s="946"/>
      <c r="I711" s="947">
        <v>0.00138428</v>
      </c>
      <c r="J711" s="948">
        <v>0.035</v>
      </c>
      <c r="K711" s="949">
        <f t="shared" si="22"/>
        <v>0</v>
      </c>
      <c r="L711" s="950">
        <f t="shared" si="23"/>
        <v>0</v>
      </c>
      <c r="M711" s="948">
        <v>0.0215</v>
      </c>
      <c r="N711" s="951">
        <f t="shared" si="24"/>
        <v>0.00141404202</v>
      </c>
      <c r="O711" s="949">
        <f t="shared" si="25"/>
        <v>15</v>
      </c>
      <c r="P711" s="949">
        <f t="shared" si="77"/>
        <v>0.0215</v>
      </c>
      <c r="Q711" s="952">
        <f t="shared" si="79"/>
        <v>0</v>
      </c>
      <c r="R711" s="952">
        <f t="shared" si="78"/>
        <v>0</v>
      </c>
      <c r="S711" s="953"/>
      <c r="T711" s="949">
        <v>0.06</v>
      </c>
      <c r="U711" s="954"/>
      <c r="V711" s="949"/>
      <c r="W711" s="953"/>
      <c r="X711" s="949">
        <f t="shared" si="7"/>
        <v>0</v>
      </c>
      <c r="Y711" s="955"/>
      <c r="Z711" s="953" t="str">
        <f t="shared" si="8"/>
        <v/>
      </c>
      <c r="AA711" s="949">
        <f t="shared" si="9"/>
        <v>0</v>
      </c>
      <c r="AB711" s="955"/>
      <c r="AC711" s="949" t="str">
        <f t="shared" si="10"/>
        <v/>
      </c>
      <c r="AD711" s="953">
        <f t="shared" si="11"/>
        <v>0</v>
      </c>
      <c r="AE711" s="956"/>
      <c r="AF711" s="889"/>
      <c r="AG711" s="810" t="b">
        <v>0</v>
      </c>
      <c r="AH711" s="780"/>
      <c r="AI711" s="780"/>
      <c r="AJ711" s="780"/>
      <c r="AK711" s="780"/>
      <c r="AL711" s="780"/>
      <c r="AM711" s="780"/>
      <c r="AN711" s="780"/>
      <c r="AO711" s="780"/>
      <c r="AP711" s="780"/>
      <c r="AQ711" s="780"/>
      <c r="AR711" s="780"/>
      <c r="AS711" s="780"/>
      <c r="AT711" s="780"/>
      <c r="AU711" s="780"/>
      <c r="AV711" s="780"/>
      <c r="AW711" s="780"/>
    </row>
    <row r="712">
      <c r="A712" s="941"/>
      <c r="B712" s="941"/>
      <c r="C712" s="995"/>
      <c r="D712" s="995"/>
      <c r="E712" s="995"/>
      <c r="F712" s="946"/>
      <c r="G712" s="946"/>
      <c r="H712" s="946"/>
      <c r="I712" s="947">
        <v>0.00138428</v>
      </c>
      <c r="J712" s="948">
        <v>0.035</v>
      </c>
      <c r="K712" s="949">
        <f t="shared" si="22"/>
        <v>0</v>
      </c>
      <c r="L712" s="950">
        <f t="shared" si="23"/>
        <v>0</v>
      </c>
      <c r="M712" s="948">
        <v>0.0215</v>
      </c>
      <c r="N712" s="951">
        <f t="shared" si="24"/>
        <v>0.00141404202</v>
      </c>
      <c r="O712" s="949">
        <f t="shared" si="25"/>
        <v>15</v>
      </c>
      <c r="P712" s="949">
        <f t="shared" si="77"/>
        <v>0.0215</v>
      </c>
      <c r="Q712" s="952">
        <f t="shared" si="79"/>
        <v>0</v>
      </c>
      <c r="R712" s="952">
        <f t="shared" si="78"/>
        <v>0</v>
      </c>
      <c r="S712" s="953"/>
      <c r="T712" s="949">
        <v>0.06</v>
      </c>
      <c r="U712" s="954"/>
      <c r="V712" s="949"/>
      <c r="W712" s="953"/>
      <c r="X712" s="949">
        <f t="shared" si="7"/>
        <v>0</v>
      </c>
      <c r="Y712" s="955"/>
      <c r="Z712" s="953" t="str">
        <f t="shared" si="8"/>
        <v/>
      </c>
      <c r="AA712" s="949">
        <f t="shared" si="9"/>
        <v>0</v>
      </c>
      <c r="AB712" s="955"/>
      <c r="AC712" s="949" t="str">
        <f t="shared" si="10"/>
        <v/>
      </c>
      <c r="AD712" s="953">
        <f t="shared" si="11"/>
        <v>0</v>
      </c>
      <c r="AE712" s="956"/>
      <c r="AF712" s="889"/>
      <c r="AG712" s="810" t="b">
        <v>0</v>
      </c>
      <c r="AH712" s="780"/>
      <c r="AI712" s="780"/>
      <c r="AJ712" s="780"/>
      <c r="AK712" s="780"/>
      <c r="AL712" s="780"/>
      <c r="AM712" s="780"/>
      <c r="AN712" s="780"/>
      <c r="AO712" s="780"/>
      <c r="AP712" s="780"/>
      <c r="AQ712" s="780"/>
      <c r="AR712" s="780"/>
      <c r="AS712" s="780"/>
      <c r="AT712" s="780"/>
      <c r="AU712" s="780"/>
      <c r="AV712" s="780"/>
      <c r="AW712" s="780"/>
    </row>
    <row r="713">
      <c r="A713" s="941"/>
      <c r="B713" s="941"/>
      <c r="C713" s="995"/>
      <c r="D713" s="944"/>
      <c r="E713" s="944"/>
      <c r="F713" s="946"/>
      <c r="G713" s="946"/>
      <c r="H713" s="946"/>
      <c r="I713" s="947">
        <v>0.00138428</v>
      </c>
      <c r="J713" s="948">
        <v>0.035</v>
      </c>
      <c r="K713" s="949">
        <f t="shared" si="22"/>
        <v>0</v>
      </c>
      <c r="L713" s="950">
        <f t="shared" si="23"/>
        <v>0</v>
      </c>
      <c r="M713" s="948">
        <v>0.0215</v>
      </c>
      <c r="N713" s="951">
        <f t="shared" si="24"/>
        <v>0.00141404202</v>
      </c>
      <c r="O713" s="949">
        <f t="shared" si="25"/>
        <v>15</v>
      </c>
      <c r="P713" s="949">
        <f t="shared" si="77"/>
        <v>0.0215</v>
      </c>
      <c r="Q713" s="952">
        <f t="shared" si="79"/>
        <v>0</v>
      </c>
      <c r="R713" s="952">
        <f t="shared" si="78"/>
        <v>0</v>
      </c>
      <c r="S713" s="953"/>
      <c r="T713" s="949">
        <v>0.06</v>
      </c>
      <c r="U713" s="954"/>
      <c r="V713" s="949"/>
      <c r="W713" s="953"/>
      <c r="X713" s="949">
        <f t="shared" si="7"/>
        <v>0</v>
      </c>
      <c r="Y713" s="955"/>
      <c r="Z713" s="953" t="str">
        <f t="shared" si="8"/>
        <v/>
      </c>
      <c r="AA713" s="949">
        <f t="shared" si="9"/>
        <v>0</v>
      </c>
      <c r="AB713" s="955"/>
      <c r="AC713" s="949" t="str">
        <f t="shared" si="10"/>
        <v/>
      </c>
      <c r="AD713" s="953">
        <f t="shared" si="11"/>
        <v>0</v>
      </c>
      <c r="AE713" s="956"/>
      <c r="AF713" s="889"/>
      <c r="AG713" s="810" t="b">
        <v>0</v>
      </c>
      <c r="AH713" s="780"/>
      <c r="AI713" s="780"/>
      <c r="AJ713" s="780"/>
      <c r="AK713" s="780"/>
      <c r="AL713" s="780"/>
      <c r="AM713" s="780"/>
      <c r="AN713" s="780"/>
      <c r="AO713" s="780"/>
      <c r="AP713" s="780"/>
      <c r="AQ713" s="780"/>
      <c r="AR713" s="780"/>
      <c r="AS713" s="780"/>
      <c r="AT713" s="780"/>
      <c r="AU713" s="780"/>
      <c r="AV713" s="780"/>
      <c r="AW713" s="780"/>
    </row>
    <row r="714">
      <c r="A714" s="941"/>
      <c r="B714" s="941"/>
      <c r="C714" s="995"/>
      <c r="D714" s="995"/>
      <c r="E714" s="995"/>
      <c r="F714" s="946"/>
      <c r="G714" s="946"/>
      <c r="H714" s="946"/>
      <c r="I714" s="947">
        <v>0.00138428</v>
      </c>
      <c r="J714" s="948">
        <v>0.035</v>
      </c>
      <c r="K714" s="949">
        <f t="shared" si="22"/>
        <v>0</v>
      </c>
      <c r="L714" s="950">
        <f t="shared" si="23"/>
        <v>0</v>
      </c>
      <c r="M714" s="948">
        <v>0.0215</v>
      </c>
      <c r="N714" s="951">
        <f t="shared" si="24"/>
        <v>0.00141404202</v>
      </c>
      <c r="O714" s="949">
        <f t="shared" si="25"/>
        <v>15</v>
      </c>
      <c r="P714" s="949">
        <f t="shared" si="77"/>
        <v>0.0215</v>
      </c>
      <c r="Q714" s="952">
        <f t="shared" si="79"/>
        <v>0</v>
      </c>
      <c r="R714" s="952">
        <f t="shared" si="78"/>
        <v>0</v>
      </c>
      <c r="S714" s="953"/>
      <c r="T714" s="949">
        <v>0.06</v>
      </c>
      <c r="U714" s="954"/>
      <c r="V714" s="949"/>
      <c r="W714" s="953"/>
      <c r="X714" s="949">
        <f t="shared" si="7"/>
        <v>0</v>
      </c>
      <c r="Y714" s="955"/>
      <c r="Z714" s="953" t="str">
        <f t="shared" si="8"/>
        <v/>
      </c>
      <c r="AA714" s="949">
        <f t="shared" si="9"/>
        <v>0</v>
      </c>
      <c r="AB714" s="955"/>
      <c r="AC714" s="949" t="str">
        <f t="shared" si="10"/>
        <v/>
      </c>
      <c r="AD714" s="953">
        <f t="shared" si="11"/>
        <v>0</v>
      </c>
      <c r="AE714" s="956"/>
      <c r="AF714" s="889"/>
      <c r="AG714" s="810" t="b">
        <v>0</v>
      </c>
      <c r="AH714" s="780"/>
      <c r="AI714" s="780"/>
      <c r="AJ714" s="780"/>
      <c r="AK714" s="780"/>
      <c r="AL714" s="780"/>
      <c r="AM714" s="780"/>
      <c r="AN714" s="780"/>
      <c r="AO714" s="780"/>
      <c r="AP714" s="780"/>
      <c r="AQ714" s="780"/>
      <c r="AR714" s="780"/>
      <c r="AS714" s="780"/>
      <c r="AT714" s="780"/>
      <c r="AU714" s="780"/>
      <c r="AV714" s="780"/>
      <c r="AW714" s="780"/>
    </row>
    <row r="715">
      <c r="A715" s="941"/>
      <c r="B715" s="941"/>
      <c r="C715" s="995"/>
      <c r="D715" s="944"/>
      <c r="E715" s="944"/>
      <c r="F715" s="946"/>
      <c r="G715" s="946"/>
      <c r="H715" s="946"/>
      <c r="I715" s="947">
        <v>0.00138428</v>
      </c>
      <c r="J715" s="948">
        <v>0.035</v>
      </c>
      <c r="K715" s="949">
        <f t="shared" si="22"/>
        <v>0</v>
      </c>
      <c r="L715" s="950">
        <f t="shared" si="23"/>
        <v>0</v>
      </c>
      <c r="M715" s="948">
        <v>0.0215</v>
      </c>
      <c r="N715" s="951">
        <f t="shared" si="24"/>
        <v>0.00141404202</v>
      </c>
      <c r="O715" s="949">
        <f t="shared" si="25"/>
        <v>15</v>
      </c>
      <c r="P715" s="949">
        <f t="shared" si="77"/>
        <v>0.0215</v>
      </c>
      <c r="Q715" s="952">
        <f t="shared" si="79"/>
        <v>0</v>
      </c>
      <c r="R715" s="952">
        <f t="shared" si="78"/>
        <v>0</v>
      </c>
      <c r="S715" s="953"/>
      <c r="T715" s="949">
        <v>0.06</v>
      </c>
      <c r="U715" s="954"/>
      <c r="V715" s="949"/>
      <c r="W715" s="953"/>
      <c r="X715" s="949">
        <f t="shared" si="7"/>
        <v>0</v>
      </c>
      <c r="Y715" s="955"/>
      <c r="Z715" s="953" t="str">
        <f t="shared" si="8"/>
        <v/>
      </c>
      <c r="AA715" s="949">
        <f t="shared" si="9"/>
        <v>0</v>
      </c>
      <c r="AB715" s="955"/>
      <c r="AC715" s="949" t="str">
        <f t="shared" si="10"/>
        <v/>
      </c>
      <c r="AD715" s="953">
        <f t="shared" si="11"/>
        <v>0</v>
      </c>
      <c r="AE715" s="956"/>
      <c r="AF715" s="889"/>
      <c r="AG715" s="810" t="b">
        <v>0</v>
      </c>
      <c r="AH715" s="780"/>
      <c r="AI715" s="780"/>
      <c r="AJ715" s="780"/>
      <c r="AK715" s="780"/>
      <c r="AL715" s="780"/>
      <c r="AM715" s="780"/>
      <c r="AN715" s="780"/>
      <c r="AO715" s="780"/>
      <c r="AP715" s="780"/>
      <c r="AQ715" s="780"/>
      <c r="AR715" s="780"/>
      <c r="AS715" s="780"/>
      <c r="AT715" s="780"/>
      <c r="AU715" s="780"/>
      <c r="AV715" s="780"/>
      <c r="AW715" s="780"/>
    </row>
    <row r="716">
      <c r="A716" s="941"/>
      <c r="B716" s="941"/>
      <c r="C716" s="995"/>
      <c r="D716" s="995"/>
      <c r="E716" s="995"/>
      <c r="F716" s="946"/>
      <c r="G716" s="946"/>
      <c r="H716" s="946"/>
      <c r="I716" s="947">
        <v>0.00138428</v>
      </c>
      <c r="J716" s="948">
        <v>0.035</v>
      </c>
      <c r="K716" s="949">
        <f t="shared" si="22"/>
        <v>0</v>
      </c>
      <c r="L716" s="950">
        <f t="shared" si="23"/>
        <v>0</v>
      </c>
      <c r="M716" s="948">
        <v>0.0215</v>
      </c>
      <c r="N716" s="951">
        <f t="shared" si="24"/>
        <v>0.00141404202</v>
      </c>
      <c r="O716" s="949">
        <f t="shared" si="25"/>
        <v>15</v>
      </c>
      <c r="P716" s="949">
        <f t="shared" si="77"/>
        <v>0.0215</v>
      </c>
      <c r="Q716" s="952">
        <f t="shared" si="79"/>
        <v>0</v>
      </c>
      <c r="R716" s="952">
        <f t="shared" si="78"/>
        <v>0</v>
      </c>
      <c r="S716" s="953"/>
      <c r="T716" s="949">
        <v>0.06</v>
      </c>
      <c r="U716" s="954"/>
      <c r="V716" s="949"/>
      <c r="W716" s="953"/>
      <c r="X716" s="949">
        <f t="shared" si="7"/>
        <v>0</v>
      </c>
      <c r="Y716" s="955"/>
      <c r="Z716" s="953" t="str">
        <f t="shared" si="8"/>
        <v/>
      </c>
      <c r="AA716" s="949">
        <f t="shared" si="9"/>
        <v>0</v>
      </c>
      <c r="AB716" s="955"/>
      <c r="AC716" s="949" t="str">
        <f t="shared" si="10"/>
        <v/>
      </c>
      <c r="AD716" s="953">
        <f t="shared" si="11"/>
        <v>0</v>
      </c>
      <c r="AE716" s="956"/>
      <c r="AF716" s="889"/>
      <c r="AG716" s="810" t="b">
        <v>0</v>
      </c>
      <c r="AH716" s="780"/>
      <c r="AI716" s="780"/>
      <c r="AJ716" s="780"/>
      <c r="AK716" s="780"/>
      <c r="AL716" s="780"/>
      <c r="AM716" s="780"/>
      <c r="AN716" s="780"/>
      <c r="AO716" s="780"/>
      <c r="AP716" s="780"/>
      <c r="AQ716" s="780"/>
      <c r="AR716" s="780"/>
      <c r="AS716" s="780"/>
      <c r="AT716" s="780"/>
      <c r="AU716" s="780"/>
      <c r="AV716" s="780"/>
      <c r="AW716" s="780"/>
    </row>
    <row r="717">
      <c r="A717" s="941"/>
      <c r="B717" s="941"/>
      <c r="C717" s="995"/>
      <c r="D717" s="944"/>
      <c r="E717" s="944"/>
      <c r="F717" s="946"/>
      <c r="G717" s="946"/>
      <c r="H717" s="946"/>
      <c r="I717" s="947">
        <v>0.00138428</v>
      </c>
      <c r="J717" s="948">
        <v>0.035</v>
      </c>
      <c r="K717" s="949">
        <f t="shared" si="22"/>
        <v>0</v>
      </c>
      <c r="L717" s="950">
        <f t="shared" si="23"/>
        <v>0</v>
      </c>
      <c r="M717" s="948">
        <v>0.0215</v>
      </c>
      <c r="N717" s="951">
        <f t="shared" si="24"/>
        <v>0.00141404202</v>
      </c>
      <c r="O717" s="949">
        <f t="shared" si="25"/>
        <v>15</v>
      </c>
      <c r="P717" s="949">
        <f t="shared" si="77"/>
        <v>0.0215</v>
      </c>
      <c r="Q717" s="952">
        <f t="shared" si="79"/>
        <v>0</v>
      </c>
      <c r="R717" s="952">
        <f t="shared" si="78"/>
        <v>0</v>
      </c>
      <c r="S717" s="953"/>
      <c r="T717" s="949">
        <v>0.06</v>
      </c>
      <c r="U717" s="954"/>
      <c r="V717" s="949"/>
      <c r="W717" s="953"/>
      <c r="X717" s="949">
        <f t="shared" si="7"/>
        <v>0</v>
      </c>
      <c r="Y717" s="955"/>
      <c r="Z717" s="953" t="str">
        <f t="shared" si="8"/>
        <v/>
      </c>
      <c r="AA717" s="949">
        <f t="shared" si="9"/>
        <v>0</v>
      </c>
      <c r="AB717" s="955"/>
      <c r="AC717" s="949" t="str">
        <f t="shared" si="10"/>
        <v/>
      </c>
      <c r="AD717" s="953">
        <f t="shared" si="11"/>
        <v>0</v>
      </c>
      <c r="AE717" s="956"/>
      <c r="AF717" s="889"/>
      <c r="AG717" s="810" t="b">
        <v>0</v>
      </c>
      <c r="AH717" s="780"/>
      <c r="AI717" s="780"/>
      <c r="AJ717" s="780"/>
      <c r="AK717" s="780"/>
      <c r="AL717" s="780"/>
      <c r="AM717" s="780"/>
      <c r="AN717" s="780"/>
      <c r="AO717" s="780"/>
      <c r="AP717" s="780"/>
      <c r="AQ717" s="780"/>
      <c r="AR717" s="780"/>
      <c r="AS717" s="780"/>
      <c r="AT717" s="780"/>
      <c r="AU717" s="780"/>
      <c r="AV717" s="780"/>
      <c r="AW717" s="780"/>
    </row>
    <row r="718">
      <c r="A718" s="941"/>
      <c r="B718" s="941"/>
      <c r="C718" s="995"/>
      <c r="D718" s="995"/>
      <c r="E718" s="995"/>
      <c r="F718" s="946"/>
      <c r="G718" s="946"/>
      <c r="H718" s="946"/>
      <c r="I718" s="947">
        <v>0.00138428</v>
      </c>
      <c r="J718" s="948">
        <v>0.035</v>
      </c>
      <c r="K718" s="949">
        <f t="shared" si="22"/>
        <v>0</v>
      </c>
      <c r="L718" s="950">
        <f t="shared" si="23"/>
        <v>0</v>
      </c>
      <c r="M718" s="948">
        <v>0.0215</v>
      </c>
      <c r="N718" s="951">
        <f t="shared" si="24"/>
        <v>0.00141404202</v>
      </c>
      <c r="O718" s="949">
        <f t="shared" si="25"/>
        <v>15</v>
      </c>
      <c r="P718" s="949">
        <f t="shared" si="77"/>
        <v>0.0215</v>
      </c>
      <c r="Q718" s="952">
        <f t="shared" si="79"/>
        <v>0</v>
      </c>
      <c r="R718" s="952">
        <f t="shared" si="78"/>
        <v>0</v>
      </c>
      <c r="S718" s="953"/>
      <c r="T718" s="949">
        <v>0.06</v>
      </c>
      <c r="U718" s="954"/>
      <c r="V718" s="949"/>
      <c r="W718" s="953"/>
      <c r="X718" s="949">
        <f t="shared" si="7"/>
        <v>0</v>
      </c>
      <c r="Y718" s="955"/>
      <c r="Z718" s="953" t="str">
        <f t="shared" si="8"/>
        <v/>
      </c>
      <c r="AA718" s="949">
        <f t="shared" si="9"/>
        <v>0</v>
      </c>
      <c r="AB718" s="955"/>
      <c r="AC718" s="949" t="str">
        <f t="shared" si="10"/>
        <v/>
      </c>
      <c r="AD718" s="953">
        <f t="shared" si="11"/>
        <v>0</v>
      </c>
      <c r="AE718" s="956"/>
      <c r="AF718" s="889"/>
      <c r="AG718" s="810" t="b">
        <v>0</v>
      </c>
      <c r="AH718" s="780"/>
      <c r="AI718" s="780"/>
      <c r="AJ718" s="780"/>
      <c r="AK718" s="780"/>
      <c r="AL718" s="780"/>
      <c r="AM718" s="780"/>
      <c r="AN718" s="780"/>
      <c r="AO718" s="780"/>
      <c r="AP718" s="780"/>
      <c r="AQ718" s="780"/>
      <c r="AR718" s="780"/>
      <c r="AS718" s="780"/>
      <c r="AT718" s="780"/>
      <c r="AU718" s="780"/>
      <c r="AV718" s="780"/>
      <c r="AW718" s="780"/>
    </row>
    <row r="719">
      <c r="A719" s="941"/>
      <c r="B719" s="941"/>
      <c r="C719" s="995"/>
      <c r="D719" s="944"/>
      <c r="E719" s="944"/>
      <c r="F719" s="946"/>
      <c r="G719" s="946"/>
      <c r="H719" s="946"/>
      <c r="I719" s="947">
        <v>0.00138428</v>
      </c>
      <c r="J719" s="948">
        <v>0.035</v>
      </c>
      <c r="K719" s="949">
        <f t="shared" si="22"/>
        <v>0</v>
      </c>
      <c r="L719" s="950">
        <f t="shared" si="23"/>
        <v>0</v>
      </c>
      <c r="M719" s="948">
        <v>0.0215</v>
      </c>
      <c r="N719" s="951">
        <f t="shared" si="24"/>
        <v>0.00141404202</v>
      </c>
      <c r="O719" s="949">
        <f t="shared" si="25"/>
        <v>15</v>
      </c>
      <c r="P719" s="949">
        <f t="shared" si="77"/>
        <v>0.0215</v>
      </c>
      <c r="Q719" s="952">
        <f t="shared" si="79"/>
        <v>0</v>
      </c>
      <c r="R719" s="952">
        <f t="shared" si="78"/>
        <v>0</v>
      </c>
      <c r="S719" s="953"/>
      <c r="T719" s="949">
        <v>0.06</v>
      </c>
      <c r="U719" s="954"/>
      <c r="V719" s="949"/>
      <c r="W719" s="953"/>
      <c r="X719" s="949">
        <f t="shared" si="7"/>
        <v>0</v>
      </c>
      <c r="Y719" s="955"/>
      <c r="Z719" s="953" t="str">
        <f t="shared" si="8"/>
        <v/>
      </c>
      <c r="AA719" s="949">
        <f t="shared" si="9"/>
        <v>0</v>
      </c>
      <c r="AB719" s="955"/>
      <c r="AC719" s="949" t="str">
        <f t="shared" si="10"/>
        <v/>
      </c>
      <c r="AD719" s="953">
        <f t="shared" si="11"/>
        <v>0</v>
      </c>
      <c r="AE719" s="956"/>
      <c r="AF719" s="889"/>
      <c r="AG719" s="810" t="b">
        <v>0</v>
      </c>
      <c r="AH719" s="780"/>
      <c r="AI719" s="780"/>
      <c r="AJ719" s="780"/>
      <c r="AK719" s="780"/>
      <c r="AL719" s="780"/>
      <c r="AM719" s="780"/>
      <c r="AN719" s="780"/>
      <c r="AO719" s="780"/>
      <c r="AP719" s="780"/>
      <c r="AQ719" s="780"/>
      <c r="AR719" s="780"/>
      <c r="AS719" s="780"/>
      <c r="AT719" s="780"/>
      <c r="AU719" s="780"/>
      <c r="AV719" s="780"/>
      <c r="AW719" s="780"/>
    </row>
    <row r="720">
      <c r="A720" s="941"/>
      <c r="B720" s="941"/>
      <c r="C720" s="995"/>
      <c r="D720" s="995"/>
      <c r="E720" s="995"/>
      <c r="F720" s="946"/>
      <c r="G720" s="946"/>
      <c r="H720" s="946"/>
      <c r="I720" s="947">
        <v>0.00138428</v>
      </c>
      <c r="J720" s="948">
        <v>0.035</v>
      </c>
      <c r="K720" s="949">
        <f t="shared" si="22"/>
        <v>0</v>
      </c>
      <c r="L720" s="950">
        <f t="shared" si="23"/>
        <v>0</v>
      </c>
      <c r="M720" s="948">
        <v>0.0215</v>
      </c>
      <c r="N720" s="951">
        <f t="shared" si="24"/>
        <v>0.00141404202</v>
      </c>
      <c r="O720" s="949">
        <f t="shared" si="25"/>
        <v>15</v>
      </c>
      <c r="P720" s="949">
        <f t="shared" si="77"/>
        <v>0.0215</v>
      </c>
      <c r="Q720" s="952">
        <f t="shared" si="79"/>
        <v>0</v>
      </c>
      <c r="R720" s="952">
        <f t="shared" si="78"/>
        <v>0</v>
      </c>
      <c r="S720" s="953"/>
      <c r="T720" s="949">
        <v>0.06</v>
      </c>
      <c r="U720" s="954"/>
      <c r="V720" s="949"/>
      <c r="W720" s="953"/>
      <c r="X720" s="949">
        <f t="shared" si="7"/>
        <v>0</v>
      </c>
      <c r="Y720" s="955"/>
      <c r="Z720" s="953" t="str">
        <f t="shared" si="8"/>
        <v/>
      </c>
      <c r="AA720" s="949">
        <f t="shared" si="9"/>
        <v>0</v>
      </c>
      <c r="AB720" s="955"/>
      <c r="AC720" s="949" t="str">
        <f t="shared" si="10"/>
        <v/>
      </c>
      <c r="AD720" s="953">
        <f t="shared" si="11"/>
        <v>0</v>
      </c>
      <c r="AE720" s="956"/>
      <c r="AF720" s="889"/>
      <c r="AG720" s="810" t="b">
        <v>0</v>
      </c>
      <c r="AH720" s="780"/>
      <c r="AI720" s="780"/>
      <c r="AJ720" s="780"/>
      <c r="AK720" s="780"/>
      <c r="AL720" s="780"/>
      <c r="AM720" s="780"/>
      <c r="AN720" s="780"/>
      <c r="AO720" s="780"/>
      <c r="AP720" s="780"/>
      <c r="AQ720" s="780"/>
      <c r="AR720" s="780"/>
      <c r="AS720" s="780"/>
      <c r="AT720" s="780"/>
      <c r="AU720" s="780"/>
      <c r="AV720" s="780"/>
      <c r="AW720" s="780"/>
    </row>
    <row r="721">
      <c r="A721" s="941"/>
      <c r="B721" s="941"/>
      <c r="C721" s="995"/>
      <c r="D721" s="944"/>
      <c r="E721" s="944"/>
      <c r="F721" s="946"/>
      <c r="G721" s="946"/>
      <c r="H721" s="946"/>
      <c r="I721" s="947">
        <v>0.00138428</v>
      </c>
      <c r="J721" s="948">
        <v>0.035</v>
      </c>
      <c r="K721" s="949">
        <f t="shared" si="22"/>
        <v>0</v>
      </c>
      <c r="L721" s="950">
        <f t="shared" si="23"/>
        <v>0</v>
      </c>
      <c r="M721" s="948">
        <v>0.0215</v>
      </c>
      <c r="N721" s="951">
        <f t="shared" si="24"/>
        <v>0.00141404202</v>
      </c>
      <c r="O721" s="949">
        <f t="shared" si="25"/>
        <v>15</v>
      </c>
      <c r="P721" s="949">
        <f t="shared" si="77"/>
        <v>0.0215</v>
      </c>
      <c r="Q721" s="952">
        <f t="shared" si="79"/>
        <v>0</v>
      </c>
      <c r="R721" s="952">
        <f t="shared" si="78"/>
        <v>0</v>
      </c>
      <c r="S721" s="953"/>
      <c r="T721" s="949">
        <v>0.06</v>
      </c>
      <c r="U721" s="954"/>
      <c r="V721" s="949"/>
      <c r="W721" s="953"/>
      <c r="X721" s="949">
        <f t="shared" si="7"/>
        <v>0</v>
      </c>
      <c r="Y721" s="955"/>
      <c r="Z721" s="953" t="str">
        <f t="shared" si="8"/>
        <v/>
      </c>
      <c r="AA721" s="949">
        <f t="shared" si="9"/>
        <v>0</v>
      </c>
      <c r="AB721" s="955"/>
      <c r="AC721" s="949" t="str">
        <f t="shared" si="10"/>
        <v/>
      </c>
      <c r="AD721" s="953">
        <f t="shared" si="11"/>
        <v>0</v>
      </c>
      <c r="AE721" s="956"/>
      <c r="AF721" s="889"/>
      <c r="AG721" s="810" t="b">
        <v>0</v>
      </c>
      <c r="AH721" s="780"/>
      <c r="AI721" s="780"/>
      <c r="AJ721" s="780"/>
      <c r="AK721" s="780"/>
      <c r="AL721" s="780"/>
      <c r="AM721" s="780"/>
      <c r="AN721" s="780"/>
      <c r="AO721" s="780"/>
      <c r="AP721" s="780"/>
      <c r="AQ721" s="780"/>
      <c r="AR721" s="780"/>
      <c r="AS721" s="780"/>
      <c r="AT721" s="780"/>
      <c r="AU721" s="780"/>
      <c r="AV721" s="780"/>
      <c r="AW721" s="780"/>
    </row>
    <row r="722">
      <c r="A722" s="941"/>
      <c r="B722" s="941"/>
      <c r="C722" s="995"/>
      <c r="D722" s="995"/>
      <c r="E722" s="995"/>
      <c r="F722" s="946"/>
      <c r="G722" s="946"/>
      <c r="H722" s="946"/>
      <c r="I722" s="947">
        <v>0.00138428</v>
      </c>
      <c r="J722" s="948">
        <v>0.035</v>
      </c>
      <c r="K722" s="949">
        <f t="shared" si="22"/>
        <v>0</v>
      </c>
      <c r="L722" s="950">
        <f t="shared" si="23"/>
        <v>0</v>
      </c>
      <c r="M722" s="948">
        <v>0.0215</v>
      </c>
      <c r="N722" s="951">
        <f t="shared" si="24"/>
        <v>0.00141404202</v>
      </c>
      <c r="O722" s="949">
        <f t="shared" si="25"/>
        <v>15</v>
      </c>
      <c r="P722" s="949">
        <f t="shared" si="77"/>
        <v>0.0215</v>
      </c>
      <c r="Q722" s="952">
        <f t="shared" si="79"/>
        <v>0</v>
      </c>
      <c r="R722" s="952">
        <f t="shared" si="78"/>
        <v>0</v>
      </c>
      <c r="S722" s="953"/>
      <c r="T722" s="949">
        <v>0.06</v>
      </c>
      <c r="U722" s="954"/>
      <c r="V722" s="949"/>
      <c r="W722" s="953"/>
      <c r="X722" s="949">
        <f t="shared" si="7"/>
        <v>0</v>
      </c>
      <c r="Y722" s="955"/>
      <c r="Z722" s="953" t="str">
        <f t="shared" si="8"/>
        <v/>
      </c>
      <c r="AA722" s="949">
        <f t="shared" si="9"/>
        <v>0</v>
      </c>
      <c r="AB722" s="955"/>
      <c r="AC722" s="949" t="str">
        <f t="shared" si="10"/>
        <v/>
      </c>
      <c r="AD722" s="953">
        <f t="shared" si="11"/>
        <v>0</v>
      </c>
      <c r="AE722" s="956"/>
      <c r="AF722" s="889"/>
      <c r="AG722" s="810" t="b">
        <v>0</v>
      </c>
      <c r="AH722" s="780"/>
      <c r="AI722" s="780"/>
      <c r="AJ722" s="780"/>
      <c r="AK722" s="780"/>
      <c r="AL722" s="780"/>
      <c r="AM722" s="780"/>
      <c r="AN722" s="780"/>
      <c r="AO722" s="780"/>
      <c r="AP722" s="780"/>
      <c r="AQ722" s="780"/>
      <c r="AR722" s="780"/>
      <c r="AS722" s="780"/>
      <c r="AT722" s="780"/>
      <c r="AU722" s="780"/>
      <c r="AV722" s="780"/>
      <c r="AW722" s="780"/>
    </row>
    <row r="723">
      <c r="A723" s="941"/>
      <c r="B723" s="941"/>
      <c r="C723" s="995"/>
      <c r="D723" s="944"/>
      <c r="E723" s="944"/>
      <c r="F723" s="1000"/>
      <c r="G723" s="1000"/>
      <c r="H723" s="1000"/>
      <c r="I723" s="947">
        <v>0.00138428</v>
      </c>
      <c r="J723" s="948">
        <v>0.035</v>
      </c>
      <c r="K723" s="949">
        <f t="shared" si="22"/>
        <v>0</v>
      </c>
      <c r="L723" s="950">
        <f t="shared" si="23"/>
        <v>0</v>
      </c>
      <c r="M723" s="948">
        <v>0.0215</v>
      </c>
      <c r="N723" s="951">
        <f t="shared" si="24"/>
        <v>0.00141404202</v>
      </c>
      <c r="O723" s="949">
        <f t="shared" si="25"/>
        <v>15</v>
      </c>
      <c r="P723" s="949">
        <f t="shared" si="77"/>
        <v>0.0215</v>
      </c>
      <c r="Q723" s="952">
        <f t="shared" si="79"/>
        <v>0</v>
      </c>
      <c r="R723" s="952">
        <f t="shared" si="78"/>
        <v>0</v>
      </c>
      <c r="S723" s="953"/>
      <c r="T723" s="949">
        <v>0.06</v>
      </c>
      <c r="U723" s="954"/>
      <c r="V723" s="949"/>
      <c r="W723" s="953"/>
      <c r="X723" s="949">
        <f t="shared" si="7"/>
        <v>0</v>
      </c>
      <c r="Y723" s="955"/>
      <c r="Z723" s="953" t="str">
        <f t="shared" si="8"/>
        <v/>
      </c>
      <c r="AA723" s="949">
        <f t="shared" si="9"/>
        <v>0</v>
      </c>
      <c r="AB723" s="955"/>
      <c r="AC723" s="949" t="str">
        <f t="shared" si="10"/>
        <v/>
      </c>
      <c r="AD723" s="953">
        <f t="shared" si="11"/>
        <v>0</v>
      </c>
      <c r="AE723" s="956"/>
      <c r="AF723" s="889"/>
      <c r="AG723" s="810" t="b">
        <v>0</v>
      </c>
      <c r="AH723" s="780"/>
      <c r="AI723" s="780"/>
      <c r="AJ723" s="780"/>
      <c r="AK723" s="780"/>
      <c r="AL723" s="780"/>
      <c r="AM723" s="780"/>
      <c r="AN723" s="780"/>
      <c r="AO723" s="780"/>
      <c r="AP723" s="780"/>
      <c r="AQ723" s="780"/>
      <c r="AR723" s="780"/>
      <c r="AS723" s="780"/>
      <c r="AT723" s="780"/>
      <c r="AU723" s="780"/>
      <c r="AV723" s="780"/>
      <c r="AW723" s="780"/>
    </row>
    <row r="724">
      <c r="A724" s="941"/>
      <c r="B724" s="941"/>
      <c r="C724" s="995"/>
      <c r="D724" s="995"/>
      <c r="E724" s="995"/>
      <c r="F724" s="946"/>
      <c r="G724" s="946"/>
      <c r="H724" s="946"/>
      <c r="I724" s="947">
        <v>0.00138428</v>
      </c>
      <c r="J724" s="948">
        <v>0.035</v>
      </c>
      <c r="K724" s="949">
        <f t="shared" si="22"/>
        <v>0</v>
      </c>
      <c r="L724" s="950">
        <f t="shared" si="23"/>
        <v>0</v>
      </c>
      <c r="M724" s="948">
        <v>0.0215</v>
      </c>
      <c r="N724" s="951">
        <f t="shared" si="24"/>
        <v>0.00141404202</v>
      </c>
      <c r="O724" s="949">
        <f t="shared" si="25"/>
        <v>15</v>
      </c>
      <c r="P724" s="949">
        <f t="shared" si="77"/>
        <v>0.0215</v>
      </c>
      <c r="Q724" s="952">
        <f t="shared" si="79"/>
        <v>0</v>
      </c>
      <c r="R724" s="952">
        <f t="shared" si="78"/>
        <v>0</v>
      </c>
      <c r="S724" s="953"/>
      <c r="T724" s="949">
        <v>0.06</v>
      </c>
      <c r="U724" s="954"/>
      <c r="V724" s="949"/>
      <c r="W724" s="953"/>
      <c r="X724" s="949">
        <f t="shared" si="7"/>
        <v>0</v>
      </c>
      <c r="Y724" s="955"/>
      <c r="Z724" s="953" t="str">
        <f t="shared" si="8"/>
        <v/>
      </c>
      <c r="AA724" s="949">
        <f t="shared" si="9"/>
        <v>0</v>
      </c>
      <c r="AB724" s="955"/>
      <c r="AC724" s="949" t="str">
        <f t="shared" si="10"/>
        <v/>
      </c>
      <c r="AD724" s="953">
        <f t="shared" si="11"/>
        <v>0</v>
      </c>
      <c r="AE724" s="956"/>
      <c r="AF724" s="889"/>
      <c r="AG724" s="810" t="b">
        <v>0</v>
      </c>
      <c r="AH724" s="780"/>
      <c r="AI724" s="780"/>
      <c r="AJ724" s="780"/>
      <c r="AK724" s="780"/>
      <c r="AL724" s="780"/>
      <c r="AM724" s="780"/>
      <c r="AN724" s="780"/>
      <c r="AO724" s="780"/>
      <c r="AP724" s="780"/>
      <c r="AQ724" s="780"/>
      <c r="AR724" s="780"/>
      <c r="AS724" s="780"/>
      <c r="AT724" s="780"/>
      <c r="AU724" s="780"/>
      <c r="AV724" s="780"/>
      <c r="AW724" s="780"/>
    </row>
    <row r="725">
      <c r="A725" s="941"/>
      <c r="B725" s="941"/>
      <c r="C725" s="995"/>
      <c r="D725" s="995"/>
      <c r="E725" s="995"/>
      <c r="F725" s="946"/>
      <c r="G725" s="946"/>
      <c r="H725" s="946"/>
      <c r="I725" s="947">
        <v>0.00138428</v>
      </c>
      <c r="J725" s="948">
        <v>0.035</v>
      </c>
      <c r="K725" s="949">
        <f t="shared" si="22"/>
        <v>0</v>
      </c>
      <c r="L725" s="950">
        <f t="shared" si="23"/>
        <v>0</v>
      </c>
      <c r="M725" s="948">
        <v>0.0215</v>
      </c>
      <c r="N725" s="951">
        <f t="shared" si="24"/>
        <v>0.00141404202</v>
      </c>
      <c r="O725" s="949">
        <f t="shared" si="25"/>
        <v>15</v>
      </c>
      <c r="P725" s="949">
        <f t="shared" si="77"/>
        <v>0.0215</v>
      </c>
      <c r="Q725" s="952">
        <f t="shared" si="79"/>
        <v>0</v>
      </c>
      <c r="R725" s="952">
        <f t="shared" si="78"/>
        <v>0</v>
      </c>
      <c r="S725" s="953"/>
      <c r="T725" s="949">
        <v>0.06</v>
      </c>
      <c r="U725" s="954"/>
      <c r="V725" s="949"/>
      <c r="W725" s="953"/>
      <c r="X725" s="949">
        <f t="shared" si="7"/>
        <v>0</v>
      </c>
      <c r="Y725" s="955"/>
      <c r="Z725" s="953" t="str">
        <f t="shared" si="8"/>
        <v/>
      </c>
      <c r="AA725" s="949">
        <f t="shared" si="9"/>
        <v>0</v>
      </c>
      <c r="AB725" s="955"/>
      <c r="AC725" s="949" t="str">
        <f t="shared" si="10"/>
        <v/>
      </c>
      <c r="AD725" s="953">
        <f t="shared" si="11"/>
        <v>0</v>
      </c>
      <c r="AE725" s="956"/>
      <c r="AF725" s="889"/>
      <c r="AG725" s="810" t="b">
        <v>0</v>
      </c>
      <c r="AH725" s="780"/>
      <c r="AI725" s="780"/>
      <c r="AJ725" s="780"/>
      <c r="AK725" s="780"/>
      <c r="AL725" s="780"/>
      <c r="AM725" s="780"/>
      <c r="AN725" s="780"/>
      <c r="AO725" s="780"/>
      <c r="AP725" s="780"/>
      <c r="AQ725" s="780"/>
      <c r="AR725" s="780"/>
      <c r="AS725" s="780"/>
      <c r="AT725" s="780"/>
      <c r="AU725" s="780"/>
      <c r="AV725" s="780"/>
      <c r="AW725" s="780"/>
    </row>
    <row r="726">
      <c r="A726" s="941"/>
      <c r="B726" s="941"/>
      <c r="C726" s="995"/>
      <c r="D726" s="995"/>
      <c r="E726" s="995"/>
      <c r="F726" s="946"/>
      <c r="G726" s="946"/>
      <c r="H726" s="946"/>
      <c r="I726" s="947">
        <v>0.00138428</v>
      </c>
      <c r="J726" s="948">
        <v>0.035</v>
      </c>
      <c r="K726" s="949">
        <f t="shared" si="22"/>
        <v>0</v>
      </c>
      <c r="L726" s="950">
        <f t="shared" si="23"/>
        <v>0</v>
      </c>
      <c r="M726" s="948">
        <v>0.0215</v>
      </c>
      <c r="N726" s="951">
        <f t="shared" si="24"/>
        <v>0.00141404202</v>
      </c>
      <c r="O726" s="949">
        <f t="shared" si="25"/>
        <v>15</v>
      </c>
      <c r="P726" s="949">
        <f t="shared" si="77"/>
        <v>0.0215</v>
      </c>
      <c r="Q726" s="952">
        <f t="shared" si="79"/>
        <v>0</v>
      </c>
      <c r="R726" s="952">
        <f t="shared" si="78"/>
        <v>0</v>
      </c>
      <c r="S726" s="953"/>
      <c r="T726" s="949">
        <v>0.06</v>
      </c>
      <c r="U726" s="954"/>
      <c r="V726" s="949"/>
      <c r="W726" s="953"/>
      <c r="X726" s="949">
        <f t="shared" si="7"/>
        <v>0</v>
      </c>
      <c r="Y726" s="955"/>
      <c r="Z726" s="953" t="str">
        <f t="shared" si="8"/>
        <v/>
      </c>
      <c r="AA726" s="949">
        <f t="shared" si="9"/>
        <v>0</v>
      </c>
      <c r="AB726" s="955"/>
      <c r="AC726" s="949" t="str">
        <f t="shared" si="10"/>
        <v/>
      </c>
      <c r="AD726" s="953">
        <f t="shared" si="11"/>
        <v>0</v>
      </c>
      <c r="AE726" s="956"/>
      <c r="AF726" s="889"/>
      <c r="AG726" s="810" t="b">
        <v>0</v>
      </c>
      <c r="AH726" s="780"/>
      <c r="AI726" s="780"/>
      <c r="AJ726" s="780"/>
      <c r="AK726" s="780"/>
      <c r="AL726" s="780"/>
      <c r="AM726" s="780"/>
      <c r="AN726" s="780"/>
      <c r="AO726" s="780"/>
      <c r="AP726" s="780"/>
      <c r="AQ726" s="780"/>
      <c r="AR726" s="780"/>
      <c r="AS726" s="780"/>
      <c r="AT726" s="780"/>
      <c r="AU726" s="780"/>
      <c r="AV726" s="780"/>
      <c r="AW726" s="780"/>
    </row>
    <row r="727">
      <c r="A727" s="941"/>
      <c r="B727" s="941"/>
      <c r="C727" s="995"/>
      <c r="D727" s="1001"/>
      <c r="E727" s="944"/>
      <c r="F727" s="946"/>
      <c r="G727" s="946"/>
      <c r="H727" s="946"/>
      <c r="I727" s="947">
        <v>0.00138428</v>
      </c>
      <c r="J727" s="948">
        <v>0.035</v>
      </c>
      <c r="K727" s="949">
        <f t="shared" si="22"/>
        <v>0</v>
      </c>
      <c r="L727" s="950">
        <f t="shared" si="23"/>
        <v>0</v>
      </c>
      <c r="M727" s="948">
        <v>0.0215</v>
      </c>
      <c r="N727" s="951">
        <f t="shared" si="24"/>
        <v>0.00141404202</v>
      </c>
      <c r="O727" s="949">
        <f t="shared" si="25"/>
        <v>15</v>
      </c>
      <c r="P727" s="949">
        <f t="shared" si="77"/>
        <v>0.0215</v>
      </c>
      <c r="Q727" s="952">
        <f t="shared" si="79"/>
        <v>0</v>
      </c>
      <c r="R727" s="952">
        <f t="shared" si="78"/>
        <v>0</v>
      </c>
      <c r="S727" s="953"/>
      <c r="T727" s="949">
        <v>0.06</v>
      </c>
      <c r="U727" s="954"/>
      <c r="V727" s="949"/>
      <c r="W727" s="953"/>
      <c r="X727" s="949">
        <f t="shared" si="7"/>
        <v>0</v>
      </c>
      <c r="Y727" s="955"/>
      <c r="Z727" s="953" t="str">
        <f t="shared" si="8"/>
        <v/>
      </c>
      <c r="AA727" s="949">
        <f t="shared" si="9"/>
        <v>0</v>
      </c>
      <c r="AB727" s="955"/>
      <c r="AC727" s="949" t="str">
        <f t="shared" si="10"/>
        <v/>
      </c>
      <c r="AD727" s="953">
        <f t="shared" si="11"/>
        <v>0</v>
      </c>
      <c r="AE727" s="956"/>
      <c r="AF727" s="889"/>
      <c r="AG727" s="810" t="b">
        <v>0</v>
      </c>
      <c r="AH727" s="780"/>
      <c r="AI727" s="780"/>
      <c r="AJ727" s="780"/>
      <c r="AK727" s="780"/>
      <c r="AL727" s="780"/>
      <c r="AM727" s="780"/>
      <c r="AN727" s="780"/>
      <c r="AO727" s="780"/>
      <c r="AP727" s="780"/>
      <c r="AQ727" s="780"/>
      <c r="AR727" s="780"/>
      <c r="AS727" s="780"/>
      <c r="AT727" s="780"/>
      <c r="AU727" s="780"/>
      <c r="AV727" s="780"/>
      <c r="AW727" s="780"/>
    </row>
    <row r="728">
      <c r="A728" s="941"/>
      <c r="B728" s="941"/>
      <c r="C728" s="995"/>
      <c r="D728" s="995"/>
      <c r="E728" s="995"/>
      <c r="F728" s="946"/>
      <c r="G728" s="946"/>
      <c r="H728" s="946"/>
      <c r="I728" s="947">
        <v>0.00138428</v>
      </c>
      <c r="J728" s="948">
        <v>0.035</v>
      </c>
      <c r="K728" s="949">
        <f t="shared" si="22"/>
        <v>0</v>
      </c>
      <c r="L728" s="950">
        <f t="shared" si="23"/>
        <v>0</v>
      </c>
      <c r="M728" s="948">
        <v>0.0215</v>
      </c>
      <c r="N728" s="951">
        <f t="shared" si="24"/>
        <v>0.00141404202</v>
      </c>
      <c r="O728" s="949">
        <f t="shared" si="25"/>
        <v>15</v>
      </c>
      <c r="P728" s="949">
        <f t="shared" si="77"/>
        <v>0.0215</v>
      </c>
      <c r="Q728" s="952">
        <f t="shared" si="79"/>
        <v>0</v>
      </c>
      <c r="R728" s="952">
        <f t="shared" si="78"/>
        <v>0</v>
      </c>
      <c r="S728" s="953"/>
      <c r="T728" s="949">
        <v>0.06</v>
      </c>
      <c r="U728" s="954"/>
      <c r="V728" s="949"/>
      <c r="W728" s="953"/>
      <c r="X728" s="949">
        <f t="shared" si="7"/>
        <v>0</v>
      </c>
      <c r="Y728" s="955"/>
      <c r="Z728" s="953" t="str">
        <f t="shared" si="8"/>
        <v/>
      </c>
      <c r="AA728" s="949">
        <f t="shared" si="9"/>
        <v>0</v>
      </c>
      <c r="AB728" s="955"/>
      <c r="AC728" s="949" t="str">
        <f t="shared" si="10"/>
        <v/>
      </c>
      <c r="AD728" s="953">
        <f t="shared" si="11"/>
        <v>0</v>
      </c>
      <c r="AE728" s="956"/>
      <c r="AF728" s="889"/>
      <c r="AG728" s="810" t="b">
        <v>0</v>
      </c>
      <c r="AH728" s="780"/>
      <c r="AI728" s="780"/>
      <c r="AJ728" s="780"/>
      <c r="AK728" s="780"/>
      <c r="AL728" s="780"/>
      <c r="AM728" s="780"/>
      <c r="AN728" s="780"/>
      <c r="AO728" s="780"/>
      <c r="AP728" s="780"/>
      <c r="AQ728" s="780"/>
      <c r="AR728" s="780"/>
      <c r="AS728" s="780"/>
      <c r="AT728" s="780"/>
      <c r="AU728" s="780"/>
      <c r="AV728" s="780"/>
      <c r="AW728" s="780"/>
    </row>
    <row r="729">
      <c r="A729" s="941"/>
      <c r="B729" s="941"/>
      <c r="C729" s="995"/>
      <c r="D729" s="995"/>
      <c r="E729" s="995"/>
      <c r="F729" s="946"/>
      <c r="G729" s="946"/>
      <c r="H729" s="946"/>
      <c r="I729" s="947">
        <v>0.00138428</v>
      </c>
      <c r="J729" s="948">
        <v>0.035</v>
      </c>
      <c r="K729" s="949">
        <f t="shared" si="22"/>
        <v>0</v>
      </c>
      <c r="L729" s="950">
        <f t="shared" si="23"/>
        <v>0</v>
      </c>
      <c r="M729" s="948">
        <v>0.0215</v>
      </c>
      <c r="N729" s="951">
        <f t="shared" si="24"/>
        <v>0.00141404202</v>
      </c>
      <c r="O729" s="949">
        <f t="shared" si="25"/>
        <v>15</v>
      </c>
      <c r="P729" s="949">
        <f t="shared" si="77"/>
        <v>0.0215</v>
      </c>
      <c r="Q729" s="952">
        <f t="shared" si="79"/>
        <v>0</v>
      </c>
      <c r="R729" s="952">
        <f t="shared" si="78"/>
        <v>0</v>
      </c>
      <c r="S729" s="953"/>
      <c r="T729" s="949">
        <v>0.06</v>
      </c>
      <c r="U729" s="954"/>
      <c r="V729" s="949"/>
      <c r="W729" s="953"/>
      <c r="X729" s="949">
        <f t="shared" si="7"/>
        <v>0</v>
      </c>
      <c r="Y729" s="955"/>
      <c r="Z729" s="953" t="str">
        <f t="shared" si="8"/>
        <v/>
      </c>
      <c r="AA729" s="949">
        <f t="shared" si="9"/>
        <v>0</v>
      </c>
      <c r="AB729" s="955"/>
      <c r="AC729" s="949" t="str">
        <f t="shared" si="10"/>
        <v/>
      </c>
      <c r="AD729" s="953">
        <f t="shared" si="11"/>
        <v>0</v>
      </c>
      <c r="AE729" s="956"/>
      <c r="AF729" s="889"/>
      <c r="AG729" s="810" t="b">
        <v>0</v>
      </c>
      <c r="AH729" s="780"/>
      <c r="AI729" s="780"/>
      <c r="AJ729" s="780"/>
      <c r="AK729" s="780"/>
      <c r="AL729" s="780"/>
      <c r="AM729" s="780"/>
      <c r="AN729" s="780"/>
      <c r="AO729" s="780"/>
      <c r="AP729" s="780"/>
      <c r="AQ729" s="780"/>
      <c r="AR729" s="780"/>
      <c r="AS729" s="780"/>
      <c r="AT729" s="780"/>
      <c r="AU729" s="780"/>
      <c r="AV729" s="780"/>
      <c r="AW729" s="780"/>
    </row>
    <row r="730">
      <c r="A730" s="941"/>
      <c r="B730" s="941"/>
      <c r="C730" s="995"/>
      <c r="D730" s="995"/>
      <c r="E730" s="995"/>
      <c r="F730" s="946"/>
      <c r="G730" s="946"/>
      <c r="H730" s="946"/>
      <c r="I730" s="947">
        <v>0.00138428</v>
      </c>
      <c r="J730" s="948">
        <v>0.035</v>
      </c>
      <c r="K730" s="949">
        <f t="shared" si="22"/>
        <v>0</v>
      </c>
      <c r="L730" s="950">
        <f t="shared" si="23"/>
        <v>0</v>
      </c>
      <c r="M730" s="948">
        <v>0.0215</v>
      </c>
      <c r="N730" s="951">
        <f t="shared" si="24"/>
        <v>0.00141404202</v>
      </c>
      <c r="O730" s="949">
        <f t="shared" si="25"/>
        <v>15</v>
      </c>
      <c r="P730" s="949">
        <f t="shared" si="77"/>
        <v>0.0215</v>
      </c>
      <c r="Q730" s="952">
        <f t="shared" si="79"/>
        <v>0</v>
      </c>
      <c r="R730" s="952">
        <f t="shared" si="78"/>
        <v>0</v>
      </c>
      <c r="S730" s="953"/>
      <c r="T730" s="949">
        <v>0.06</v>
      </c>
      <c r="U730" s="954"/>
      <c r="V730" s="949"/>
      <c r="W730" s="953"/>
      <c r="X730" s="949">
        <f t="shared" si="7"/>
        <v>0</v>
      </c>
      <c r="Y730" s="955"/>
      <c r="Z730" s="953" t="str">
        <f t="shared" si="8"/>
        <v/>
      </c>
      <c r="AA730" s="949">
        <f t="shared" si="9"/>
        <v>0</v>
      </c>
      <c r="AB730" s="955"/>
      <c r="AC730" s="949" t="str">
        <f t="shared" si="10"/>
        <v/>
      </c>
      <c r="AD730" s="953">
        <f t="shared" si="11"/>
        <v>0</v>
      </c>
      <c r="AE730" s="956"/>
      <c r="AF730" s="889"/>
      <c r="AG730" s="810" t="b">
        <v>0</v>
      </c>
      <c r="AH730" s="780"/>
      <c r="AI730" s="780"/>
      <c r="AJ730" s="780"/>
      <c r="AK730" s="780"/>
      <c r="AL730" s="780"/>
      <c r="AM730" s="780"/>
      <c r="AN730" s="780"/>
      <c r="AO730" s="780"/>
      <c r="AP730" s="780"/>
      <c r="AQ730" s="780"/>
      <c r="AR730" s="780"/>
      <c r="AS730" s="780"/>
      <c r="AT730" s="780"/>
      <c r="AU730" s="780"/>
      <c r="AV730" s="780"/>
      <c r="AW730" s="780"/>
    </row>
    <row r="731">
      <c r="A731" s="941"/>
      <c r="B731" s="941"/>
      <c r="C731" s="995"/>
      <c r="D731" s="995"/>
      <c r="E731" s="995"/>
      <c r="F731" s="946"/>
      <c r="G731" s="946"/>
      <c r="H731" s="946"/>
      <c r="I731" s="947">
        <v>0.00138428</v>
      </c>
      <c r="J731" s="948">
        <v>0.035</v>
      </c>
      <c r="K731" s="949">
        <f t="shared" si="22"/>
        <v>0</v>
      </c>
      <c r="L731" s="950">
        <f t="shared" si="23"/>
        <v>0</v>
      </c>
      <c r="M731" s="948">
        <v>0.0215</v>
      </c>
      <c r="N731" s="951">
        <f t="shared" si="24"/>
        <v>0.00141404202</v>
      </c>
      <c r="O731" s="949">
        <f t="shared" si="25"/>
        <v>15</v>
      </c>
      <c r="P731" s="949">
        <f t="shared" si="77"/>
        <v>0.0215</v>
      </c>
      <c r="Q731" s="952">
        <f t="shared" si="79"/>
        <v>0</v>
      </c>
      <c r="R731" s="952">
        <f t="shared" si="78"/>
        <v>0</v>
      </c>
      <c r="S731" s="953"/>
      <c r="T731" s="949">
        <v>0.06</v>
      </c>
      <c r="U731" s="954"/>
      <c r="V731" s="949"/>
      <c r="W731" s="953"/>
      <c r="X731" s="949">
        <f t="shared" si="7"/>
        <v>0</v>
      </c>
      <c r="Y731" s="955"/>
      <c r="Z731" s="953" t="str">
        <f t="shared" si="8"/>
        <v/>
      </c>
      <c r="AA731" s="949">
        <f t="shared" si="9"/>
        <v>0</v>
      </c>
      <c r="AB731" s="955"/>
      <c r="AC731" s="949" t="str">
        <f t="shared" si="10"/>
        <v/>
      </c>
      <c r="AD731" s="953">
        <f t="shared" si="11"/>
        <v>0</v>
      </c>
      <c r="AE731" s="956"/>
      <c r="AF731" s="889"/>
      <c r="AG731" s="810" t="b">
        <v>0</v>
      </c>
      <c r="AH731" s="780"/>
      <c r="AI731" s="780"/>
      <c r="AJ731" s="780"/>
      <c r="AK731" s="780"/>
      <c r="AL731" s="780"/>
      <c r="AM731" s="780"/>
      <c r="AN731" s="780"/>
      <c r="AO731" s="780"/>
      <c r="AP731" s="780"/>
      <c r="AQ731" s="780"/>
      <c r="AR731" s="780"/>
      <c r="AS731" s="780"/>
      <c r="AT731" s="780"/>
      <c r="AU731" s="780"/>
      <c r="AV731" s="780"/>
      <c r="AW731" s="780"/>
    </row>
    <row r="732">
      <c r="A732" s="941"/>
      <c r="B732" s="941"/>
      <c r="C732" s="995"/>
      <c r="D732" s="995"/>
      <c r="E732" s="995"/>
      <c r="F732" s="946"/>
      <c r="G732" s="946"/>
      <c r="H732" s="946"/>
      <c r="I732" s="947">
        <v>0.00138428</v>
      </c>
      <c r="J732" s="948">
        <v>0.035</v>
      </c>
      <c r="K732" s="949">
        <f t="shared" si="22"/>
        <v>0</v>
      </c>
      <c r="L732" s="950">
        <f t="shared" si="23"/>
        <v>0</v>
      </c>
      <c r="M732" s="948">
        <v>0.0215</v>
      </c>
      <c r="N732" s="951">
        <f t="shared" si="24"/>
        <v>0.00141404202</v>
      </c>
      <c r="O732" s="949">
        <f t="shared" si="25"/>
        <v>15</v>
      </c>
      <c r="P732" s="949">
        <f t="shared" si="77"/>
        <v>0.0215</v>
      </c>
      <c r="Q732" s="952">
        <f t="shared" si="79"/>
        <v>0</v>
      </c>
      <c r="R732" s="952">
        <f t="shared" si="78"/>
        <v>0</v>
      </c>
      <c r="S732" s="953"/>
      <c r="T732" s="949">
        <v>0.06</v>
      </c>
      <c r="U732" s="954"/>
      <c r="V732" s="949"/>
      <c r="W732" s="953"/>
      <c r="X732" s="949">
        <f t="shared" si="7"/>
        <v>0</v>
      </c>
      <c r="Y732" s="955"/>
      <c r="Z732" s="953" t="str">
        <f t="shared" si="8"/>
        <v/>
      </c>
      <c r="AA732" s="949">
        <f t="shared" si="9"/>
        <v>0</v>
      </c>
      <c r="AB732" s="955"/>
      <c r="AC732" s="949" t="str">
        <f t="shared" si="10"/>
        <v/>
      </c>
      <c r="AD732" s="953">
        <f t="shared" si="11"/>
        <v>0</v>
      </c>
      <c r="AE732" s="956"/>
      <c r="AF732" s="889"/>
      <c r="AG732" s="810" t="b">
        <v>0</v>
      </c>
      <c r="AH732" s="780"/>
      <c r="AI732" s="780"/>
      <c r="AJ732" s="780"/>
      <c r="AK732" s="780"/>
      <c r="AL732" s="780"/>
      <c r="AM732" s="780"/>
      <c r="AN732" s="780"/>
      <c r="AO732" s="780"/>
      <c r="AP732" s="780"/>
      <c r="AQ732" s="780"/>
      <c r="AR732" s="780"/>
      <c r="AS732" s="780"/>
      <c r="AT732" s="780"/>
      <c r="AU732" s="780"/>
      <c r="AV732" s="780"/>
      <c r="AW732" s="780"/>
    </row>
    <row r="733">
      <c r="A733" s="941"/>
      <c r="B733" s="941"/>
      <c r="C733" s="995"/>
      <c r="D733" s="995"/>
      <c r="E733" s="995"/>
      <c r="F733" s="946"/>
      <c r="G733" s="946"/>
      <c r="H733" s="946"/>
      <c r="I733" s="947">
        <v>0.00138428</v>
      </c>
      <c r="J733" s="948">
        <v>0.035</v>
      </c>
      <c r="K733" s="949">
        <f t="shared" si="22"/>
        <v>0</v>
      </c>
      <c r="L733" s="950">
        <f t="shared" si="23"/>
        <v>0</v>
      </c>
      <c r="M733" s="948">
        <v>0.0215</v>
      </c>
      <c r="N733" s="951">
        <f t="shared" si="24"/>
        <v>0.00141404202</v>
      </c>
      <c r="O733" s="949">
        <f t="shared" si="25"/>
        <v>15</v>
      </c>
      <c r="P733" s="949">
        <f t="shared" si="77"/>
        <v>0.0215</v>
      </c>
      <c r="Q733" s="952">
        <f t="shared" si="79"/>
        <v>0</v>
      </c>
      <c r="R733" s="952">
        <f t="shared" si="78"/>
        <v>0</v>
      </c>
      <c r="S733" s="953"/>
      <c r="T733" s="949">
        <v>0.06</v>
      </c>
      <c r="U733" s="954"/>
      <c r="V733" s="949"/>
      <c r="W733" s="953"/>
      <c r="X733" s="949">
        <f t="shared" si="7"/>
        <v>0</v>
      </c>
      <c r="Y733" s="955"/>
      <c r="Z733" s="953" t="str">
        <f t="shared" si="8"/>
        <v/>
      </c>
      <c r="AA733" s="949">
        <f t="shared" si="9"/>
        <v>0</v>
      </c>
      <c r="AB733" s="955"/>
      <c r="AC733" s="949" t="str">
        <f t="shared" si="10"/>
        <v/>
      </c>
      <c r="AD733" s="953">
        <f t="shared" si="11"/>
        <v>0</v>
      </c>
      <c r="AE733" s="956"/>
      <c r="AF733" s="889"/>
      <c r="AG733" s="810" t="b">
        <v>0</v>
      </c>
      <c r="AH733" s="780"/>
      <c r="AI733" s="780"/>
      <c r="AJ733" s="780"/>
      <c r="AK733" s="780"/>
      <c r="AL733" s="780"/>
      <c r="AM733" s="780"/>
      <c r="AN733" s="780"/>
      <c r="AO733" s="780"/>
      <c r="AP733" s="780"/>
      <c r="AQ733" s="780"/>
      <c r="AR733" s="780"/>
      <c r="AS733" s="780"/>
      <c r="AT733" s="780"/>
      <c r="AU733" s="780"/>
      <c r="AV733" s="780"/>
      <c r="AW733" s="780"/>
    </row>
    <row r="734">
      <c r="A734" s="941"/>
      <c r="B734" s="941"/>
      <c r="C734" s="995"/>
      <c r="D734" s="995"/>
      <c r="E734" s="995"/>
      <c r="F734" s="946"/>
      <c r="G734" s="946"/>
      <c r="H734" s="946"/>
      <c r="I734" s="947">
        <v>0.00138428</v>
      </c>
      <c r="J734" s="948">
        <v>0.035</v>
      </c>
      <c r="K734" s="949">
        <f t="shared" si="22"/>
        <v>0</v>
      </c>
      <c r="L734" s="950">
        <f t="shared" si="23"/>
        <v>0</v>
      </c>
      <c r="M734" s="948">
        <v>0.0215</v>
      </c>
      <c r="N734" s="951">
        <f t="shared" si="24"/>
        <v>0.00141404202</v>
      </c>
      <c r="O734" s="949">
        <f t="shared" si="25"/>
        <v>15</v>
      </c>
      <c r="P734" s="949">
        <f t="shared" si="77"/>
        <v>0.0215</v>
      </c>
      <c r="Q734" s="952">
        <f t="shared" si="79"/>
        <v>0</v>
      </c>
      <c r="R734" s="952">
        <f t="shared" si="78"/>
        <v>0</v>
      </c>
      <c r="S734" s="953"/>
      <c r="T734" s="949">
        <v>0.06</v>
      </c>
      <c r="U734" s="954"/>
      <c r="V734" s="949"/>
      <c r="W734" s="953"/>
      <c r="X734" s="949">
        <f t="shared" si="7"/>
        <v>0</v>
      </c>
      <c r="Y734" s="955"/>
      <c r="Z734" s="953" t="str">
        <f t="shared" si="8"/>
        <v/>
      </c>
      <c r="AA734" s="949">
        <f t="shared" si="9"/>
        <v>0</v>
      </c>
      <c r="AB734" s="955"/>
      <c r="AC734" s="949" t="str">
        <f t="shared" si="10"/>
        <v/>
      </c>
      <c r="AD734" s="953">
        <f t="shared" si="11"/>
        <v>0</v>
      </c>
      <c r="AE734" s="956"/>
      <c r="AF734" s="889"/>
      <c r="AG734" s="810" t="b">
        <v>0</v>
      </c>
      <c r="AH734" s="780"/>
      <c r="AI734" s="780"/>
      <c r="AJ734" s="780"/>
      <c r="AK734" s="780"/>
      <c r="AL734" s="780"/>
      <c r="AM734" s="780"/>
      <c r="AN734" s="780"/>
      <c r="AO734" s="780"/>
      <c r="AP734" s="780"/>
      <c r="AQ734" s="780"/>
      <c r="AR734" s="780"/>
      <c r="AS734" s="780"/>
      <c r="AT734" s="780"/>
      <c r="AU734" s="780"/>
      <c r="AV734" s="780"/>
      <c r="AW734" s="780"/>
    </row>
    <row r="735">
      <c r="A735" s="941"/>
      <c r="B735" s="941"/>
      <c r="C735" s="995"/>
      <c r="D735" s="995"/>
      <c r="E735" s="995"/>
      <c r="F735" s="946"/>
      <c r="G735" s="946"/>
      <c r="H735" s="946"/>
      <c r="I735" s="947">
        <v>0.00138428</v>
      </c>
      <c r="J735" s="948">
        <v>0.035</v>
      </c>
      <c r="K735" s="949">
        <f t="shared" si="22"/>
        <v>0</v>
      </c>
      <c r="L735" s="950">
        <f t="shared" si="23"/>
        <v>0</v>
      </c>
      <c r="M735" s="948">
        <v>0.0215</v>
      </c>
      <c r="N735" s="951">
        <f t="shared" si="24"/>
        <v>0.00141404202</v>
      </c>
      <c r="O735" s="949">
        <f t="shared" si="25"/>
        <v>15</v>
      </c>
      <c r="P735" s="949">
        <f t="shared" si="77"/>
        <v>0.0215</v>
      </c>
      <c r="Q735" s="952">
        <f t="shared" si="79"/>
        <v>0</v>
      </c>
      <c r="R735" s="952">
        <f t="shared" si="78"/>
        <v>0</v>
      </c>
      <c r="S735" s="953"/>
      <c r="T735" s="949">
        <v>0.06</v>
      </c>
      <c r="U735" s="954"/>
      <c r="V735" s="949"/>
      <c r="W735" s="953"/>
      <c r="X735" s="949">
        <f t="shared" si="7"/>
        <v>0</v>
      </c>
      <c r="Y735" s="955"/>
      <c r="Z735" s="953" t="str">
        <f t="shared" si="8"/>
        <v/>
      </c>
      <c r="AA735" s="949">
        <f t="shared" si="9"/>
        <v>0</v>
      </c>
      <c r="AB735" s="955"/>
      <c r="AC735" s="949" t="str">
        <f t="shared" si="10"/>
        <v/>
      </c>
      <c r="AD735" s="953">
        <f t="shared" si="11"/>
        <v>0</v>
      </c>
      <c r="AE735" s="956"/>
      <c r="AF735" s="889"/>
      <c r="AG735" s="810" t="b">
        <v>0</v>
      </c>
      <c r="AH735" s="780"/>
      <c r="AI735" s="780"/>
      <c r="AJ735" s="780"/>
      <c r="AK735" s="780"/>
      <c r="AL735" s="780"/>
      <c r="AM735" s="780"/>
      <c r="AN735" s="780"/>
      <c r="AO735" s="780"/>
      <c r="AP735" s="780"/>
      <c r="AQ735" s="780"/>
      <c r="AR735" s="780"/>
      <c r="AS735" s="780"/>
      <c r="AT735" s="780"/>
      <c r="AU735" s="780"/>
      <c r="AV735" s="780"/>
      <c r="AW735" s="780"/>
    </row>
    <row r="736">
      <c r="A736" s="941"/>
      <c r="B736" s="941"/>
      <c r="C736" s="995"/>
      <c r="D736" s="995"/>
      <c r="E736" s="995"/>
      <c r="F736" s="946"/>
      <c r="G736" s="946"/>
      <c r="H736" s="946"/>
      <c r="I736" s="947">
        <v>0.00138428</v>
      </c>
      <c r="J736" s="948">
        <v>0.035</v>
      </c>
      <c r="K736" s="949">
        <f t="shared" si="22"/>
        <v>0</v>
      </c>
      <c r="L736" s="950">
        <f t="shared" si="23"/>
        <v>0</v>
      </c>
      <c r="M736" s="948">
        <v>0.0215</v>
      </c>
      <c r="N736" s="951">
        <f t="shared" si="24"/>
        <v>0.00141404202</v>
      </c>
      <c r="O736" s="949">
        <f t="shared" si="25"/>
        <v>15</v>
      </c>
      <c r="P736" s="949">
        <f t="shared" si="77"/>
        <v>0.0215</v>
      </c>
      <c r="Q736" s="952">
        <f t="shared" si="79"/>
        <v>0</v>
      </c>
      <c r="R736" s="952">
        <f t="shared" si="78"/>
        <v>0</v>
      </c>
      <c r="S736" s="953"/>
      <c r="T736" s="949">
        <v>0.06</v>
      </c>
      <c r="U736" s="954"/>
      <c r="V736" s="949"/>
      <c r="W736" s="953"/>
      <c r="X736" s="949">
        <f t="shared" si="7"/>
        <v>0</v>
      </c>
      <c r="Y736" s="955"/>
      <c r="Z736" s="953" t="str">
        <f t="shared" si="8"/>
        <v/>
      </c>
      <c r="AA736" s="949">
        <f t="shared" si="9"/>
        <v>0</v>
      </c>
      <c r="AB736" s="955"/>
      <c r="AC736" s="949" t="str">
        <f t="shared" si="10"/>
        <v/>
      </c>
      <c r="AD736" s="953">
        <f t="shared" si="11"/>
        <v>0</v>
      </c>
      <c r="AE736" s="956"/>
      <c r="AF736" s="889"/>
      <c r="AG736" s="810" t="b">
        <v>0</v>
      </c>
      <c r="AH736" s="780"/>
      <c r="AI736" s="780"/>
      <c r="AJ736" s="780"/>
      <c r="AK736" s="780"/>
      <c r="AL736" s="780"/>
      <c r="AM736" s="780"/>
      <c r="AN736" s="780"/>
      <c r="AO736" s="780"/>
      <c r="AP736" s="780"/>
      <c r="AQ736" s="780"/>
      <c r="AR736" s="780"/>
      <c r="AS736" s="780"/>
      <c r="AT736" s="780"/>
      <c r="AU736" s="780"/>
      <c r="AV736" s="780"/>
      <c r="AW736" s="780"/>
    </row>
    <row r="737">
      <c r="A737" s="941"/>
      <c r="B737" s="941"/>
      <c r="C737" s="995"/>
      <c r="D737" s="995"/>
      <c r="E737" s="995"/>
      <c r="F737" s="946"/>
      <c r="G737" s="946"/>
      <c r="H737" s="946"/>
      <c r="I737" s="947">
        <v>0.00138428</v>
      </c>
      <c r="J737" s="948">
        <v>0.035</v>
      </c>
      <c r="K737" s="949">
        <f t="shared" si="22"/>
        <v>0</v>
      </c>
      <c r="L737" s="950">
        <f t="shared" si="23"/>
        <v>0</v>
      </c>
      <c r="M737" s="948">
        <v>0.0215</v>
      </c>
      <c r="N737" s="951">
        <f t="shared" si="24"/>
        <v>0.00141404202</v>
      </c>
      <c r="O737" s="949">
        <f t="shared" si="25"/>
        <v>15</v>
      </c>
      <c r="P737" s="949">
        <f t="shared" si="77"/>
        <v>0.0215</v>
      </c>
      <c r="Q737" s="952">
        <f t="shared" si="79"/>
        <v>0</v>
      </c>
      <c r="R737" s="952">
        <f t="shared" si="78"/>
        <v>0</v>
      </c>
      <c r="S737" s="953"/>
      <c r="T737" s="949">
        <v>0.06</v>
      </c>
      <c r="U737" s="954"/>
      <c r="V737" s="949"/>
      <c r="W737" s="953"/>
      <c r="X737" s="949">
        <f t="shared" si="7"/>
        <v>0</v>
      </c>
      <c r="Y737" s="955"/>
      <c r="Z737" s="953" t="str">
        <f t="shared" si="8"/>
        <v/>
      </c>
      <c r="AA737" s="949">
        <f t="shared" si="9"/>
        <v>0</v>
      </c>
      <c r="AB737" s="955"/>
      <c r="AC737" s="949" t="str">
        <f t="shared" si="10"/>
        <v/>
      </c>
      <c r="AD737" s="953">
        <f t="shared" si="11"/>
        <v>0</v>
      </c>
      <c r="AE737" s="956"/>
      <c r="AF737" s="889"/>
      <c r="AG737" s="810" t="b">
        <v>0</v>
      </c>
      <c r="AH737" s="780"/>
      <c r="AI737" s="780"/>
      <c r="AJ737" s="780"/>
      <c r="AK737" s="780"/>
      <c r="AL737" s="780"/>
      <c r="AM737" s="780"/>
      <c r="AN737" s="780"/>
      <c r="AO737" s="780"/>
      <c r="AP737" s="780"/>
      <c r="AQ737" s="780"/>
      <c r="AR737" s="780"/>
      <c r="AS737" s="780"/>
      <c r="AT737" s="780"/>
      <c r="AU737" s="780"/>
      <c r="AV737" s="780"/>
      <c r="AW737" s="780"/>
    </row>
    <row r="738">
      <c r="A738" s="941"/>
      <c r="B738" s="941"/>
      <c r="C738" s="995"/>
      <c r="D738" s="1001"/>
      <c r="E738" s="944"/>
      <c r="F738" s="946"/>
      <c r="G738" s="946"/>
      <c r="H738" s="946"/>
      <c r="I738" s="947">
        <v>0.00138428</v>
      </c>
      <c r="J738" s="948">
        <v>0.035</v>
      </c>
      <c r="K738" s="949">
        <f t="shared" si="22"/>
        <v>0</v>
      </c>
      <c r="L738" s="950">
        <f t="shared" si="23"/>
        <v>0</v>
      </c>
      <c r="M738" s="948">
        <v>0.0215</v>
      </c>
      <c r="N738" s="951">
        <f t="shared" si="24"/>
        <v>0.00141404202</v>
      </c>
      <c r="O738" s="949">
        <f t="shared" si="25"/>
        <v>15</v>
      </c>
      <c r="P738" s="949">
        <f t="shared" si="77"/>
        <v>0.0215</v>
      </c>
      <c r="Q738" s="952">
        <f t="shared" si="79"/>
        <v>0</v>
      </c>
      <c r="R738" s="952">
        <f t="shared" si="78"/>
        <v>0</v>
      </c>
      <c r="S738" s="953"/>
      <c r="T738" s="949">
        <v>0.06</v>
      </c>
      <c r="U738" s="954"/>
      <c r="V738" s="949"/>
      <c r="W738" s="953"/>
      <c r="X738" s="949">
        <f t="shared" si="7"/>
        <v>0</v>
      </c>
      <c r="Y738" s="955"/>
      <c r="Z738" s="953" t="str">
        <f t="shared" si="8"/>
        <v/>
      </c>
      <c r="AA738" s="949">
        <f t="shared" si="9"/>
        <v>0</v>
      </c>
      <c r="AB738" s="955"/>
      <c r="AC738" s="949" t="str">
        <f t="shared" si="10"/>
        <v/>
      </c>
      <c r="AD738" s="953">
        <f t="shared" si="11"/>
        <v>0</v>
      </c>
      <c r="AE738" s="956"/>
      <c r="AF738" s="889"/>
      <c r="AG738" s="810" t="b">
        <v>0</v>
      </c>
      <c r="AH738" s="780"/>
      <c r="AI738" s="780"/>
      <c r="AJ738" s="780"/>
      <c r="AK738" s="780"/>
      <c r="AL738" s="780"/>
      <c r="AM738" s="780"/>
      <c r="AN738" s="780"/>
      <c r="AO738" s="780"/>
      <c r="AP738" s="780"/>
      <c r="AQ738" s="780"/>
      <c r="AR738" s="780"/>
      <c r="AS738" s="780"/>
      <c r="AT738" s="780"/>
      <c r="AU738" s="780"/>
      <c r="AV738" s="780"/>
      <c r="AW738" s="780"/>
    </row>
    <row r="739">
      <c r="A739" s="941"/>
      <c r="B739" s="941"/>
      <c r="C739" s="995"/>
      <c r="D739" s="995"/>
      <c r="E739" s="995"/>
      <c r="F739" s="946"/>
      <c r="G739" s="946"/>
      <c r="H739" s="946"/>
      <c r="I739" s="947">
        <v>0.00138428</v>
      </c>
      <c r="J739" s="948">
        <v>0.035</v>
      </c>
      <c r="K739" s="949">
        <f t="shared" si="22"/>
        <v>0</v>
      </c>
      <c r="L739" s="950">
        <f t="shared" si="23"/>
        <v>0</v>
      </c>
      <c r="M739" s="948">
        <v>0.0215</v>
      </c>
      <c r="N739" s="951">
        <f t="shared" si="24"/>
        <v>0.00141404202</v>
      </c>
      <c r="O739" s="949">
        <f t="shared" si="25"/>
        <v>15</v>
      </c>
      <c r="P739" s="949">
        <f t="shared" si="77"/>
        <v>0.0215</v>
      </c>
      <c r="Q739" s="952">
        <f t="shared" si="79"/>
        <v>0</v>
      </c>
      <c r="R739" s="952">
        <f t="shared" si="78"/>
        <v>0</v>
      </c>
      <c r="S739" s="953"/>
      <c r="T739" s="949">
        <v>0.06</v>
      </c>
      <c r="U739" s="954"/>
      <c r="V739" s="949"/>
      <c r="W739" s="953"/>
      <c r="X739" s="949">
        <f t="shared" si="7"/>
        <v>0</v>
      </c>
      <c r="Y739" s="955"/>
      <c r="Z739" s="953" t="str">
        <f t="shared" si="8"/>
        <v/>
      </c>
      <c r="AA739" s="949">
        <f t="shared" si="9"/>
        <v>0</v>
      </c>
      <c r="AB739" s="955"/>
      <c r="AC739" s="949" t="str">
        <f t="shared" si="10"/>
        <v/>
      </c>
      <c r="AD739" s="953">
        <f t="shared" si="11"/>
        <v>0</v>
      </c>
      <c r="AE739" s="956"/>
      <c r="AF739" s="889"/>
      <c r="AG739" s="810" t="b">
        <v>0</v>
      </c>
      <c r="AH739" s="780"/>
      <c r="AI739" s="780"/>
      <c r="AJ739" s="780"/>
      <c r="AK739" s="780"/>
      <c r="AL739" s="780"/>
      <c r="AM739" s="780"/>
      <c r="AN739" s="780"/>
      <c r="AO739" s="780"/>
      <c r="AP739" s="780"/>
      <c r="AQ739" s="780"/>
      <c r="AR739" s="780"/>
      <c r="AS739" s="780"/>
      <c r="AT739" s="780"/>
      <c r="AU739" s="780"/>
      <c r="AV739" s="780"/>
      <c r="AW739" s="780"/>
    </row>
    <row r="740">
      <c r="A740" s="941"/>
      <c r="B740" s="941"/>
      <c r="C740" s="995"/>
      <c r="D740" s="995"/>
      <c r="E740" s="995"/>
      <c r="F740" s="946"/>
      <c r="G740" s="946"/>
      <c r="H740" s="946"/>
      <c r="I740" s="947">
        <v>0.00138428</v>
      </c>
      <c r="J740" s="948">
        <v>0.035</v>
      </c>
      <c r="K740" s="949">
        <f t="shared" si="22"/>
        <v>0</v>
      </c>
      <c r="L740" s="950">
        <f t="shared" si="23"/>
        <v>0</v>
      </c>
      <c r="M740" s="948">
        <v>0.0215</v>
      </c>
      <c r="N740" s="951">
        <f t="shared" si="24"/>
        <v>0.00141404202</v>
      </c>
      <c r="O740" s="949">
        <f t="shared" si="25"/>
        <v>15</v>
      </c>
      <c r="P740" s="949">
        <f t="shared" si="77"/>
        <v>0.0215</v>
      </c>
      <c r="Q740" s="952">
        <f t="shared" si="79"/>
        <v>0</v>
      </c>
      <c r="R740" s="952">
        <f t="shared" si="78"/>
        <v>0</v>
      </c>
      <c r="S740" s="953"/>
      <c r="T740" s="949">
        <v>0.06</v>
      </c>
      <c r="U740" s="954"/>
      <c r="V740" s="949"/>
      <c r="W740" s="953"/>
      <c r="X740" s="949">
        <f t="shared" si="7"/>
        <v>0</v>
      </c>
      <c r="Y740" s="955"/>
      <c r="Z740" s="953" t="str">
        <f t="shared" si="8"/>
        <v/>
      </c>
      <c r="AA740" s="949">
        <f t="shared" si="9"/>
        <v>0</v>
      </c>
      <c r="AB740" s="955"/>
      <c r="AC740" s="949" t="str">
        <f t="shared" si="10"/>
        <v/>
      </c>
      <c r="AD740" s="953">
        <f t="shared" si="11"/>
        <v>0</v>
      </c>
      <c r="AE740" s="956"/>
      <c r="AF740" s="889"/>
      <c r="AG740" s="810" t="b">
        <v>0</v>
      </c>
      <c r="AH740" s="780"/>
      <c r="AI740" s="780"/>
      <c r="AJ740" s="780"/>
      <c r="AK740" s="780"/>
      <c r="AL740" s="780"/>
      <c r="AM740" s="780"/>
      <c r="AN740" s="780"/>
      <c r="AO740" s="780"/>
      <c r="AP740" s="780"/>
      <c r="AQ740" s="780"/>
      <c r="AR740" s="780"/>
      <c r="AS740" s="780"/>
      <c r="AT740" s="780"/>
      <c r="AU740" s="780"/>
      <c r="AV740" s="780"/>
      <c r="AW740" s="780"/>
    </row>
    <row r="741">
      <c r="A741" s="941"/>
      <c r="B741" s="941"/>
      <c r="C741" s="995"/>
      <c r="D741" s="995"/>
      <c r="E741" s="995"/>
      <c r="F741" s="946"/>
      <c r="G741" s="946"/>
      <c r="H741" s="946"/>
      <c r="I741" s="947">
        <v>0.00138428</v>
      </c>
      <c r="J741" s="948">
        <v>0.035</v>
      </c>
      <c r="K741" s="949">
        <f t="shared" si="22"/>
        <v>0</v>
      </c>
      <c r="L741" s="950">
        <f t="shared" si="23"/>
        <v>0</v>
      </c>
      <c r="M741" s="948">
        <v>0.0215</v>
      </c>
      <c r="N741" s="951">
        <f t="shared" si="24"/>
        <v>0.00141404202</v>
      </c>
      <c r="O741" s="949">
        <f t="shared" si="25"/>
        <v>15</v>
      </c>
      <c r="P741" s="949">
        <f t="shared" si="77"/>
        <v>0.0215</v>
      </c>
      <c r="Q741" s="952">
        <f t="shared" si="79"/>
        <v>0</v>
      </c>
      <c r="R741" s="952">
        <f t="shared" si="78"/>
        <v>0</v>
      </c>
      <c r="S741" s="953"/>
      <c r="T741" s="949">
        <v>0.06</v>
      </c>
      <c r="U741" s="954"/>
      <c r="V741" s="949"/>
      <c r="W741" s="953"/>
      <c r="X741" s="949">
        <f t="shared" si="7"/>
        <v>0</v>
      </c>
      <c r="Y741" s="955"/>
      <c r="Z741" s="953" t="str">
        <f t="shared" si="8"/>
        <v/>
      </c>
      <c r="AA741" s="949">
        <f t="shared" si="9"/>
        <v>0</v>
      </c>
      <c r="AB741" s="955"/>
      <c r="AC741" s="949" t="str">
        <f t="shared" si="10"/>
        <v/>
      </c>
      <c r="AD741" s="953">
        <f t="shared" si="11"/>
        <v>0</v>
      </c>
      <c r="AE741" s="956"/>
      <c r="AF741" s="889"/>
      <c r="AG741" s="810" t="b">
        <v>0</v>
      </c>
      <c r="AH741" s="780"/>
      <c r="AI741" s="780"/>
      <c r="AJ741" s="780"/>
      <c r="AK741" s="780"/>
      <c r="AL741" s="780"/>
      <c r="AM741" s="780"/>
      <c r="AN741" s="780"/>
      <c r="AO741" s="780"/>
      <c r="AP741" s="780"/>
      <c r="AQ741" s="780"/>
      <c r="AR741" s="780"/>
      <c r="AS741" s="780"/>
      <c r="AT741" s="780"/>
      <c r="AU741" s="780"/>
      <c r="AV741" s="780"/>
      <c r="AW741" s="780"/>
    </row>
    <row r="742">
      <c r="A742" s="941"/>
      <c r="B742" s="941"/>
      <c r="C742" s="995"/>
      <c r="D742" s="995"/>
      <c r="E742" s="995"/>
      <c r="F742" s="946"/>
      <c r="G742" s="946"/>
      <c r="H742" s="946"/>
      <c r="I742" s="947">
        <v>0.00138428</v>
      </c>
      <c r="J742" s="948">
        <v>0.035</v>
      </c>
      <c r="K742" s="949">
        <f t="shared" si="22"/>
        <v>0</v>
      </c>
      <c r="L742" s="950">
        <f t="shared" si="23"/>
        <v>0</v>
      </c>
      <c r="M742" s="948">
        <v>0.0215</v>
      </c>
      <c r="N742" s="951">
        <f t="shared" si="24"/>
        <v>0.00141404202</v>
      </c>
      <c r="O742" s="949">
        <f t="shared" si="25"/>
        <v>15</v>
      </c>
      <c r="P742" s="949">
        <f t="shared" si="77"/>
        <v>0.0215</v>
      </c>
      <c r="Q742" s="952">
        <f t="shared" si="79"/>
        <v>0</v>
      </c>
      <c r="R742" s="952">
        <f t="shared" si="78"/>
        <v>0</v>
      </c>
      <c r="S742" s="953"/>
      <c r="T742" s="949">
        <v>0.06</v>
      </c>
      <c r="U742" s="954"/>
      <c r="V742" s="949"/>
      <c r="W742" s="953"/>
      <c r="X742" s="949">
        <f t="shared" si="7"/>
        <v>0</v>
      </c>
      <c r="Y742" s="955"/>
      <c r="Z742" s="953" t="str">
        <f t="shared" si="8"/>
        <v/>
      </c>
      <c r="AA742" s="949">
        <f t="shared" si="9"/>
        <v>0</v>
      </c>
      <c r="AB742" s="955"/>
      <c r="AC742" s="949" t="str">
        <f t="shared" si="10"/>
        <v/>
      </c>
      <c r="AD742" s="953">
        <f t="shared" si="11"/>
        <v>0</v>
      </c>
      <c r="AE742" s="956"/>
      <c r="AF742" s="889"/>
      <c r="AG742" s="810" t="b">
        <v>0</v>
      </c>
      <c r="AH742" s="780"/>
      <c r="AI742" s="780"/>
      <c r="AJ742" s="780"/>
      <c r="AK742" s="780"/>
      <c r="AL742" s="780"/>
      <c r="AM742" s="780"/>
      <c r="AN742" s="780"/>
      <c r="AO742" s="780"/>
      <c r="AP742" s="780"/>
      <c r="AQ742" s="780"/>
      <c r="AR742" s="780"/>
      <c r="AS742" s="780"/>
      <c r="AT742" s="780"/>
      <c r="AU742" s="780"/>
      <c r="AV742" s="780"/>
      <c r="AW742" s="780"/>
    </row>
    <row r="743">
      <c r="A743" s="941"/>
      <c r="B743" s="941"/>
      <c r="C743" s="995"/>
      <c r="D743" s="995"/>
      <c r="E743" s="995"/>
      <c r="F743" s="946"/>
      <c r="G743" s="946"/>
      <c r="H743" s="946"/>
      <c r="I743" s="947">
        <v>0.00138428</v>
      </c>
      <c r="J743" s="948">
        <v>0.035</v>
      </c>
      <c r="K743" s="949">
        <f t="shared" si="22"/>
        <v>0</v>
      </c>
      <c r="L743" s="950">
        <f t="shared" si="23"/>
        <v>0</v>
      </c>
      <c r="M743" s="948">
        <v>0.0215</v>
      </c>
      <c r="N743" s="951">
        <f t="shared" si="24"/>
        <v>0.00141404202</v>
      </c>
      <c r="O743" s="949">
        <f t="shared" si="25"/>
        <v>15</v>
      </c>
      <c r="P743" s="949">
        <f t="shared" si="77"/>
        <v>0.0215</v>
      </c>
      <c r="Q743" s="952">
        <f t="shared" si="79"/>
        <v>0</v>
      </c>
      <c r="R743" s="952">
        <f t="shared" si="78"/>
        <v>0</v>
      </c>
      <c r="S743" s="953"/>
      <c r="T743" s="949">
        <v>0.06</v>
      </c>
      <c r="U743" s="954"/>
      <c r="V743" s="949"/>
      <c r="W743" s="953"/>
      <c r="X743" s="949">
        <f t="shared" si="7"/>
        <v>0</v>
      </c>
      <c r="Y743" s="955"/>
      <c r="Z743" s="953" t="str">
        <f t="shared" si="8"/>
        <v/>
      </c>
      <c r="AA743" s="949">
        <f t="shared" si="9"/>
        <v>0</v>
      </c>
      <c r="AB743" s="955"/>
      <c r="AC743" s="949" t="str">
        <f t="shared" si="10"/>
        <v/>
      </c>
      <c r="AD743" s="953">
        <f t="shared" si="11"/>
        <v>0</v>
      </c>
      <c r="AE743" s="956"/>
      <c r="AF743" s="889"/>
      <c r="AG743" s="810" t="b">
        <v>0</v>
      </c>
      <c r="AH743" s="780"/>
      <c r="AI743" s="780"/>
      <c r="AJ743" s="780"/>
      <c r="AK743" s="780"/>
      <c r="AL743" s="780"/>
      <c r="AM743" s="780"/>
      <c r="AN743" s="780"/>
      <c r="AO743" s="780"/>
      <c r="AP743" s="780"/>
      <c r="AQ743" s="780"/>
      <c r="AR743" s="780"/>
      <c r="AS743" s="780"/>
      <c r="AT743" s="780"/>
      <c r="AU743" s="780"/>
      <c r="AV743" s="780"/>
      <c r="AW743" s="780"/>
    </row>
    <row r="744">
      <c r="A744" s="941"/>
      <c r="B744" s="941"/>
      <c r="C744" s="995"/>
      <c r="D744" s="995"/>
      <c r="E744" s="995"/>
      <c r="F744" s="946"/>
      <c r="G744" s="946"/>
      <c r="H744" s="946"/>
      <c r="I744" s="947">
        <v>0.00138428</v>
      </c>
      <c r="J744" s="948">
        <v>0.035</v>
      </c>
      <c r="K744" s="949">
        <f t="shared" si="22"/>
        <v>0</v>
      </c>
      <c r="L744" s="950">
        <f t="shared" si="23"/>
        <v>0</v>
      </c>
      <c r="M744" s="948">
        <v>0.0215</v>
      </c>
      <c r="N744" s="951">
        <f t="shared" si="24"/>
        <v>0.00141404202</v>
      </c>
      <c r="O744" s="949">
        <f t="shared" si="25"/>
        <v>15</v>
      </c>
      <c r="P744" s="949">
        <f t="shared" si="77"/>
        <v>0.0215</v>
      </c>
      <c r="Q744" s="952">
        <f t="shared" si="79"/>
        <v>0</v>
      </c>
      <c r="R744" s="952">
        <f t="shared" si="78"/>
        <v>0</v>
      </c>
      <c r="S744" s="953"/>
      <c r="T744" s="949">
        <v>0.06</v>
      </c>
      <c r="U744" s="954"/>
      <c r="V744" s="949"/>
      <c r="W744" s="953"/>
      <c r="X744" s="949">
        <f t="shared" si="7"/>
        <v>0</v>
      </c>
      <c r="Y744" s="955"/>
      <c r="Z744" s="953" t="str">
        <f t="shared" si="8"/>
        <v/>
      </c>
      <c r="AA744" s="949">
        <f t="shared" si="9"/>
        <v>0</v>
      </c>
      <c r="AB744" s="955"/>
      <c r="AC744" s="949" t="str">
        <f t="shared" si="10"/>
        <v/>
      </c>
      <c r="AD744" s="953">
        <f t="shared" si="11"/>
        <v>0</v>
      </c>
      <c r="AE744" s="956"/>
      <c r="AF744" s="889"/>
      <c r="AG744" s="810" t="b">
        <v>0</v>
      </c>
      <c r="AH744" s="780"/>
      <c r="AI744" s="780"/>
      <c r="AJ744" s="780"/>
      <c r="AK744" s="780"/>
      <c r="AL744" s="780"/>
      <c r="AM744" s="780"/>
      <c r="AN744" s="780"/>
      <c r="AO744" s="780"/>
      <c r="AP744" s="780"/>
      <c r="AQ744" s="780"/>
      <c r="AR744" s="780"/>
      <c r="AS744" s="780"/>
      <c r="AT744" s="780"/>
      <c r="AU744" s="780"/>
      <c r="AV744" s="780"/>
      <c r="AW744" s="780"/>
    </row>
    <row r="745">
      <c r="A745" s="941"/>
      <c r="B745" s="941"/>
      <c r="C745" s="995"/>
      <c r="D745" s="944"/>
      <c r="E745" s="944"/>
      <c r="F745" s="946"/>
      <c r="G745" s="946"/>
      <c r="H745" s="946"/>
      <c r="I745" s="947">
        <v>0.00138428</v>
      </c>
      <c r="J745" s="948">
        <v>0.035</v>
      </c>
      <c r="K745" s="949">
        <f t="shared" si="22"/>
        <v>0</v>
      </c>
      <c r="L745" s="950">
        <f t="shared" si="23"/>
        <v>0</v>
      </c>
      <c r="M745" s="948">
        <v>0.0215</v>
      </c>
      <c r="N745" s="951">
        <f t="shared" si="24"/>
        <v>0.00141404202</v>
      </c>
      <c r="O745" s="949">
        <f t="shared" si="25"/>
        <v>15</v>
      </c>
      <c r="P745" s="949">
        <f t="shared" si="77"/>
        <v>0.0215</v>
      </c>
      <c r="Q745" s="952">
        <f t="shared" si="79"/>
        <v>0</v>
      </c>
      <c r="R745" s="952">
        <f t="shared" si="78"/>
        <v>0</v>
      </c>
      <c r="S745" s="953"/>
      <c r="T745" s="949">
        <v>0.06</v>
      </c>
      <c r="U745" s="954"/>
      <c r="V745" s="949"/>
      <c r="W745" s="953"/>
      <c r="X745" s="949">
        <f t="shared" si="7"/>
        <v>0</v>
      </c>
      <c r="Y745" s="955"/>
      <c r="Z745" s="953" t="str">
        <f t="shared" si="8"/>
        <v/>
      </c>
      <c r="AA745" s="949">
        <f t="shared" si="9"/>
        <v>0</v>
      </c>
      <c r="AB745" s="955"/>
      <c r="AC745" s="949" t="str">
        <f t="shared" si="10"/>
        <v/>
      </c>
      <c r="AD745" s="953">
        <f t="shared" si="11"/>
        <v>0</v>
      </c>
      <c r="AE745" s="956"/>
      <c r="AF745" s="889"/>
      <c r="AG745" s="810" t="b">
        <v>0</v>
      </c>
      <c r="AH745" s="780"/>
      <c r="AI745" s="780"/>
      <c r="AJ745" s="780"/>
      <c r="AK745" s="780"/>
      <c r="AL745" s="780"/>
      <c r="AM745" s="780"/>
      <c r="AN745" s="780"/>
      <c r="AO745" s="780"/>
      <c r="AP745" s="780"/>
      <c r="AQ745" s="780"/>
      <c r="AR745" s="780"/>
      <c r="AS745" s="780"/>
      <c r="AT745" s="780"/>
      <c r="AU745" s="780"/>
      <c r="AV745" s="780"/>
      <c r="AW745" s="780"/>
    </row>
    <row r="746">
      <c r="A746" s="941"/>
      <c r="B746" s="941"/>
      <c r="C746" s="995"/>
      <c r="D746" s="995"/>
      <c r="E746" s="995"/>
      <c r="F746" s="946"/>
      <c r="G746" s="946"/>
      <c r="H746" s="946"/>
      <c r="I746" s="947">
        <v>0.00138428</v>
      </c>
      <c r="J746" s="948">
        <v>0.035</v>
      </c>
      <c r="K746" s="949">
        <f t="shared" si="22"/>
        <v>0</v>
      </c>
      <c r="L746" s="950">
        <f t="shared" si="23"/>
        <v>0</v>
      </c>
      <c r="M746" s="948">
        <v>0.0215</v>
      </c>
      <c r="N746" s="951">
        <f t="shared" si="24"/>
        <v>0.00141404202</v>
      </c>
      <c r="O746" s="949">
        <f t="shared" si="25"/>
        <v>15</v>
      </c>
      <c r="P746" s="949">
        <f t="shared" si="77"/>
        <v>0.0215</v>
      </c>
      <c r="Q746" s="952">
        <f t="shared" si="79"/>
        <v>0</v>
      </c>
      <c r="R746" s="952">
        <f t="shared" si="78"/>
        <v>0</v>
      </c>
      <c r="S746" s="953"/>
      <c r="T746" s="949">
        <v>0.06</v>
      </c>
      <c r="U746" s="954"/>
      <c r="V746" s="949"/>
      <c r="W746" s="953"/>
      <c r="X746" s="949">
        <f t="shared" si="7"/>
        <v>0</v>
      </c>
      <c r="Y746" s="955"/>
      <c r="Z746" s="953" t="str">
        <f t="shared" si="8"/>
        <v/>
      </c>
      <c r="AA746" s="949">
        <f t="shared" si="9"/>
        <v>0</v>
      </c>
      <c r="AB746" s="955"/>
      <c r="AC746" s="949" t="str">
        <f t="shared" si="10"/>
        <v/>
      </c>
      <c r="AD746" s="953">
        <f t="shared" si="11"/>
        <v>0</v>
      </c>
      <c r="AE746" s="956"/>
      <c r="AF746" s="889"/>
      <c r="AG746" s="810" t="b">
        <v>0</v>
      </c>
      <c r="AH746" s="780"/>
      <c r="AI746" s="780"/>
      <c r="AJ746" s="780"/>
      <c r="AK746" s="780"/>
      <c r="AL746" s="780"/>
      <c r="AM746" s="780"/>
      <c r="AN746" s="780"/>
      <c r="AO746" s="780"/>
      <c r="AP746" s="780"/>
      <c r="AQ746" s="780"/>
      <c r="AR746" s="780"/>
      <c r="AS746" s="780"/>
      <c r="AT746" s="780"/>
      <c r="AU746" s="780"/>
      <c r="AV746" s="780"/>
      <c r="AW746" s="780"/>
    </row>
    <row r="747">
      <c r="A747" s="941"/>
      <c r="B747" s="941"/>
      <c r="C747" s="995"/>
      <c r="D747" s="944"/>
      <c r="E747" s="944"/>
      <c r="F747" s="946"/>
      <c r="G747" s="946"/>
      <c r="H747" s="946"/>
      <c r="I747" s="947">
        <v>0.00138428</v>
      </c>
      <c r="J747" s="948">
        <v>0.035</v>
      </c>
      <c r="K747" s="949">
        <f t="shared" si="22"/>
        <v>0</v>
      </c>
      <c r="L747" s="950">
        <f t="shared" si="23"/>
        <v>0</v>
      </c>
      <c r="M747" s="948">
        <v>0.0215</v>
      </c>
      <c r="N747" s="951">
        <f t="shared" si="24"/>
        <v>0.00141404202</v>
      </c>
      <c r="O747" s="949">
        <f t="shared" si="25"/>
        <v>15</v>
      </c>
      <c r="P747" s="949">
        <f t="shared" si="77"/>
        <v>0.0215</v>
      </c>
      <c r="Q747" s="952">
        <f t="shared" si="79"/>
        <v>0</v>
      </c>
      <c r="R747" s="952">
        <f t="shared" si="78"/>
        <v>0</v>
      </c>
      <c r="S747" s="953"/>
      <c r="T747" s="949">
        <v>0.06</v>
      </c>
      <c r="U747" s="954"/>
      <c r="V747" s="949"/>
      <c r="W747" s="953"/>
      <c r="X747" s="949">
        <f t="shared" si="7"/>
        <v>0</v>
      </c>
      <c r="Y747" s="955"/>
      <c r="Z747" s="953" t="str">
        <f t="shared" si="8"/>
        <v/>
      </c>
      <c r="AA747" s="949">
        <f t="shared" si="9"/>
        <v>0</v>
      </c>
      <c r="AB747" s="955"/>
      <c r="AC747" s="949" t="str">
        <f t="shared" si="10"/>
        <v/>
      </c>
      <c r="AD747" s="953">
        <f t="shared" si="11"/>
        <v>0</v>
      </c>
      <c r="AE747" s="956"/>
      <c r="AF747" s="889"/>
      <c r="AG747" s="810" t="b">
        <v>0</v>
      </c>
      <c r="AH747" s="780"/>
      <c r="AI747" s="780"/>
      <c r="AJ747" s="780"/>
      <c r="AK747" s="780"/>
      <c r="AL747" s="780"/>
      <c r="AM747" s="780"/>
      <c r="AN747" s="780"/>
      <c r="AO747" s="780"/>
      <c r="AP747" s="780"/>
      <c r="AQ747" s="780"/>
      <c r="AR747" s="780"/>
      <c r="AS747" s="780"/>
      <c r="AT747" s="780"/>
      <c r="AU747" s="780"/>
      <c r="AV747" s="780"/>
      <c r="AW747" s="780"/>
    </row>
    <row r="748">
      <c r="A748" s="941"/>
      <c r="B748" s="941"/>
      <c r="C748" s="995"/>
      <c r="D748" s="995"/>
      <c r="E748" s="995"/>
      <c r="F748" s="946"/>
      <c r="G748" s="946"/>
      <c r="H748" s="946"/>
      <c r="I748" s="947">
        <v>0.00138428</v>
      </c>
      <c r="J748" s="948">
        <v>0.035</v>
      </c>
      <c r="K748" s="949">
        <f t="shared" si="22"/>
        <v>0</v>
      </c>
      <c r="L748" s="950">
        <f t="shared" si="23"/>
        <v>0</v>
      </c>
      <c r="M748" s="948">
        <v>0.0215</v>
      </c>
      <c r="N748" s="951">
        <f t="shared" si="24"/>
        <v>0.00141404202</v>
      </c>
      <c r="O748" s="949">
        <f t="shared" si="25"/>
        <v>15</v>
      </c>
      <c r="P748" s="949">
        <f t="shared" si="77"/>
        <v>0.0215</v>
      </c>
      <c r="Q748" s="952">
        <f t="shared" si="79"/>
        <v>0</v>
      </c>
      <c r="R748" s="952">
        <f t="shared" si="78"/>
        <v>0</v>
      </c>
      <c r="S748" s="953"/>
      <c r="T748" s="949">
        <v>0.06</v>
      </c>
      <c r="U748" s="954"/>
      <c r="V748" s="949"/>
      <c r="W748" s="953"/>
      <c r="X748" s="949">
        <f t="shared" si="7"/>
        <v>0</v>
      </c>
      <c r="Y748" s="955"/>
      <c r="Z748" s="953" t="str">
        <f t="shared" si="8"/>
        <v/>
      </c>
      <c r="AA748" s="949">
        <f t="shared" si="9"/>
        <v>0</v>
      </c>
      <c r="AB748" s="955"/>
      <c r="AC748" s="949" t="str">
        <f t="shared" si="10"/>
        <v/>
      </c>
      <c r="AD748" s="953">
        <f t="shared" si="11"/>
        <v>0</v>
      </c>
      <c r="AE748" s="956"/>
      <c r="AF748" s="889"/>
      <c r="AG748" s="810" t="b">
        <v>0</v>
      </c>
      <c r="AH748" s="780"/>
      <c r="AI748" s="780"/>
      <c r="AJ748" s="780"/>
      <c r="AK748" s="780"/>
      <c r="AL748" s="780"/>
      <c r="AM748" s="780"/>
      <c r="AN748" s="780"/>
      <c r="AO748" s="780"/>
      <c r="AP748" s="780"/>
      <c r="AQ748" s="780"/>
      <c r="AR748" s="780"/>
      <c r="AS748" s="780"/>
      <c r="AT748" s="780"/>
      <c r="AU748" s="780"/>
      <c r="AV748" s="780"/>
      <c r="AW748" s="780"/>
    </row>
    <row r="749">
      <c r="A749" s="941"/>
      <c r="B749" s="941"/>
      <c r="C749" s="995"/>
      <c r="D749" s="944"/>
      <c r="E749" s="944"/>
      <c r="F749" s="946"/>
      <c r="G749" s="946"/>
      <c r="H749" s="946"/>
      <c r="I749" s="947">
        <v>0.00138428</v>
      </c>
      <c r="J749" s="948">
        <v>0.035</v>
      </c>
      <c r="K749" s="949">
        <f t="shared" si="22"/>
        <v>0</v>
      </c>
      <c r="L749" s="950">
        <f t="shared" si="23"/>
        <v>0</v>
      </c>
      <c r="M749" s="948">
        <v>0.0215</v>
      </c>
      <c r="N749" s="951">
        <f t="shared" si="24"/>
        <v>0.00141404202</v>
      </c>
      <c r="O749" s="949">
        <f t="shared" si="25"/>
        <v>15</v>
      </c>
      <c r="P749" s="949">
        <f t="shared" si="77"/>
        <v>0.0215</v>
      </c>
      <c r="Q749" s="952">
        <f t="shared" si="79"/>
        <v>0</v>
      </c>
      <c r="R749" s="952">
        <f t="shared" si="78"/>
        <v>0</v>
      </c>
      <c r="S749" s="953"/>
      <c r="T749" s="949">
        <v>0.06</v>
      </c>
      <c r="U749" s="954"/>
      <c r="V749" s="949"/>
      <c r="W749" s="953"/>
      <c r="X749" s="949">
        <f t="shared" si="7"/>
        <v>0</v>
      </c>
      <c r="Y749" s="955"/>
      <c r="Z749" s="953" t="str">
        <f t="shared" si="8"/>
        <v/>
      </c>
      <c r="AA749" s="949">
        <f t="shared" si="9"/>
        <v>0</v>
      </c>
      <c r="AB749" s="955"/>
      <c r="AC749" s="949" t="str">
        <f t="shared" si="10"/>
        <v/>
      </c>
      <c r="AD749" s="953">
        <f t="shared" si="11"/>
        <v>0</v>
      </c>
      <c r="AE749" s="956"/>
      <c r="AF749" s="889"/>
      <c r="AG749" s="810" t="b">
        <v>0</v>
      </c>
      <c r="AH749" s="780"/>
      <c r="AI749" s="780"/>
      <c r="AJ749" s="780"/>
      <c r="AK749" s="780"/>
      <c r="AL749" s="780"/>
      <c r="AM749" s="780"/>
      <c r="AN749" s="780"/>
      <c r="AO749" s="780"/>
      <c r="AP749" s="780"/>
      <c r="AQ749" s="780"/>
      <c r="AR749" s="780"/>
      <c r="AS749" s="780"/>
      <c r="AT749" s="780"/>
      <c r="AU749" s="780"/>
      <c r="AV749" s="780"/>
      <c r="AW749" s="780"/>
    </row>
    <row r="750">
      <c r="A750" s="941"/>
      <c r="B750" s="941"/>
      <c r="C750" s="995"/>
      <c r="D750" s="995"/>
      <c r="E750" s="995"/>
      <c r="F750" s="946"/>
      <c r="G750" s="946"/>
      <c r="H750" s="946"/>
      <c r="I750" s="947">
        <v>0.00138428</v>
      </c>
      <c r="J750" s="948">
        <v>0.035</v>
      </c>
      <c r="K750" s="949">
        <f t="shared" si="22"/>
        <v>0</v>
      </c>
      <c r="L750" s="950">
        <f t="shared" si="23"/>
        <v>0</v>
      </c>
      <c r="M750" s="948">
        <v>0.0215</v>
      </c>
      <c r="N750" s="951">
        <f t="shared" si="24"/>
        <v>0.00141404202</v>
      </c>
      <c r="O750" s="949">
        <f t="shared" si="25"/>
        <v>15</v>
      </c>
      <c r="P750" s="949">
        <f t="shared" si="77"/>
        <v>0.0215</v>
      </c>
      <c r="Q750" s="952">
        <f t="shared" si="79"/>
        <v>0</v>
      </c>
      <c r="R750" s="952">
        <f t="shared" si="78"/>
        <v>0</v>
      </c>
      <c r="S750" s="953"/>
      <c r="T750" s="949">
        <v>0.06</v>
      </c>
      <c r="U750" s="954"/>
      <c r="V750" s="949"/>
      <c r="W750" s="953"/>
      <c r="X750" s="949">
        <f t="shared" si="7"/>
        <v>0</v>
      </c>
      <c r="Y750" s="955"/>
      <c r="Z750" s="953" t="str">
        <f t="shared" si="8"/>
        <v/>
      </c>
      <c r="AA750" s="949">
        <f t="shared" si="9"/>
        <v>0</v>
      </c>
      <c r="AB750" s="955"/>
      <c r="AC750" s="949" t="str">
        <f t="shared" si="10"/>
        <v/>
      </c>
      <c r="AD750" s="953">
        <f t="shared" si="11"/>
        <v>0</v>
      </c>
      <c r="AE750" s="956"/>
      <c r="AF750" s="889"/>
      <c r="AG750" s="810" t="b">
        <v>0</v>
      </c>
      <c r="AH750" s="780"/>
      <c r="AI750" s="780"/>
      <c r="AJ750" s="780"/>
      <c r="AK750" s="780"/>
      <c r="AL750" s="780"/>
      <c r="AM750" s="780"/>
      <c r="AN750" s="780"/>
      <c r="AO750" s="780"/>
      <c r="AP750" s="780"/>
      <c r="AQ750" s="780"/>
      <c r="AR750" s="780"/>
      <c r="AS750" s="780"/>
      <c r="AT750" s="780"/>
      <c r="AU750" s="780"/>
      <c r="AV750" s="780"/>
      <c r="AW750" s="780"/>
    </row>
    <row r="751">
      <c r="A751" s="941"/>
      <c r="B751" s="941"/>
      <c r="C751" s="995"/>
      <c r="D751" s="944"/>
      <c r="E751" s="944"/>
      <c r="F751" s="946"/>
      <c r="G751" s="946"/>
      <c r="H751" s="946"/>
      <c r="I751" s="947">
        <v>0.00138428</v>
      </c>
      <c r="J751" s="948">
        <v>0.035</v>
      </c>
      <c r="K751" s="949">
        <f t="shared" si="22"/>
        <v>0</v>
      </c>
      <c r="L751" s="950">
        <f t="shared" si="23"/>
        <v>0</v>
      </c>
      <c r="M751" s="948">
        <v>0.0215</v>
      </c>
      <c r="N751" s="951">
        <f t="shared" si="24"/>
        <v>0.00141404202</v>
      </c>
      <c r="O751" s="949">
        <f t="shared" si="25"/>
        <v>15</v>
      </c>
      <c r="P751" s="949">
        <f t="shared" si="77"/>
        <v>0.0215</v>
      </c>
      <c r="Q751" s="952">
        <f t="shared" si="79"/>
        <v>0</v>
      </c>
      <c r="R751" s="952">
        <f t="shared" si="78"/>
        <v>0</v>
      </c>
      <c r="S751" s="953"/>
      <c r="T751" s="949">
        <v>0.06</v>
      </c>
      <c r="U751" s="954"/>
      <c r="V751" s="949"/>
      <c r="W751" s="953"/>
      <c r="X751" s="949">
        <f t="shared" si="7"/>
        <v>0</v>
      </c>
      <c r="Y751" s="955"/>
      <c r="Z751" s="953" t="str">
        <f t="shared" si="8"/>
        <v/>
      </c>
      <c r="AA751" s="949">
        <f t="shared" si="9"/>
        <v>0</v>
      </c>
      <c r="AB751" s="955"/>
      <c r="AC751" s="949" t="str">
        <f t="shared" si="10"/>
        <v/>
      </c>
      <c r="AD751" s="953">
        <f t="shared" si="11"/>
        <v>0</v>
      </c>
      <c r="AE751" s="956"/>
      <c r="AF751" s="889"/>
      <c r="AG751" s="810" t="b">
        <v>0</v>
      </c>
      <c r="AH751" s="780"/>
      <c r="AI751" s="780"/>
      <c r="AJ751" s="780"/>
      <c r="AK751" s="780"/>
      <c r="AL751" s="780"/>
      <c r="AM751" s="780"/>
      <c r="AN751" s="780"/>
      <c r="AO751" s="780"/>
      <c r="AP751" s="780"/>
      <c r="AQ751" s="780"/>
      <c r="AR751" s="780"/>
      <c r="AS751" s="780"/>
      <c r="AT751" s="780"/>
      <c r="AU751" s="780"/>
      <c r="AV751" s="780"/>
      <c r="AW751" s="780"/>
    </row>
    <row r="752">
      <c r="A752" s="941"/>
      <c r="B752" s="941"/>
      <c r="C752" s="995"/>
      <c r="D752" s="995"/>
      <c r="E752" s="995"/>
      <c r="F752" s="946"/>
      <c r="G752" s="946"/>
      <c r="H752" s="946"/>
      <c r="I752" s="947">
        <v>0.00138428</v>
      </c>
      <c r="J752" s="948">
        <v>0.035</v>
      </c>
      <c r="K752" s="949">
        <f t="shared" si="22"/>
        <v>0</v>
      </c>
      <c r="L752" s="950">
        <f t="shared" si="23"/>
        <v>0</v>
      </c>
      <c r="M752" s="948">
        <v>0.0215</v>
      </c>
      <c r="N752" s="951">
        <f t="shared" si="24"/>
        <v>0.00141404202</v>
      </c>
      <c r="O752" s="949">
        <f t="shared" si="25"/>
        <v>15</v>
      </c>
      <c r="P752" s="949">
        <f t="shared" si="77"/>
        <v>0.0215</v>
      </c>
      <c r="Q752" s="952">
        <f t="shared" si="79"/>
        <v>0</v>
      </c>
      <c r="R752" s="952">
        <f t="shared" si="78"/>
        <v>0</v>
      </c>
      <c r="S752" s="953"/>
      <c r="T752" s="949">
        <v>0.06</v>
      </c>
      <c r="U752" s="954"/>
      <c r="V752" s="949"/>
      <c r="W752" s="953"/>
      <c r="X752" s="949">
        <f t="shared" si="7"/>
        <v>0</v>
      </c>
      <c r="Y752" s="955"/>
      <c r="Z752" s="953" t="str">
        <f t="shared" si="8"/>
        <v/>
      </c>
      <c r="AA752" s="949">
        <f t="shared" si="9"/>
        <v>0</v>
      </c>
      <c r="AB752" s="955"/>
      <c r="AC752" s="949" t="str">
        <f t="shared" si="10"/>
        <v/>
      </c>
      <c r="AD752" s="953">
        <f t="shared" si="11"/>
        <v>0</v>
      </c>
      <c r="AE752" s="956"/>
      <c r="AF752" s="889"/>
      <c r="AG752" s="810" t="b">
        <v>0</v>
      </c>
      <c r="AH752" s="780"/>
      <c r="AI752" s="780"/>
      <c r="AJ752" s="780"/>
      <c r="AK752" s="780"/>
      <c r="AL752" s="780"/>
      <c r="AM752" s="780"/>
      <c r="AN752" s="780"/>
      <c r="AO752" s="780"/>
      <c r="AP752" s="780"/>
      <c r="AQ752" s="780"/>
      <c r="AR752" s="780"/>
      <c r="AS752" s="780"/>
      <c r="AT752" s="780"/>
      <c r="AU752" s="780"/>
      <c r="AV752" s="780"/>
      <c r="AW752" s="780"/>
    </row>
    <row r="753">
      <c r="A753" s="941"/>
      <c r="B753" s="941"/>
      <c r="C753" s="995"/>
      <c r="D753" s="944"/>
      <c r="E753" s="944"/>
      <c r="F753" s="946"/>
      <c r="G753" s="946"/>
      <c r="H753" s="946"/>
      <c r="I753" s="947">
        <v>0.00138428</v>
      </c>
      <c r="J753" s="948">
        <v>0.035</v>
      </c>
      <c r="K753" s="949">
        <f t="shared" si="22"/>
        <v>0</v>
      </c>
      <c r="L753" s="950">
        <f t="shared" si="23"/>
        <v>0</v>
      </c>
      <c r="M753" s="948">
        <v>0.0215</v>
      </c>
      <c r="N753" s="951">
        <f t="shared" si="24"/>
        <v>0.00141404202</v>
      </c>
      <c r="O753" s="949">
        <f t="shared" si="25"/>
        <v>15</v>
      </c>
      <c r="P753" s="949">
        <f t="shared" si="77"/>
        <v>0.0215</v>
      </c>
      <c r="Q753" s="952">
        <f t="shared" si="79"/>
        <v>0</v>
      </c>
      <c r="R753" s="952">
        <f t="shared" si="78"/>
        <v>0</v>
      </c>
      <c r="S753" s="953"/>
      <c r="T753" s="949">
        <v>0.06</v>
      </c>
      <c r="U753" s="954"/>
      <c r="V753" s="949"/>
      <c r="W753" s="953"/>
      <c r="X753" s="949">
        <f t="shared" si="7"/>
        <v>0</v>
      </c>
      <c r="Y753" s="955"/>
      <c r="Z753" s="953" t="str">
        <f t="shared" si="8"/>
        <v/>
      </c>
      <c r="AA753" s="949">
        <f t="shared" si="9"/>
        <v>0</v>
      </c>
      <c r="AB753" s="955"/>
      <c r="AC753" s="949" t="str">
        <f t="shared" si="10"/>
        <v/>
      </c>
      <c r="AD753" s="953">
        <f t="shared" si="11"/>
        <v>0</v>
      </c>
      <c r="AE753" s="956"/>
      <c r="AF753" s="889"/>
      <c r="AG753" s="810" t="b">
        <v>0</v>
      </c>
      <c r="AH753" s="780"/>
      <c r="AI753" s="780"/>
      <c r="AJ753" s="780"/>
      <c r="AK753" s="780"/>
      <c r="AL753" s="780"/>
      <c r="AM753" s="780"/>
      <c r="AN753" s="780"/>
      <c r="AO753" s="780"/>
      <c r="AP753" s="780"/>
      <c r="AQ753" s="780"/>
      <c r="AR753" s="780"/>
      <c r="AS753" s="780"/>
      <c r="AT753" s="780"/>
      <c r="AU753" s="780"/>
      <c r="AV753" s="780"/>
      <c r="AW753" s="780"/>
    </row>
    <row r="754">
      <c r="A754" s="941"/>
      <c r="B754" s="941"/>
      <c r="C754" s="995"/>
      <c r="D754" s="995"/>
      <c r="E754" s="995"/>
      <c r="F754" s="946"/>
      <c r="G754" s="946"/>
      <c r="H754" s="946"/>
      <c r="I754" s="947">
        <v>0.00138428</v>
      </c>
      <c r="J754" s="948">
        <v>0.035</v>
      </c>
      <c r="K754" s="949">
        <f t="shared" si="22"/>
        <v>0</v>
      </c>
      <c r="L754" s="950">
        <f t="shared" si="23"/>
        <v>0</v>
      </c>
      <c r="M754" s="948">
        <v>0.0215</v>
      </c>
      <c r="N754" s="951">
        <f t="shared" si="24"/>
        <v>0.00141404202</v>
      </c>
      <c r="O754" s="949">
        <f t="shared" si="25"/>
        <v>15</v>
      </c>
      <c r="P754" s="949">
        <f t="shared" si="77"/>
        <v>0.0215</v>
      </c>
      <c r="Q754" s="952">
        <f t="shared" si="79"/>
        <v>0</v>
      </c>
      <c r="R754" s="952">
        <f t="shared" si="78"/>
        <v>0</v>
      </c>
      <c r="S754" s="953"/>
      <c r="T754" s="949">
        <v>0.06</v>
      </c>
      <c r="U754" s="954"/>
      <c r="V754" s="949"/>
      <c r="W754" s="953"/>
      <c r="X754" s="949">
        <f t="shared" si="7"/>
        <v>0</v>
      </c>
      <c r="Y754" s="955"/>
      <c r="Z754" s="953" t="str">
        <f t="shared" si="8"/>
        <v/>
      </c>
      <c r="AA754" s="949">
        <f t="shared" si="9"/>
        <v>0</v>
      </c>
      <c r="AB754" s="955"/>
      <c r="AC754" s="949" t="str">
        <f t="shared" si="10"/>
        <v/>
      </c>
      <c r="AD754" s="953">
        <f t="shared" si="11"/>
        <v>0</v>
      </c>
      <c r="AE754" s="956"/>
      <c r="AF754" s="889"/>
      <c r="AG754" s="810" t="b">
        <v>0</v>
      </c>
      <c r="AH754" s="780"/>
      <c r="AI754" s="780"/>
      <c r="AJ754" s="780"/>
      <c r="AK754" s="780"/>
      <c r="AL754" s="780"/>
      <c r="AM754" s="780"/>
      <c r="AN754" s="780"/>
      <c r="AO754" s="780"/>
      <c r="AP754" s="780"/>
      <c r="AQ754" s="780"/>
      <c r="AR754" s="780"/>
      <c r="AS754" s="780"/>
      <c r="AT754" s="780"/>
      <c r="AU754" s="780"/>
      <c r="AV754" s="780"/>
      <c r="AW754" s="780"/>
    </row>
    <row r="755">
      <c r="A755" s="941"/>
      <c r="B755" s="941"/>
      <c r="C755" s="995"/>
      <c r="D755" s="944"/>
      <c r="E755" s="944"/>
      <c r="F755" s="946"/>
      <c r="G755" s="946"/>
      <c r="H755" s="946"/>
      <c r="I755" s="947">
        <v>0.00138428</v>
      </c>
      <c r="J755" s="948">
        <v>0.035</v>
      </c>
      <c r="K755" s="949">
        <f t="shared" si="22"/>
        <v>0</v>
      </c>
      <c r="L755" s="950">
        <f t="shared" si="23"/>
        <v>0</v>
      </c>
      <c r="M755" s="948">
        <v>0.0215</v>
      </c>
      <c r="N755" s="951">
        <f t="shared" si="24"/>
        <v>0.00141404202</v>
      </c>
      <c r="O755" s="949">
        <f t="shared" si="25"/>
        <v>15</v>
      </c>
      <c r="P755" s="949">
        <f t="shared" si="77"/>
        <v>0.0215</v>
      </c>
      <c r="Q755" s="952">
        <f t="shared" si="79"/>
        <v>0</v>
      </c>
      <c r="R755" s="952">
        <f t="shared" si="78"/>
        <v>0</v>
      </c>
      <c r="S755" s="953"/>
      <c r="T755" s="949">
        <v>0.06</v>
      </c>
      <c r="U755" s="954"/>
      <c r="V755" s="949"/>
      <c r="W755" s="953"/>
      <c r="X755" s="949">
        <f t="shared" si="7"/>
        <v>0</v>
      </c>
      <c r="Y755" s="955"/>
      <c r="Z755" s="953" t="str">
        <f t="shared" si="8"/>
        <v/>
      </c>
      <c r="AA755" s="949">
        <f t="shared" si="9"/>
        <v>0</v>
      </c>
      <c r="AB755" s="955"/>
      <c r="AC755" s="949" t="str">
        <f t="shared" si="10"/>
        <v/>
      </c>
      <c r="AD755" s="953">
        <f t="shared" si="11"/>
        <v>0</v>
      </c>
      <c r="AE755" s="956"/>
      <c r="AF755" s="889"/>
      <c r="AG755" s="810" t="b">
        <v>0</v>
      </c>
      <c r="AH755" s="780"/>
      <c r="AI755" s="780"/>
      <c r="AJ755" s="780"/>
      <c r="AK755" s="780"/>
      <c r="AL755" s="780"/>
      <c r="AM755" s="780"/>
      <c r="AN755" s="780"/>
      <c r="AO755" s="780"/>
      <c r="AP755" s="780"/>
      <c r="AQ755" s="780"/>
      <c r="AR755" s="780"/>
      <c r="AS755" s="780"/>
      <c r="AT755" s="780"/>
      <c r="AU755" s="780"/>
      <c r="AV755" s="780"/>
      <c r="AW755" s="780"/>
    </row>
    <row r="756">
      <c r="A756" s="941"/>
      <c r="B756" s="941"/>
      <c r="C756" s="995"/>
      <c r="D756" s="995"/>
      <c r="E756" s="995"/>
      <c r="F756" s="946"/>
      <c r="G756" s="946"/>
      <c r="H756" s="946"/>
      <c r="I756" s="947">
        <v>0.00138428</v>
      </c>
      <c r="J756" s="948">
        <v>0.035</v>
      </c>
      <c r="K756" s="949">
        <f t="shared" si="22"/>
        <v>0</v>
      </c>
      <c r="L756" s="950">
        <f t="shared" si="23"/>
        <v>0</v>
      </c>
      <c r="M756" s="948">
        <v>0.0215</v>
      </c>
      <c r="N756" s="951">
        <f t="shared" si="24"/>
        <v>0.00141404202</v>
      </c>
      <c r="O756" s="949">
        <f t="shared" si="25"/>
        <v>15</v>
      </c>
      <c r="P756" s="949">
        <f t="shared" si="77"/>
        <v>0.0215</v>
      </c>
      <c r="Q756" s="952">
        <f t="shared" si="79"/>
        <v>0</v>
      </c>
      <c r="R756" s="952">
        <f t="shared" si="78"/>
        <v>0</v>
      </c>
      <c r="S756" s="953"/>
      <c r="T756" s="949">
        <v>0.06</v>
      </c>
      <c r="U756" s="954"/>
      <c r="V756" s="949"/>
      <c r="W756" s="953"/>
      <c r="X756" s="949">
        <f t="shared" si="7"/>
        <v>0</v>
      </c>
      <c r="Y756" s="955"/>
      <c r="Z756" s="953" t="str">
        <f t="shared" si="8"/>
        <v/>
      </c>
      <c r="AA756" s="949">
        <f t="shared" si="9"/>
        <v>0</v>
      </c>
      <c r="AB756" s="955"/>
      <c r="AC756" s="949" t="str">
        <f t="shared" si="10"/>
        <v/>
      </c>
      <c r="AD756" s="953">
        <f t="shared" si="11"/>
        <v>0</v>
      </c>
      <c r="AE756" s="956"/>
      <c r="AF756" s="889"/>
      <c r="AG756" s="810" t="b">
        <v>0</v>
      </c>
      <c r="AH756" s="780"/>
      <c r="AI756" s="780"/>
      <c r="AJ756" s="780"/>
      <c r="AK756" s="780"/>
      <c r="AL756" s="780"/>
      <c r="AM756" s="780"/>
      <c r="AN756" s="780"/>
      <c r="AO756" s="780"/>
      <c r="AP756" s="780"/>
      <c r="AQ756" s="780"/>
      <c r="AR756" s="780"/>
      <c r="AS756" s="780"/>
      <c r="AT756" s="780"/>
      <c r="AU756" s="780"/>
      <c r="AV756" s="780"/>
      <c r="AW756" s="780"/>
    </row>
    <row r="757">
      <c r="A757" s="941"/>
      <c r="B757" s="941"/>
      <c r="C757" s="995"/>
      <c r="D757" s="944"/>
      <c r="E757" s="944"/>
      <c r="F757" s="946"/>
      <c r="G757" s="946"/>
      <c r="H757" s="946"/>
      <c r="I757" s="947">
        <v>0.00138428</v>
      </c>
      <c r="J757" s="948">
        <v>0.035</v>
      </c>
      <c r="K757" s="949">
        <f t="shared" si="22"/>
        <v>0</v>
      </c>
      <c r="L757" s="950">
        <f t="shared" si="23"/>
        <v>0</v>
      </c>
      <c r="M757" s="948">
        <v>0.0215</v>
      </c>
      <c r="N757" s="951">
        <f t="shared" si="24"/>
        <v>0.00141404202</v>
      </c>
      <c r="O757" s="949">
        <f t="shared" si="25"/>
        <v>15</v>
      </c>
      <c r="P757" s="949">
        <f t="shared" si="77"/>
        <v>0.0215</v>
      </c>
      <c r="Q757" s="952">
        <f t="shared" si="79"/>
        <v>0</v>
      </c>
      <c r="R757" s="952">
        <f t="shared" si="78"/>
        <v>0</v>
      </c>
      <c r="S757" s="953"/>
      <c r="T757" s="949">
        <v>0.06</v>
      </c>
      <c r="U757" s="954"/>
      <c r="V757" s="949"/>
      <c r="W757" s="953"/>
      <c r="X757" s="949">
        <f t="shared" si="7"/>
        <v>0</v>
      </c>
      <c r="Y757" s="955"/>
      <c r="Z757" s="953" t="str">
        <f t="shared" si="8"/>
        <v/>
      </c>
      <c r="AA757" s="949">
        <f t="shared" si="9"/>
        <v>0</v>
      </c>
      <c r="AB757" s="955"/>
      <c r="AC757" s="949" t="str">
        <f t="shared" si="10"/>
        <v/>
      </c>
      <c r="AD757" s="953">
        <f t="shared" si="11"/>
        <v>0</v>
      </c>
      <c r="AE757" s="956"/>
      <c r="AF757" s="889"/>
      <c r="AG757" s="810" t="b">
        <v>0</v>
      </c>
      <c r="AH757" s="780"/>
      <c r="AI757" s="780"/>
      <c r="AJ757" s="780"/>
      <c r="AK757" s="780"/>
      <c r="AL757" s="780"/>
      <c r="AM757" s="780"/>
      <c r="AN757" s="780"/>
      <c r="AO757" s="780"/>
      <c r="AP757" s="780"/>
      <c r="AQ757" s="780"/>
      <c r="AR757" s="780"/>
      <c r="AS757" s="780"/>
      <c r="AT757" s="780"/>
      <c r="AU757" s="780"/>
      <c r="AV757" s="780"/>
      <c r="AW757" s="780"/>
    </row>
    <row r="758">
      <c r="A758" s="941"/>
      <c r="B758" s="941"/>
      <c r="C758" s="995"/>
      <c r="D758" s="995"/>
      <c r="E758" s="995"/>
      <c r="F758" s="946"/>
      <c r="G758" s="946"/>
      <c r="H758" s="946"/>
      <c r="I758" s="947">
        <v>0.00138428</v>
      </c>
      <c r="J758" s="948">
        <v>0.035</v>
      </c>
      <c r="K758" s="949">
        <f t="shared" si="22"/>
        <v>0</v>
      </c>
      <c r="L758" s="950">
        <f t="shared" si="23"/>
        <v>0</v>
      </c>
      <c r="M758" s="948">
        <v>0.0215</v>
      </c>
      <c r="N758" s="951">
        <f t="shared" si="24"/>
        <v>0.00141404202</v>
      </c>
      <c r="O758" s="949">
        <f t="shared" si="25"/>
        <v>15</v>
      </c>
      <c r="P758" s="949">
        <f t="shared" si="77"/>
        <v>0.0215</v>
      </c>
      <c r="Q758" s="952">
        <f t="shared" si="79"/>
        <v>0</v>
      </c>
      <c r="R758" s="952">
        <f t="shared" si="78"/>
        <v>0</v>
      </c>
      <c r="S758" s="953"/>
      <c r="T758" s="949">
        <v>0.06</v>
      </c>
      <c r="U758" s="954"/>
      <c r="V758" s="949"/>
      <c r="W758" s="953"/>
      <c r="X758" s="949">
        <f t="shared" si="7"/>
        <v>0</v>
      </c>
      <c r="Y758" s="955"/>
      <c r="Z758" s="953" t="str">
        <f t="shared" si="8"/>
        <v/>
      </c>
      <c r="AA758" s="949">
        <f t="shared" si="9"/>
        <v>0</v>
      </c>
      <c r="AB758" s="955"/>
      <c r="AC758" s="949" t="str">
        <f t="shared" si="10"/>
        <v/>
      </c>
      <c r="AD758" s="953">
        <f t="shared" si="11"/>
        <v>0</v>
      </c>
      <c r="AE758" s="956"/>
      <c r="AF758" s="889"/>
      <c r="AG758" s="810" t="b">
        <v>0</v>
      </c>
      <c r="AH758" s="780"/>
      <c r="AI758" s="780"/>
      <c r="AJ758" s="780"/>
      <c r="AK758" s="780"/>
      <c r="AL758" s="780"/>
      <c r="AM758" s="780"/>
      <c r="AN758" s="780"/>
      <c r="AO758" s="780"/>
      <c r="AP758" s="780"/>
      <c r="AQ758" s="780"/>
      <c r="AR758" s="780"/>
      <c r="AS758" s="780"/>
      <c r="AT758" s="780"/>
      <c r="AU758" s="780"/>
      <c r="AV758" s="780"/>
      <c r="AW758" s="780"/>
    </row>
    <row r="759">
      <c r="A759" s="941"/>
      <c r="B759" s="941"/>
      <c r="C759" s="995"/>
      <c r="D759" s="944"/>
      <c r="E759" s="944"/>
      <c r="F759" s="946"/>
      <c r="G759" s="946"/>
      <c r="H759" s="946"/>
      <c r="I759" s="947">
        <v>0.00138428</v>
      </c>
      <c r="J759" s="948">
        <v>0.035</v>
      </c>
      <c r="K759" s="949">
        <f t="shared" si="22"/>
        <v>0</v>
      </c>
      <c r="L759" s="950">
        <f t="shared" si="23"/>
        <v>0</v>
      </c>
      <c r="M759" s="948">
        <v>0.0215</v>
      </c>
      <c r="N759" s="951">
        <f t="shared" si="24"/>
        <v>0.00141404202</v>
      </c>
      <c r="O759" s="949">
        <f t="shared" si="25"/>
        <v>15</v>
      </c>
      <c r="P759" s="949">
        <f t="shared" si="77"/>
        <v>0.0215</v>
      </c>
      <c r="Q759" s="952">
        <f t="shared" si="79"/>
        <v>0</v>
      </c>
      <c r="R759" s="952">
        <f t="shared" si="78"/>
        <v>0</v>
      </c>
      <c r="S759" s="953"/>
      <c r="T759" s="949">
        <v>0.06</v>
      </c>
      <c r="U759" s="954"/>
      <c r="V759" s="949"/>
      <c r="W759" s="953"/>
      <c r="X759" s="949">
        <f t="shared" si="7"/>
        <v>0</v>
      </c>
      <c r="Y759" s="955"/>
      <c r="Z759" s="953" t="str">
        <f t="shared" si="8"/>
        <v/>
      </c>
      <c r="AA759" s="949">
        <f t="shared" si="9"/>
        <v>0</v>
      </c>
      <c r="AB759" s="955"/>
      <c r="AC759" s="949" t="str">
        <f t="shared" si="10"/>
        <v/>
      </c>
      <c r="AD759" s="953">
        <f t="shared" si="11"/>
        <v>0</v>
      </c>
      <c r="AE759" s="956"/>
      <c r="AF759" s="889"/>
      <c r="AG759" s="810" t="b">
        <v>0</v>
      </c>
      <c r="AH759" s="780"/>
      <c r="AI759" s="780"/>
      <c r="AJ759" s="780"/>
      <c r="AK759" s="780"/>
      <c r="AL759" s="780"/>
      <c r="AM759" s="780"/>
      <c r="AN759" s="780"/>
      <c r="AO759" s="780"/>
      <c r="AP759" s="780"/>
      <c r="AQ759" s="780"/>
      <c r="AR759" s="780"/>
      <c r="AS759" s="780"/>
      <c r="AT759" s="780"/>
      <c r="AU759" s="780"/>
      <c r="AV759" s="780"/>
      <c r="AW759" s="780"/>
    </row>
    <row r="760">
      <c r="A760" s="941"/>
      <c r="B760" s="941"/>
      <c r="C760" s="995"/>
      <c r="D760" s="995"/>
      <c r="E760" s="995"/>
      <c r="F760" s="946"/>
      <c r="G760" s="946"/>
      <c r="H760" s="946"/>
      <c r="I760" s="947">
        <v>0.00138428</v>
      </c>
      <c r="J760" s="948">
        <v>0.035</v>
      </c>
      <c r="K760" s="949">
        <f t="shared" si="22"/>
        <v>0</v>
      </c>
      <c r="L760" s="950">
        <f t="shared" si="23"/>
        <v>0</v>
      </c>
      <c r="M760" s="948">
        <v>0.0215</v>
      </c>
      <c r="N760" s="951">
        <f t="shared" si="24"/>
        <v>0.00141404202</v>
      </c>
      <c r="O760" s="949">
        <f t="shared" si="25"/>
        <v>15</v>
      </c>
      <c r="P760" s="949">
        <f t="shared" si="77"/>
        <v>0.0215</v>
      </c>
      <c r="Q760" s="952">
        <f t="shared" si="79"/>
        <v>0</v>
      </c>
      <c r="R760" s="952">
        <f t="shared" si="78"/>
        <v>0</v>
      </c>
      <c r="S760" s="953"/>
      <c r="T760" s="949">
        <v>0.06</v>
      </c>
      <c r="U760" s="954"/>
      <c r="V760" s="949"/>
      <c r="W760" s="953"/>
      <c r="X760" s="949">
        <f t="shared" si="7"/>
        <v>0</v>
      </c>
      <c r="Y760" s="955"/>
      <c r="Z760" s="953" t="str">
        <f t="shared" si="8"/>
        <v/>
      </c>
      <c r="AA760" s="949">
        <f t="shared" si="9"/>
        <v>0</v>
      </c>
      <c r="AB760" s="955"/>
      <c r="AC760" s="949" t="str">
        <f t="shared" si="10"/>
        <v/>
      </c>
      <c r="AD760" s="953">
        <f t="shared" si="11"/>
        <v>0</v>
      </c>
      <c r="AE760" s="956"/>
      <c r="AF760" s="889"/>
      <c r="AG760" s="810" t="b">
        <v>0</v>
      </c>
      <c r="AH760" s="780"/>
      <c r="AI760" s="780"/>
      <c r="AJ760" s="780"/>
      <c r="AK760" s="780"/>
      <c r="AL760" s="780"/>
      <c r="AM760" s="780"/>
      <c r="AN760" s="780"/>
      <c r="AO760" s="780"/>
      <c r="AP760" s="780"/>
      <c r="AQ760" s="780"/>
      <c r="AR760" s="780"/>
      <c r="AS760" s="780"/>
      <c r="AT760" s="780"/>
      <c r="AU760" s="780"/>
      <c r="AV760" s="780"/>
      <c r="AW760" s="780"/>
    </row>
    <row r="761">
      <c r="A761" s="941"/>
      <c r="B761" s="941"/>
      <c r="C761" s="995"/>
      <c r="D761" s="944"/>
      <c r="E761" s="944"/>
      <c r="F761" s="946"/>
      <c r="G761" s="946"/>
      <c r="H761" s="946"/>
      <c r="I761" s="947">
        <v>0.00138428</v>
      </c>
      <c r="J761" s="948">
        <v>0.035</v>
      </c>
      <c r="K761" s="949">
        <f t="shared" si="22"/>
        <v>0</v>
      </c>
      <c r="L761" s="950">
        <f t="shared" si="23"/>
        <v>0</v>
      </c>
      <c r="M761" s="948">
        <v>0.0215</v>
      </c>
      <c r="N761" s="951">
        <f t="shared" si="24"/>
        <v>0.00141404202</v>
      </c>
      <c r="O761" s="949">
        <f t="shared" si="25"/>
        <v>15</v>
      </c>
      <c r="P761" s="949">
        <f t="shared" si="77"/>
        <v>0.0215</v>
      </c>
      <c r="Q761" s="952">
        <f t="shared" si="79"/>
        <v>0</v>
      </c>
      <c r="R761" s="952">
        <f t="shared" si="78"/>
        <v>0</v>
      </c>
      <c r="S761" s="953"/>
      <c r="T761" s="949">
        <v>0.06</v>
      </c>
      <c r="U761" s="954"/>
      <c r="V761" s="949"/>
      <c r="W761" s="953"/>
      <c r="X761" s="949">
        <f t="shared" si="7"/>
        <v>0</v>
      </c>
      <c r="Y761" s="955"/>
      <c r="Z761" s="953" t="str">
        <f t="shared" si="8"/>
        <v/>
      </c>
      <c r="AA761" s="949">
        <f t="shared" si="9"/>
        <v>0</v>
      </c>
      <c r="AB761" s="955"/>
      <c r="AC761" s="949" t="str">
        <f t="shared" si="10"/>
        <v/>
      </c>
      <c r="AD761" s="953">
        <f t="shared" si="11"/>
        <v>0</v>
      </c>
      <c r="AE761" s="956"/>
      <c r="AF761" s="889"/>
      <c r="AG761" s="810" t="b">
        <v>0</v>
      </c>
      <c r="AH761" s="780"/>
      <c r="AI761" s="780"/>
      <c r="AJ761" s="780"/>
      <c r="AK761" s="780"/>
      <c r="AL761" s="780"/>
      <c r="AM761" s="780"/>
      <c r="AN761" s="780"/>
      <c r="AO761" s="780"/>
      <c r="AP761" s="780"/>
      <c r="AQ761" s="780"/>
      <c r="AR761" s="780"/>
      <c r="AS761" s="780"/>
      <c r="AT761" s="780"/>
      <c r="AU761" s="780"/>
      <c r="AV761" s="780"/>
      <c r="AW761" s="780"/>
    </row>
    <row r="762">
      <c r="A762" s="941"/>
      <c r="B762" s="941"/>
      <c r="C762" s="995"/>
      <c r="D762" s="995"/>
      <c r="E762" s="995"/>
      <c r="F762" s="946"/>
      <c r="G762" s="946"/>
      <c r="H762" s="946"/>
      <c r="I762" s="947">
        <v>0.00138428</v>
      </c>
      <c r="J762" s="948">
        <v>0.035</v>
      </c>
      <c r="K762" s="949">
        <f t="shared" si="22"/>
        <v>0</v>
      </c>
      <c r="L762" s="950">
        <f t="shared" si="23"/>
        <v>0</v>
      </c>
      <c r="M762" s="948">
        <v>0.0215</v>
      </c>
      <c r="N762" s="951">
        <f t="shared" si="24"/>
        <v>0.00141404202</v>
      </c>
      <c r="O762" s="949">
        <f t="shared" si="25"/>
        <v>15</v>
      </c>
      <c r="P762" s="949">
        <f t="shared" si="77"/>
        <v>0.0215</v>
      </c>
      <c r="Q762" s="952">
        <f t="shared" si="79"/>
        <v>0</v>
      </c>
      <c r="R762" s="952">
        <f t="shared" si="78"/>
        <v>0</v>
      </c>
      <c r="S762" s="953"/>
      <c r="T762" s="949">
        <v>0.06</v>
      </c>
      <c r="U762" s="954"/>
      <c r="V762" s="949"/>
      <c r="W762" s="953"/>
      <c r="X762" s="949">
        <f t="shared" si="7"/>
        <v>0</v>
      </c>
      <c r="Y762" s="955"/>
      <c r="Z762" s="953" t="str">
        <f t="shared" si="8"/>
        <v/>
      </c>
      <c r="AA762" s="949">
        <f t="shared" si="9"/>
        <v>0</v>
      </c>
      <c r="AB762" s="955"/>
      <c r="AC762" s="949" t="str">
        <f t="shared" si="10"/>
        <v/>
      </c>
      <c r="AD762" s="953">
        <f t="shared" si="11"/>
        <v>0</v>
      </c>
      <c r="AE762" s="956"/>
      <c r="AF762" s="889"/>
      <c r="AG762" s="810" t="b">
        <v>0</v>
      </c>
      <c r="AH762" s="780"/>
      <c r="AI762" s="780"/>
      <c r="AJ762" s="780"/>
      <c r="AK762" s="780"/>
      <c r="AL762" s="780"/>
      <c r="AM762" s="780"/>
      <c r="AN762" s="780"/>
      <c r="AO762" s="780"/>
      <c r="AP762" s="780"/>
      <c r="AQ762" s="780"/>
      <c r="AR762" s="780"/>
      <c r="AS762" s="780"/>
      <c r="AT762" s="780"/>
      <c r="AU762" s="780"/>
      <c r="AV762" s="780"/>
      <c r="AW762" s="780"/>
    </row>
    <row r="763">
      <c r="A763" s="941"/>
      <c r="B763" s="941"/>
      <c r="C763" s="995"/>
      <c r="D763" s="944"/>
      <c r="E763" s="944"/>
      <c r="F763" s="946"/>
      <c r="G763" s="946"/>
      <c r="H763" s="946"/>
      <c r="I763" s="947">
        <v>0.00138428</v>
      </c>
      <c r="J763" s="948">
        <v>0.035</v>
      </c>
      <c r="K763" s="949">
        <f t="shared" si="22"/>
        <v>0</v>
      </c>
      <c r="L763" s="950">
        <f t="shared" si="23"/>
        <v>0</v>
      </c>
      <c r="M763" s="948">
        <v>0.0215</v>
      </c>
      <c r="N763" s="951">
        <f t="shared" si="24"/>
        <v>0.00141404202</v>
      </c>
      <c r="O763" s="949">
        <f t="shared" si="25"/>
        <v>15</v>
      </c>
      <c r="P763" s="949">
        <f t="shared" si="77"/>
        <v>0.0215</v>
      </c>
      <c r="Q763" s="952">
        <f t="shared" si="79"/>
        <v>0</v>
      </c>
      <c r="R763" s="952">
        <f t="shared" si="78"/>
        <v>0</v>
      </c>
      <c r="S763" s="953"/>
      <c r="T763" s="949">
        <v>0.06</v>
      </c>
      <c r="U763" s="954"/>
      <c r="V763" s="949"/>
      <c r="W763" s="953"/>
      <c r="X763" s="949">
        <f t="shared" si="7"/>
        <v>0</v>
      </c>
      <c r="Y763" s="955"/>
      <c r="Z763" s="953" t="str">
        <f t="shared" si="8"/>
        <v/>
      </c>
      <c r="AA763" s="949">
        <f t="shared" si="9"/>
        <v>0</v>
      </c>
      <c r="AB763" s="955"/>
      <c r="AC763" s="949" t="str">
        <f t="shared" si="10"/>
        <v/>
      </c>
      <c r="AD763" s="953">
        <f t="shared" si="11"/>
        <v>0</v>
      </c>
      <c r="AE763" s="956"/>
      <c r="AF763" s="889"/>
      <c r="AG763" s="810" t="b">
        <v>0</v>
      </c>
      <c r="AH763" s="780"/>
      <c r="AI763" s="780"/>
      <c r="AJ763" s="780"/>
      <c r="AK763" s="780"/>
      <c r="AL763" s="780"/>
      <c r="AM763" s="780"/>
      <c r="AN763" s="780"/>
      <c r="AO763" s="780"/>
      <c r="AP763" s="780"/>
      <c r="AQ763" s="780"/>
      <c r="AR763" s="780"/>
      <c r="AS763" s="780"/>
      <c r="AT763" s="780"/>
      <c r="AU763" s="780"/>
      <c r="AV763" s="780"/>
      <c r="AW763" s="780"/>
    </row>
    <row r="764">
      <c r="A764" s="941"/>
      <c r="B764" s="941"/>
      <c r="C764" s="995"/>
      <c r="D764" s="995"/>
      <c r="E764" s="995"/>
      <c r="F764" s="946"/>
      <c r="G764" s="946"/>
      <c r="H764" s="946"/>
      <c r="I764" s="947">
        <v>0.00138428</v>
      </c>
      <c r="J764" s="948">
        <v>0.035</v>
      </c>
      <c r="K764" s="949">
        <f t="shared" si="22"/>
        <v>0</v>
      </c>
      <c r="L764" s="950">
        <f t="shared" si="23"/>
        <v>0</v>
      </c>
      <c r="M764" s="948">
        <v>0.0215</v>
      </c>
      <c r="N764" s="951">
        <f t="shared" si="24"/>
        <v>0.00141404202</v>
      </c>
      <c r="O764" s="949">
        <f t="shared" si="25"/>
        <v>15</v>
      </c>
      <c r="P764" s="949">
        <f t="shared" si="77"/>
        <v>0.0215</v>
      </c>
      <c r="Q764" s="952">
        <f t="shared" si="79"/>
        <v>0</v>
      </c>
      <c r="R764" s="952">
        <f t="shared" si="78"/>
        <v>0</v>
      </c>
      <c r="S764" s="953"/>
      <c r="T764" s="949">
        <v>0.06</v>
      </c>
      <c r="U764" s="954"/>
      <c r="V764" s="949"/>
      <c r="W764" s="953"/>
      <c r="X764" s="949">
        <f t="shared" si="7"/>
        <v>0</v>
      </c>
      <c r="Y764" s="955"/>
      <c r="Z764" s="953" t="str">
        <f t="shared" si="8"/>
        <v/>
      </c>
      <c r="AA764" s="949">
        <f t="shared" si="9"/>
        <v>0</v>
      </c>
      <c r="AB764" s="955"/>
      <c r="AC764" s="949" t="str">
        <f t="shared" si="10"/>
        <v/>
      </c>
      <c r="AD764" s="953">
        <f t="shared" si="11"/>
        <v>0</v>
      </c>
      <c r="AE764" s="956"/>
      <c r="AF764" s="889"/>
      <c r="AG764" s="810" t="b">
        <v>0</v>
      </c>
      <c r="AH764" s="780"/>
      <c r="AI764" s="780"/>
      <c r="AJ764" s="780"/>
      <c r="AK764" s="780"/>
      <c r="AL764" s="780"/>
      <c r="AM764" s="780"/>
      <c r="AN764" s="780"/>
      <c r="AO764" s="780"/>
      <c r="AP764" s="780"/>
      <c r="AQ764" s="780"/>
      <c r="AR764" s="780"/>
      <c r="AS764" s="780"/>
      <c r="AT764" s="780"/>
      <c r="AU764" s="780"/>
      <c r="AV764" s="780"/>
      <c r="AW764" s="780"/>
    </row>
    <row r="765">
      <c r="A765" s="941"/>
      <c r="B765" s="941"/>
      <c r="C765" s="995"/>
      <c r="D765" s="944"/>
      <c r="E765" s="944"/>
      <c r="F765" s="946"/>
      <c r="G765" s="946"/>
      <c r="H765" s="946"/>
      <c r="I765" s="947">
        <v>0.00138428</v>
      </c>
      <c r="J765" s="948">
        <v>0.035</v>
      </c>
      <c r="K765" s="949">
        <f t="shared" si="22"/>
        <v>0</v>
      </c>
      <c r="L765" s="950">
        <f t="shared" si="23"/>
        <v>0</v>
      </c>
      <c r="M765" s="948">
        <v>0.0215</v>
      </c>
      <c r="N765" s="951">
        <f t="shared" si="24"/>
        <v>0.00141404202</v>
      </c>
      <c r="O765" s="949">
        <f t="shared" si="25"/>
        <v>15</v>
      </c>
      <c r="P765" s="949">
        <f t="shared" si="77"/>
        <v>0.0215</v>
      </c>
      <c r="Q765" s="952">
        <f t="shared" si="79"/>
        <v>0</v>
      </c>
      <c r="R765" s="952">
        <f t="shared" si="78"/>
        <v>0</v>
      </c>
      <c r="S765" s="953"/>
      <c r="T765" s="949">
        <v>0.06</v>
      </c>
      <c r="U765" s="954"/>
      <c r="V765" s="949"/>
      <c r="W765" s="953"/>
      <c r="X765" s="949">
        <f t="shared" si="7"/>
        <v>0</v>
      </c>
      <c r="Y765" s="955"/>
      <c r="Z765" s="953" t="str">
        <f t="shared" si="8"/>
        <v/>
      </c>
      <c r="AA765" s="949">
        <f t="shared" si="9"/>
        <v>0</v>
      </c>
      <c r="AB765" s="955"/>
      <c r="AC765" s="949" t="str">
        <f t="shared" si="10"/>
        <v/>
      </c>
      <c r="AD765" s="953">
        <f t="shared" si="11"/>
        <v>0</v>
      </c>
      <c r="AE765" s="956"/>
      <c r="AF765" s="889"/>
      <c r="AG765" s="810" t="b">
        <v>0</v>
      </c>
      <c r="AH765" s="780"/>
      <c r="AI765" s="780"/>
      <c r="AJ765" s="780"/>
      <c r="AK765" s="780"/>
      <c r="AL765" s="780"/>
      <c r="AM765" s="780"/>
      <c r="AN765" s="780"/>
      <c r="AO765" s="780"/>
      <c r="AP765" s="780"/>
      <c r="AQ765" s="780"/>
      <c r="AR765" s="780"/>
      <c r="AS765" s="780"/>
      <c r="AT765" s="780"/>
      <c r="AU765" s="780"/>
      <c r="AV765" s="780"/>
      <c r="AW765" s="780"/>
    </row>
    <row r="766">
      <c r="A766" s="941"/>
      <c r="B766" s="941"/>
      <c r="C766" s="995"/>
      <c r="D766" s="995"/>
      <c r="E766" s="995"/>
      <c r="F766" s="946"/>
      <c r="G766" s="946"/>
      <c r="H766" s="946"/>
      <c r="I766" s="947">
        <v>0.00138428</v>
      </c>
      <c r="J766" s="948">
        <v>0.035</v>
      </c>
      <c r="K766" s="949">
        <f t="shared" si="22"/>
        <v>0</v>
      </c>
      <c r="L766" s="950">
        <f t="shared" si="23"/>
        <v>0</v>
      </c>
      <c r="M766" s="948">
        <v>0.0215</v>
      </c>
      <c r="N766" s="951">
        <f t="shared" si="24"/>
        <v>0.00141404202</v>
      </c>
      <c r="O766" s="949">
        <f t="shared" si="25"/>
        <v>15</v>
      </c>
      <c r="P766" s="949">
        <f t="shared" si="77"/>
        <v>0.0215</v>
      </c>
      <c r="Q766" s="952">
        <f t="shared" si="79"/>
        <v>0</v>
      </c>
      <c r="R766" s="952">
        <f t="shared" si="78"/>
        <v>0</v>
      </c>
      <c r="S766" s="953"/>
      <c r="T766" s="949">
        <v>0.06</v>
      </c>
      <c r="U766" s="954"/>
      <c r="V766" s="949"/>
      <c r="W766" s="953"/>
      <c r="X766" s="949">
        <f t="shared" si="7"/>
        <v>0</v>
      </c>
      <c r="Y766" s="955"/>
      <c r="Z766" s="953" t="str">
        <f t="shared" si="8"/>
        <v/>
      </c>
      <c r="AA766" s="949">
        <f t="shared" si="9"/>
        <v>0</v>
      </c>
      <c r="AB766" s="955"/>
      <c r="AC766" s="949" t="str">
        <f t="shared" si="10"/>
        <v/>
      </c>
      <c r="AD766" s="953">
        <f t="shared" si="11"/>
        <v>0</v>
      </c>
      <c r="AE766" s="956"/>
      <c r="AF766" s="889"/>
      <c r="AG766" s="810" t="b">
        <v>0</v>
      </c>
      <c r="AH766" s="780"/>
      <c r="AI766" s="780"/>
      <c r="AJ766" s="780"/>
      <c r="AK766" s="780"/>
      <c r="AL766" s="780"/>
      <c r="AM766" s="780"/>
      <c r="AN766" s="780"/>
      <c r="AO766" s="780"/>
      <c r="AP766" s="780"/>
      <c r="AQ766" s="780"/>
      <c r="AR766" s="780"/>
      <c r="AS766" s="780"/>
      <c r="AT766" s="780"/>
      <c r="AU766" s="780"/>
      <c r="AV766" s="780"/>
      <c r="AW766" s="780"/>
    </row>
    <row r="767">
      <c r="A767" s="941"/>
      <c r="B767" s="941"/>
      <c r="C767" s="995"/>
      <c r="D767" s="944"/>
      <c r="E767" s="944"/>
      <c r="F767" s="946"/>
      <c r="G767" s="946"/>
      <c r="H767" s="946"/>
      <c r="I767" s="947">
        <v>0.00138428</v>
      </c>
      <c r="J767" s="948">
        <v>0.035</v>
      </c>
      <c r="K767" s="949">
        <f t="shared" si="22"/>
        <v>0</v>
      </c>
      <c r="L767" s="950">
        <f t="shared" si="23"/>
        <v>0</v>
      </c>
      <c r="M767" s="948">
        <v>0.0215</v>
      </c>
      <c r="N767" s="951">
        <f t="shared" si="24"/>
        <v>0.00141404202</v>
      </c>
      <c r="O767" s="949">
        <f t="shared" si="25"/>
        <v>15</v>
      </c>
      <c r="P767" s="949">
        <f t="shared" si="77"/>
        <v>0.0215</v>
      </c>
      <c r="Q767" s="952">
        <f t="shared" si="79"/>
        <v>0</v>
      </c>
      <c r="R767" s="952">
        <f t="shared" si="78"/>
        <v>0</v>
      </c>
      <c r="S767" s="953"/>
      <c r="T767" s="949">
        <v>0.06</v>
      </c>
      <c r="U767" s="954"/>
      <c r="V767" s="949"/>
      <c r="W767" s="953"/>
      <c r="X767" s="949">
        <f t="shared" si="7"/>
        <v>0</v>
      </c>
      <c r="Y767" s="955"/>
      <c r="Z767" s="953" t="str">
        <f t="shared" si="8"/>
        <v/>
      </c>
      <c r="AA767" s="949">
        <f t="shared" si="9"/>
        <v>0</v>
      </c>
      <c r="AB767" s="955"/>
      <c r="AC767" s="949" t="str">
        <f t="shared" si="10"/>
        <v/>
      </c>
      <c r="AD767" s="953">
        <f t="shared" si="11"/>
        <v>0</v>
      </c>
      <c r="AE767" s="956"/>
      <c r="AF767" s="889"/>
      <c r="AG767" s="810" t="b">
        <v>0</v>
      </c>
      <c r="AH767" s="780"/>
      <c r="AI767" s="780"/>
      <c r="AJ767" s="780"/>
      <c r="AK767" s="780"/>
      <c r="AL767" s="780"/>
      <c r="AM767" s="780"/>
      <c r="AN767" s="780"/>
      <c r="AO767" s="780"/>
      <c r="AP767" s="780"/>
      <c r="AQ767" s="780"/>
      <c r="AR767" s="780"/>
      <c r="AS767" s="780"/>
      <c r="AT767" s="780"/>
      <c r="AU767" s="780"/>
      <c r="AV767" s="780"/>
      <c r="AW767" s="780"/>
    </row>
    <row r="768">
      <c r="A768" s="941"/>
      <c r="B768" s="941"/>
      <c r="C768" s="995"/>
      <c r="D768" s="995"/>
      <c r="E768" s="995"/>
      <c r="F768" s="946"/>
      <c r="G768" s="946"/>
      <c r="H768" s="946"/>
      <c r="I768" s="947">
        <v>0.00138428</v>
      </c>
      <c r="J768" s="948">
        <v>0.035</v>
      </c>
      <c r="K768" s="949">
        <f t="shared" si="22"/>
        <v>0</v>
      </c>
      <c r="L768" s="950">
        <f t="shared" si="23"/>
        <v>0</v>
      </c>
      <c r="M768" s="948">
        <v>0.0215</v>
      </c>
      <c r="N768" s="951">
        <f t="shared" si="24"/>
        <v>0.00141404202</v>
      </c>
      <c r="O768" s="949">
        <f t="shared" si="25"/>
        <v>15</v>
      </c>
      <c r="P768" s="949">
        <f t="shared" si="77"/>
        <v>0.0215</v>
      </c>
      <c r="Q768" s="952">
        <f t="shared" si="79"/>
        <v>0</v>
      </c>
      <c r="R768" s="952">
        <f t="shared" si="78"/>
        <v>0</v>
      </c>
      <c r="S768" s="953"/>
      <c r="T768" s="949">
        <v>0.06</v>
      </c>
      <c r="U768" s="954"/>
      <c r="V768" s="949"/>
      <c r="W768" s="953"/>
      <c r="X768" s="949">
        <f t="shared" si="7"/>
        <v>0</v>
      </c>
      <c r="Y768" s="955"/>
      <c r="Z768" s="953" t="str">
        <f t="shared" si="8"/>
        <v/>
      </c>
      <c r="AA768" s="949">
        <f t="shared" si="9"/>
        <v>0</v>
      </c>
      <c r="AB768" s="955"/>
      <c r="AC768" s="949" t="str">
        <f t="shared" si="10"/>
        <v/>
      </c>
      <c r="AD768" s="953">
        <f t="shared" si="11"/>
        <v>0</v>
      </c>
      <c r="AE768" s="956"/>
      <c r="AF768" s="889"/>
      <c r="AG768" s="810" t="b">
        <v>0</v>
      </c>
      <c r="AH768" s="780"/>
      <c r="AI768" s="780"/>
      <c r="AJ768" s="780"/>
      <c r="AK768" s="780"/>
      <c r="AL768" s="780"/>
      <c r="AM768" s="780"/>
      <c r="AN768" s="780"/>
      <c r="AO768" s="780"/>
      <c r="AP768" s="780"/>
      <c r="AQ768" s="780"/>
      <c r="AR768" s="780"/>
      <c r="AS768" s="780"/>
      <c r="AT768" s="780"/>
      <c r="AU768" s="780"/>
      <c r="AV768" s="780"/>
      <c r="AW768" s="780"/>
    </row>
    <row r="769">
      <c r="A769" s="941"/>
      <c r="B769" s="941"/>
      <c r="C769" s="995"/>
      <c r="D769" s="944"/>
      <c r="E769" s="944"/>
      <c r="F769" s="946"/>
      <c r="G769" s="946"/>
      <c r="H769" s="946"/>
      <c r="I769" s="947">
        <v>0.00138428</v>
      </c>
      <c r="J769" s="948">
        <v>0.035</v>
      </c>
      <c r="K769" s="949">
        <f t="shared" si="22"/>
        <v>0</v>
      </c>
      <c r="L769" s="950">
        <f t="shared" si="23"/>
        <v>0</v>
      </c>
      <c r="M769" s="948">
        <v>0.0215</v>
      </c>
      <c r="N769" s="951">
        <f t="shared" si="24"/>
        <v>0.00141404202</v>
      </c>
      <c r="O769" s="949">
        <f t="shared" si="25"/>
        <v>15</v>
      </c>
      <c r="P769" s="949">
        <f t="shared" si="77"/>
        <v>0.0215</v>
      </c>
      <c r="Q769" s="952">
        <f t="shared" si="79"/>
        <v>0</v>
      </c>
      <c r="R769" s="952">
        <f t="shared" si="78"/>
        <v>0</v>
      </c>
      <c r="S769" s="953"/>
      <c r="T769" s="949">
        <v>0.06</v>
      </c>
      <c r="U769" s="954"/>
      <c r="V769" s="949"/>
      <c r="W769" s="953"/>
      <c r="X769" s="949">
        <f t="shared" si="7"/>
        <v>0</v>
      </c>
      <c r="Y769" s="955"/>
      <c r="Z769" s="953" t="str">
        <f t="shared" si="8"/>
        <v/>
      </c>
      <c r="AA769" s="949">
        <f t="shared" si="9"/>
        <v>0</v>
      </c>
      <c r="AB769" s="955"/>
      <c r="AC769" s="949" t="str">
        <f t="shared" si="10"/>
        <v/>
      </c>
      <c r="AD769" s="953">
        <f t="shared" si="11"/>
        <v>0</v>
      </c>
      <c r="AE769" s="956"/>
      <c r="AF769" s="889"/>
      <c r="AG769" s="810" t="b">
        <v>0</v>
      </c>
      <c r="AH769" s="780"/>
      <c r="AI769" s="780"/>
      <c r="AJ769" s="780"/>
      <c r="AK769" s="780"/>
      <c r="AL769" s="780"/>
      <c r="AM769" s="780"/>
      <c r="AN769" s="780"/>
      <c r="AO769" s="780"/>
      <c r="AP769" s="780"/>
      <c r="AQ769" s="780"/>
      <c r="AR769" s="780"/>
      <c r="AS769" s="780"/>
      <c r="AT769" s="780"/>
      <c r="AU769" s="780"/>
      <c r="AV769" s="780"/>
      <c r="AW769" s="780"/>
    </row>
    <row r="770">
      <c r="A770" s="941"/>
      <c r="B770" s="941"/>
      <c r="C770" s="995"/>
      <c r="D770" s="995"/>
      <c r="E770" s="995"/>
      <c r="F770" s="946"/>
      <c r="G770" s="946"/>
      <c r="H770" s="946"/>
      <c r="I770" s="947">
        <v>0.00138428</v>
      </c>
      <c r="J770" s="948">
        <v>0.035</v>
      </c>
      <c r="K770" s="949">
        <f t="shared" si="22"/>
        <v>0</v>
      </c>
      <c r="L770" s="950">
        <f t="shared" si="23"/>
        <v>0</v>
      </c>
      <c r="M770" s="948">
        <v>0.0215</v>
      </c>
      <c r="N770" s="951">
        <f t="shared" si="24"/>
        <v>0.00141404202</v>
      </c>
      <c r="O770" s="949">
        <f t="shared" si="25"/>
        <v>15</v>
      </c>
      <c r="P770" s="949">
        <f t="shared" si="77"/>
        <v>0.0215</v>
      </c>
      <c r="Q770" s="952">
        <f t="shared" si="79"/>
        <v>0</v>
      </c>
      <c r="R770" s="952">
        <f t="shared" si="78"/>
        <v>0</v>
      </c>
      <c r="S770" s="953"/>
      <c r="T770" s="949">
        <v>0.06</v>
      </c>
      <c r="U770" s="954"/>
      <c r="V770" s="949"/>
      <c r="W770" s="953"/>
      <c r="X770" s="949">
        <f t="shared" si="7"/>
        <v>0</v>
      </c>
      <c r="Y770" s="955"/>
      <c r="Z770" s="953" t="str">
        <f t="shared" si="8"/>
        <v/>
      </c>
      <c r="AA770" s="949">
        <f t="shared" si="9"/>
        <v>0</v>
      </c>
      <c r="AB770" s="955"/>
      <c r="AC770" s="949" t="str">
        <f t="shared" si="10"/>
        <v/>
      </c>
      <c r="AD770" s="953">
        <f t="shared" si="11"/>
        <v>0</v>
      </c>
      <c r="AE770" s="956"/>
      <c r="AF770" s="889"/>
      <c r="AG770" s="810" t="b">
        <v>0</v>
      </c>
      <c r="AH770" s="780"/>
      <c r="AI770" s="780"/>
      <c r="AJ770" s="780"/>
      <c r="AK770" s="780"/>
      <c r="AL770" s="780"/>
      <c r="AM770" s="780"/>
      <c r="AN770" s="780"/>
      <c r="AO770" s="780"/>
      <c r="AP770" s="780"/>
      <c r="AQ770" s="780"/>
      <c r="AR770" s="780"/>
      <c r="AS770" s="780"/>
      <c r="AT770" s="780"/>
      <c r="AU770" s="780"/>
      <c r="AV770" s="780"/>
      <c r="AW770" s="780"/>
    </row>
    <row r="771">
      <c r="A771" s="941"/>
      <c r="B771" s="941"/>
      <c r="C771" s="995"/>
      <c r="D771" s="944"/>
      <c r="E771" s="944"/>
      <c r="F771" s="946"/>
      <c r="G771" s="946"/>
      <c r="H771" s="946"/>
      <c r="I771" s="947">
        <v>0.00138428</v>
      </c>
      <c r="J771" s="948">
        <v>0.035</v>
      </c>
      <c r="K771" s="949">
        <f t="shared" si="22"/>
        <v>0</v>
      </c>
      <c r="L771" s="950">
        <f t="shared" si="23"/>
        <v>0</v>
      </c>
      <c r="M771" s="948">
        <v>0.0215</v>
      </c>
      <c r="N771" s="951">
        <f t="shared" si="24"/>
        <v>0.00141404202</v>
      </c>
      <c r="O771" s="949">
        <f t="shared" si="25"/>
        <v>15</v>
      </c>
      <c r="P771" s="949">
        <f t="shared" si="77"/>
        <v>0.0215</v>
      </c>
      <c r="Q771" s="952">
        <f t="shared" si="79"/>
        <v>0</v>
      </c>
      <c r="R771" s="952">
        <f t="shared" si="78"/>
        <v>0</v>
      </c>
      <c r="S771" s="953"/>
      <c r="T771" s="949">
        <v>0.06</v>
      </c>
      <c r="U771" s="954"/>
      <c r="V771" s="949"/>
      <c r="W771" s="953"/>
      <c r="X771" s="949">
        <f t="shared" si="7"/>
        <v>0</v>
      </c>
      <c r="Y771" s="955"/>
      <c r="Z771" s="953" t="str">
        <f t="shared" si="8"/>
        <v/>
      </c>
      <c r="AA771" s="949">
        <f t="shared" si="9"/>
        <v>0</v>
      </c>
      <c r="AB771" s="955"/>
      <c r="AC771" s="949" t="str">
        <f t="shared" si="10"/>
        <v/>
      </c>
      <c r="AD771" s="953">
        <f t="shared" si="11"/>
        <v>0</v>
      </c>
      <c r="AE771" s="956"/>
      <c r="AF771" s="889"/>
      <c r="AG771" s="810" t="b">
        <v>0</v>
      </c>
      <c r="AH771" s="780"/>
      <c r="AI771" s="780"/>
      <c r="AJ771" s="780"/>
      <c r="AK771" s="780"/>
      <c r="AL771" s="780"/>
      <c r="AM771" s="780"/>
      <c r="AN771" s="780"/>
      <c r="AO771" s="780"/>
      <c r="AP771" s="780"/>
      <c r="AQ771" s="780"/>
      <c r="AR771" s="780"/>
      <c r="AS771" s="780"/>
      <c r="AT771" s="780"/>
      <c r="AU771" s="780"/>
      <c r="AV771" s="780"/>
      <c r="AW771" s="780"/>
    </row>
    <row r="772">
      <c r="A772" s="941"/>
      <c r="B772" s="941"/>
      <c r="C772" s="995"/>
      <c r="D772" s="995"/>
      <c r="E772" s="995"/>
      <c r="F772" s="946"/>
      <c r="G772" s="946"/>
      <c r="H772" s="946"/>
      <c r="I772" s="947">
        <v>0.00138428</v>
      </c>
      <c r="J772" s="948">
        <v>0.035</v>
      </c>
      <c r="K772" s="949">
        <f t="shared" si="22"/>
        <v>0</v>
      </c>
      <c r="L772" s="950">
        <f t="shared" si="23"/>
        <v>0</v>
      </c>
      <c r="M772" s="948">
        <v>0.0215</v>
      </c>
      <c r="N772" s="951">
        <f t="shared" si="24"/>
        <v>0.00141404202</v>
      </c>
      <c r="O772" s="949">
        <f t="shared" si="25"/>
        <v>15</v>
      </c>
      <c r="P772" s="949">
        <f t="shared" si="77"/>
        <v>0.0215</v>
      </c>
      <c r="Q772" s="952">
        <f t="shared" si="79"/>
        <v>0</v>
      </c>
      <c r="R772" s="952">
        <f t="shared" si="78"/>
        <v>0</v>
      </c>
      <c r="S772" s="953"/>
      <c r="T772" s="949">
        <v>0.06</v>
      </c>
      <c r="U772" s="954"/>
      <c r="V772" s="949"/>
      <c r="W772" s="953"/>
      <c r="X772" s="949">
        <f t="shared" si="7"/>
        <v>0</v>
      </c>
      <c r="Y772" s="955"/>
      <c r="Z772" s="953" t="str">
        <f t="shared" si="8"/>
        <v/>
      </c>
      <c r="AA772" s="949">
        <f t="shared" si="9"/>
        <v>0</v>
      </c>
      <c r="AB772" s="955"/>
      <c r="AC772" s="949" t="str">
        <f t="shared" si="10"/>
        <v/>
      </c>
      <c r="AD772" s="953">
        <f t="shared" si="11"/>
        <v>0</v>
      </c>
      <c r="AE772" s="956"/>
      <c r="AF772" s="889"/>
      <c r="AG772" s="810" t="b">
        <v>0</v>
      </c>
      <c r="AH772" s="780"/>
      <c r="AI772" s="780"/>
      <c r="AJ772" s="780"/>
      <c r="AK772" s="780"/>
      <c r="AL772" s="780"/>
      <c r="AM772" s="780"/>
      <c r="AN772" s="780"/>
      <c r="AO772" s="780"/>
      <c r="AP772" s="780"/>
      <c r="AQ772" s="780"/>
      <c r="AR772" s="780"/>
      <c r="AS772" s="780"/>
      <c r="AT772" s="780"/>
      <c r="AU772" s="780"/>
      <c r="AV772" s="780"/>
      <c r="AW772" s="780"/>
    </row>
    <row r="773">
      <c r="A773" s="941"/>
      <c r="B773" s="941"/>
      <c r="C773" s="995"/>
      <c r="D773" s="944"/>
      <c r="E773" s="944"/>
      <c r="F773" s="946"/>
      <c r="G773" s="946"/>
      <c r="H773" s="946"/>
      <c r="I773" s="947">
        <v>0.00138428</v>
      </c>
      <c r="J773" s="948">
        <v>0.035</v>
      </c>
      <c r="K773" s="949">
        <f t="shared" si="22"/>
        <v>0</v>
      </c>
      <c r="L773" s="950">
        <f t="shared" si="23"/>
        <v>0</v>
      </c>
      <c r="M773" s="948">
        <v>0.0215</v>
      </c>
      <c r="N773" s="951">
        <f t="shared" si="24"/>
        <v>0.00141404202</v>
      </c>
      <c r="O773" s="949">
        <f t="shared" si="25"/>
        <v>15</v>
      </c>
      <c r="P773" s="949">
        <f t="shared" si="77"/>
        <v>0.0215</v>
      </c>
      <c r="Q773" s="952">
        <f t="shared" si="79"/>
        <v>0</v>
      </c>
      <c r="R773" s="952">
        <f t="shared" si="78"/>
        <v>0</v>
      </c>
      <c r="S773" s="953"/>
      <c r="T773" s="949">
        <v>0.06</v>
      </c>
      <c r="U773" s="954"/>
      <c r="V773" s="949"/>
      <c r="W773" s="953"/>
      <c r="X773" s="949">
        <f t="shared" si="7"/>
        <v>0</v>
      </c>
      <c r="Y773" s="955"/>
      <c r="Z773" s="953" t="str">
        <f t="shared" si="8"/>
        <v/>
      </c>
      <c r="AA773" s="949">
        <f t="shared" si="9"/>
        <v>0</v>
      </c>
      <c r="AB773" s="955"/>
      <c r="AC773" s="949" t="str">
        <f t="shared" si="10"/>
        <v/>
      </c>
      <c r="AD773" s="953">
        <f t="shared" si="11"/>
        <v>0</v>
      </c>
      <c r="AE773" s="956"/>
      <c r="AF773" s="889"/>
      <c r="AG773" s="810" t="b">
        <v>0</v>
      </c>
      <c r="AH773" s="780"/>
      <c r="AI773" s="780"/>
      <c r="AJ773" s="780"/>
      <c r="AK773" s="780"/>
      <c r="AL773" s="780"/>
      <c r="AM773" s="780"/>
      <c r="AN773" s="780"/>
      <c r="AO773" s="780"/>
      <c r="AP773" s="780"/>
      <c r="AQ773" s="780"/>
      <c r="AR773" s="780"/>
      <c r="AS773" s="780"/>
      <c r="AT773" s="780"/>
      <c r="AU773" s="780"/>
      <c r="AV773" s="780"/>
      <c r="AW773" s="780"/>
    </row>
    <row r="774">
      <c r="A774" s="941"/>
      <c r="B774" s="941"/>
      <c r="C774" s="995"/>
      <c r="D774" s="995"/>
      <c r="E774" s="995"/>
      <c r="F774" s="946"/>
      <c r="G774" s="946"/>
      <c r="H774" s="946"/>
      <c r="I774" s="947">
        <v>0.00138428</v>
      </c>
      <c r="J774" s="948">
        <v>0.035</v>
      </c>
      <c r="K774" s="949">
        <f t="shared" si="22"/>
        <v>0</v>
      </c>
      <c r="L774" s="950">
        <f t="shared" si="23"/>
        <v>0</v>
      </c>
      <c r="M774" s="948">
        <v>0.0215</v>
      </c>
      <c r="N774" s="951">
        <f t="shared" si="24"/>
        <v>0.00141404202</v>
      </c>
      <c r="O774" s="949">
        <f t="shared" si="25"/>
        <v>15</v>
      </c>
      <c r="P774" s="949">
        <f t="shared" si="77"/>
        <v>0.0215</v>
      </c>
      <c r="Q774" s="952">
        <f t="shared" si="79"/>
        <v>0</v>
      </c>
      <c r="R774" s="952">
        <f t="shared" si="78"/>
        <v>0</v>
      </c>
      <c r="S774" s="953"/>
      <c r="T774" s="949">
        <v>0.06</v>
      </c>
      <c r="U774" s="954"/>
      <c r="V774" s="949"/>
      <c r="W774" s="953"/>
      <c r="X774" s="949">
        <f t="shared" si="7"/>
        <v>0</v>
      </c>
      <c r="Y774" s="955"/>
      <c r="Z774" s="953" t="str">
        <f t="shared" si="8"/>
        <v/>
      </c>
      <c r="AA774" s="949">
        <f t="shared" si="9"/>
        <v>0</v>
      </c>
      <c r="AB774" s="955"/>
      <c r="AC774" s="949" t="str">
        <f t="shared" si="10"/>
        <v/>
      </c>
      <c r="AD774" s="953">
        <f t="shared" si="11"/>
        <v>0</v>
      </c>
      <c r="AE774" s="956"/>
      <c r="AF774" s="889"/>
      <c r="AG774" s="810" t="b">
        <v>0</v>
      </c>
      <c r="AH774" s="780"/>
      <c r="AI774" s="780"/>
      <c r="AJ774" s="780"/>
      <c r="AK774" s="780"/>
      <c r="AL774" s="780"/>
      <c r="AM774" s="780"/>
      <c r="AN774" s="780"/>
      <c r="AO774" s="780"/>
      <c r="AP774" s="780"/>
      <c r="AQ774" s="780"/>
      <c r="AR774" s="780"/>
      <c r="AS774" s="780"/>
      <c r="AT774" s="780"/>
      <c r="AU774" s="780"/>
      <c r="AV774" s="780"/>
      <c r="AW774" s="780"/>
    </row>
    <row r="775">
      <c r="A775" s="941"/>
      <c r="B775" s="941"/>
      <c r="C775" s="995"/>
      <c r="D775" s="944"/>
      <c r="E775" s="944"/>
      <c r="F775" s="946"/>
      <c r="G775" s="946"/>
      <c r="H775" s="946"/>
      <c r="I775" s="947">
        <v>0.00138428</v>
      </c>
      <c r="J775" s="948">
        <v>0.035</v>
      </c>
      <c r="K775" s="949">
        <f t="shared" si="22"/>
        <v>0</v>
      </c>
      <c r="L775" s="950">
        <f t="shared" si="23"/>
        <v>0</v>
      </c>
      <c r="M775" s="948">
        <v>0.0215</v>
      </c>
      <c r="N775" s="951">
        <f t="shared" si="24"/>
        <v>0.00141404202</v>
      </c>
      <c r="O775" s="949">
        <f t="shared" si="25"/>
        <v>15</v>
      </c>
      <c r="P775" s="949">
        <f t="shared" si="77"/>
        <v>0.0215</v>
      </c>
      <c r="Q775" s="952">
        <f t="shared" si="79"/>
        <v>0</v>
      </c>
      <c r="R775" s="952">
        <f t="shared" si="78"/>
        <v>0</v>
      </c>
      <c r="S775" s="953"/>
      <c r="T775" s="949">
        <v>0.06</v>
      </c>
      <c r="U775" s="954"/>
      <c r="V775" s="949"/>
      <c r="W775" s="953"/>
      <c r="X775" s="949">
        <f t="shared" si="7"/>
        <v>0</v>
      </c>
      <c r="Y775" s="955"/>
      <c r="Z775" s="953" t="str">
        <f t="shared" si="8"/>
        <v/>
      </c>
      <c r="AA775" s="949">
        <f t="shared" si="9"/>
        <v>0</v>
      </c>
      <c r="AB775" s="955"/>
      <c r="AC775" s="949" t="str">
        <f t="shared" si="10"/>
        <v/>
      </c>
      <c r="AD775" s="953">
        <f t="shared" si="11"/>
        <v>0</v>
      </c>
      <c r="AE775" s="956"/>
      <c r="AF775" s="889"/>
      <c r="AG775" s="810" t="b">
        <v>0</v>
      </c>
      <c r="AH775" s="780"/>
      <c r="AI775" s="780"/>
      <c r="AJ775" s="780"/>
      <c r="AK775" s="780"/>
      <c r="AL775" s="780"/>
      <c r="AM775" s="780"/>
      <c r="AN775" s="780"/>
      <c r="AO775" s="780"/>
      <c r="AP775" s="780"/>
      <c r="AQ775" s="780"/>
      <c r="AR775" s="780"/>
      <c r="AS775" s="780"/>
      <c r="AT775" s="780"/>
      <c r="AU775" s="780"/>
      <c r="AV775" s="780"/>
      <c r="AW775" s="780"/>
    </row>
    <row r="776">
      <c r="A776" s="941"/>
      <c r="B776" s="941"/>
      <c r="C776" s="995"/>
      <c r="D776" s="995"/>
      <c r="E776" s="995"/>
      <c r="F776" s="946"/>
      <c r="G776" s="946"/>
      <c r="H776" s="946"/>
      <c r="I776" s="947">
        <v>0.00138428</v>
      </c>
      <c r="J776" s="948">
        <v>0.035</v>
      </c>
      <c r="K776" s="949">
        <f t="shared" si="22"/>
        <v>0</v>
      </c>
      <c r="L776" s="950">
        <f t="shared" si="23"/>
        <v>0</v>
      </c>
      <c r="M776" s="948">
        <v>0.0215</v>
      </c>
      <c r="N776" s="951">
        <f t="shared" si="24"/>
        <v>0.00141404202</v>
      </c>
      <c r="O776" s="949">
        <f t="shared" si="25"/>
        <v>15</v>
      </c>
      <c r="P776" s="949">
        <f t="shared" si="77"/>
        <v>0.0215</v>
      </c>
      <c r="Q776" s="952">
        <f t="shared" si="79"/>
        <v>0</v>
      </c>
      <c r="R776" s="952">
        <f t="shared" si="78"/>
        <v>0</v>
      </c>
      <c r="S776" s="953"/>
      <c r="T776" s="949">
        <v>0.06</v>
      </c>
      <c r="U776" s="954"/>
      <c r="V776" s="949"/>
      <c r="W776" s="953"/>
      <c r="X776" s="949">
        <f t="shared" si="7"/>
        <v>0</v>
      </c>
      <c r="Y776" s="955"/>
      <c r="Z776" s="953" t="str">
        <f t="shared" si="8"/>
        <v/>
      </c>
      <c r="AA776" s="949">
        <f t="shared" si="9"/>
        <v>0</v>
      </c>
      <c r="AB776" s="955"/>
      <c r="AC776" s="949" t="str">
        <f t="shared" si="10"/>
        <v/>
      </c>
      <c r="AD776" s="953">
        <f t="shared" si="11"/>
        <v>0</v>
      </c>
      <c r="AE776" s="956"/>
      <c r="AF776" s="889"/>
      <c r="AG776" s="810" t="b">
        <v>0</v>
      </c>
      <c r="AH776" s="780"/>
      <c r="AI776" s="780"/>
      <c r="AJ776" s="780"/>
      <c r="AK776" s="780"/>
      <c r="AL776" s="780"/>
      <c r="AM776" s="780"/>
      <c r="AN776" s="780"/>
      <c r="AO776" s="780"/>
      <c r="AP776" s="780"/>
      <c r="AQ776" s="780"/>
      <c r="AR776" s="780"/>
      <c r="AS776" s="780"/>
      <c r="AT776" s="780"/>
      <c r="AU776" s="780"/>
      <c r="AV776" s="780"/>
      <c r="AW776" s="780"/>
    </row>
    <row r="777">
      <c r="A777" s="941"/>
      <c r="B777" s="941"/>
      <c r="C777" s="995"/>
      <c r="D777" s="944"/>
      <c r="E777" s="944"/>
      <c r="F777" s="946"/>
      <c r="G777" s="946"/>
      <c r="H777" s="946"/>
      <c r="I777" s="947">
        <v>0.00138428</v>
      </c>
      <c r="J777" s="948">
        <v>0.035</v>
      </c>
      <c r="K777" s="949">
        <f t="shared" si="22"/>
        <v>0</v>
      </c>
      <c r="L777" s="950">
        <f t="shared" si="23"/>
        <v>0</v>
      </c>
      <c r="M777" s="948">
        <v>0.0215</v>
      </c>
      <c r="N777" s="951">
        <f t="shared" si="24"/>
        <v>0.00141404202</v>
      </c>
      <c r="O777" s="949">
        <f t="shared" si="25"/>
        <v>15</v>
      </c>
      <c r="P777" s="949">
        <f t="shared" si="77"/>
        <v>0.0215</v>
      </c>
      <c r="Q777" s="952">
        <f t="shared" si="79"/>
        <v>0</v>
      </c>
      <c r="R777" s="952">
        <f t="shared" si="78"/>
        <v>0</v>
      </c>
      <c r="S777" s="953"/>
      <c r="T777" s="949">
        <v>0.06</v>
      </c>
      <c r="U777" s="954"/>
      <c r="V777" s="949"/>
      <c r="W777" s="953"/>
      <c r="X777" s="949">
        <f t="shared" si="7"/>
        <v>0</v>
      </c>
      <c r="Y777" s="955"/>
      <c r="Z777" s="953" t="str">
        <f t="shared" si="8"/>
        <v/>
      </c>
      <c r="AA777" s="949">
        <f t="shared" si="9"/>
        <v>0</v>
      </c>
      <c r="AB777" s="955"/>
      <c r="AC777" s="949" t="str">
        <f t="shared" si="10"/>
        <v/>
      </c>
      <c r="AD777" s="953">
        <f t="shared" si="11"/>
        <v>0</v>
      </c>
      <c r="AE777" s="956"/>
      <c r="AF777" s="889"/>
      <c r="AG777" s="810" t="b">
        <v>0</v>
      </c>
      <c r="AH777" s="780"/>
      <c r="AI777" s="780"/>
      <c r="AJ777" s="780"/>
      <c r="AK777" s="780"/>
      <c r="AL777" s="780"/>
      <c r="AM777" s="780"/>
      <c r="AN777" s="780"/>
      <c r="AO777" s="780"/>
      <c r="AP777" s="780"/>
      <c r="AQ777" s="780"/>
      <c r="AR777" s="780"/>
      <c r="AS777" s="780"/>
      <c r="AT777" s="780"/>
      <c r="AU777" s="780"/>
      <c r="AV777" s="780"/>
      <c r="AW777" s="780"/>
    </row>
    <row r="778">
      <c r="A778" s="941"/>
      <c r="B778" s="941"/>
      <c r="C778" s="995"/>
      <c r="D778" s="995"/>
      <c r="E778" s="995"/>
      <c r="F778" s="946"/>
      <c r="G778" s="946"/>
      <c r="H778" s="946"/>
      <c r="I778" s="947">
        <v>0.00138428</v>
      </c>
      <c r="J778" s="948">
        <v>0.035</v>
      </c>
      <c r="K778" s="949">
        <f t="shared" si="22"/>
        <v>0</v>
      </c>
      <c r="L778" s="950">
        <f t="shared" si="23"/>
        <v>0</v>
      </c>
      <c r="M778" s="948">
        <v>0.0215</v>
      </c>
      <c r="N778" s="951">
        <f t="shared" si="24"/>
        <v>0.00141404202</v>
      </c>
      <c r="O778" s="949">
        <f t="shared" si="25"/>
        <v>15</v>
      </c>
      <c r="P778" s="949">
        <f t="shared" si="77"/>
        <v>0.0215</v>
      </c>
      <c r="Q778" s="952">
        <f t="shared" si="79"/>
        <v>0</v>
      </c>
      <c r="R778" s="952">
        <f t="shared" si="78"/>
        <v>0</v>
      </c>
      <c r="S778" s="953"/>
      <c r="T778" s="949">
        <v>0.06</v>
      </c>
      <c r="U778" s="954"/>
      <c r="V778" s="949"/>
      <c r="W778" s="953"/>
      <c r="X778" s="949">
        <f t="shared" si="7"/>
        <v>0</v>
      </c>
      <c r="Y778" s="955"/>
      <c r="Z778" s="953" t="str">
        <f t="shared" si="8"/>
        <v/>
      </c>
      <c r="AA778" s="949">
        <f t="shared" si="9"/>
        <v>0</v>
      </c>
      <c r="AB778" s="955"/>
      <c r="AC778" s="949" t="str">
        <f t="shared" si="10"/>
        <v/>
      </c>
      <c r="AD778" s="953">
        <f t="shared" si="11"/>
        <v>0</v>
      </c>
      <c r="AE778" s="956"/>
      <c r="AF778" s="889"/>
      <c r="AG778" s="810" t="b">
        <v>0</v>
      </c>
      <c r="AH778" s="780"/>
      <c r="AI778" s="780"/>
      <c r="AJ778" s="780"/>
      <c r="AK778" s="780"/>
      <c r="AL778" s="780"/>
      <c r="AM778" s="780"/>
      <c r="AN778" s="780"/>
      <c r="AO778" s="780"/>
      <c r="AP778" s="780"/>
      <c r="AQ778" s="780"/>
      <c r="AR778" s="780"/>
      <c r="AS778" s="780"/>
      <c r="AT778" s="780"/>
      <c r="AU778" s="780"/>
      <c r="AV778" s="780"/>
      <c r="AW778" s="780"/>
    </row>
    <row r="779">
      <c r="A779" s="941"/>
      <c r="B779" s="941"/>
      <c r="C779" s="995"/>
      <c r="D779" s="944"/>
      <c r="E779" s="944"/>
      <c r="F779" s="946"/>
      <c r="G779" s="946"/>
      <c r="H779" s="946"/>
      <c r="I779" s="947">
        <v>0.00138428</v>
      </c>
      <c r="J779" s="948">
        <v>0.035</v>
      </c>
      <c r="K779" s="949">
        <f t="shared" si="22"/>
        <v>0</v>
      </c>
      <c r="L779" s="950">
        <f t="shared" si="23"/>
        <v>0</v>
      </c>
      <c r="M779" s="948">
        <v>0.0215</v>
      </c>
      <c r="N779" s="951">
        <f t="shared" si="24"/>
        <v>0.00141404202</v>
      </c>
      <c r="O779" s="949">
        <f t="shared" si="25"/>
        <v>15</v>
      </c>
      <c r="P779" s="949">
        <f t="shared" si="77"/>
        <v>0.0215</v>
      </c>
      <c r="Q779" s="952">
        <f t="shared" si="79"/>
        <v>0</v>
      </c>
      <c r="R779" s="952">
        <f t="shared" si="78"/>
        <v>0</v>
      </c>
      <c r="S779" s="953"/>
      <c r="T779" s="949">
        <v>0.06</v>
      </c>
      <c r="U779" s="954"/>
      <c r="V779" s="949"/>
      <c r="W779" s="953"/>
      <c r="X779" s="949">
        <f t="shared" si="7"/>
        <v>0</v>
      </c>
      <c r="Y779" s="955"/>
      <c r="Z779" s="953" t="str">
        <f t="shared" si="8"/>
        <v/>
      </c>
      <c r="AA779" s="949">
        <f t="shared" si="9"/>
        <v>0</v>
      </c>
      <c r="AB779" s="955"/>
      <c r="AC779" s="949" t="str">
        <f t="shared" si="10"/>
        <v/>
      </c>
      <c r="AD779" s="953">
        <f t="shared" si="11"/>
        <v>0</v>
      </c>
      <c r="AE779" s="956"/>
      <c r="AF779" s="889"/>
      <c r="AG779" s="810" t="b">
        <v>0</v>
      </c>
      <c r="AH779" s="780"/>
      <c r="AI779" s="780"/>
      <c r="AJ779" s="780"/>
      <c r="AK779" s="780"/>
      <c r="AL779" s="780"/>
      <c r="AM779" s="780"/>
      <c r="AN779" s="780"/>
      <c r="AO779" s="780"/>
      <c r="AP779" s="780"/>
      <c r="AQ779" s="780"/>
      <c r="AR779" s="780"/>
      <c r="AS779" s="780"/>
      <c r="AT779" s="780"/>
      <c r="AU779" s="780"/>
      <c r="AV779" s="780"/>
      <c r="AW779" s="780"/>
    </row>
    <row r="780">
      <c r="A780" s="941"/>
      <c r="B780" s="941"/>
      <c r="C780" s="995"/>
      <c r="D780" s="995"/>
      <c r="E780" s="995"/>
      <c r="F780" s="946"/>
      <c r="G780" s="946"/>
      <c r="H780" s="946"/>
      <c r="I780" s="947">
        <v>0.00138428</v>
      </c>
      <c r="J780" s="948">
        <v>0.035</v>
      </c>
      <c r="K780" s="949">
        <f t="shared" si="22"/>
        <v>0</v>
      </c>
      <c r="L780" s="950">
        <f t="shared" si="23"/>
        <v>0</v>
      </c>
      <c r="M780" s="948">
        <v>0.0215</v>
      </c>
      <c r="N780" s="951">
        <f t="shared" si="24"/>
        <v>0.00141404202</v>
      </c>
      <c r="O780" s="949">
        <f t="shared" si="25"/>
        <v>15</v>
      </c>
      <c r="P780" s="949">
        <f t="shared" si="77"/>
        <v>0.0215</v>
      </c>
      <c r="Q780" s="952">
        <f t="shared" si="79"/>
        <v>0</v>
      </c>
      <c r="R780" s="952">
        <f t="shared" si="78"/>
        <v>0</v>
      </c>
      <c r="S780" s="953"/>
      <c r="T780" s="949">
        <v>0.06</v>
      </c>
      <c r="U780" s="954"/>
      <c r="V780" s="949"/>
      <c r="W780" s="953"/>
      <c r="X780" s="949">
        <f t="shared" si="7"/>
        <v>0</v>
      </c>
      <c r="Y780" s="955"/>
      <c r="Z780" s="953" t="str">
        <f t="shared" si="8"/>
        <v/>
      </c>
      <c r="AA780" s="949">
        <f t="shared" si="9"/>
        <v>0</v>
      </c>
      <c r="AB780" s="955"/>
      <c r="AC780" s="949" t="str">
        <f t="shared" si="10"/>
        <v/>
      </c>
      <c r="AD780" s="953">
        <f t="shared" si="11"/>
        <v>0</v>
      </c>
      <c r="AE780" s="956"/>
      <c r="AF780" s="889"/>
      <c r="AG780" s="810" t="b">
        <v>0</v>
      </c>
      <c r="AH780" s="780"/>
      <c r="AI780" s="780"/>
      <c r="AJ780" s="780"/>
      <c r="AK780" s="780"/>
      <c r="AL780" s="780"/>
      <c r="AM780" s="780"/>
      <c r="AN780" s="780"/>
      <c r="AO780" s="780"/>
      <c r="AP780" s="780"/>
      <c r="AQ780" s="780"/>
      <c r="AR780" s="780"/>
      <c r="AS780" s="780"/>
      <c r="AT780" s="780"/>
      <c r="AU780" s="780"/>
      <c r="AV780" s="780"/>
      <c r="AW780" s="780"/>
    </row>
    <row r="781">
      <c r="A781" s="941"/>
      <c r="B781" s="941"/>
      <c r="C781" s="995"/>
      <c r="D781" s="944"/>
      <c r="E781" s="944"/>
      <c r="F781" s="946"/>
      <c r="G781" s="946"/>
      <c r="H781" s="946"/>
      <c r="I781" s="947">
        <v>0.00138428</v>
      </c>
      <c r="J781" s="948">
        <v>0.035</v>
      </c>
      <c r="K781" s="949">
        <f t="shared" si="22"/>
        <v>0</v>
      </c>
      <c r="L781" s="950">
        <f t="shared" si="23"/>
        <v>0</v>
      </c>
      <c r="M781" s="948">
        <v>0.0215</v>
      </c>
      <c r="N781" s="951">
        <f t="shared" si="24"/>
        <v>0.00141404202</v>
      </c>
      <c r="O781" s="949">
        <f t="shared" si="25"/>
        <v>15</v>
      </c>
      <c r="P781" s="949">
        <f t="shared" si="77"/>
        <v>0.0215</v>
      </c>
      <c r="Q781" s="952">
        <f t="shared" si="79"/>
        <v>0</v>
      </c>
      <c r="R781" s="952">
        <f t="shared" si="78"/>
        <v>0</v>
      </c>
      <c r="S781" s="953"/>
      <c r="T781" s="949">
        <v>0.06</v>
      </c>
      <c r="U781" s="954"/>
      <c r="V781" s="949"/>
      <c r="W781" s="953"/>
      <c r="X781" s="949">
        <f t="shared" si="7"/>
        <v>0</v>
      </c>
      <c r="Y781" s="955"/>
      <c r="Z781" s="953" t="str">
        <f t="shared" si="8"/>
        <v/>
      </c>
      <c r="AA781" s="949">
        <f t="shared" si="9"/>
        <v>0</v>
      </c>
      <c r="AB781" s="955"/>
      <c r="AC781" s="949" t="str">
        <f t="shared" si="10"/>
        <v/>
      </c>
      <c r="AD781" s="953">
        <f t="shared" si="11"/>
        <v>0</v>
      </c>
      <c r="AE781" s="956"/>
      <c r="AF781" s="889"/>
      <c r="AG781" s="810" t="b">
        <v>0</v>
      </c>
      <c r="AH781" s="780"/>
      <c r="AI781" s="780"/>
      <c r="AJ781" s="780"/>
      <c r="AK781" s="780"/>
      <c r="AL781" s="780"/>
      <c r="AM781" s="780"/>
      <c r="AN781" s="780"/>
      <c r="AO781" s="780"/>
      <c r="AP781" s="780"/>
      <c r="AQ781" s="780"/>
      <c r="AR781" s="780"/>
      <c r="AS781" s="780"/>
      <c r="AT781" s="780"/>
      <c r="AU781" s="780"/>
      <c r="AV781" s="780"/>
      <c r="AW781" s="780"/>
    </row>
    <row r="782">
      <c r="A782" s="941"/>
      <c r="B782" s="941"/>
      <c r="C782" s="995"/>
      <c r="D782" s="995"/>
      <c r="E782" s="995"/>
      <c r="F782" s="946"/>
      <c r="G782" s="946"/>
      <c r="H782" s="946"/>
      <c r="I782" s="947">
        <v>0.00138428</v>
      </c>
      <c r="J782" s="948">
        <v>0.035</v>
      </c>
      <c r="K782" s="949">
        <f t="shared" si="22"/>
        <v>0</v>
      </c>
      <c r="L782" s="950">
        <f t="shared" si="23"/>
        <v>0</v>
      </c>
      <c r="M782" s="948">
        <v>0.0215</v>
      </c>
      <c r="N782" s="951">
        <f t="shared" si="24"/>
        <v>0.00141404202</v>
      </c>
      <c r="O782" s="949">
        <f t="shared" si="25"/>
        <v>15</v>
      </c>
      <c r="P782" s="949">
        <f t="shared" si="77"/>
        <v>0.0215</v>
      </c>
      <c r="Q782" s="952">
        <f t="shared" si="79"/>
        <v>0</v>
      </c>
      <c r="R782" s="952">
        <f t="shared" si="78"/>
        <v>0</v>
      </c>
      <c r="S782" s="953"/>
      <c r="T782" s="949">
        <v>0.06</v>
      </c>
      <c r="U782" s="954"/>
      <c r="V782" s="949"/>
      <c r="W782" s="953"/>
      <c r="X782" s="949">
        <f t="shared" si="7"/>
        <v>0</v>
      </c>
      <c r="Y782" s="955"/>
      <c r="Z782" s="953" t="str">
        <f t="shared" si="8"/>
        <v/>
      </c>
      <c r="AA782" s="949">
        <f t="shared" si="9"/>
        <v>0</v>
      </c>
      <c r="AB782" s="955"/>
      <c r="AC782" s="949" t="str">
        <f t="shared" si="10"/>
        <v/>
      </c>
      <c r="AD782" s="953">
        <f t="shared" si="11"/>
        <v>0</v>
      </c>
      <c r="AE782" s="956"/>
      <c r="AF782" s="889"/>
      <c r="AG782" s="810" t="b">
        <v>0</v>
      </c>
      <c r="AH782" s="780"/>
      <c r="AI782" s="780"/>
      <c r="AJ782" s="780"/>
      <c r="AK782" s="780"/>
      <c r="AL782" s="780"/>
      <c r="AM782" s="780"/>
      <c r="AN782" s="780"/>
      <c r="AO782" s="780"/>
      <c r="AP782" s="780"/>
      <c r="AQ782" s="780"/>
      <c r="AR782" s="780"/>
      <c r="AS782" s="780"/>
      <c r="AT782" s="780"/>
      <c r="AU782" s="780"/>
      <c r="AV782" s="780"/>
      <c r="AW782" s="780"/>
    </row>
    <row r="783">
      <c r="A783" s="941"/>
      <c r="B783" s="941"/>
      <c r="C783" s="995"/>
      <c r="D783" s="944"/>
      <c r="E783" s="944"/>
      <c r="F783" s="1000"/>
      <c r="G783" s="1000"/>
      <c r="H783" s="1000"/>
      <c r="I783" s="947">
        <v>0.00138428</v>
      </c>
      <c r="J783" s="948">
        <v>0.035</v>
      </c>
      <c r="K783" s="949">
        <f t="shared" si="22"/>
        <v>0</v>
      </c>
      <c r="L783" s="950">
        <f t="shared" si="23"/>
        <v>0</v>
      </c>
      <c r="M783" s="948">
        <v>0.0215</v>
      </c>
      <c r="N783" s="951">
        <f t="shared" si="24"/>
        <v>0.00141404202</v>
      </c>
      <c r="O783" s="949">
        <f t="shared" si="25"/>
        <v>15</v>
      </c>
      <c r="P783" s="949">
        <f t="shared" si="77"/>
        <v>0.0215</v>
      </c>
      <c r="Q783" s="952">
        <f t="shared" si="79"/>
        <v>0</v>
      </c>
      <c r="R783" s="952">
        <f t="shared" si="78"/>
        <v>0</v>
      </c>
      <c r="S783" s="953"/>
      <c r="T783" s="949">
        <v>0.06</v>
      </c>
      <c r="U783" s="954"/>
      <c r="V783" s="949"/>
      <c r="W783" s="953"/>
      <c r="X783" s="949">
        <f t="shared" si="7"/>
        <v>0</v>
      </c>
      <c r="Y783" s="955"/>
      <c r="Z783" s="953" t="str">
        <f t="shared" si="8"/>
        <v/>
      </c>
      <c r="AA783" s="949">
        <f t="shared" si="9"/>
        <v>0</v>
      </c>
      <c r="AB783" s="955"/>
      <c r="AC783" s="949" t="str">
        <f t="shared" si="10"/>
        <v/>
      </c>
      <c r="AD783" s="953">
        <f t="shared" si="11"/>
        <v>0</v>
      </c>
      <c r="AE783" s="956"/>
      <c r="AF783" s="889"/>
      <c r="AG783" s="810" t="b">
        <v>0</v>
      </c>
      <c r="AH783" s="780"/>
      <c r="AI783" s="780"/>
      <c r="AJ783" s="780"/>
      <c r="AK783" s="780"/>
      <c r="AL783" s="780"/>
      <c r="AM783" s="780"/>
      <c r="AN783" s="780"/>
      <c r="AO783" s="780"/>
      <c r="AP783" s="780"/>
      <c r="AQ783" s="780"/>
      <c r="AR783" s="780"/>
      <c r="AS783" s="780"/>
      <c r="AT783" s="780"/>
      <c r="AU783" s="780"/>
      <c r="AV783" s="780"/>
      <c r="AW783" s="780"/>
    </row>
    <row r="784">
      <c r="A784" s="941"/>
      <c r="B784" s="941"/>
      <c r="C784" s="995"/>
      <c r="D784" s="995"/>
      <c r="E784" s="995"/>
      <c r="F784" s="946"/>
      <c r="G784" s="946"/>
      <c r="H784" s="946"/>
      <c r="I784" s="947">
        <v>0.00138428</v>
      </c>
      <c r="J784" s="948">
        <v>0.035</v>
      </c>
      <c r="K784" s="949">
        <f t="shared" si="22"/>
        <v>0</v>
      </c>
      <c r="L784" s="950">
        <f t="shared" si="23"/>
        <v>0</v>
      </c>
      <c r="M784" s="948">
        <v>0.0215</v>
      </c>
      <c r="N784" s="951">
        <f t="shared" si="24"/>
        <v>0.00141404202</v>
      </c>
      <c r="O784" s="949">
        <f t="shared" si="25"/>
        <v>15</v>
      </c>
      <c r="P784" s="949">
        <f t="shared" si="77"/>
        <v>0.0215</v>
      </c>
      <c r="Q784" s="952">
        <f t="shared" si="79"/>
        <v>0</v>
      </c>
      <c r="R784" s="952">
        <f t="shared" si="78"/>
        <v>0</v>
      </c>
      <c r="S784" s="953"/>
      <c r="T784" s="949">
        <v>0.06</v>
      </c>
      <c r="U784" s="954"/>
      <c r="V784" s="949"/>
      <c r="W784" s="953"/>
      <c r="X784" s="949">
        <f t="shared" si="7"/>
        <v>0</v>
      </c>
      <c r="Y784" s="955"/>
      <c r="Z784" s="953" t="str">
        <f t="shared" si="8"/>
        <v/>
      </c>
      <c r="AA784" s="949">
        <f t="shared" si="9"/>
        <v>0</v>
      </c>
      <c r="AB784" s="955"/>
      <c r="AC784" s="949" t="str">
        <f t="shared" si="10"/>
        <v/>
      </c>
      <c r="AD784" s="953">
        <f t="shared" si="11"/>
        <v>0</v>
      </c>
      <c r="AE784" s="956"/>
      <c r="AF784" s="889"/>
      <c r="AG784" s="810" t="b">
        <v>0</v>
      </c>
      <c r="AH784" s="780"/>
      <c r="AI784" s="780"/>
      <c r="AJ784" s="780"/>
      <c r="AK784" s="780"/>
      <c r="AL784" s="780"/>
      <c r="AM784" s="780"/>
      <c r="AN784" s="780"/>
      <c r="AO784" s="780"/>
      <c r="AP784" s="780"/>
      <c r="AQ784" s="780"/>
      <c r="AR784" s="780"/>
      <c r="AS784" s="780"/>
      <c r="AT784" s="780"/>
      <c r="AU784" s="780"/>
      <c r="AV784" s="780"/>
      <c r="AW784" s="780"/>
    </row>
    <row r="785">
      <c r="A785" s="941"/>
      <c r="B785" s="941"/>
      <c r="C785" s="995"/>
      <c r="D785" s="995"/>
      <c r="E785" s="995"/>
      <c r="F785" s="946"/>
      <c r="G785" s="946"/>
      <c r="H785" s="946"/>
      <c r="I785" s="947">
        <v>0.00138428</v>
      </c>
      <c r="J785" s="948">
        <v>0.035</v>
      </c>
      <c r="K785" s="949">
        <f t="shared" si="22"/>
        <v>0</v>
      </c>
      <c r="L785" s="950">
        <f t="shared" si="23"/>
        <v>0</v>
      </c>
      <c r="M785" s="948">
        <v>0.0215</v>
      </c>
      <c r="N785" s="951">
        <f t="shared" si="24"/>
        <v>0.00141404202</v>
      </c>
      <c r="O785" s="949">
        <f t="shared" si="25"/>
        <v>15</v>
      </c>
      <c r="P785" s="949">
        <f t="shared" si="77"/>
        <v>0.0215</v>
      </c>
      <c r="Q785" s="952">
        <f t="shared" si="79"/>
        <v>0</v>
      </c>
      <c r="R785" s="952">
        <f t="shared" si="78"/>
        <v>0</v>
      </c>
      <c r="S785" s="953"/>
      <c r="T785" s="949">
        <v>0.06</v>
      </c>
      <c r="U785" s="954"/>
      <c r="V785" s="949"/>
      <c r="W785" s="953"/>
      <c r="X785" s="949">
        <f t="shared" si="7"/>
        <v>0</v>
      </c>
      <c r="Y785" s="955"/>
      <c r="Z785" s="953" t="str">
        <f t="shared" si="8"/>
        <v/>
      </c>
      <c r="AA785" s="949">
        <f t="shared" si="9"/>
        <v>0</v>
      </c>
      <c r="AB785" s="955"/>
      <c r="AC785" s="949" t="str">
        <f t="shared" si="10"/>
        <v/>
      </c>
      <c r="AD785" s="953">
        <f t="shared" si="11"/>
        <v>0</v>
      </c>
      <c r="AE785" s="956"/>
      <c r="AF785" s="889"/>
      <c r="AG785" s="810" t="b">
        <v>0</v>
      </c>
      <c r="AH785" s="780"/>
      <c r="AI785" s="780"/>
      <c r="AJ785" s="780"/>
      <c r="AK785" s="780"/>
      <c r="AL785" s="780"/>
      <c r="AM785" s="780"/>
      <c r="AN785" s="780"/>
      <c r="AO785" s="780"/>
      <c r="AP785" s="780"/>
      <c r="AQ785" s="780"/>
      <c r="AR785" s="780"/>
      <c r="AS785" s="780"/>
      <c r="AT785" s="780"/>
      <c r="AU785" s="780"/>
      <c r="AV785" s="780"/>
      <c r="AW785" s="780"/>
    </row>
    <row r="786">
      <c r="A786" s="941"/>
      <c r="B786" s="941"/>
      <c r="C786" s="995"/>
      <c r="D786" s="995"/>
      <c r="E786" s="995"/>
      <c r="F786" s="946"/>
      <c r="G786" s="946"/>
      <c r="H786" s="946"/>
      <c r="I786" s="947">
        <v>0.00138428</v>
      </c>
      <c r="J786" s="948">
        <v>0.035</v>
      </c>
      <c r="K786" s="949">
        <f t="shared" si="22"/>
        <v>0</v>
      </c>
      <c r="L786" s="950">
        <f t="shared" si="23"/>
        <v>0</v>
      </c>
      <c r="M786" s="948">
        <v>0.0215</v>
      </c>
      <c r="N786" s="951">
        <f t="shared" si="24"/>
        <v>0.00141404202</v>
      </c>
      <c r="O786" s="949">
        <f t="shared" si="25"/>
        <v>15</v>
      </c>
      <c r="P786" s="949">
        <f t="shared" si="77"/>
        <v>0.0215</v>
      </c>
      <c r="Q786" s="952">
        <f t="shared" si="79"/>
        <v>0</v>
      </c>
      <c r="R786" s="952">
        <f t="shared" si="78"/>
        <v>0</v>
      </c>
      <c r="S786" s="953"/>
      <c r="T786" s="949">
        <v>0.06</v>
      </c>
      <c r="U786" s="954"/>
      <c r="V786" s="949"/>
      <c r="W786" s="953"/>
      <c r="X786" s="949">
        <f t="shared" si="7"/>
        <v>0</v>
      </c>
      <c r="Y786" s="955"/>
      <c r="Z786" s="953" t="str">
        <f t="shared" si="8"/>
        <v/>
      </c>
      <c r="AA786" s="949">
        <f t="shared" si="9"/>
        <v>0</v>
      </c>
      <c r="AB786" s="955"/>
      <c r="AC786" s="949" t="str">
        <f t="shared" si="10"/>
        <v/>
      </c>
      <c r="AD786" s="953">
        <f t="shared" si="11"/>
        <v>0</v>
      </c>
      <c r="AE786" s="956"/>
      <c r="AF786" s="889"/>
      <c r="AG786" s="810" t="b">
        <v>0</v>
      </c>
      <c r="AH786" s="780"/>
      <c r="AI786" s="780"/>
      <c r="AJ786" s="780"/>
      <c r="AK786" s="780"/>
      <c r="AL786" s="780"/>
      <c r="AM786" s="780"/>
      <c r="AN786" s="780"/>
      <c r="AO786" s="780"/>
      <c r="AP786" s="780"/>
      <c r="AQ786" s="780"/>
      <c r="AR786" s="780"/>
      <c r="AS786" s="780"/>
      <c r="AT786" s="780"/>
      <c r="AU786" s="780"/>
      <c r="AV786" s="780"/>
      <c r="AW786" s="780"/>
    </row>
    <row r="787">
      <c r="A787" s="941"/>
      <c r="B787" s="941"/>
      <c r="C787" s="995"/>
      <c r="D787" s="1001"/>
      <c r="E787" s="944"/>
      <c r="F787" s="946"/>
      <c r="G787" s="946"/>
      <c r="H787" s="946"/>
      <c r="I787" s="947">
        <v>0.00138428</v>
      </c>
      <c r="J787" s="948">
        <v>0.035</v>
      </c>
      <c r="K787" s="949">
        <f t="shared" si="22"/>
        <v>0</v>
      </c>
      <c r="L787" s="950">
        <f t="shared" si="23"/>
        <v>0</v>
      </c>
      <c r="M787" s="948">
        <v>0.0215</v>
      </c>
      <c r="N787" s="951">
        <f t="shared" si="24"/>
        <v>0.00141404202</v>
      </c>
      <c r="O787" s="949">
        <f t="shared" si="25"/>
        <v>15</v>
      </c>
      <c r="P787" s="949">
        <f t="shared" si="77"/>
        <v>0.0215</v>
      </c>
      <c r="Q787" s="952">
        <f t="shared" si="79"/>
        <v>0</v>
      </c>
      <c r="R787" s="952">
        <f t="shared" si="78"/>
        <v>0</v>
      </c>
      <c r="S787" s="953"/>
      <c r="T787" s="949">
        <v>0.06</v>
      </c>
      <c r="U787" s="954"/>
      <c r="V787" s="949"/>
      <c r="W787" s="953"/>
      <c r="X787" s="949">
        <f t="shared" si="7"/>
        <v>0</v>
      </c>
      <c r="Y787" s="955"/>
      <c r="Z787" s="953" t="str">
        <f t="shared" si="8"/>
        <v/>
      </c>
      <c r="AA787" s="949">
        <f t="shared" si="9"/>
        <v>0</v>
      </c>
      <c r="AB787" s="955"/>
      <c r="AC787" s="949" t="str">
        <f t="shared" si="10"/>
        <v/>
      </c>
      <c r="AD787" s="953">
        <f t="shared" si="11"/>
        <v>0</v>
      </c>
      <c r="AE787" s="956"/>
      <c r="AF787" s="889"/>
      <c r="AG787" s="810" t="b">
        <v>0</v>
      </c>
      <c r="AH787" s="780"/>
      <c r="AI787" s="780"/>
      <c r="AJ787" s="780"/>
      <c r="AK787" s="780"/>
      <c r="AL787" s="780"/>
      <c r="AM787" s="780"/>
      <c r="AN787" s="780"/>
      <c r="AO787" s="780"/>
      <c r="AP787" s="780"/>
      <c r="AQ787" s="780"/>
      <c r="AR787" s="780"/>
      <c r="AS787" s="780"/>
      <c r="AT787" s="780"/>
      <c r="AU787" s="780"/>
      <c r="AV787" s="780"/>
      <c r="AW787" s="780"/>
    </row>
    <row r="788">
      <c r="A788" s="941"/>
      <c r="B788" s="941"/>
      <c r="C788" s="995"/>
      <c r="D788" s="995"/>
      <c r="E788" s="995"/>
      <c r="F788" s="946"/>
      <c r="G788" s="946"/>
      <c r="H788" s="946"/>
      <c r="I788" s="947">
        <v>0.00138428</v>
      </c>
      <c r="J788" s="948">
        <v>0.035</v>
      </c>
      <c r="K788" s="949">
        <f t="shared" si="22"/>
        <v>0</v>
      </c>
      <c r="L788" s="950">
        <f t="shared" si="23"/>
        <v>0</v>
      </c>
      <c r="M788" s="948">
        <v>0.0215</v>
      </c>
      <c r="N788" s="951">
        <f t="shared" si="24"/>
        <v>0.00141404202</v>
      </c>
      <c r="O788" s="949">
        <f t="shared" si="25"/>
        <v>15</v>
      </c>
      <c r="P788" s="949">
        <f t="shared" si="77"/>
        <v>0.0215</v>
      </c>
      <c r="Q788" s="952">
        <f t="shared" si="79"/>
        <v>0</v>
      </c>
      <c r="R788" s="952">
        <f t="shared" si="78"/>
        <v>0</v>
      </c>
      <c r="S788" s="953"/>
      <c r="T788" s="949">
        <v>0.06</v>
      </c>
      <c r="U788" s="954"/>
      <c r="V788" s="949"/>
      <c r="W788" s="953"/>
      <c r="X788" s="949">
        <f t="shared" si="7"/>
        <v>0</v>
      </c>
      <c r="Y788" s="955"/>
      <c r="Z788" s="953" t="str">
        <f t="shared" si="8"/>
        <v/>
      </c>
      <c r="AA788" s="949">
        <f t="shared" si="9"/>
        <v>0</v>
      </c>
      <c r="AB788" s="955"/>
      <c r="AC788" s="949" t="str">
        <f t="shared" si="10"/>
        <v/>
      </c>
      <c r="AD788" s="953">
        <f t="shared" si="11"/>
        <v>0</v>
      </c>
      <c r="AE788" s="956"/>
      <c r="AF788" s="889"/>
      <c r="AG788" s="810" t="b">
        <v>0</v>
      </c>
      <c r="AH788" s="780"/>
      <c r="AI788" s="780"/>
      <c r="AJ788" s="780"/>
      <c r="AK788" s="780"/>
      <c r="AL788" s="780"/>
      <c r="AM788" s="780"/>
      <c r="AN788" s="780"/>
      <c r="AO788" s="780"/>
      <c r="AP788" s="780"/>
      <c r="AQ788" s="780"/>
      <c r="AR788" s="780"/>
      <c r="AS788" s="780"/>
      <c r="AT788" s="780"/>
      <c r="AU788" s="780"/>
      <c r="AV788" s="780"/>
      <c r="AW788" s="780"/>
    </row>
    <row r="789">
      <c r="A789" s="941"/>
      <c r="B789" s="941"/>
      <c r="C789" s="995"/>
      <c r="D789" s="995"/>
      <c r="E789" s="995"/>
      <c r="F789" s="946"/>
      <c r="G789" s="946"/>
      <c r="H789" s="946"/>
      <c r="I789" s="947">
        <v>0.00138428</v>
      </c>
      <c r="J789" s="948">
        <v>0.035</v>
      </c>
      <c r="K789" s="949">
        <f t="shared" si="22"/>
        <v>0</v>
      </c>
      <c r="L789" s="950">
        <f t="shared" si="23"/>
        <v>0</v>
      </c>
      <c r="M789" s="948">
        <v>0.0215</v>
      </c>
      <c r="N789" s="951">
        <f t="shared" si="24"/>
        <v>0.00141404202</v>
      </c>
      <c r="O789" s="949">
        <f t="shared" si="25"/>
        <v>15</v>
      </c>
      <c r="P789" s="949">
        <f t="shared" si="77"/>
        <v>0.0215</v>
      </c>
      <c r="Q789" s="952">
        <f t="shared" si="79"/>
        <v>0</v>
      </c>
      <c r="R789" s="952">
        <f t="shared" si="78"/>
        <v>0</v>
      </c>
      <c r="S789" s="953"/>
      <c r="T789" s="949">
        <v>0.06</v>
      </c>
      <c r="U789" s="954"/>
      <c r="V789" s="949"/>
      <c r="W789" s="953"/>
      <c r="X789" s="949">
        <f t="shared" si="7"/>
        <v>0</v>
      </c>
      <c r="Y789" s="955"/>
      <c r="Z789" s="953" t="str">
        <f t="shared" si="8"/>
        <v/>
      </c>
      <c r="AA789" s="949">
        <f t="shared" si="9"/>
        <v>0</v>
      </c>
      <c r="AB789" s="955"/>
      <c r="AC789" s="949" t="str">
        <f t="shared" si="10"/>
        <v/>
      </c>
      <c r="AD789" s="953">
        <f t="shared" si="11"/>
        <v>0</v>
      </c>
      <c r="AE789" s="956"/>
      <c r="AF789" s="889"/>
      <c r="AG789" s="810" t="b">
        <v>0</v>
      </c>
      <c r="AH789" s="780"/>
      <c r="AI789" s="780"/>
      <c r="AJ789" s="780"/>
      <c r="AK789" s="780"/>
      <c r="AL789" s="780"/>
      <c r="AM789" s="780"/>
      <c r="AN789" s="780"/>
      <c r="AO789" s="780"/>
      <c r="AP789" s="780"/>
      <c r="AQ789" s="780"/>
      <c r="AR789" s="780"/>
      <c r="AS789" s="780"/>
      <c r="AT789" s="780"/>
      <c r="AU789" s="780"/>
      <c r="AV789" s="780"/>
      <c r="AW789" s="780"/>
    </row>
    <row r="790">
      <c r="A790" s="941"/>
      <c r="B790" s="941"/>
      <c r="C790" s="995"/>
      <c r="D790" s="995"/>
      <c r="E790" s="995"/>
      <c r="F790" s="946"/>
      <c r="G790" s="946"/>
      <c r="H790" s="946"/>
      <c r="I790" s="947">
        <v>0.00138428</v>
      </c>
      <c r="J790" s="948">
        <v>0.035</v>
      </c>
      <c r="K790" s="949">
        <f t="shared" si="22"/>
        <v>0</v>
      </c>
      <c r="L790" s="950">
        <f t="shared" si="23"/>
        <v>0</v>
      </c>
      <c r="M790" s="948">
        <v>0.0215</v>
      </c>
      <c r="N790" s="951">
        <f t="shared" si="24"/>
        <v>0.00141404202</v>
      </c>
      <c r="O790" s="949">
        <f t="shared" si="25"/>
        <v>15</v>
      </c>
      <c r="P790" s="949">
        <f t="shared" si="77"/>
        <v>0.0215</v>
      </c>
      <c r="Q790" s="952">
        <f t="shared" si="79"/>
        <v>0</v>
      </c>
      <c r="R790" s="952">
        <f t="shared" si="78"/>
        <v>0</v>
      </c>
      <c r="S790" s="953"/>
      <c r="T790" s="949">
        <v>0.06</v>
      </c>
      <c r="U790" s="954"/>
      <c r="V790" s="949"/>
      <c r="W790" s="953"/>
      <c r="X790" s="949">
        <f t="shared" si="7"/>
        <v>0</v>
      </c>
      <c r="Y790" s="955"/>
      <c r="Z790" s="953" t="str">
        <f t="shared" si="8"/>
        <v/>
      </c>
      <c r="AA790" s="949">
        <f t="shared" si="9"/>
        <v>0</v>
      </c>
      <c r="AB790" s="955"/>
      <c r="AC790" s="949" t="str">
        <f t="shared" si="10"/>
        <v/>
      </c>
      <c r="AD790" s="953">
        <f t="shared" si="11"/>
        <v>0</v>
      </c>
      <c r="AE790" s="956"/>
      <c r="AF790" s="889"/>
      <c r="AG790" s="810" t="b">
        <v>0</v>
      </c>
      <c r="AH790" s="780"/>
      <c r="AI790" s="780"/>
      <c r="AJ790" s="780"/>
      <c r="AK790" s="780"/>
      <c r="AL790" s="780"/>
      <c r="AM790" s="780"/>
      <c r="AN790" s="780"/>
      <c r="AO790" s="780"/>
      <c r="AP790" s="780"/>
      <c r="AQ790" s="780"/>
      <c r="AR790" s="780"/>
      <c r="AS790" s="780"/>
      <c r="AT790" s="780"/>
      <c r="AU790" s="780"/>
      <c r="AV790" s="780"/>
      <c r="AW790" s="780"/>
    </row>
    <row r="791">
      <c r="A791" s="941"/>
      <c r="B791" s="941"/>
      <c r="C791" s="995"/>
      <c r="D791" s="995"/>
      <c r="E791" s="995"/>
      <c r="F791" s="946"/>
      <c r="G791" s="946"/>
      <c r="H791" s="946"/>
      <c r="I791" s="947">
        <v>0.00138428</v>
      </c>
      <c r="J791" s="948">
        <v>0.035</v>
      </c>
      <c r="K791" s="949">
        <f t="shared" si="22"/>
        <v>0</v>
      </c>
      <c r="L791" s="950">
        <f t="shared" si="23"/>
        <v>0</v>
      </c>
      <c r="M791" s="948">
        <v>0.0215</v>
      </c>
      <c r="N791" s="951">
        <f t="shared" si="24"/>
        <v>0.00141404202</v>
      </c>
      <c r="O791" s="949">
        <f t="shared" si="25"/>
        <v>15</v>
      </c>
      <c r="P791" s="949">
        <f t="shared" si="77"/>
        <v>0.0215</v>
      </c>
      <c r="Q791" s="952">
        <f t="shared" si="79"/>
        <v>0</v>
      </c>
      <c r="R791" s="952">
        <f t="shared" si="78"/>
        <v>0</v>
      </c>
      <c r="S791" s="953"/>
      <c r="T791" s="949">
        <v>0.06</v>
      </c>
      <c r="U791" s="954"/>
      <c r="V791" s="949"/>
      <c r="W791" s="953"/>
      <c r="X791" s="949">
        <f t="shared" si="7"/>
        <v>0</v>
      </c>
      <c r="Y791" s="955"/>
      <c r="Z791" s="953" t="str">
        <f t="shared" si="8"/>
        <v/>
      </c>
      <c r="AA791" s="949">
        <f t="shared" si="9"/>
        <v>0</v>
      </c>
      <c r="AB791" s="955"/>
      <c r="AC791" s="949" t="str">
        <f t="shared" si="10"/>
        <v/>
      </c>
      <c r="AD791" s="953">
        <f t="shared" si="11"/>
        <v>0</v>
      </c>
      <c r="AE791" s="956"/>
      <c r="AF791" s="889"/>
      <c r="AG791" s="810" t="b">
        <v>0</v>
      </c>
      <c r="AH791" s="780"/>
      <c r="AI791" s="780"/>
      <c r="AJ791" s="780"/>
      <c r="AK791" s="780"/>
      <c r="AL791" s="780"/>
      <c r="AM791" s="780"/>
      <c r="AN791" s="780"/>
      <c r="AO791" s="780"/>
      <c r="AP791" s="780"/>
      <c r="AQ791" s="780"/>
      <c r="AR791" s="780"/>
      <c r="AS791" s="780"/>
      <c r="AT791" s="780"/>
      <c r="AU791" s="780"/>
      <c r="AV791" s="780"/>
      <c r="AW791" s="780"/>
    </row>
    <row r="792">
      <c r="A792" s="941"/>
      <c r="B792" s="941"/>
      <c r="C792" s="995"/>
      <c r="D792" s="995"/>
      <c r="E792" s="995"/>
      <c r="F792" s="946"/>
      <c r="G792" s="946"/>
      <c r="H792" s="946"/>
      <c r="I792" s="947">
        <v>0.00138428</v>
      </c>
      <c r="J792" s="948">
        <v>0.035</v>
      </c>
      <c r="K792" s="949">
        <f t="shared" si="22"/>
        <v>0</v>
      </c>
      <c r="L792" s="950">
        <f t="shared" si="23"/>
        <v>0</v>
      </c>
      <c r="M792" s="948">
        <v>0.0215</v>
      </c>
      <c r="N792" s="951">
        <f t="shared" si="24"/>
        <v>0.00141404202</v>
      </c>
      <c r="O792" s="949">
        <f t="shared" si="25"/>
        <v>15</v>
      </c>
      <c r="P792" s="949">
        <f t="shared" si="77"/>
        <v>0.0215</v>
      </c>
      <c r="Q792" s="952">
        <f t="shared" si="79"/>
        <v>0</v>
      </c>
      <c r="R792" s="952">
        <f t="shared" si="78"/>
        <v>0</v>
      </c>
      <c r="S792" s="953"/>
      <c r="T792" s="949">
        <v>0.06</v>
      </c>
      <c r="U792" s="954"/>
      <c r="V792" s="949"/>
      <c r="W792" s="953"/>
      <c r="X792" s="949">
        <f t="shared" si="7"/>
        <v>0</v>
      </c>
      <c r="Y792" s="955"/>
      <c r="Z792" s="953" t="str">
        <f t="shared" si="8"/>
        <v/>
      </c>
      <c r="AA792" s="949">
        <f t="shared" si="9"/>
        <v>0</v>
      </c>
      <c r="AB792" s="955"/>
      <c r="AC792" s="949" t="str">
        <f t="shared" si="10"/>
        <v/>
      </c>
      <c r="AD792" s="953">
        <f t="shared" si="11"/>
        <v>0</v>
      </c>
      <c r="AE792" s="956"/>
      <c r="AF792" s="889"/>
      <c r="AG792" s="810" t="b">
        <v>0</v>
      </c>
      <c r="AH792" s="780"/>
      <c r="AI792" s="780"/>
      <c r="AJ792" s="780"/>
      <c r="AK792" s="780"/>
      <c r="AL792" s="780"/>
      <c r="AM792" s="780"/>
      <c r="AN792" s="780"/>
      <c r="AO792" s="780"/>
      <c r="AP792" s="780"/>
      <c r="AQ792" s="780"/>
      <c r="AR792" s="780"/>
      <c r="AS792" s="780"/>
      <c r="AT792" s="780"/>
      <c r="AU792" s="780"/>
      <c r="AV792" s="780"/>
      <c r="AW792" s="780"/>
    </row>
    <row r="793">
      <c r="A793" s="941"/>
      <c r="B793" s="941"/>
      <c r="C793" s="995"/>
      <c r="D793" s="995"/>
      <c r="E793" s="995"/>
      <c r="F793" s="946"/>
      <c r="G793" s="946"/>
      <c r="H793" s="946"/>
      <c r="I793" s="947">
        <v>0.00138428</v>
      </c>
      <c r="J793" s="948">
        <v>0.035</v>
      </c>
      <c r="K793" s="949">
        <f t="shared" si="22"/>
        <v>0</v>
      </c>
      <c r="L793" s="950">
        <f t="shared" si="23"/>
        <v>0</v>
      </c>
      <c r="M793" s="948">
        <v>0.0215</v>
      </c>
      <c r="N793" s="951">
        <f t="shared" si="24"/>
        <v>0.00141404202</v>
      </c>
      <c r="O793" s="949">
        <f t="shared" si="25"/>
        <v>15</v>
      </c>
      <c r="P793" s="949">
        <f t="shared" si="77"/>
        <v>0.0215</v>
      </c>
      <c r="Q793" s="952">
        <f t="shared" si="79"/>
        <v>0</v>
      </c>
      <c r="R793" s="952">
        <f t="shared" si="78"/>
        <v>0</v>
      </c>
      <c r="S793" s="953"/>
      <c r="T793" s="949">
        <v>0.06</v>
      </c>
      <c r="U793" s="954"/>
      <c r="V793" s="949"/>
      <c r="W793" s="953"/>
      <c r="X793" s="949">
        <f t="shared" si="7"/>
        <v>0</v>
      </c>
      <c r="Y793" s="955"/>
      <c r="Z793" s="953" t="str">
        <f t="shared" si="8"/>
        <v/>
      </c>
      <c r="AA793" s="949">
        <f t="shared" si="9"/>
        <v>0</v>
      </c>
      <c r="AB793" s="955"/>
      <c r="AC793" s="949" t="str">
        <f t="shared" si="10"/>
        <v/>
      </c>
      <c r="AD793" s="953">
        <f t="shared" si="11"/>
        <v>0</v>
      </c>
      <c r="AE793" s="956"/>
      <c r="AF793" s="889"/>
      <c r="AG793" s="810" t="b">
        <v>0</v>
      </c>
      <c r="AH793" s="780"/>
      <c r="AI793" s="780"/>
      <c r="AJ793" s="780"/>
      <c r="AK793" s="780"/>
      <c r="AL793" s="780"/>
      <c r="AM793" s="780"/>
      <c r="AN793" s="780"/>
      <c r="AO793" s="780"/>
      <c r="AP793" s="780"/>
      <c r="AQ793" s="780"/>
      <c r="AR793" s="780"/>
      <c r="AS793" s="780"/>
      <c r="AT793" s="780"/>
      <c r="AU793" s="780"/>
      <c r="AV793" s="780"/>
      <c r="AW793" s="780"/>
    </row>
    <row r="794">
      <c r="A794" s="941"/>
      <c r="B794" s="941"/>
      <c r="C794" s="995"/>
      <c r="D794" s="995"/>
      <c r="E794" s="995"/>
      <c r="F794" s="946"/>
      <c r="G794" s="946"/>
      <c r="H794" s="946"/>
      <c r="I794" s="947">
        <v>0.00138428</v>
      </c>
      <c r="J794" s="948">
        <v>0.035</v>
      </c>
      <c r="K794" s="949">
        <f t="shared" si="22"/>
        <v>0</v>
      </c>
      <c r="L794" s="950">
        <f t="shared" si="23"/>
        <v>0</v>
      </c>
      <c r="M794" s="948">
        <v>0.0215</v>
      </c>
      <c r="N794" s="951">
        <f t="shared" si="24"/>
        <v>0.00141404202</v>
      </c>
      <c r="O794" s="949">
        <f t="shared" si="25"/>
        <v>15</v>
      </c>
      <c r="P794" s="949">
        <f t="shared" si="77"/>
        <v>0.0215</v>
      </c>
      <c r="Q794" s="952">
        <f t="shared" si="79"/>
        <v>0</v>
      </c>
      <c r="R794" s="952">
        <f t="shared" si="78"/>
        <v>0</v>
      </c>
      <c r="S794" s="953"/>
      <c r="T794" s="949">
        <v>0.06</v>
      </c>
      <c r="U794" s="954"/>
      <c r="V794" s="949"/>
      <c r="W794" s="953"/>
      <c r="X794" s="949">
        <f t="shared" si="7"/>
        <v>0</v>
      </c>
      <c r="Y794" s="955"/>
      <c r="Z794" s="953" t="str">
        <f t="shared" si="8"/>
        <v/>
      </c>
      <c r="AA794" s="949">
        <f t="shared" si="9"/>
        <v>0</v>
      </c>
      <c r="AB794" s="955"/>
      <c r="AC794" s="949" t="str">
        <f t="shared" si="10"/>
        <v/>
      </c>
      <c r="AD794" s="953">
        <f t="shared" si="11"/>
        <v>0</v>
      </c>
      <c r="AE794" s="956"/>
      <c r="AF794" s="889"/>
      <c r="AG794" s="810" t="b">
        <v>0</v>
      </c>
      <c r="AH794" s="780"/>
      <c r="AI794" s="780"/>
      <c r="AJ794" s="780"/>
      <c r="AK794" s="780"/>
      <c r="AL794" s="780"/>
      <c r="AM794" s="780"/>
      <c r="AN794" s="780"/>
      <c r="AO794" s="780"/>
      <c r="AP794" s="780"/>
      <c r="AQ794" s="780"/>
      <c r="AR794" s="780"/>
      <c r="AS794" s="780"/>
      <c r="AT794" s="780"/>
      <c r="AU794" s="780"/>
      <c r="AV794" s="780"/>
      <c r="AW794" s="780"/>
    </row>
    <row r="795">
      <c r="A795" s="941"/>
      <c r="B795" s="941"/>
      <c r="C795" s="995"/>
      <c r="D795" s="995"/>
      <c r="E795" s="995"/>
      <c r="F795" s="946"/>
      <c r="G795" s="946"/>
      <c r="H795" s="946"/>
      <c r="I795" s="947">
        <v>0.00138428</v>
      </c>
      <c r="J795" s="948">
        <v>0.035</v>
      </c>
      <c r="K795" s="949">
        <f t="shared" si="22"/>
        <v>0</v>
      </c>
      <c r="L795" s="950">
        <f t="shared" si="23"/>
        <v>0</v>
      </c>
      <c r="M795" s="948">
        <v>0.0215</v>
      </c>
      <c r="N795" s="951">
        <f t="shared" si="24"/>
        <v>0.00141404202</v>
      </c>
      <c r="O795" s="949">
        <f t="shared" si="25"/>
        <v>15</v>
      </c>
      <c r="P795" s="949">
        <f t="shared" si="77"/>
        <v>0.0215</v>
      </c>
      <c r="Q795" s="952">
        <f t="shared" si="79"/>
        <v>0</v>
      </c>
      <c r="R795" s="952">
        <f t="shared" si="78"/>
        <v>0</v>
      </c>
      <c r="S795" s="953"/>
      <c r="T795" s="949">
        <v>0.06</v>
      </c>
      <c r="U795" s="954"/>
      <c r="V795" s="949"/>
      <c r="W795" s="953"/>
      <c r="X795" s="949">
        <f t="shared" si="7"/>
        <v>0</v>
      </c>
      <c r="Y795" s="955"/>
      <c r="Z795" s="953" t="str">
        <f t="shared" si="8"/>
        <v/>
      </c>
      <c r="AA795" s="949">
        <f t="shared" si="9"/>
        <v>0</v>
      </c>
      <c r="AB795" s="955"/>
      <c r="AC795" s="949" t="str">
        <f t="shared" si="10"/>
        <v/>
      </c>
      <c r="AD795" s="953">
        <f t="shared" si="11"/>
        <v>0</v>
      </c>
      <c r="AE795" s="956"/>
      <c r="AF795" s="889"/>
      <c r="AG795" s="810" t="b">
        <v>0</v>
      </c>
      <c r="AH795" s="780"/>
      <c r="AI795" s="780"/>
      <c r="AJ795" s="780"/>
      <c r="AK795" s="780"/>
      <c r="AL795" s="780"/>
      <c r="AM795" s="780"/>
      <c r="AN795" s="780"/>
      <c r="AO795" s="780"/>
      <c r="AP795" s="780"/>
      <c r="AQ795" s="780"/>
      <c r="AR795" s="780"/>
      <c r="AS795" s="780"/>
      <c r="AT795" s="780"/>
      <c r="AU795" s="780"/>
      <c r="AV795" s="780"/>
      <c r="AW795" s="780"/>
    </row>
    <row r="796">
      <c r="A796" s="941"/>
      <c r="B796" s="941"/>
      <c r="C796" s="995"/>
      <c r="D796" s="995"/>
      <c r="E796" s="995"/>
      <c r="F796" s="946"/>
      <c r="G796" s="946"/>
      <c r="H796" s="946"/>
      <c r="I796" s="947">
        <v>0.00138428</v>
      </c>
      <c r="J796" s="948">
        <v>0.035</v>
      </c>
      <c r="K796" s="949">
        <f t="shared" si="22"/>
        <v>0</v>
      </c>
      <c r="L796" s="950">
        <f t="shared" si="23"/>
        <v>0</v>
      </c>
      <c r="M796" s="948">
        <v>0.0215</v>
      </c>
      <c r="N796" s="951">
        <f t="shared" si="24"/>
        <v>0.00141404202</v>
      </c>
      <c r="O796" s="949">
        <f t="shared" si="25"/>
        <v>15</v>
      </c>
      <c r="P796" s="949">
        <f t="shared" si="77"/>
        <v>0.0215</v>
      </c>
      <c r="Q796" s="952">
        <f t="shared" si="79"/>
        <v>0</v>
      </c>
      <c r="R796" s="952">
        <f t="shared" si="78"/>
        <v>0</v>
      </c>
      <c r="S796" s="953"/>
      <c r="T796" s="949">
        <v>0.06</v>
      </c>
      <c r="U796" s="954"/>
      <c r="V796" s="949"/>
      <c r="W796" s="953"/>
      <c r="X796" s="949">
        <f t="shared" si="7"/>
        <v>0</v>
      </c>
      <c r="Y796" s="955"/>
      <c r="Z796" s="953" t="str">
        <f t="shared" si="8"/>
        <v/>
      </c>
      <c r="AA796" s="949">
        <f t="shared" si="9"/>
        <v>0</v>
      </c>
      <c r="AB796" s="955"/>
      <c r="AC796" s="949" t="str">
        <f t="shared" si="10"/>
        <v/>
      </c>
      <c r="AD796" s="953">
        <f t="shared" si="11"/>
        <v>0</v>
      </c>
      <c r="AE796" s="956"/>
      <c r="AF796" s="889"/>
      <c r="AG796" s="810" t="b">
        <v>0</v>
      </c>
      <c r="AH796" s="780"/>
      <c r="AI796" s="780"/>
      <c r="AJ796" s="780"/>
      <c r="AK796" s="780"/>
      <c r="AL796" s="780"/>
      <c r="AM796" s="780"/>
      <c r="AN796" s="780"/>
      <c r="AO796" s="780"/>
      <c r="AP796" s="780"/>
      <c r="AQ796" s="780"/>
      <c r="AR796" s="780"/>
      <c r="AS796" s="780"/>
      <c r="AT796" s="780"/>
      <c r="AU796" s="780"/>
      <c r="AV796" s="780"/>
      <c r="AW796" s="780"/>
    </row>
    <row r="797">
      <c r="A797" s="941"/>
      <c r="B797" s="941"/>
      <c r="C797" s="995"/>
      <c r="D797" s="995"/>
      <c r="E797" s="995"/>
      <c r="F797" s="946"/>
      <c r="G797" s="946"/>
      <c r="H797" s="946"/>
      <c r="I797" s="947">
        <v>0.00138428</v>
      </c>
      <c r="J797" s="948">
        <v>0.035</v>
      </c>
      <c r="K797" s="949">
        <f t="shared" si="22"/>
        <v>0</v>
      </c>
      <c r="L797" s="950">
        <f t="shared" si="23"/>
        <v>0</v>
      </c>
      <c r="M797" s="948">
        <v>0.0215</v>
      </c>
      <c r="N797" s="951">
        <f t="shared" si="24"/>
        <v>0.00141404202</v>
      </c>
      <c r="O797" s="949">
        <f t="shared" si="25"/>
        <v>15</v>
      </c>
      <c r="P797" s="949">
        <f t="shared" si="77"/>
        <v>0.0215</v>
      </c>
      <c r="Q797" s="952">
        <f t="shared" si="79"/>
        <v>0</v>
      </c>
      <c r="R797" s="952">
        <f t="shared" si="78"/>
        <v>0</v>
      </c>
      <c r="S797" s="953"/>
      <c r="T797" s="949">
        <v>0.06</v>
      </c>
      <c r="U797" s="954"/>
      <c r="V797" s="949"/>
      <c r="W797" s="953"/>
      <c r="X797" s="949">
        <f t="shared" si="7"/>
        <v>0</v>
      </c>
      <c r="Y797" s="955"/>
      <c r="Z797" s="953" t="str">
        <f t="shared" si="8"/>
        <v/>
      </c>
      <c r="AA797" s="949">
        <f t="shared" si="9"/>
        <v>0</v>
      </c>
      <c r="AB797" s="955"/>
      <c r="AC797" s="949" t="str">
        <f t="shared" si="10"/>
        <v/>
      </c>
      <c r="AD797" s="953">
        <f t="shared" si="11"/>
        <v>0</v>
      </c>
      <c r="AE797" s="956"/>
      <c r="AF797" s="889"/>
      <c r="AG797" s="810" t="b">
        <v>0</v>
      </c>
      <c r="AH797" s="780"/>
      <c r="AI797" s="780"/>
      <c r="AJ797" s="780"/>
      <c r="AK797" s="780"/>
      <c r="AL797" s="780"/>
      <c r="AM797" s="780"/>
      <c r="AN797" s="780"/>
      <c r="AO797" s="780"/>
      <c r="AP797" s="780"/>
      <c r="AQ797" s="780"/>
      <c r="AR797" s="780"/>
      <c r="AS797" s="780"/>
      <c r="AT797" s="780"/>
      <c r="AU797" s="780"/>
      <c r="AV797" s="780"/>
      <c r="AW797" s="780"/>
    </row>
    <row r="798">
      <c r="A798" s="941"/>
      <c r="B798" s="941"/>
      <c r="C798" s="995"/>
      <c r="D798" s="1001"/>
      <c r="E798" s="944"/>
      <c r="F798" s="946"/>
      <c r="G798" s="946"/>
      <c r="H798" s="946"/>
      <c r="I798" s="947">
        <v>0.00138428</v>
      </c>
      <c r="J798" s="948">
        <v>0.035</v>
      </c>
      <c r="K798" s="949">
        <f t="shared" si="22"/>
        <v>0</v>
      </c>
      <c r="L798" s="950">
        <f t="shared" si="23"/>
        <v>0</v>
      </c>
      <c r="M798" s="948">
        <v>0.0215</v>
      </c>
      <c r="N798" s="951">
        <f t="shared" si="24"/>
        <v>0.00141404202</v>
      </c>
      <c r="O798" s="949">
        <f t="shared" si="25"/>
        <v>15</v>
      </c>
      <c r="P798" s="949">
        <f t="shared" si="77"/>
        <v>0.0215</v>
      </c>
      <c r="Q798" s="952">
        <f t="shared" si="79"/>
        <v>0</v>
      </c>
      <c r="R798" s="952">
        <f t="shared" si="78"/>
        <v>0</v>
      </c>
      <c r="S798" s="953"/>
      <c r="T798" s="949">
        <v>0.06</v>
      </c>
      <c r="U798" s="954"/>
      <c r="V798" s="949"/>
      <c r="W798" s="953"/>
      <c r="X798" s="949">
        <f t="shared" si="7"/>
        <v>0</v>
      </c>
      <c r="Y798" s="955"/>
      <c r="Z798" s="953" t="str">
        <f t="shared" si="8"/>
        <v/>
      </c>
      <c r="AA798" s="949">
        <f t="shared" si="9"/>
        <v>0</v>
      </c>
      <c r="AB798" s="955"/>
      <c r="AC798" s="949" t="str">
        <f t="shared" si="10"/>
        <v/>
      </c>
      <c r="AD798" s="953">
        <f t="shared" si="11"/>
        <v>0</v>
      </c>
      <c r="AE798" s="956"/>
      <c r="AF798" s="889"/>
      <c r="AG798" s="810" t="b">
        <v>0</v>
      </c>
      <c r="AH798" s="780"/>
      <c r="AI798" s="780"/>
      <c r="AJ798" s="780"/>
      <c r="AK798" s="780"/>
      <c r="AL798" s="780"/>
      <c r="AM798" s="780"/>
      <c r="AN798" s="780"/>
      <c r="AO798" s="780"/>
      <c r="AP798" s="780"/>
      <c r="AQ798" s="780"/>
      <c r="AR798" s="780"/>
      <c r="AS798" s="780"/>
      <c r="AT798" s="780"/>
      <c r="AU798" s="780"/>
      <c r="AV798" s="780"/>
      <c r="AW798" s="780"/>
    </row>
    <row r="799">
      <c r="A799" s="941"/>
      <c r="B799" s="941"/>
      <c r="C799" s="995"/>
      <c r="D799" s="995"/>
      <c r="E799" s="995"/>
      <c r="F799" s="946"/>
      <c r="G799" s="946"/>
      <c r="H799" s="946"/>
      <c r="I799" s="947">
        <v>0.00138428</v>
      </c>
      <c r="J799" s="948">
        <v>0.035</v>
      </c>
      <c r="K799" s="949">
        <f t="shared" si="22"/>
        <v>0</v>
      </c>
      <c r="L799" s="950">
        <f t="shared" si="23"/>
        <v>0</v>
      </c>
      <c r="M799" s="948">
        <v>0.0215</v>
      </c>
      <c r="N799" s="951">
        <f t="shared" si="24"/>
        <v>0.00141404202</v>
      </c>
      <c r="O799" s="949">
        <f t="shared" si="25"/>
        <v>15</v>
      </c>
      <c r="P799" s="949">
        <f t="shared" si="77"/>
        <v>0.0215</v>
      </c>
      <c r="Q799" s="952">
        <f t="shared" si="79"/>
        <v>0</v>
      </c>
      <c r="R799" s="952">
        <f t="shared" si="78"/>
        <v>0</v>
      </c>
      <c r="S799" s="953"/>
      <c r="T799" s="949">
        <v>0.06</v>
      </c>
      <c r="U799" s="954"/>
      <c r="V799" s="949"/>
      <c r="W799" s="953"/>
      <c r="X799" s="949">
        <f t="shared" si="7"/>
        <v>0</v>
      </c>
      <c r="Y799" s="955"/>
      <c r="Z799" s="953" t="str">
        <f t="shared" si="8"/>
        <v/>
      </c>
      <c r="AA799" s="949">
        <f t="shared" si="9"/>
        <v>0</v>
      </c>
      <c r="AB799" s="955"/>
      <c r="AC799" s="949" t="str">
        <f t="shared" si="10"/>
        <v/>
      </c>
      <c r="AD799" s="953">
        <f t="shared" si="11"/>
        <v>0</v>
      </c>
      <c r="AE799" s="956"/>
      <c r="AF799" s="889"/>
      <c r="AG799" s="810" t="b">
        <v>0</v>
      </c>
      <c r="AH799" s="780"/>
      <c r="AI799" s="780"/>
      <c r="AJ799" s="780"/>
      <c r="AK799" s="780"/>
      <c r="AL799" s="780"/>
      <c r="AM799" s="780"/>
      <c r="AN799" s="780"/>
      <c r="AO799" s="780"/>
      <c r="AP799" s="780"/>
      <c r="AQ799" s="780"/>
      <c r="AR799" s="780"/>
      <c r="AS799" s="780"/>
      <c r="AT799" s="780"/>
      <c r="AU799" s="780"/>
      <c r="AV799" s="780"/>
      <c r="AW799" s="780"/>
    </row>
    <row r="800">
      <c r="A800" s="941"/>
      <c r="B800" s="941"/>
      <c r="C800" s="995"/>
      <c r="D800" s="995"/>
      <c r="E800" s="995"/>
      <c r="F800" s="946"/>
      <c r="G800" s="946"/>
      <c r="H800" s="946"/>
      <c r="I800" s="947">
        <v>0.00138428</v>
      </c>
      <c r="J800" s="948">
        <v>0.035</v>
      </c>
      <c r="K800" s="949">
        <f t="shared" si="22"/>
        <v>0</v>
      </c>
      <c r="L800" s="950">
        <f t="shared" si="23"/>
        <v>0</v>
      </c>
      <c r="M800" s="948">
        <v>0.0215</v>
      </c>
      <c r="N800" s="951">
        <f t="shared" si="24"/>
        <v>0.00141404202</v>
      </c>
      <c r="O800" s="949">
        <f t="shared" si="25"/>
        <v>15</v>
      </c>
      <c r="P800" s="949">
        <f t="shared" si="77"/>
        <v>0.0215</v>
      </c>
      <c r="Q800" s="952">
        <f t="shared" si="79"/>
        <v>0</v>
      </c>
      <c r="R800" s="952">
        <f t="shared" si="78"/>
        <v>0</v>
      </c>
      <c r="S800" s="953"/>
      <c r="T800" s="949">
        <v>0.06</v>
      </c>
      <c r="U800" s="954"/>
      <c r="V800" s="949"/>
      <c r="W800" s="953"/>
      <c r="X800" s="949">
        <f t="shared" si="7"/>
        <v>0</v>
      </c>
      <c r="Y800" s="955"/>
      <c r="Z800" s="953" t="str">
        <f t="shared" si="8"/>
        <v/>
      </c>
      <c r="AA800" s="949">
        <f t="shared" si="9"/>
        <v>0</v>
      </c>
      <c r="AB800" s="955"/>
      <c r="AC800" s="949" t="str">
        <f t="shared" si="10"/>
        <v/>
      </c>
      <c r="AD800" s="953">
        <f t="shared" si="11"/>
        <v>0</v>
      </c>
      <c r="AE800" s="956"/>
      <c r="AF800" s="889"/>
      <c r="AG800" s="810" t="b">
        <v>0</v>
      </c>
      <c r="AH800" s="780"/>
      <c r="AI800" s="780"/>
      <c r="AJ800" s="780"/>
      <c r="AK800" s="780"/>
      <c r="AL800" s="780"/>
      <c r="AM800" s="780"/>
      <c r="AN800" s="780"/>
      <c r="AO800" s="780"/>
      <c r="AP800" s="780"/>
      <c r="AQ800" s="780"/>
      <c r="AR800" s="780"/>
      <c r="AS800" s="780"/>
      <c r="AT800" s="780"/>
      <c r="AU800" s="780"/>
      <c r="AV800" s="780"/>
      <c r="AW800" s="780"/>
    </row>
    <row r="801">
      <c r="A801" s="941"/>
      <c r="B801" s="941"/>
      <c r="C801" s="995"/>
      <c r="D801" s="995"/>
      <c r="E801" s="995"/>
      <c r="F801" s="946"/>
      <c r="G801" s="946"/>
      <c r="H801" s="946"/>
      <c r="I801" s="947">
        <v>0.00138428</v>
      </c>
      <c r="J801" s="948">
        <v>0.035</v>
      </c>
      <c r="K801" s="949">
        <f t="shared" si="22"/>
        <v>0</v>
      </c>
      <c r="L801" s="950">
        <f t="shared" si="23"/>
        <v>0</v>
      </c>
      <c r="M801" s="948">
        <v>0.0215</v>
      </c>
      <c r="N801" s="951">
        <f t="shared" si="24"/>
        <v>0.00141404202</v>
      </c>
      <c r="O801" s="949">
        <f t="shared" si="25"/>
        <v>15</v>
      </c>
      <c r="P801" s="949">
        <f t="shared" si="77"/>
        <v>0.0215</v>
      </c>
      <c r="Q801" s="952">
        <f t="shared" si="79"/>
        <v>0</v>
      </c>
      <c r="R801" s="952">
        <f t="shared" si="78"/>
        <v>0</v>
      </c>
      <c r="S801" s="953"/>
      <c r="T801" s="949">
        <v>0.06</v>
      </c>
      <c r="U801" s="954"/>
      <c r="V801" s="949"/>
      <c r="W801" s="953"/>
      <c r="X801" s="949">
        <f t="shared" si="7"/>
        <v>0</v>
      </c>
      <c r="Y801" s="955"/>
      <c r="Z801" s="953" t="str">
        <f t="shared" si="8"/>
        <v/>
      </c>
      <c r="AA801" s="949">
        <f t="shared" si="9"/>
        <v>0</v>
      </c>
      <c r="AB801" s="955"/>
      <c r="AC801" s="949" t="str">
        <f t="shared" si="10"/>
        <v/>
      </c>
      <c r="AD801" s="953">
        <f t="shared" si="11"/>
        <v>0</v>
      </c>
      <c r="AE801" s="956"/>
      <c r="AF801" s="889"/>
      <c r="AG801" s="810" t="b">
        <v>0</v>
      </c>
      <c r="AH801" s="780"/>
      <c r="AI801" s="780"/>
      <c r="AJ801" s="780"/>
      <c r="AK801" s="780"/>
      <c r="AL801" s="780"/>
      <c r="AM801" s="780"/>
      <c r="AN801" s="780"/>
      <c r="AO801" s="780"/>
      <c r="AP801" s="780"/>
      <c r="AQ801" s="780"/>
      <c r="AR801" s="780"/>
      <c r="AS801" s="780"/>
      <c r="AT801" s="780"/>
      <c r="AU801" s="780"/>
      <c r="AV801" s="780"/>
      <c r="AW801" s="780"/>
    </row>
    <row r="802">
      <c r="A802" s="941"/>
      <c r="B802" s="941"/>
      <c r="C802" s="995"/>
      <c r="D802" s="995"/>
      <c r="E802" s="995"/>
      <c r="F802" s="946"/>
      <c r="G802" s="946"/>
      <c r="H802" s="946"/>
      <c r="I802" s="947">
        <v>0.00138428</v>
      </c>
      <c r="J802" s="948">
        <v>0.035</v>
      </c>
      <c r="K802" s="949">
        <f t="shared" si="22"/>
        <v>0</v>
      </c>
      <c r="L802" s="950">
        <f t="shared" si="23"/>
        <v>0</v>
      </c>
      <c r="M802" s="948">
        <v>0.0215</v>
      </c>
      <c r="N802" s="951">
        <f t="shared" si="24"/>
        <v>0.00141404202</v>
      </c>
      <c r="O802" s="949">
        <f t="shared" si="25"/>
        <v>15</v>
      </c>
      <c r="P802" s="949">
        <f t="shared" si="77"/>
        <v>0.0215</v>
      </c>
      <c r="Q802" s="952">
        <f t="shared" si="79"/>
        <v>0</v>
      </c>
      <c r="R802" s="952">
        <f t="shared" si="78"/>
        <v>0</v>
      </c>
      <c r="S802" s="953"/>
      <c r="T802" s="949">
        <v>0.06</v>
      </c>
      <c r="U802" s="954"/>
      <c r="V802" s="949"/>
      <c r="W802" s="953"/>
      <c r="X802" s="949">
        <f t="shared" si="7"/>
        <v>0</v>
      </c>
      <c r="Y802" s="955"/>
      <c r="Z802" s="953" t="str">
        <f t="shared" si="8"/>
        <v/>
      </c>
      <c r="AA802" s="949">
        <f t="shared" si="9"/>
        <v>0</v>
      </c>
      <c r="AB802" s="955"/>
      <c r="AC802" s="949" t="str">
        <f t="shared" si="10"/>
        <v/>
      </c>
      <c r="AD802" s="953">
        <f t="shared" si="11"/>
        <v>0</v>
      </c>
      <c r="AE802" s="956"/>
      <c r="AF802" s="889"/>
      <c r="AG802" s="810" t="b">
        <v>0</v>
      </c>
      <c r="AH802" s="780"/>
      <c r="AI802" s="780"/>
      <c r="AJ802" s="780"/>
      <c r="AK802" s="780"/>
      <c r="AL802" s="780"/>
      <c r="AM802" s="780"/>
      <c r="AN802" s="780"/>
      <c r="AO802" s="780"/>
      <c r="AP802" s="780"/>
      <c r="AQ802" s="780"/>
      <c r="AR802" s="780"/>
      <c r="AS802" s="780"/>
      <c r="AT802" s="780"/>
      <c r="AU802" s="780"/>
      <c r="AV802" s="780"/>
      <c r="AW802" s="780"/>
    </row>
    <row r="803">
      <c r="A803" s="941"/>
      <c r="B803" s="941"/>
      <c r="C803" s="995"/>
      <c r="D803" s="995"/>
      <c r="E803" s="995"/>
      <c r="F803" s="946"/>
      <c r="G803" s="946"/>
      <c r="H803" s="946"/>
      <c r="I803" s="947">
        <v>0.00138428</v>
      </c>
      <c r="J803" s="948">
        <v>0.035</v>
      </c>
      <c r="K803" s="949">
        <f t="shared" si="22"/>
        <v>0</v>
      </c>
      <c r="L803" s="950">
        <f t="shared" si="23"/>
        <v>0</v>
      </c>
      <c r="M803" s="948">
        <v>0.0215</v>
      </c>
      <c r="N803" s="951">
        <f t="shared" si="24"/>
        <v>0.00141404202</v>
      </c>
      <c r="O803" s="949">
        <f t="shared" si="25"/>
        <v>15</v>
      </c>
      <c r="P803" s="949">
        <f t="shared" si="77"/>
        <v>0.0215</v>
      </c>
      <c r="Q803" s="952">
        <f t="shared" si="79"/>
        <v>0</v>
      </c>
      <c r="R803" s="952">
        <f t="shared" si="78"/>
        <v>0</v>
      </c>
      <c r="S803" s="953"/>
      <c r="T803" s="949">
        <v>0.06</v>
      </c>
      <c r="U803" s="954"/>
      <c r="V803" s="949"/>
      <c r="W803" s="953"/>
      <c r="X803" s="949">
        <f t="shared" si="7"/>
        <v>0</v>
      </c>
      <c r="Y803" s="955"/>
      <c r="Z803" s="953" t="str">
        <f t="shared" si="8"/>
        <v/>
      </c>
      <c r="AA803" s="949">
        <f t="shared" si="9"/>
        <v>0</v>
      </c>
      <c r="AB803" s="955"/>
      <c r="AC803" s="949" t="str">
        <f t="shared" si="10"/>
        <v/>
      </c>
      <c r="AD803" s="953">
        <f t="shared" si="11"/>
        <v>0</v>
      </c>
      <c r="AE803" s="956"/>
      <c r="AF803" s="889"/>
      <c r="AG803" s="810" t="b">
        <v>0</v>
      </c>
      <c r="AH803" s="780"/>
      <c r="AI803" s="780"/>
      <c r="AJ803" s="780"/>
      <c r="AK803" s="780"/>
      <c r="AL803" s="780"/>
      <c r="AM803" s="780"/>
      <c r="AN803" s="780"/>
      <c r="AO803" s="780"/>
      <c r="AP803" s="780"/>
      <c r="AQ803" s="780"/>
      <c r="AR803" s="780"/>
      <c r="AS803" s="780"/>
      <c r="AT803" s="780"/>
      <c r="AU803" s="780"/>
      <c r="AV803" s="780"/>
      <c r="AW803" s="780"/>
    </row>
    <row r="804">
      <c r="A804" s="941"/>
      <c r="B804" s="941"/>
      <c r="C804" s="995"/>
      <c r="D804" s="995"/>
      <c r="E804" s="995"/>
      <c r="F804" s="946"/>
      <c r="G804" s="946"/>
      <c r="H804" s="946"/>
      <c r="I804" s="947">
        <v>0.00138428</v>
      </c>
      <c r="J804" s="948">
        <v>0.035</v>
      </c>
      <c r="K804" s="949">
        <f t="shared" si="22"/>
        <v>0</v>
      </c>
      <c r="L804" s="950">
        <f t="shared" si="23"/>
        <v>0</v>
      </c>
      <c r="M804" s="948">
        <v>0.0215</v>
      </c>
      <c r="N804" s="951">
        <f t="shared" si="24"/>
        <v>0.00141404202</v>
      </c>
      <c r="O804" s="949">
        <f t="shared" si="25"/>
        <v>15</v>
      </c>
      <c r="P804" s="949">
        <f t="shared" si="77"/>
        <v>0.0215</v>
      </c>
      <c r="Q804" s="952">
        <f t="shared" si="79"/>
        <v>0</v>
      </c>
      <c r="R804" s="952">
        <f t="shared" si="78"/>
        <v>0</v>
      </c>
      <c r="S804" s="953"/>
      <c r="T804" s="949">
        <v>0.06</v>
      </c>
      <c r="U804" s="954"/>
      <c r="V804" s="949"/>
      <c r="W804" s="953"/>
      <c r="X804" s="949">
        <f t="shared" si="7"/>
        <v>0</v>
      </c>
      <c r="Y804" s="955"/>
      <c r="Z804" s="953" t="str">
        <f t="shared" si="8"/>
        <v/>
      </c>
      <c r="AA804" s="949">
        <f t="shared" si="9"/>
        <v>0</v>
      </c>
      <c r="AB804" s="955"/>
      <c r="AC804" s="949" t="str">
        <f t="shared" si="10"/>
        <v/>
      </c>
      <c r="AD804" s="953">
        <f t="shared" si="11"/>
        <v>0</v>
      </c>
      <c r="AE804" s="956"/>
      <c r="AF804" s="889"/>
      <c r="AG804" s="810" t="b">
        <v>0</v>
      </c>
      <c r="AH804" s="780"/>
      <c r="AI804" s="780"/>
      <c r="AJ804" s="780"/>
      <c r="AK804" s="780"/>
      <c r="AL804" s="780"/>
      <c r="AM804" s="780"/>
      <c r="AN804" s="780"/>
      <c r="AO804" s="780"/>
      <c r="AP804" s="780"/>
      <c r="AQ804" s="780"/>
      <c r="AR804" s="780"/>
      <c r="AS804" s="780"/>
      <c r="AT804" s="780"/>
      <c r="AU804" s="780"/>
      <c r="AV804" s="780"/>
      <c r="AW804" s="780"/>
    </row>
    <row r="805">
      <c r="A805" s="941"/>
      <c r="B805" s="941"/>
      <c r="C805" s="995"/>
      <c r="D805" s="944"/>
      <c r="E805" s="944"/>
      <c r="F805" s="946"/>
      <c r="G805" s="946"/>
      <c r="H805" s="946"/>
      <c r="I805" s="947">
        <v>0.00138428</v>
      </c>
      <c r="J805" s="948">
        <v>0.035</v>
      </c>
      <c r="K805" s="949">
        <f t="shared" si="22"/>
        <v>0</v>
      </c>
      <c r="L805" s="950">
        <f t="shared" si="23"/>
        <v>0</v>
      </c>
      <c r="M805" s="948">
        <v>0.0215</v>
      </c>
      <c r="N805" s="951">
        <f t="shared" si="24"/>
        <v>0.00141404202</v>
      </c>
      <c r="O805" s="949">
        <f t="shared" si="25"/>
        <v>15</v>
      </c>
      <c r="P805" s="949">
        <f t="shared" si="77"/>
        <v>0.0215</v>
      </c>
      <c r="Q805" s="952">
        <f t="shared" si="79"/>
        <v>0</v>
      </c>
      <c r="R805" s="952">
        <f t="shared" si="78"/>
        <v>0</v>
      </c>
      <c r="S805" s="953"/>
      <c r="T805" s="949">
        <v>0.06</v>
      </c>
      <c r="U805" s="954"/>
      <c r="V805" s="949"/>
      <c r="W805" s="953"/>
      <c r="X805" s="949">
        <f t="shared" si="7"/>
        <v>0</v>
      </c>
      <c r="Y805" s="955"/>
      <c r="Z805" s="953" t="str">
        <f t="shared" si="8"/>
        <v/>
      </c>
      <c r="AA805" s="949">
        <f t="shared" si="9"/>
        <v>0</v>
      </c>
      <c r="AB805" s="955"/>
      <c r="AC805" s="949" t="str">
        <f t="shared" si="10"/>
        <v/>
      </c>
      <c r="AD805" s="953">
        <f t="shared" si="11"/>
        <v>0</v>
      </c>
      <c r="AE805" s="956"/>
      <c r="AF805" s="889"/>
      <c r="AG805" s="810" t="b">
        <v>0</v>
      </c>
      <c r="AH805" s="780"/>
      <c r="AI805" s="780"/>
      <c r="AJ805" s="780"/>
      <c r="AK805" s="780"/>
      <c r="AL805" s="780"/>
      <c r="AM805" s="780"/>
      <c r="AN805" s="780"/>
      <c r="AO805" s="780"/>
      <c r="AP805" s="780"/>
      <c r="AQ805" s="780"/>
      <c r="AR805" s="780"/>
      <c r="AS805" s="780"/>
      <c r="AT805" s="780"/>
      <c r="AU805" s="780"/>
      <c r="AV805" s="780"/>
      <c r="AW805" s="780"/>
    </row>
    <row r="806">
      <c r="A806" s="941"/>
      <c r="B806" s="941"/>
      <c r="C806" s="995"/>
      <c r="D806" s="995"/>
      <c r="E806" s="995"/>
      <c r="F806" s="946"/>
      <c r="G806" s="946"/>
      <c r="H806" s="946"/>
      <c r="I806" s="947">
        <v>0.00138428</v>
      </c>
      <c r="J806" s="948">
        <v>0.035</v>
      </c>
      <c r="K806" s="949">
        <f t="shared" si="22"/>
        <v>0</v>
      </c>
      <c r="L806" s="950">
        <f t="shared" si="23"/>
        <v>0</v>
      </c>
      <c r="M806" s="948">
        <v>0.0215</v>
      </c>
      <c r="N806" s="951">
        <f t="shared" si="24"/>
        <v>0.00141404202</v>
      </c>
      <c r="O806" s="949">
        <f t="shared" si="25"/>
        <v>15</v>
      </c>
      <c r="P806" s="949">
        <f t="shared" si="77"/>
        <v>0.0215</v>
      </c>
      <c r="Q806" s="952">
        <f t="shared" si="79"/>
        <v>0</v>
      </c>
      <c r="R806" s="952">
        <f t="shared" si="78"/>
        <v>0</v>
      </c>
      <c r="S806" s="953"/>
      <c r="T806" s="949">
        <v>0.06</v>
      </c>
      <c r="U806" s="954"/>
      <c r="V806" s="949"/>
      <c r="W806" s="953"/>
      <c r="X806" s="949">
        <f t="shared" si="7"/>
        <v>0</v>
      </c>
      <c r="Y806" s="955"/>
      <c r="Z806" s="953" t="str">
        <f t="shared" si="8"/>
        <v/>
      </c>
      <c r="AA806" s="949">
        <f t="shared" si="9"/>
        <v>0</v>
      </c>
      <c r="AB806" s="955"/>
      <c r="AC806" s="949" t="str">
        <f t="shared" si="10"/>
        <v/>
      </c>
      <c r="AD806" s="953">
        <f t="shared" si="11"/>
        <v>0</v>
      </c>
      <c r="AE806" s="956"/>
      <c r="AF806" s="889"/>
      <c r="AG806" s="810" t="b">
        <v>0</v>
      </c>
      <c r="AH806" s="780"/>
      <c r="AI806" s="780"/>
      <c r="AJ806" s="780"/>
      <c r="AK806" s="780"/>
      <c r="AL806" s="780"/>
      <c r="AM806" s="780"/>
      <c r="AN806" s="780"/>
      <c r="AO806" s="780"/>
      <c r="AP806" s="780"/>
      <c r="AQ806" s="780"/>
      <c r="AR806" s="780"/>
      <c r="AS806" s="780"/>
      <c r="AT806" s="780"/>
      <c r="AU806" s="780"/>
      <c r="AV806" s="780"/>
      <c r="AW806" s="780"/>
    </row>
    <row r="807">
      <c r="A807" s="941"/>
      <c r="B807" s="941"/>
      <c r="C807" s="995"/>
      <c r="D807" s="944"/>
      <c r="E807" s="944"/>
      <c r="F807" s="946"/>
      <c r="G807" s="946"/>
      <c r="H807" s="946"/>
      <c r="I807" s="947">
        <v>0.00138428</v>
      </c>
      <c r="J807" s="948">
        <v>0.035</v>
      </c>
      <c r="K807" s="949">
        <f t="shared" si="22"/>
        <v>0</v>
      </c>
      <c r="L807" s="950">
        <f t="shared" si="23"/>
        <v>0</v>
      </c>
      <c r="M807" s="948">
        <v>0.0215</v>
      </c>
      <c r="N807" s="951">
        <f t="shared" si="24"/>
        <v>0.00141404202</v>
      </c>
      <c r="O807" s="949">
        <f t="shared" si="25"/>
        <v>15</v>
      </c>
      <c r="P807" s="949">
        <f t="shared" si="77"/>
        <v>0.0215</v>
      </c>
      <c r="Q807" s="952">
        <f t="shared" si="79"/>
        <v>0</v>
      </c>
      <c r="R807" s="952">
        <f t="shared" si="78"/>
        <v>0</v>
      </c>
      <c r="S807" s="953"/>
      <c r="T807" s="949">
        <v>0.06</v>
      </c>
      <c r="U807" s="954"/>
      <c r="V807" s="949"/>
      <c r="W807" s="953"/>
      <c r="X807" s="949">
        <f t="shared" si="7"/>
        <v>0</v>
      </c>
      <c r="Y807" s="955"/>
      <c r="Z807" s="953" t="str">
        <f t="shared" si="8"/>
        <v/>
      </c>
      <c r="AA807" s="949">
        <f t="shared" si="9"/>
        <v>0</v>
      </c>
      <c r="AB807" s="955"/>
      <c r="AC807" s="949" t="str">
        <f t="shared" si="10"/>
        <v/>
      </c>
      <c r="AD807" s="953">
        <f t="shared" si="11"/>
        <v>0</v>
      </c>
      <c r="AE807" s="956"/>
      <c r="AF807" s="889"/>
      <c r="AG807" s="810" t="b">
        <v>0</v>
      </c>
      <c r="AH807" s="780"/>
      <c r="AI807" s="780"/>
      <c r="AJ807" s="780"/>
      <c r="AK807" s="780"/>
      <c r="AL807" s="780"/>
      <c r="AM807" s="780"/>
      <c r="AN807" s="780"/>
      <c r="AO807" s="780"/>
      <c r="AP807" s="780"/>
      <c r="AQ807" s="780"/>
      <c r="AR807" s="780"/>
      <c r="AS807" s="780"/>
      <c r="AT807" s="780"/>
      <c r="AU807" s="780"/>
      <c r="AV807" s="780"/>
      <c r="AW807" s="780"/>
    </row>
    <row r="808">
      <c r="A808" s="941"/>
      <c r="B808" s="941"/>
      <c r="C808" s="995"/>
      <c r="D808" s="995"/>
      <c r="E808" s="995"/>
      <c r="F808" s="946"/>
      <c r="G808" s="946"/>
      <c r="H808" s="946"/>
      <c r="I808" s="947">
        <v>0.00138428</v>
      </c>
      <c r="J808" s="948">
        <v>0.035</v>
      </c>
      <c r="K808" s="949">
        <f t="shared" si="22"/>
        <v>0</v>
      </c>
      <c r="L808" s="950">
        <f t="shared" si="23"/>
        <v>0</v>
      </c>
      <c r="M808" s="948">
        <v>0.0215</v>
      </c>
      <c r="N808" s="951">
        <f t="shared" si="24"/>
        <v>0.00141404202</v>
      </c>
      <c r="O808" s="949">
        <f t="shared" si="25"/>
        <v>15</v>
      </c>
      <c r="P808" s="949">
        <f t="shared" si="77"/>
        <v>0.0215</v>
      </c>
      <c r="Q808" s="952">
        <f t="shared" si="79"/>
        <v>0</v>
      </c>
      <c r="R808" s="952">
        <f t="shared" si="78"/>
        <v>0</v>
      </c>
      <c r="S808" s="953"/>
      <c r="T808" s="949">
        <v>0.06</v>
      </c>
      <c r="U808" s="954"/>
      <c r="V808" s="949"/>
      <c r="W808" s="953"/>
      <c r="X808" s="949">
        <f t="shared" si="7"/>
        <v>0</v>
      </c>
      <c r="Y808" s="955"/>
      <c r="Z808" s="953" t="str">
        <f t="shared" si="8"/>
        <v/>
      </c>
      <c r="AA808" s="949">
        <f t="shared" si="9"/>
        <v>0</v>
      </c>
      <c r="AB808" s="955"/>
      <c r="AC808" s="949" t="str">
        <f t="shared" si="10"/>
        <v/>
      </c>
      <c r="AD808" s="953">
        <f t="shared" si="11"/>
        <v>0</v>
      </c>
      <c r="AE808" s="956"/>
      <c r="AF808" s="889"/>
      <c r="AG808" s="810" t="b">
        <v>0</v>
      </c>
      <c r="AH808" s="780"/>
      <c r="AI808" s="780"/>
      <c r="AJ808" s="780"/>
      <c r="AK808" s="780"/>
      <c r="AL808" s="780"/>
      <c r="AM808" s="780"/>
      <c r="AN808" s="780"/>
      <c r="AO808" s="780"/>
      <c r="AP808" s="780"/>
      <c r="AQ808" s="780"/>
      <c r="AR808" s="780"/>
      <c r="AS808" s="780"/>
      <c r="AT808" s="780"/>
      <c r="AU808" s="780"/>
      <c r="AV808" s="780"/>
      <c r="AW808" s="780"/>
    </row>
    <row r="809">
      <c r="A809" s="941"/>
      <c r="B809" s="941"/>
      <c r="C809" s="995"/>
      <c r="D809" s="944"/>
      <c r="E809" s="944"/>
      <c r="F809" s="946"/>
      <c r="G809" s="946"/>
      <c r="H809" s="946"/>
      <c r="I809" s="947">
        <v>0.00138428</v>
      </c>
      <c r="J809" s="948">
        <v>0.035</v>
      </c>
      <c r="K809" s="949">
        <f t="shared" si="22"/>
        <v>0</v>
      </c>
      <c r="L809" s="950">
        <f t="shared" si="23"/>
        <v>0</v>
      </c>
      <c r="M809" s="948">
        <v>0.0215</v>
      </c>
      <c r="N809" s="951">
        <f t="shared" si="24"/>
        <v>0.00141404202</v>
      </c>
      <c r="O809" s="949">
        <f t="shared" si="25"/>
        <v>15</v>
      </c>
      <c r="P809" s="949">
        <f t="shared" si="77"/>
        <v>0.0215</v>
      </c>
      <c r="Q809" s="952">
        <f t="shared" si="79"/>
        <v>0</v>
      </c>
      <c r="R809" s="952">
        <f t="shared" si="78"/>
        <v>0</v>
      </c>
      <c r="S809" s="953"/>
      <c r="T809" s="949">
        <v>0.06</v>
      </c>
      <c r="U809" s="954"/>
      <c r="V809" s="949"/>
      <c r="W809" s="953"/>
      <c r="X809" s="949">
        <f t="shared" si="7"/>
        <v>0</v>
      </c>
      <c r="Y809" s="955"/>
      <c r="Z809" s="953" t="str">
        <f t="shared" si="8"/>
        <v/>
      </c>
      <c r="AA809" s="949">
        <f t="shared" si="9"/>
        <v>0</v>
      </c>
      <c r="AB809" s="955"/>
      <c r="AC809" s="949" t="str">
        <f t="shared" si="10"/>
        <v/>
      </c>
      <c r="AD809" s="953">
        <f t="shared" si="11"/>
        <v>0</v>
      </c>
      <c r="AE809" s="956"/>
      <c r="AF809" s="889"/>
      <c r="AG809" s="810" t="b">
        <v>0</v>
      </c>
      <c r="AH809" s="780"/>
      <c r="AI809" s="780"/>
      <c r="AJ809" s="780"/>
      <c r="AK809" s="780"/>
      <c r="AL809" s="780"/>
      <c r="AM809" s="780"/>
      <c r="AN809" s="780"/>
      <c r="AO809" s="780"/>
      <c r="AP809" s="780"/>
      <c r="AQ809" s="780"/>
      <c r="AR809" s="780"/>
      <c r="AS809" s="780"/>
      <c r="AT809" s="780"/>
      <c r="AU809" s="780"/>
      <c r="AV809" s="780"/>
      <c r="AW809" s="780"/>
    </row>
    <row r="810">
      <c r="A810" s="941"/>
      <c r="B810" s="941"/>
      <c r="C810" s="995"/>
      <c r="D810" s="995"/>
      <c r="E810" s="995"/>
      <c r="F810" s="946"/>
      <c r="G810" s="946"/>
      <c r="H810" s="946"/>
      <c r="I810" s="947">
        <v>0.00138428</v>
      </c>
      <c r="J810" s="948">
        <v>0.035</v>
      </c>
      <c r="K810" s="949">
        <f t="shared" si="22"/>
        <v>0</v>
      </c>
      <c r="L810" s="950">
        <f t="shared" si="23"/>
        <v>0</v>
      </c>
      <c r="M810" s="948">
        <v>0.0215</v>
      </c>
      <c r="N810" s="951">
        <f t="shared" si="24"/>
        <v>0.00141404202</v>
      </c>
      <c r="O810" s="949">
        <f t="shared" si="25"/>
        <v>15</v>
      </c>
      <c r="P810" s="949">
        <f t="shared" si="77"/>
        <v>0.0215</v>
      </c>
      <c r="Q810" s="952">
        <f t="shared" si="79"/>
        <v>0</v>
      </c>
      <c r="R810" s="952">
        <f t="shared" si="78"/>
        <v>0</v>
      </c>
      <c r="S810" s="953"/>
      <c r="T810" s="949">
        <v>0.06</v>
      </c>
      <c r="U810" s="954"/>
      <c r="V810" s="949"/>
      <c r="W810" s="953"/>
      <c r="X810" s="949">
        <f t="shared" si="7"/>
        <v>0</v>
      </c>
      <c r="Y810" s="955"/>
      <c r="Z810" s="953" t="str">
        <f t="shared" si="8"/>
        <v/>
      </c>
      <c r="AA810" s="949">
        <f t="shared" si="9"/>
        <v>0</v>
      </c>
      <c r="AB810" s="955"/>
      <c r="AC810" s="949" t="str">
        <f t="shared" si="10"/>
        <v/>
      </c>
      <c r="AD810" s="953">
        <f t="shared" si="11"/>
        <v>0</v>
      </c>
      <c r="AE810" s="956"/>
      <c r="AF810" s="889"/>
      <c r="AG810" s="810" t="b">
        <v>0</v>
      </c>
      <c r="AH810" s="780"/>
      <c r="AI810" s="780"/>
      <c r="AJ810" s="780"/>
      <c r="AK810" s="780"/>
      <c r="AL810" s="780"/>
      <c r="AM810" s="780"/>
      <c r="AN810" s="780"/>
      <c r="AO810" s="780"/>
      <c r="AP810" s="780"/>
      <c r="AQ810" s="780"/>
      <c r="AR810" s="780"/>
      <c r="AS810" s="780"/>
      <c r="AT810" s="780"/>
      <c r="AU810" s="780"/>
      <c r="AV810" s="780"/>
      <c r="AW810" s="780"/>
    </row>
    <row r="811">
      <c r="A811" s="941"/>
      <c r="B811" s="941"/>
      <c r="C811" s="995"/>
      <c r="D811" s="944"/>
      <c r="E811" s="944"/>
      <c r="F811" s="946"/>
      <c r="G811" s="946"/>
      <c r="H811" s="946"/>
      <c r="I811" s="947">
        <v>0.00138428</v>
      </c>
      <c r="J811" s="948">
        <v>0.035</v>
      </c>
      <c r="K811" s="949">
        <f t="shared" si="22"/>
        <v>0</v>
      </c>
      <c r="L811" s="950">
        <f t="shared" si="23"/>
        <v>0</v>
      </c>
      <c r="M811" s="948">
        <v>0.0215</v>
      </c>
      <c r="N811" s="951">
        <f t="shared" si="24"/>
        <v>0.00141404202</v>
      </c>
      <c r="O811" s="949">
        <f t="shared" si="25"/>
        <v>15</v>
      </c>
      <c r="P811" s="949">
        <f t="shared" si="77"/>
        <v>0.0215</v>
      </c>
      <c r="Q811" s="952">
        <f t="shared" si="79"/>
        <v>0</v>
      </c>
      <c r="R811" s="952">
        <f t="shared" si="78"/>
        <v>0</v>
      </c>
      <c r="S811" s="953"/>
      <c r="T811" s="949">
        <v>0.06</v>
      </c>
      <c r="U811" s="954"/>
      <c r="V811" s="949"/>
      <c r="W811" s="953"/>
      <c r="X811" s="949">
        <f t="shared" si="7"/>
        <v>0</v>
      </c>
      <c r="Y811" s="955"/>
      <c r="Z811" s="953" t="str">
        <f t="shared" si="8"/>
        <v/>
      </c>
      <c r="AA811" s="949">
        <f t="shared" si="9"/>
        <v>0</v>
      </c>
      <c r="AB811" s="955"/>
      <c r="AC811" s="949" t="str">
        <f t="shared" si="10"/>
        <v/>
      </c>
      <c r="AD811" s="953">
        <f t="shared" si="11"/>
        <v>0</v>
      </c>
      <c r="AE811" s="956"/>
      <c r="AF811" s="889"/>
      <c r="AG811" s="810" t="b">
        <v>0</v>
      </c>
      <c r="AH811" s="780"/>
      <c r="AI811" s="780"/>
      <c r="AJ811" s="780"/>
      <c r="AK811" s="780"/>
      <c r="AL811" s="780"/>
      <c r="AM811" s="780"/>
      <c r="AN811" s="780"/>
      <c r="AO811" s="780"/>
      <c r="AP811" s="780"/>
      <c r="AQ811" s="780"/>
      <c r="AR811" s="780"/>
      <c r="AS811" s="780"/>
      <c r="AT811" s="780"/>
      <c r="AU811" s="780"/>
      <c r="AV811" s="780"/>
      <c r="AW811" s="780"/>
    </row>
    <row r="812">
      <c r="A812" s="941"/>
      <c r="B812" s="941"/>
      <c r="C812" s="995"/>
      <c r="D812" s="995"/>
      <c r="E812" s="995"/>
      <c r="F812" s="946"/>
      <c r="G812" s="946"/>
      <c r="H812" s="946"/>
      <c r="I812" s="947">
        <v>0.00138428</v>
      </c>
      <c r="J812" s="948">
        <v>0.035</v>
      </c>
      <c r="K812" s="949">
        <f t="shared" si="22"/>
        <v>0</v>
      </c>
      <c r="L812" s="950">
        <f t="shared" si="23"/>
        <v>0</v>
      </c>
      <c r="M812" s="948">
        <v>0.0215</v>
      </c>
      <c r="N812" s="951">
        <f t="shared" si="24"/>
        <v>0.00141404202</v>
      </c>
      <c r="O812" s="949">
        <f t="shared" si="25"/>
        <v>15</v>
      </c>
      <c r="P812" s="949">
        <f t="shared" si="77"/>
        <v>0.0215</v>
      </c>
      <c r="Q812" s="952">
        <f t="shared" si="79"/>
        <v>0</v>
      </c>
      <c r="R812" s="952">
        <f t="shared" si="78"/>
        <v>0</v>
      </c>
      <c r="S812" s="953"/>
      <c r="T812" s="949">
        <v>0.06</v>
      </c>
      <c r="U812" s="954"/>
      <c r="V812" s="949"/>
      <c r="W812" s="953"/>
      <c r="X812" s="949">
        <f t="shared" si="7"/>
        <v>0</v>
      </c>
      <c r="Y812" s="955"/>
      <c r="Z812" s="953" t="str">
        <f t="shared" si="8"/>
        <v/>
      </c>
      <c r="AA812" s="949">
        <f t="shared" si="9"/>
        <v>0</v>
      </c>
      <c r="AB812" s="955"/>
      <c r="AC812" s="949" t="str">
        <f t="shared" si="10"/>
        <v/>
      </c>
      <c r="AD812" s="953">
        <f t="shared" si="11"/>
        <v>0</v>
      </c>
      <c r="AE812" s="956"/>
      <c r="AF812" s="889"/>
      <c r="AG812" s="810" t="b">
        <v>0</v>
      </c>
      <c r="AH812" s="780"/>
      <c r="AI812" s="780"/>
      <c r="AJ812" s="780"/>
      <c r="AK812" s="780"/>
      <c r="AL812" s="780"/>
      <c r="AM812" s="780"/>
      <c r="AN812" s="780"/>
      <c r="AO812" s="780"/>
      <c r="AP812" s="780"/>
      <c r="AQ812" s="780"/>
      <c r="AR812" s="780"/>
      <c r="AS812" s="780"/>
      <c r="AT812" s="780"/>
      <c r="AU812" s="780"/>
      <c r="AV812" s="780"/>
      <c r="AW812" s="780"/>
    </row>
    <row r="813">
      <c r="A813" s="941"/>
      <c r="B813" s="941"/>
      <c r="C813" s="995"/>
      <c r="D813" s="944"/>
      <c r="E813" s="944"/>
      <c r="F813" s="946"/>
      <c r="G813" s="946"/>
      <c r="H813" s="946"/>
      <c r="I813" s="947">
        <v>0.00138428</v>
      </c>
      <c r="J813" s="948">
        <v>0.035</v>
      </c>
      <c r="K813" s="949">
        <f t="shared" si="22"/>
        <v>0</v>
      </c>
      <c r="L813" s="950">
        <f t="shared" si="23"/>
        <v>0</v>
      </c>
      <c r="M813" s="948">
        <v>0.0215</v>
      </c>
      <c r="N813" s="951">
        <f t="shared" si="24"/>
        <v>0.00141404202</v>
      </c>
      <c r="O813" s="949">
        <f t="shared" si="25"/>
        <v>15</v>
      </c>
      <c r="P813" s="949">
        <f t="shared" si="77"/>
        <v>0.0215</v>
      </c>
      <c r="Q813" s="952">
        <f t="shared" si="79"/>
        <v>0</v>
      </c>
      <c r="R813" s="952">
        <f t="shared" si="78"/>
        <v>0</v>
      </c>
      <c r="S813" s="953"/>
      <c r="T813" s="949">
        <v>0.06</v>
      </c>
      <c r="U813" s="954"/>
      <c r="V813" s="949"/>
      <c r="W813" s="953"/>
      <c r="X813" s="949">
        <f t="shared" si="7"/>
        <v>0</v>
      </c>
      <c r="Y813" s="955"/>
      <c r="Z813" s="953" t="str">
        <f t="shared" si="8"/>
        <v/>
      </c>
      <c r="AA813" s="949">
        <f t="shared" si="9"/>
        <v>0</v>
      </c>
      <c r="AB813" s="955"/>
      <c r="AC813" s="949" t="str">
        <f t="shared" si="10"/>
        <v/>
      </c>
      <c r="AD813" s="953">
        <f t="shared" si="11"/>
        <v>0</v>
      </c>
      <c r="AE813" s="956"/>
      <c r="AF813" s="889"/>
      <c r="AG813" s="810" t="b">
        <v>0</v>
      </c>
      <c r="AH813" s="780"/>
      <c r="AI813" s="780"/>
      <c r="AJ813" s="780"/>
      <c r="AK813" s="780"/>
      <c r="AL813" s="780"/>
      <c r="AM813" s="780"/>
      <c r="AN813" s="780"/>
      <c r="AO813" s="780"/>
      <c r="AP813" s="780"/>
      <c r="AQ813" s="780"/>
      <c r="AR813" s="780"/>
      <c r="AS813" s="780"/>
      <c r="AT813" s="780"/>
      <c r="AU813" s="780"/>
      <c r="AV813" s="780"/>
      <c r="AW813" s="780"/>
    </row>
    <row r="814">
      <c r="A814" s="941"/>
      <c r="B814" s="941"/>
      <c r="C814" s="995"/>
      <c r="D814" s="995"/>
      <c r="E814" s="995"/>
      <c r="F814" s="946"/>
      <c r="G814" s="946"/>
      <c r="H814" s="946"/>
      <c r="I814" s="947">
        <v>0.00138428</v>
      </c>
      <c r="J814" s="948">
        <v>0.035</v>
      </c>
      <c r="K814" s="949">
        <f t="shared" si="22"/>
        <v>0</v>
      </c>
      <c r="L814" s="950">
        <f t="shared" si="23"/>
        <v>0</v>
      </c>
      <c r="M814" s="948">
        <v>0.0215</v>
      </c>
      <c r="N814" s="951">
        <f t="shared" si="24"/>
        <v>0.00141404202</v>
      </c>
      <c r="O814" s="949">
        <f t="shared" si="25"/>
        <v>15</v>
      </c>
      <c r="P814" s="949">
        <f t="shared" si="77"/>
        <v>0.0215</v>
      </c>
      <c r="Q814" s="952">
        <f t="shared" si="79"/>
        <v>0</v>
      </c>
      <c r="R814" s="952">
        <f t="shared" si="78"/>
        <v>0</v>
      </c>
      <c r="S814" s="953"/>
      <c r="T814" s="949">
        <v>0.06</v>
      </c>
      <c r="U814" s="954"/>
      <c r="V814" s="949"/>
      <c r="W814" s="953"/>
      <c r="X814" s="949">
        <f t="shared" si="7"/>
        <v>0</v>
      </c>
      <c r="Y814" s="955"/>
      <c r="Z814" s="953" t="str">
        <f t="shared" si="8"/>
        <v/>
      </c>
      <c r="AA814" s="949">
        <f t="shared" si="9"/>
        <v>0</v>
      </c>
      <c r="AB814" s="955"/>
      <c r="AC814" s="949" t="str">
        <f t="shared" si="10"/>
        <v/>
      </c>
      <c r="AD814" s="953">
        <f t="shared" si="11"/>
        <v>0</v>
      </c>
      <c r="AE814" s="956"/>
      <c r="AF814" s="889"/>
      <c r="AG814" s="810" t="b">
        <v>0</v>
      </c>
      <c r="AH814" s="780"/>
      <c r="AI814" s="780"/>
      <c r="AJ814" s="780"/>
      <c r="AK814" s="780"/>
      <c r="AL814" s="780"/>
      <c r="AM814" s="780"/>
      <c r="AN814" s="780"/>
      <c r="AO814" s="780"/>
      <c r="AP814" s="780"/>
      <c r="AQ814" s="780"/>
      <c r="AR814" s="780"/>
      <c r="AS814" s="780"/>
      <c r="AT814" s="780"/>
      <c r="AU814" s="780"/>
      <c r="AV814" s="780"/>
      <c r="AW814" s="780"/>
    </row>
    <row r="815">
      <c r="A815" s="941"/>
      <c r="B815" s="941"/>
      <c r="C815" s="995"/>
      <c r="D815" s="944"/>
      <c r="E815" s="944"/>
      <c r="F815" s="946"/>
      <c r="G815" s="946"/>
      <c r="H815" s="946"/>
      <c r="I815" s="947">
        <v>0.00138428</v>
      </c>
      <c r="J815" s="948">
        <v>0.035</v>
      </c>
      <c r="K815" s="949">
        <f t="shared" si="22"/>
        <v>0</v>
      </c>
      <c r="L815" s="950">
        <f t="shared" si="23"/>
        <v>0</v>
      </c>
      <c r="M815" s="948">
        <v>0.0215</v>
      </c>
      <c r="N815" s="951">
        <f t="shared" si="24"/>
        <v>0.00141404202</v>
      </c>
      <c r="O815" s="949">
        <f t="shared" si="25"/>
        <v>15</v>
      </c>
      <c r="P815" s="949">
        <f t="shared" si="77"/>
        <v>0.0215</v>
      </c>
      <c r="Q815" s="952">
        <f t="shared" si="79"/>
        <v>0</v>
      </c>
      <c r="R815" s="952">
        <f t="shared" si="78"/>
        <v>0</v>
      </c>
      <c r="S815" s="953"/>
      <c r="T815" s="949">
        <v>0.06</v>
      </c>
      <c r="U815" s="954"/>
      <c r="V815" s="949"/>
      <c r="W815" s="953"/>
      <c r="X815" s="949">
        <f t="shared" si="7"/>
        <v>0</v>
      </c>
      <c r="Y815" s="955"/>
      <c r="Z815" s="953" t="str">
        <f t="shared" si="8"/>
        <v/>
      </c>
      <c r="AA815" s="949">
        <f t="shared" si="9"/>
        <v>0</v>
      </c>
      <c r="AB815" s="955"/>
      <c r="AC815" s="949" t="str">
        <f t="shared" si="10"/>
        <v/>
      </c>
      <c r="AD815" s="953">
        <f t="shared" si="11"/>
        <v>0</v>
      </c>
      <c r="AE815" s="956"/>
      <c r="AF815" s="889"/>
      <c r="AG815" s="810" t="b">
        <v>0</v>
      </c>
      <c r="AH815" s="780"/>
      <c r="AI815" s="780"/>
      <c r="AJ815" s="780"/>
      <c r="AK815" s="780"/>
      <c r="AL815" s="780"/>
      <c r="AM815" s="780"/>
      <c r="AN815" s="780"/>
      <c r="AO815" s="780"/>
      <c r="AP815" s="780"/>
      <c r="AQ815" s="780"/>
      <c r="AR815" s="780"/>
      <c r="AS815" s="780"/>
      <c r="AT815" s="780"/>
      <c r="AU815" s="780"/>
      <c r="AV815" s="780"/>
      <c r="AW815" s="780"/>
    </row>
    <row r="816">
      <c r="A816" s="941"/>
      <c r="B816" s="941"/>
      <c r="C816" s="995"/>
      <c r="D816" s="995"/>
      <c r="E816" s="995"/>
      <c r="F816" s="946"/>
      <c r="G816" s="946"/>
      <c r="H816" s="946"/>
      <c r="I816" s="947">
        <v>0.00138428</v>
      </c>
      <c r="J816" s="948">
        <v>0.035</v>
      </c>
      <c r="K816" s="949">
        <f t="shared" si="22"/>
        <v>0</v>
      </c>
      <c r="L816" s="950">
        <f t="shared" si="23"/>
        <v>0</v>
      </c>
      <c r="M816" s="948">
        <v>0.0215</v>
      </c>
      <c r="N816" s="951">
        <f t="shared" si="24"/>
        <v>0.00141404202</v>
      </c>
      <c r="O816" s="949">
        <f t="shared" si="25"/>
        <v>15</v>
      </c>
      <c r="P816" s="949">
        <f t="shared" si="77"/>
        <v>0.0215</v>
      </c>
      <c r="Q816" s="952">
        <f t="shared" si="79"/>
        <v>0</v>
      </c>
      <c r="R816" s="952">
        <f t="shared" si="78"/>
        <v>0</v>
      </c>
      <c r="S816" s="953"/>
      <c r="T816" s="949">
        <v>0.06</v>
      </c>
      <c r="U816" s="954"/>
      <c r="V816" s="949"/>
      <c r="W816" s="953"/>
      <c r="X816" s="949">
        <f t="shared" si="7"/>
        <v>0</v>
      </c>
      <c r="Y816" s="955"/>
      <c r="Z816" s="953" t="str">
        <f t="shared" si="8"/>
        <v/>
      </c>
      <c r="AA816" s="949">
        <f t="shared" si="9"/>
        <v>0</v>
      </c>
      <c r="AB816" s="955"/>
      <c r="AC816" s="949" t="str">
        <f t="shared" si="10"/>
        <v/>
      </c>
      <c r="AD816" s="953">
        <f t="shared" si="11"/>
        <v>0</v>
      </c>
      <c r="AE816" s="956"/>
      <c r="AF816" s="889"/>
      <c r="AG816" s="810" t="b">
        <v>0</v>
      </c>
      <c r="AH816" s="780"/>
      <c r="AI816" s="780"/>
      <c r="AJ816" s="780"/>
      <c r="AK816" s="780"/>
      <c r="AL816" s="780"/>
      <c r="AM816" s="780"/>
      <c r="AN816" s="780"/>
      <c r="AO816" s="780"/>
      <c r="AP816" s="780"/>
      <c r="AQ816" s="780"/>
      <c r="AR816" s="780"/>
      <c r="AS816" s="780"/>
      <c r="AT816" s="780"/>
      <c r="AU816" s="780"/>
      <c r="AV816" s="780"/>
      <c r="AW816" s="780"/>
    </row>
    <row r="817">
      <c r="A817" s="941"/>
      <c r="B817" s="941"/>
      <c r="C817" s="995"/>
      <c r="D817" s="944"/>
      <c r="E817" s="944"/>
      <c r="F817" s="946"/>
      <c r="G817" s="946"/>
      <c r="H817" s="946"/>
      <c r="I817" s="947">
        <v>0.00138428</v>
      </c>
      <c r="J817" s="948">
        <v>0.035</v>
      </c>
      <c r="K817" s="949">
        <f t="shared" si="22"/>
        <v>0</v>
      </c>
      <c r="L817" s="950">
        <f t="shared" si="23"/>
        <v>0</v>
      </c>
      <c r="M817" s="948">
        <v>0.0215</v>
      </c>
      <c r="N817" s="951">
        <f t="shared" si="24"/>
        <v>0.00141404202</v>
      </c>
      <c r="O817" s="949">
        <f t="shared" si="25"/>
        <v>15</v>
      </c>
      <c r="P817" s="949">
        <f t="shared" si="77"/>
        <v>0.0215</v>
      </c>
      <c r="Q817" s="952">
        <f t="shared" si="79"/>
        <v>0</v>
      </c>
      <c r="R817" s="952">
        <f t="shared" si="78"/>
        <v>0</v>
      </c>
      <c r="S817" s="953"/>
      <c r="T817" s="949">
        <v>0.06</v>
      </c>
      <c r="U817" s="954"/>
      <c r="V817" s="949"/>
      <c r="W817" s="953"/>
      <c r="X817" s="949">
        <f t="shared" si="7"/>
        <v>0</v>
      </c>
      <c r="Y817" s="955"/>
      <c r="Z817" s="953" t="str">
        <f t="shared" si="8"/>
        <v/>
      </c>
      <c r="AA817" s="949">
        <f t="shared" si="9"/>
        <v>0</v>
      </c>
      <c r="AB817" s="955"/>
      <c r="AC817" s="949" t="str">
        <f t="shared" si="10"/>
        <v/>
      </c>
      <c r="AD817" s="953">
        <f t="shared" si="11"/>
        <v>0</v>
      </c>
      <c r="AE817" s="956"/>
      <c r="AF817" s="889"/>
      <c r="AG817" s="810" t="b">
        <v>0</v>
      </c>
      <c r="AH817" s="780"/>
      <c r="AI817" s="780"/>
      <c r="AJ817" s="780"/>
      <c r="AK817" s="780"/>
      <c r="AL817" s="780"/>
      <c r="AM817" s="780"/>
      <c r="AN817" s="780"/>
      <c r="AO817" s="780"/>
      <c r="AP817" s="780"/>
      <c r="AQ817" s="780"/>
      <c r="AR817" s="780"/>
      <c r="AS817" s="780"/>
      <c r="AT817" s="780"/>
      <c r="AU817" s="780"/>
      <c r="AV817" s="780"/>
      <c r="AW817" s="780"/>
    </row>
    <row r="818">
      <c r="A818" s="941"/>
      <c r="B818" s="941"/>
      <c r="C818" s="995"/>
      <c r="D818" s="995"/>
      <c r="E818" s="995"/>
      <c r="F818" s="946"/>
      <c r="G818" s="946"/>
      <c r="H818" s="946"/>
      <c r="I818" s="947">
        <v>0.00138428</v>
      </c>
      <c r="J818" s="948">
        <v>0.035</v>
      </c>
      <c r="K818" s="949">
        <f t="shared" si="22"/>
        <v>0</v>
      </c>
      <c r="L818" s="950">
        <f t="shared" si="23"/>
        <v>0</v>
      </c>
      <c r="M818" s="948">
        <v>0.0215</v>
      </c>
      <c r="N818" s="951">
        <f t="shared" si="24"/>
        <v>0.00141404202</v>
      </c>
      <c r="O818" s="949">
        <f t="shared" si="25"/>
        <v>15</v>
      </c>
      <c r="P818" s="949">
        <f t="shared" si="77"/>
        <v>0.0215</v>
      </c>
      <c r="Q818" s="952">
        <f t="shared" si="79"/>
        <v>0</v>
      </c>
      <c r="R818" s="952">
        <f t="shared" si="78"/>
        <v>0</v>
      </c>
      <c r="S818" s="953"/>
      <c r="T818" s="949">
        <v>0.06</v>
      </c>
      <c r="U818" s="954"/>
      <c r="V818" s="949"/>
      <c r="W818" s="953"/>
      <c r="X818" s="949">
        <f t="shared" si="7"/>
        <v>0</v>
      </c>
      <c r="Y818" s="955"/>
      <c r="Z818" s="953" t="str">
        <f t="shared" si="8"/>
        <v/>
      </c>
      <c r="AA818" s="949">
        <f t="shared" si="9"/>
        <v>0</v>
      </c>
      <c r="AB818" s="955"/>
      <c r="AC818" s="949" t="str">
        <f t="shared" si="10"/>
        <v/>
      </c>
      <c r="AD818" s="953">
        <f t="shared" si="11"/>
        <v>0</v>
      </c>
      <c r="AE818" s="956"/>
      <c r="AF818" s="889"/>
      <c r="AG818" s="810" t="b">
        <v>0</v>
      </c>
      <c r="AH818" s="780"/>
      <c r="AI818" s="780"/>
      <c r="AJ818" s="780"/>
      <c r="AK818" s="780"/>
      <c r="AL818" s="780"/>
      <c r="AM818" s="780"/>
      <c r="AN818" s="780"/>
      <c r="AO818" s="780"/>
      <c r="AP818" s="780"/>
      <c r="AQ818" s="780"/>
      <c r="AR818" s="780"/>
      <c r="AS818" s="780"/>
      <c r="AT818" s="780"/>
      <c r="AU818" s="780"/>
      <c r="AV818" s="780"/>
      <c r="AW818" s="780"/>
    </row>
    <row r="819">
      <c r="A819" s="941"/>
      <c r="B819" s="941"/>
      <c r="C819" s="995"/>
      <c r="D819" s="944"/>
      <c r="E819" s="944"/>
      <c r="F819" s="946"/>
      <c r="G819" s="946"/>
      <c r="H819" s="946"/>
      <c r="I819" s="947">
        <v>0.00138428</v>
      </c>
      <c r="J819" s="948">
        <v>0.035</v>
      </c>
      <c r="K819" s="949">
        <f t="shared" si="22"/>
        <v>0</v>
      </c>
      <c r="L819" s="950">
        <f t="shared" si="23"/>
        <v>0</v>
      </c>
      <c r="M819" s="948">
        <v>0.0215</v>
      </c>
      <c r="N819" s="951">
        <f t="shared" si="24"/>
        <v>0.00141404202</v>
      </c>
      <c r="O819" s="949">
        <f t="shared" si="25"/>
        <v>15</v>
      </c>
      <c r="P819" s="949">
        <f t="shared" si="77"/>
        <v>0.0215</v>
      </c>
      <c r="Q819" s="952">
        <f t="shared" si="79"/>
        <v>0</v>
      </c>
      <c r="R819" s="952">
        <f t="shared" si="78"/>
        <v>0</v>
      </c>
      <c r="S819" s="953"/>
      <c r="T819" s="949">
        <v>0.06</v>
      </c>
      <c r="U819" s="954"/>
      <c r="V819" s="949"/>
      <c r="W819" s="953"/>
      <c r="X819" s="949">
        <f t="shared" si="7"/>
        <v>0</v>
      </c>
      <c r="Y819" s="955"/>
      <c r="Z819" s="953" t="str">
        <f t="shared" si="8"/>
        <v/>
      </c>
      <c r="AA819" s="949">
        <f t="shared" si="9"/>
        <v>0</v>
      </c>
      <c r="AB819" s="955"/>
      <c r="AC819" s="949" t="str">
        <f t="shared" si="10"/>
        <v/>
      </c>
      <c r="AD819" s="953">
        <f t="shared" si="11"/>
        <v>0</v>
      </c>
      <c r="AE819" s="956"/>
      <c r="AF819" s="889"/>
      <c r="AG819" s="810" t="b">
        <v>0</v>
      </c>
      <c r="AH819" s="780"/>
      <c r="AI819" s="780"/>
      <c r="AJ819" s="780"/>
      <c r="AK819" s="780"/>
      <c r="AL819" s="780"/>
      <c r="AM819" s="780"/>
      <c r="AN819" s="780"/>
      <c r="AO819" s="780"/>
      <c r="AP819" s="780"/>
      <c r="AQ819" s="780"/>
      <c r="AR819" s="780"/>
      <c r="AS819" s="780"/>
      <c r="AT819" s="780"/>
      <c r="AU819" s="780"/>
      <c r="AV819" s="780"/>
      <c r="AW819" s="780"/>
    </row>
    <row r="820">
      <c r="A820" s="941"/>
      <c r="B820" s="941"/>
      <c r="C820" s="995"/>
      <c r="D820" s="995"/>
      <c r="E820" s="995"/>
      <c r="F820" s="946"/>
      <c r="G820" s="946"/>
      <c r="H820" s="946"/>
      <c r="I820" s="947">
        <v>0.00138428</v>
      </c>
      <c r="J820" s="948">
        <v>0.035</v>
      </c>
      <c r="K820" s="949">
        <f t="shared" si="22"/>
        <v>0</v>
      </c>
      <c r="L820" s="950">
        <f t="shared" si="23"/>
        <v>0</v>
      </c>
      <c r="M820" s="948">
        <v>0.0215</v>
      </c>
      <c r="N820" s="951">
        <f t="shared" si="24"/>
        <v>0.00141404202</v>
      </c>
      <c r="O820" s="949">
        <f t="shared" si="25"/>
        <v>15</v>
      </c>
      <c r="P820" s="949">
        <f t="shared" si="77"/>
        <v>0.0215</v>
      </c>
      <c r="Q820" s="952">
        <f t="shared" si="79"/>
        <v>0</v>
      </c>
      <c r="R820" s="952">
        <f t="shared" si="78"/>
        <v>0</v>
      </c>
      <c r="S820" s="953"/>
      <c r="T820" s="949">
        <v>0.06</v>
      </c>
      <c r="U820" s="954"/>
      <c r="V820" s="949"/>
      <c r="W820" s="953"/>
      <c r="X820" s="949">
        <f t="shared" si="7"/>
        <v>0</v>
      </c>
      <c r="Y820" s="955"/>
      <c r="Z820" s="953" t="str">
        <f t="shared" si="8"/>
        <v/>
      </c>
      <c r="AA820" s="949">
        <f t="shared" si="9"/>
        <v>0</v>
      </c>
      <c r="AB820" s="955"/>
      <c r="AC820" s="949" t="str">
        <f t="shared" si="10"/>
        <v/>
      </c>
      <c r="AD820" s="953">
        <f t="shared" si="11"/>
        <v>0</v>
      </c>
      <c r="AE820" s="956"/>
      <c r="AF820" s="889"/>
      <c r="AG820" s="810" t="b">
        <v>0</v>
      </c>
      <c r="AH820" s="780"/>
      <c r="AI820" s="780"/>
      <c r="AJ820" s="780"/>
      <c r="AK820" s="780"/>
      <c r="AL820" s="780"/>
      <c r="AM820" s="780"/>
      <c r="AN820" s="780"/>
      <c r="AO820" s="780"/>
      <c r="AP820" s="780"/>
      <c r="AQ820" s="780"/>
      <c r="AR820" s="780"/>
      <c r="AS820" s="780"/>
      <c r="AT820" s="780"/>
      <c r="AU820" s="780"/>
      <c r="AV820" s="780"/>
      <c r="AW820" s="780"/>
    </row>
    <row r="821">
      <c r="A821" s="941"/>
      <c r="B821" s="941"/>
      <c r="C821" s="995"/>
      <c r="D821" s="944"/>
      <c r="E821" s="944"/>
      <c r="F821" s="946"/>
      <c r="G821" s="946"/>
      <c r="H821" s="946"/>
      <c r="I821" s="947">
        <v>0.00138428</v>
      </c>
      <c r="J821" s="948">
        <v>0.035</v>
      </c>
      <c r="K821" s="949">
        <f t="shared" si="22"/>
        <v>0</v>
      </c>
      <c r="L821" s="950">
        <f t="shared" si="23"/>
        <v>0</v>
      </c>
      <c r="M821" s="948">
        <v>0.0215</v>
      </c>
      <c r="N821" s="951">
        <f t="shared" si="24"/>
        <v>0.00141404202</v>
      </c>
      <c r="O821" s="949">
        <f t="shared" si="25"/>
        <v>15</v>
      </c>
      <c r="P821" s="949">
        <f t="shared" si="77"/>
        <v>0.0215</v>
      </c>
      <c r="Q821" s="952">
        <f t="shared" si="79"/>
        <v>0</v>
      </c>
      <c r="R821" s="952">
        <f t="shared" si="78"/>
        <v>0</v>
      </c>
      <c r="S821" s="953"/>
      <c r="T821" s="949">
        <v>0.06</v>
      </c>
      <c r="U821" s="954"/>
      <c r="V821" s="949"/>
      <c r="W821" s="953"/>
      <c r="X821" s="949">
        <f t="shared" si="7"/>
        <v>0</v>
      </c>
      <c r="Y821" s="955"/>
      <c r="Z821" s="953" t="str">
        <f t="shared" si="8"/>
        <v/>
      </c>
      <c r="AA821" s="949">
        <f t="shared" si="9"/>
        <v>0</v>
      </c>
      <c r="AB821" s="955"/>
      <c r="AC821" s="949" t="str">
        <f t="shared" si="10"/>
        <v/>
      </c>
      <c r="AD821" s="953">
        <f t="shared" si="11"/>
        <v>0</v>
      </c>
      <c r="AE821" s="956"/>
      <c r="AF821" s="889"/>
      <c r="AG821" s="810" t="b">
        <v>0</v>
      </c>
      <c r="AH821" s="780"/>
      <c r="AI821" s="780"/>
      <c r="AJ821" s="780"/>
      <c r="AK821" s="780"/>
      <c r="AL821" s="780"/>
      <c r="AM821" s="780"/>
      <c r="AN821" s="780"/>
      <c r="AO821" s="780"/>
      <c r="AP821" s="780"/>
      <c r="AQ821" s="780"/>
      <c r="AR821" s="780"/>
      <c r="AS821" s="780"/>
      <c r="AT821" s="780"/>
      <c r="AU821" s="780"/>
      <c r="AV821" s="780"/>
      <c r="AW821" s="780"/>
    </row>
    <row r="822">
      <c r="A822" s="941"/>
      <c r="B822" s="941"/>
      <c r="C822" s="995"/>
      <c r="D822" s="995"/>
      <c r="E822" s="995"/>
      <c r="F822" s="946"/>
      <c r="G822" s="946"/>
      <c r="H822" s="946"/>
      <c r="I822" s="947">
        <v>0.00138428</v>
      </c>
      <c r="J822" s="948">
        <v>0.035</v>
      </c>
      <c r="K822" s="949">
        <f t="shared" si="22"/>
        <v>0</v>
      </c>
      <c r="L822" s="950">
        <f t="shared" si="23"/>
        <v>0</v>
      </c>
      <c r="M822" s="948">
        <v>0.0215</v>
      </c>
      <c r="N822" s="951">
        <f t="shared" si="24"/>
        <v>0.00141404202</v>
      </c>
      <c r="O822" s="949">
        <f t="shared" si="25"/>
        <v>15</v>
      </c>
      <c r="P822" s="949">
        <f t="shared" si="77"/>
        <v>0.0215</v>
      </c>
      <c r="Q822" s="952">
        <f t="shared" si="79"/>
        <v>0</v>
      </c>
      <c r="R822" s="952">
        <f t="shared" si="78"/>
        <v>0</v>
      </c>
      <c r="S822" s="953"/>
      <c r="T822" s="949">
        <v>0.06</v>
      </c>
      <c r="U822" s="954"/>
      <c r="V822" s="949"/>
      <c r="W822" s="953"/>
      <c r="X822" s="949">
        <f t="shared" si="7"/>
        <v>0</v>
      </c>
      <c r="Y822" s="955"/>
      <c r="Z822" s="953" t="str">
        <f t="shared" si="8"/>
        <v/>
      </c>
      <c r="AA822" s="949">
        <f t="shared" si="9"/>
        <v>0</v>
      </c>
      <c r="AB822" s="955"/>
      <c r="AC822" s="949" t="str">
        <f t="shared" si="10"/>
        <v/>
      </c>
      <c r="AD822" s="953">
        <f t="shared" si="11"/>
        <v>0</v>
      </c>
      <c r="AE822" s="956"/>
      <c r="AF822" s="889"/>
      <c r="AG822" s="810" t="b">
        <v>0</v>
      </c>
      <c r="AH822" s="780"/>
      <c r="AI822" s="780"/>
      <c r="AJ822" s="780"/>
      <c r="AK822" s="780"/>
      <c r="AL822" s="780"/>
      <c r="AM822" s="780"/>
      <c r="AN822" s="780"/>
      <c r="AO822" s="780"/>
      <c r="AP822" s="780"/>
      <c r="AQ822" s="780"/>
      <c r="AR822" s="780"/>
      <c r="AS822" s="780"/>
      <c r="AT822" s="780"/>
      <c r="AU822" s="780"/>
      <c r="AV822" s="780"/>
      <c r="AW822" s="780"/>
    </row>
    <row r="823">
      <c r="A823" s="941"/>
      <c r="B823" s="941"/>
      <c r="C823" s="995"/>
      <c r="D823" s="944"/>
      <c r="E823" s="944"/>
      <c r="F823" s="946"/>
      <c r="G823" s="946"/>
      <c r="H823" s="946"/>
      <c r="I823" s="947">
        <v>0.00138428</v>
      </c>
      <c r="J823" s="948">
        <v>0.035</v>
      </c>
      <c r="K823" s="949">
        <f t="shared" si="22"/>
        <v>0</v>
      </c>
      <c r="L823" s="950">
        <f t="shared" si="23"/>
        <v>0</v>
      </c>
      <c r="M823" s="948">
        <v>0.0215</v>
      </c>
      <c r="N823" s="951">
        <f t="shared" si="24"/>
        <v>0.00141404202</v>
      </c>
      <c r="O823" s="949">
        <f t="shared" si="25"/>
        <v>15</v>
      </c>
      <c r="P823" s="949">
        <f t="shared" si="77"/>
        <v>0.0215</v>
      </c>
      <c r="Q823" s="952">
        <f t="shared" si="79"/>
        <v>0</v>
      </c>
      <c r="R823" s="952">
        <f t="shared" si="78"/>
        <v>0</v>
      </c>
      <c r="S823" s="953"/>
      <c r="T823" s="949">
        <v>0.06</v>
      </c>
      <c r="U823" s="954"/>
      <c r="V823" s="949"/>
      <c r="W823" s="953"/>
      <c r="X823" s="949">
        <f t="shared" si="7"/>
        <v>0</v>
      </c>
      <c r="Y823" s="955"/>
      <c r="Z823" s="953" t="str">
        <f t="shared" si="8"/>
        <v/>
      </c>
      <c r="AA823" s="949">
        <f t="shared" si="9"/>
        <v>0</v>
      </c>
      <c r="AB823" s="955"/>
      <c r="AC823" s="949" t="str">
        <f t="shared" si="10"/>
        <v/>
      </c>
      <c r="AD823" s="953">
        <f t="shared" si="11"/>
        <v>0</v>
      </c>
      <c r="AE823" s="956"/>
      <c r="AF823" s="889"/>
      <c r="AG823" s="810" t="b">
        <v>0</v>
      </c>
      <c r="AH823" s="780"/>
      <c r="AI823" s="780"/>
      <c r="AJ823" s="780"/>
      <c r="AK823" s="780"/>
      <c r="AL823" s="780"/>
      <c r="AM823" s="780"/>
      <c r="AN823" s="780"/>
      <c r="AO823" s="780"/>
      <c r="AP823" s="780"/>
      <c r="AQ823" s="780"/>
      <c r="AR823" s="780"/>
      <c r="AS823" s="780"/>
      <c r="AT823" s="780"/>
      <c r="AU823" s="780"/>
      <c r="AV823" s="780"/>
      <c r="AW823" s="780"/>
    </row>
    <row r="824">
      <c r="A824" s="941"/>
      <c r="B824" s="941"/>
      <c r="C824" s="995"/>
      <c r="D824" s="995"/>
      <c r="E824" s="995"/>
      <c r="F824" s="946"/>
      <c r="G824" s="946"/>
      <c r="H824" s="946"/>
      <c r="I824" s="947">
        <v>0.00138428</v>
      </c>
      <c r="J824" s="948">
        <v>0.035</v>
      </c>
      <c r="K824" s="949">
        <f t="shared" si="22"/>
        <v>0</v>
      </c>
      <c r="L824" s="950">
        <f t="shared" si="23"/>
        <v>0</v>
      </c>
      <c r="M824" s="948">
        <v>0.0215</v>
      </c>
      <c r="N824" s="951">
        <f t="shared" si="24"/>
        <v>0.00141404202</v>
      </c>
      <c r="O824" s="949">
        <f t="shared" si="25"/>
        <v>15</v>
      </c>
      <c r="P824" s="949">
        <f t="shared" si="77"/>
        <v>0.0215</v>
      </c>
      <c r="Q824" s="952">
        <f t="shared" si="79"/>
        <v>0</v>
      </c>
      <c r="R824" s="952">
        <f t="shared" si="78"/>
        <v>0</v>
      </c>
      <c r="S824" s="953"/>
      <c r="T824" s="949">
        <v>0.06</v>
      </c>
      <c r="U824" s="954"/>
      <c r="V824" s="949"/>
      <c r="W824" s="953"/>
      <c r="X824" s="949">
        <f t="shared" si="7"/>
        <v>0</v>
      </c>
      <c r="Y824" s="955"/>
      <c r="Z824" s="953" t="str">
        <f t="shared" si="8"/>
        <v/>
      </c>
      <c r="AA824" s="949">
        <f t="shared" si="9"/>
        <v>0</v>
      </c>
      <c r="AB824" s="955"/>
      <c r="AC824" s="949" t="str">
        <f t="shared" si="10"/>
        <v/>
      </c>
      <c r="AD824" s="953">
        <f t="shared" si="11"/>
        <v>0</v>
      </c>
      <c r="AE824" s="956"/>
      <c r="AF824" s="889"/>
      <c r="AG824" s="810" t="b">
        <v>0</v>
      </c>
      <c r="AH824" s="780"/>
      <c r="AI824" s="780"/>
      <c r="AJ824" s="780"/>
      <c r="AK824" s="780"/>
      <c r="AL824" s="780"/>
      <c r="AM824" s="780"/>
      <c r="AN824" s="780"/>
      <c r="AO824" s="780"/>
      <c r="AP824" s="780"/>
      <c r="AQ824" s="780"/>
      <c r="AR824" s="780"/>
      <c r="AS824" s="780"/>
      <c r="AT824" s="780"/>
      <c r="AU824" s="780"/>
      <c r="AV824" s="780"/>
      <c r="AW824" s="780"/>
    </row>
    <row r="825">
      <c r="A825" s="941"/>
      <c r="B825" s="941"/>
      <c r="C825" s="995"/>
      <c r="D825" s="944"/>
      <c r="E825" s="944"/>
      <c r="F825" s="946"/>
      <c r="G825" s="946"/>
      <c r="H825" s="946"/>
      <c r="I825" s="947">
        <v>0.00138428</v>
      </c>
      <c r="J825" s="948">
        <v>0.035</v>
      </c>
      <c r="K825" s="949">
        <f t="shared" si="22"/>
        <v>0</v>
      </c>
      <c r="L825" s="950">
        <f t="shared" si="23"/>
        <v>0</v>
      </c>
      <c r="M825" s="948">
        <v>0.0215</v>
      </c>
      <c r="N825" s="951">
        <f t="shared" si="24"/>
        <v>0.00141404202</v>
      </c>
      <c r="O825" s="949">
        <f t="shared" si="25"/>
        <v>15</v>
      </c>
      <c r="P825" s="949">
        <f t="shared" si="77"/>
        <v>0.0215</v>
      </c>
      <c r="Q825" s="952">
        <f t="shared" si="79"/>
        <v>0</v>
      </c>
      <c r="R825" s="952">
        <f t="shared" si="78"/>
        <v>0</v>
      </c>
      <c r="S825" s="953"/>
      <c r="T825" s="949">
        <v>0.06</v>
      </c>
      <c r="U825" s="954"/>
      <c r="V825" s="949"/>
      <c r="W825" s="953"/>
      <c r="X825" s="949">
        <f t="shared" si="7"/>
        <v>0</v>
      </c>
      <c r="Y825" s="955"/>
      <c r="Z825" s="953" t="str">
        <f t="shared" si="8"/>
        <v/>
      </c>
      <c r="AA825" s="949">
        <f t="shared" si="9"/>
        <v>0</v>
      </c>
      <c r="AB825" s="955"/>
      <c r="AC825" s="949" t="str">
        <f t="shared" si="10"/>
        <v/>
      </c>
      <c r="AD825" s="953">
        <f t="shared" si="11"/>
        <v>0</v>
      </c>
      <c r="AE825" s="956"/>
      <c r="AF825" s="889"/>
      <c r="AG825" s="810" t="b">
        <v>0</v>
      </c>
      <c r="AH825" s="780"/>
      <c r="AI825" s="780"/>
      <c r="AJ825" s="780"/>
      <c r="AK825" s="780"/>
      <c r="AL825" s="780"/>
      <c r="AM825" s="780"/>
      <c r="AN825" s="780"/>
      <c r="AO825" s="780"/>
      <c r="AP825" s="780"/>
      <c r="AQ825" s="780"/>
      <c r="AR825" s="780"/>
      <c r="AS825" s="780"/>
      <c r="AT825" s="780"/>
      <c r="AU825" s="780"/>
      <c r="AV825" s="780"/>
      <c r="AW825" s="780"/>
    </row>
    <row r="826">
      <c r="A826" s="941"/>
      <c r="B826" s="941"/>
      <c r="C826" s="995"/>
      <c r="D826" s="995"/>
      <c r="E826" s="995"/>
      <c r="F826" s="946"/>
      <c r="G826" s="946"/>
      <c r="H826" s="946"/>
      <c r="I826" s="947">
        <v>0.00138428</v>
      </c>
      <c r="J826" s="948">
        <v>0.035</v>
      </c>
      <c r="K826" s="949">
        <f t="shared" si="22"/>
        <v>0</v>
      </c>
      <c r="L826" s="950">
        <f t="shared" si="23"/>
        <v>0</v>
      </c>
      <c r="M826" s="948">
        <v>0.0215</v>
      </c>
      <c r="N826" s="951">
        <f t="shared" si="24"/>
        <v>0.00141404202</v>
      </c>
      <c r="O826" s="949">
        <f t="shared" si="25"/>
        <v>15</v>
      </c>
      <c r="P826" s="949">
        <f t="shared" si="77"/>
        <v>0.0215</v>
      </c>
      <c r="Q826" s="952">
        <f t="shared" si="79"/>
        <v>0</v>
      </c>
      <c r="R826" s="952">
        <f t="shared" si="78"/>
        <v>0</v>
      </c>
      <c r="S826" s="953"/>
      <c r="T826" s="949">
        <v>0.06</v>
      </c>
      <c r="U826" s="954"/>
      <c r="V826" s="949"/>
      <c r="W826" s="953"/>
      <c r="X826" s="949">
        <f t="shared" si="7"/>
        <v>0</v>
      </c>
      <c r="Y826" s="955"/>
      <c r="Z826" s="953" t="str">
        <f t="shared" si="8"/>
        <v/>
      </c>
      <c r="AA826" s="949">
        <f t="shared" si="9"/>
        <v>0</v>
      </c>
      <c r="AB826" s="955"/>
      <c r="AC826" s="949" t="str">
        <f t="shared" si="10"/>
        <v/>
      </c>
      <c r="AD826" s="953">
        <f t="shared" si="11"/>
        <v>0</v>
      </c>
      <c r="AE826" s="956"/>
      <c r="AF826" s="889"/>
      <c r="AG826" s="810" t="b">
        <v>0</v>
      </c>
      <c r="AH826" s="780"/>
      <c r="AI826" s="780"/>
      <c r="AJ826" s="780"/>
      <c r="AK826" s="780"/>
      <c r="AL826" s="780"/>
      <c r="AM826" s="780"/>
      <c r="AN826" s="780"/>
      <c r="AO826" s="780"/>
      <c r="AP826" s="780"/>
      <c r="AQ826" s="780"/>
      <c r="AR826" s="780"/>
      <c r="AS826" s="780"/>
      <c r="AT826" s="780"/>
      <c r="AU826" s="780"/>
      <c r="AV826" s="780"/>
      <c r="AW826" s="780"/>
    </row>
    <row r="827">
      <c r="A827" s="941"/>
      <c r="B827" s="941"/>
      <c r="C827" s="995"/>
      <c r="D827" s="944"/>
      <c r="E827" s="944"/>
      <c r="F827" s="946"/>
      <c r="G827" s="946"/>
      <c r="H827" s="946"/>
      <c r="I827" s="947">
        <v>0.00138428</v>
      </c>
      <c r="J827" s="948">
        <v>0.035</v>
      </c>
      <c r="K827" s="949">
        <f t="shared" si="22"/>
        <v>0</v>
      </c>
      <c r="L827" s="950">
        <f t="shared" si="23"/>
        <v>0</v>
      </c>
      <c r="M827" s="948">
        <v>0.0215</v>
      </c>
      <c r="N827" s="951">
        <f t="shared" si="24"/>
        <v>0.00141404202</v>
      </c>
      <c r="O827" s="949">
        <f t="shared" si="25"/>
        <v>15</v>
      </c>
      <c r="P827" s="949">
        <f t="shared" si="77"/>
        <v>0.0215</v>
      </c>
      <c r="Q827" s="952">
        <f t="shared" si="79"/>
        <v>0</v>
      </c>
      <c r="R827" s="952">
        <f t="shared" si="78"/>
        <v>0</v>
      </c>
      <c r="S827" s="953"/>
      <c r="T827" s="949">
        <v>0.06</v>
      </c>
      <c r="U827" s="954"/>
      <c r="V827" s="949"/>
      <c r="W827" s="953"/>
      <c r="X827" s="949">
        <f t="shared" si="7"/>
        <v>0</v>
      </c>
      <c r="Y827" s="955"/>
      <c r="Z827" s="953" t="str">
        <f t="shared" si="8"/>
        <v/>
      </c>
      <c r="AA827" s="949">
        <f t="shared" si="9"/>
        <v>0</v>
      </c>
      <c r="AB827" s="955"/>
      <c r="AC827" s="949" t="str">
        <f t="shared" si="10"/>
        <v/>
      </c>
      <c r="AD827" s="953">
        <f t="shared" si="11"/>
        <v>0</v>
      </c>
      <c r="AE827" s="956"/>
      <c r="AF827" s="889"/>
      <c r="AG827" s="810" t="b">
        <v>0</v>
      </c>
      <c r="AH827" s="780"/>
      <c r="AI827" s="780"/>
      <c r="AJ827" s="780"/>
      <c r="AK827" s="780"/>
      <c r="AL827" s="780"/>
      <c r="AM827" s="780"/>
      <c r="AN827" s="780"/>
      <c r="AO827" s="780"/>
      <c r="AP827" s="780"/>
      <c r="AQ827" s="780"/>
      <c r="AR827" s="780"/>
      <c r="AS827" s="780"/>
      <c r="AT827" s="780"/>
      <c r="AU827" s="780"/>
      <c r="AV827" s="780"/>
      <c r="AW827" s="780"/>
    </row>
    <row r="828">
      <c r="A828" s="941"/>
      <c r="B828" s="941"/>
      <c r="C828" s="995"/>
      <c r="D828" s="995"/>
      <c r="E828" s="995"/>
      <c r="F828" s="946"/>
      <c r="G828" s="946"/>
      <c r="H828" s="946"/>
      <c r="I828" s="947">
        <v>0.00138428</v>
      </c>
      <c r="J828" s="948">
        <v>0.035</v>
      </c>
      <c r="K828" s="949">
        <f t="shared" si="22"/>
        <v>0</v>
      </c>
      <c r="L828" s="950">
        <f t="shared" si="23"/>
        <v>0</v>
      </c>
      <c r="M828" s="948">
        <v>0.0215</v>
      </c>
      <c r="N828" s="951">
        <f t="shared" si="24"/>
        <v>0.00141404202</v>
      </c>
      <c r="O828" s="949">
        <f t="shared" si="25"/>
        <v>15</v>
      </c>
      <c r="P828" s="949">
        <f t="shared" si="77"/>
        <v>0.0215</v>
      </c>
      <c r="Q828" s="952">
        <f t="shared" si="79"/>
        <v>0</v>
      </c>
      <c r="R828" s="952">
        <f t="shared" si="78"/>
        <v>0</v>
      </c>
      <c r="S828" s="953"/>
      <c r="T828" s="949">
        <v>0.06</v>
      </c>
      <c r="U828" s="954"/>
      <c r="V828" s="949"/>
      <c r="W828" s="953"/>
      <c r="X828" s="949">
        <f t="shared" si="7"/>
        <v>0</v>
      </c>
      <c r="Y828" s="955"/>
      <c r="Z828" s="953" t="str">
        <f t="shared" si="8"/>
        <v/>
      </c>
      <c r="AA828" s="949">
        <f t="shared" si="9"/>
        <v>0</v>
      </c>
      <c r="AB828" s="955"/>
      <c r="AC828" s="949" t="str">
        <f t="shared" si="10"/>
        <v/>
      </c>
      <c r="AD828" s="953">
        <f t="shared" si="11"/>
        <v>0</v>
      </c>
      <c r="AE828" s="956"/>
      <c r="AF828" s="889"/>
      <c r="AG828" s="810" t="b">
        <v>0</v>
      </c>
      <c r="AH828" s="780"/>
      <c r="AI828" s="780"/>
      <c r="AJ828" s="780"/>
      <c r="AK828" s="780"/>
      <c r="AL828" s="780"/>
      <c r="AM828" s="780"/>
      <c r="AN828" s="780"/>
      <c r="AO828" s="780"/>
      <c r="AP828" s="780"/>
      <c r="AQ828" s="780"/>
      <c r="AR828" s="780"/>
      <c r="AS828" s="780"/>
      <c r="AT828" s="780"/>
      <c r="AU828" s="780"/>
      <c r="AV828" s="780"/>
      <c r="AW828" s="780"/>
    </row>
    <row r="829">
      <c r="A829" s="941"/>
      <c r="B829" s="941"/>
      <c r="C829" s="995"/>
      <c r="D829" s="944"/>
      <c r="E829" s="944"/>
      <c r="F829" s="946"/>
      <c r="G829" s="946"/>
      <c r="H829" s="946"/>
      <c r="I829" s="947">
        <v>0.00138428</v>
      </c>
      <c r="J829" s="948">
        <v>0.035</v>
      </c>
      <c r="K829" s="949">
        <f t="shared" si="22"/>
        <v>0</v>
      </c>
      <c r="L829" s="950">
        <f t="shared" si="23"/>
        <v>0</v>
      </c>
      <c r="M829" s="948">
        <v>0.0215</v>
      </c>
      <c r="N829" s="951">
        <f t="shared" si="24"/>
        <v>0.00141404202</v>
      </c>
      <c r="O829" s="949">
        <f t="shared" si="25"/>
        <v>15</v>
      </c>
      <c r="P829" s="949">
        <f t="shared" si="77"/>
        <v>0.0215</v>
      </c>
      <c r="Q829" s="952">
        <f t="shared" si="79"/>
        <v>0</v>
      </c>
      <c r="R829" s="952">
        <f t="shared" si="78"/>
        <v>0</v>
      </c>
      <c r="S829" s="953"/>
      <c r="T829" s="949">
        <v>0.06</v>
      </c>
      <c r="U829" s="954"/>
      <c r="V829" s="949"/>
      <c r="W829" s="953"/>
      <c r="X829" s="949">
        <f t="shared" si="7"/>
        <v>0</v>
      </c>
      <c r="Y829" s="955"/>
      <c r="Z829" s="953" t="str">
        <f t="shared" si="8"/>
        <v/>
      </c>
      <c r="AA829" s="949">
        <f t="shared" si="9"/>
        <v>0</v>
      </c>
      <c r="AB829" s="955"/>
      <c r="AC829" s="949" t="str">
        <f t="shared" si="10"/>
        <v/>
      </c>
      <c r="AD829" s="953">
        <f t="shared" si="11"/>
        <v>0</v>
      </c>
      <c r="AE829" s="956"/>
      <c r="AF829" s="889"/>
      <c r="AG829" s="810" t="b">
        <v>0</v>
      </c>
      <c r="AH829" s="780"/>
      <c r="AI829" s="780"/>
      <c r="AJ829" s="780"/>
      <c r="AK829" s="780"/>
      <c r="AL829" s="780"/>
      <c r="AM829" s="780"/>
      <c r="AN829" s="780"/>
      <c r="AO829" s="780"/>
      <c r="AP829" s="780"/>
      <c r="AQ829" s="780"/>
      <c r="AR829" s="780"/>
      <c r="AS829" s="780"/>
      <c r="AT829" s="780"/>
      <c r="AU829" s="780"/>
      <c r="AV829" s="780"/>
      <c r="AW829" s="780"/>
    </row>
    <row r="830">
      <c r="A830" s="941"/>
      <c r="B830" s="941"/>
      <c r="C830" s="995"/>
      <c r="D830" s="995"/>
      <c r="E830" s="995"/>
      <c r="F830" s="946"/>
      <c r="G830" s="946"/>
      <c r="H830" s="946"/>
      <c r="I830" s="947">
        <v>0.00138428</v>
      </c>
      <c r="J830" s="948">
        <v>0.035</v>
      </c>
      <c r="K830" s="949">
        <f t="shared" si="22"/>
        <v>0</v>
      </c>
      <c r="L830" s="950">
        <f t="shared" si="23"/>
        <v>0</v>
      </c>
      <c r="M830" s="948">
        <v>0.0215</v>
      </c>
      <c r="N830" s="951">
        <f t="shared" si="24"/>
        <v>0.00141404202</v>
      </c>
      <c r="O830" s="949">
        <f t="shared" si="25"/>
        <v>15</v>
      </c>
      <c r="P830" s="949">
        <f t="shared" si="77"/>
        <v>0.0215</v>
      </c>
      <c r="Q830" s="952">
        <f t="shared" si="79"/>
        <v>0</v>
      </c>
      <c r="R830" s="952">
        <f t="shared" si="78"/>
        <v>0</v>
      </c>
      <c r="S830" s="953"/>
      <c r="T830" s="949">
        <v>0.06</v>
      </c>
      <c r="U830" s="954"/>
      <c r="V830" s="949"/>
      <c r="W830" s="953"/>
      <c r="X830" s="949">
        <f t="shared" si="7"/>
        <v>0</v>
      </c>
      <c r="Y830" s="955"/>
      <c r="Z830" s="953" t="str">
        <f t="shared" si="8"/>
        <v/>
      </c>
      <c r="AA830" s="949">
        <f t="shared" si="9"/>
        <v>0</v>
      </c>
      <c r="AB830" s="955"/>
      <c r="AC830" s="949" t="str">
        <f t="shared" si="10"/>
        <v/>
      </c>
      <c r="AD830" s="953">
        <f t="shared" si="11"/>
        <v>0</v>
      </c>
      <c r="AE830" s="956"/>
      <c r="AF830" s="889"/>
      <c r="AG830" s="810" t="b">
        <v>0</v>
      </c>
      <c r="AH830" s="780"/>
      <c r="AI830" s="780"/>
      <c r="AJ830" s="780"/>
      <c r="AK830" s="780"/>
      <c r="AL830" s="780"/>
      <c r="AM830" s="780"/>
      <c r="AN830" s="780"/>
      <c r="AO830" s="780"/>
      <c r="AP830" s="780"/>
      <c r="AQ830" s="780"/>
      <c r="AR830" s="780"/>
      <c r="AS830" s="780"/>
      <c r="AT830" s="780"/>
      <c r="AU830" s="780"/>
      <c r="AV830" s="780"/>
      <c r="AW830" s="780"/>
    </row>
    <row r="831">
      <c r="A831" s="941"/>
      <c r="B831" s="941"/>
      <c r="C831" s="995"/>
      <c r="D831" s="944"/>
      <c r="E831" s="944"/>
      <c r="F831" s="946"/>
      <c r="G831" s="946"/>
      <c r="H831" s="946"/>
      <c r="I831" s="947">
        <v>0.00138428</v>
      </c>
      <c r="J831" s="948">
        <v>0.035</v>
      </c>
      <c r="K831" s="949">
        <f t="shared" si="22"/>
        <v>0</v>
      </c>
      <c r="L831" s="950">
        <f t="shared" si="23"/>
        <v>0</v>
      </c>
      <c r="M831" s="948">
        <v>0.0215</v>
      </c>
      <c r="N831" s="951">
        <f t="shared" si="24"/>
        <v>0.00141404202</v>
      </c>
      <c r="O831" s="949">
        <f t="shared" si="25"/>
        <v>15</v>
      </c>
      <c r="P831" s="949">
        <f t="shared" si="77"/>
        <v>0.0215</v>
      </c>
      <c r="Q831" s="952">
        <f t="shared" si="79"/>
        <v>0</v>
      </c>
      <c r="R831" s="952">
        <f t="shared" si="78"/>
        <v>0</v>
      </c>
      <c r="S831" s="953"/>
      <c r="T831" s="949">
        <v>0.06</v>
      </c>
      <c r="U831" s="954"/>
      <c r="V831" s="949"/>
      <c r="W831" s="953"/>
      <c r="X831" s="949">
        <f t="shared" si="7"/>
        <v>0</v>
      </c>
      <c r="Y831" s="955"/>
      <c r="Z831" s="953" t="str">
        <f t="shared" si="8"/>
        <v/>
      </c>
      <c r="AA831" s="949">
        <f t="shared" si="9"/>
        <v>0</v>
      </c>
      <c r="AB831" s="955"/>
      <c r="AC831" s="949" t="str">
        <f t="shared" si="10"/>
        <v/>
      </c>
      <c r="AD831" s="953">
        <f t="shared" si="11"/>
        <v>0</v>
      </c>
      <c r="AE831" s="956"/>
      <c r="AF831" s="889"/>
      <c r="AG831" s="810" t="b">
        <v>0</v>
      </c>
      <c r="AH831" s="780"/>
      <c r="AI831" s="780"/>
      <c r="AJ831" s="780"/>
      <c r="AK831" s="780"/>
      <c r="AL831" s="780"/>
      <c r="AM831" s="780"/>
      <c r="AN831" s="780"/>
      <c r="AO831" s="780"/>
      <c r="AP831" s="780"/>
      <c r="AQ831" s="780"/>
      <c r="AR831" s="780"/>
      <c r="AS831" s="780"/>
      <c r="AT831" s="780"/>
      <c r="AU831" s="780"/>
      <c r="AV831" s="780"/>
      <c r="AW831" s="780"/>
    </row>
    <row r="832">
      <c r="A832" s="941"/>
      <c r="B832" s="941"/>
      <c r="C832" s="995"/>
      <c r="D832" s="995"/>
      <c r="E832" s="995"/>
      <c r="F832" s="946"/>
      <c r="G832" s="946"/>
      <c r="H832" s="946"/>
      <c r="I832" s="947">
        <v>0.00138428</v>
      </c>
      <c r="J832" s="948">
        <v>0.035</v>
      </c>
      <c r="K832" s="949">
        <f t="shared" si="22"/>
        <v>0</v>
      </c>
      <c r="L832" s="950">
        <f t="shared" si="23"/>
        <v>0</v>
      </c>
      <c r="M832" s="948">
        <v>0.0215</v>
      </c>
      <c r="N832" s="951">
        <f t="shared" si="24"/>
        <v>0.00141404202</v>
      </c>
      <c r="O832" s="949">
        <f t="shared" si="25"/>
        <v>15</v>
      </c>
      <c r="P832" s="949">
        <f t="shared" si="77"/>
        <v>0.0215</v>
      </c>
      <c r="Q832" s="952">
        <f t="shared" si="79"/>
        <v>0</v>
      </c>
      <c r="R832" s="952">
        <f t="shared" si="78"/>
        <v>0</v>
      </c>
      <c r="S832" s="953"/>
      <c r="T832" s="949">
        <v>0.06</v>
      </c>
      <c r="U832" s="954"/>
      <c r="V832" s="949"/>
      <c r="W832" s="953"/>
      <c r="X832" s="949">
        <f t="shared" si="7"/>
        <v>0</v>
      </c>
      <c r="Y832" s="955"/>
      <c r="Z832" s="953" t="str">
        <f t="shared" si="8"/>
        <v/>
      </c>
      <c r="AA832" s="949">
        <f t="shared" si="9"/>
        <v>0</v>
      </c>
      <c r="AB832" s="955"/>
      <c r="AC832" s="949" t="str">
        <f t="shared" si="10"/>
        <v/>
      </c>
      <c r="AD832" s="953">
        <f t="shared" si="11"/>
        <v>0</v>
      </c>
      <c r="AE832" s="956"/>
      <c r="AF832" s="889"/>
      <c r="AG832" s="810" t="b">
        <v>0</v>
      </c>
      <c r="AH832" s="780"/>
      <c r="AI832" s="780"/>
      <c r="AJ832" s="780"/>
      <c r="AK832" s="780"/>
      <c r="AL832" s="780"/>
      <c r="AM832" s="780"/>
      <c r="AN832" s="780"/>
      <c r="AO832" s="780"/>
      <c r="AP832" s="780"/>
      <c r="AQ832" s="780"/>
      <c r="AR832" s="780"/>
      <c r="AS832" s="780"/>
      <c r="AT832" s="780"/>
      <c r="AU832" s="780"/>
      <c r="AV832" s="780"/>
      <c r="AW832" s="780"/>
    </row>
    <row r="833">
      <c r="A833" s="941"/>
      <c r="B833" s="941"/>
      <c r="C833" s="995"/>
      <c r="D833" s="944"/>
      <c r="E833" s="944"/>
      <c r="F833" s="946"/>
      <c r="G833" s="946"/>
      <c r="H833" s="946"/>
      <c r="I833" s="947">
        <v>0.00138428</v>
      </c>
      <c r="J833" s="948">
        <v>0.035</v>
      </c>
      <c r="K833" s="949">
        <f t="shared" si="22"/>
        <v>0</v>
      </c>
      <c r="L833" s="950">
        <f t="shared" si="23"/>
        <v>0</v>
      </c>
      <c r="M833" s="948">
        <v>0.0215</v>
      </c>
      <c r="N833" s="951">
        <f t="shared" si="24"/>
        <v>0.00141404202</v>
      </c>
      <c r="O833" s="949">
        <f t="shared" si="25"/>
        <v>15</v>
      </c>
      <c r="P833" s="949">
        <f t="shared" si="77"/>
        <v>0.0215</v>
      </c>
      <c r="Q833" s="952">
        <f t="shared" si="79"/>
        <v>0</v>
      </c>
      <c r="R833" s="952">
        <f t="shared" si="78"/>
        <v>0</v>
      </c>
      <c r="S833" s="953"/>
      <c r="T833" s="949">
        <v>0.06</v>
      </c>
      <c r="U833" s="954"/>
      <c r="V833" s="949"/>
      <c r="W833" s="953"/>
      <c r="X833" s="949">
        <f t="shared" si="7"/>
        <v>0</v>
      </c>
      <c r="Y833" s="955"/>
      <c r="Z833" s="953" t="str">
        <f t="shared" si="8"/>
        <v/>
      </c>
      <c r="AA833" s="949">
        <f t="shared" si="9"/>
        <v>0</v>
      </c>
      <c r="AB833" s="955"/>
      <c r="AC833" s="949" t="str">
        <f t="shared" si="10"/>
        <v/>
      </c>
      <c r="AD833" s="953">
        <f t="shared" si="11"/>
        <v>0</v>
      </c>
      <c r="AE833" s="956"/>
      <c r="AF833" s="889"/>
      <c r="AG833" s="810" t="b">
        <v>0</v>
      </c>
      <c r="AH833" s="780"/>
      <c r="AI833" s="780"/>
      <c r="AJ833" s="780"/>
      <c r="AK833" s="780"/>
      <c r="AL833" s="780"/>
      <c r="AM833" s="780"/>
      <c r="AN833" s="780"/>
      <c r="AO833" s="780"/>
      <c r="AP833" s="780"/>
      <c r="AQ833" s="780"/>
      <c r="AR833" s="780"/>
      <c r="AS833" s="780"/>
      <c r="AT833" s="780"/>
      <c r="AU833" s="780"/>
      <c r="AV833" s="780"/>
      <c r="AW833" s="780"/>
    </row>
    <row r="834">
      <c r="A834" s="941"/>
      <c r="B834" s="941"/>
      <c r="C834" s="995"/>
      <c r="D834" s="995"/>
      <c r="E834" s="995"/>
      <c r="F834" s="946"/>
      <c r="G834" s="946"/>
      <c r="H834" s="946"/>
      <c r="I834" s="947">
        <v>0.00138428</v>
      </c>
      <c r="J834" s="948">
        <v>0.035</v>
      </c>
      <c r="K834" s="949">
        <f t="shared" si="22"/>
        <v>0</v>
      </c>
      <c r="L834" s="950">
        <f t="shared" si="23"/>
        <v>0</v>
      </c>
      <c r="M834" s="948">
        <v>0.0215</v>
      </c>
      <c r="N834" s="951">
        <f t="shared" si="24"/>
        <v>0.00141404202</v>
      </c>
      <c r="O834" s="949">
        <f t="shared" si="25"/>
        <v>15</v>
      </c>
      <c r="P834" s="949">
        <f t="shared" si="77"/>
        <v>0.0215</v>
      </c>
      <c r="Q834" s="952">
        <f t="shared" si="79"/>
        <v>0</v>
      </c>
      <c r="R834" s="952">
        <f t="shared" si="78"/>
        <v>0</v>
      </c>
      <c r="S834" s="953"/>
      <c r="T834" s="949">
        <v>0.06</v>
      </c>
      <c r="U834" s="954"/>
      <c r="V834" s="949"/>
      <c r="W834" s="953"/>
      <c r="X834" s="949">
        <f t="shared" si="7"/>
        <v>0</v>
      </c>
      <c r="Y834" s="955"/>
      <c r="Z834" s="953" t="str">
        <f t="shared" si="8"/>
        <v/>
      </c>
      <c r="AA834" s="949">
        <f t="shared" si="9"/>
        <v>0</v>
      </c>
      <c r="AB834" s="955"/>
      <c r="AC834" s="949" t="str">
        <f t="shared" si="10"/>
        <v/>
      </c>
      <c r="AD834" s="953">
        <f t="shared" si="11"/>
        <v>0</v>
      </c>
      <c r="AE834" s="956"/>
      <c r="AF834" s="889"/>
      <c r="AG834" s="810" t="b">
        <v>0</v>
      </c>
      <c r="AH834" s="780"/>
      <c r="AI834" s="780"/>
      <c r="AJ834" s="780"/>
      <c r="AK834" s="780"/>
      <c r="AL834" s="780"/>
      <c r="AM834" s="780"/>
      <c r="AN834" s="780"/>
      <c r="AO834" s="780"/>
      <c r="AP834" s="780"/>
      <c r="AQ834" s="780"/>
      <c r="AR834" s="780"/>
      <c r="AS834" s="780"/>
      <c r="AT834" s="780"/>
      <c r="AU834" s="780"/>
      <c r="AV834" s="780"/>
      <c r="AW834" s="780"/>
    </row>
    <row r="835">
      <c r="A835" s="941"/>
      <c r="B835" s="941"/>
      <c r="C835" s="995"/>
      <c r="D835" s="944"/>
      <c r="E835" s="944"/>
      <c r="F835" s="946"/>
      <c r="G835" s="946"/>
      <c r="H835" s="946"/>
      <c r="I835" s="947">
        <v>0.00138428</v>
      </c>
      <c r="J835" s="948">
        <v>0.035</v>
      </c>
      <c r="K835" s="949">
        <f t="shared" si="22"/>
        <v>0</v>
      </c>
      <c r="L835" s="950">
        <f t="shared" si="23"/>
        <v>0</v>
      </c>
      <c r="M835" s="948">
        <v>0.0215</v>
      </c>
      <c r="N835" s="951">
        <f t="shared" si="24"/>
        <v>0.00141404202</v>
      </c>
      <c r="O835" s="949">
        <f t="shared" si="25"/>
        <v>15</v>
      </c>
      <c r="P835" s="949">
        <f t="shared" si="77"/>
        <v>0.0215</v>
      </c>
      <c r="Q835" s="952">
        <f t="shared" si="79"/>
        <v>0</v>
      </c>
      <c r="R835" s="952">
        <f t="shared" si="78"/>
        <v>0</v>
      </c>
      <c r="S835" s="953"/>
      <c r="T835" s="949">
        <v>0.06</v>
      </c>
      <c r="U835" s="954"/>
      <c r="V835" s="949"/>
      <c r="W835" s="953"/>
      <c r="X835" s="949">
        <f t="shared" si="7"/>
        <v>0</v>
      </c>
      <c r="Y835" s="955"/>
      <c r="Z835" s="953" t="str">
        <f t="shared" si="8"/>
        <v/>
      </c>
      <c r="AA835" s="949">
        <f t="shared" si="9"/>
        <v>0</v>
      </c>
      <c r="AB835" s="955"/>
      <c r="AC835" s="949" t="str">
        <f t="shared" si="10"/>
        <v/>
      </c>
      <c r="AD835" s="953">
        <f t="shared" si="11"/>
        <v>0</v>
      </c>
      <c r="AE835" s="956"/>
      <c r="AF835" s="889"/>
      <c r="AG835" s="810" t="b">
        <v>0</v>
      </c>
      <c r="AH835" s="780"/>
      <c r="AI835" s="780"/>
      <c r="AJ835" s="780"/>
      <c r="AK835" s="780"/>
      <c r="AL835" s="780"/>
      <c r="AM835" s="780"/>
      <c r="AN835" s="780"/>
      <c r="AO835" s="780"/>
      <c r="AP835" s="780"/>
      <c r="AQ835" s="780"/>
      <c r="AR835" s="780"/>
      <c r="AS835" s="780"/>
      <c r="AT835" s="780"/>
      <c r="AU835" s="780"/>
      <c r="AV835" s="780"/>
      <c r="AW835" s="780"/>
    </row>
    <row r="836">
      <c r="A836" s="941"/>
      <c r="B836" s="941"/>
      <c r="C836" s="995"/>
      <c r="D836" s="995"/>
      <c r="E836" s="995"/>
      <c r="F836" s="946"/>
      <c r="G836" s="946"/>
      <c r="H836" s="946"/>
      <c r="I836" s="947">
        <v>0.00138428</v>
      </c>
      <c r="J836" s="948">
        <v>0.035</v>
      </c>
      <c r="K836" s="949">
        <f t="shared" si="22"/>
        <v>0</v>
      </c>
      <c r="L836" s="950">
        <f t="shared" si="23"/>
        <v>0</v>
      </c>
      <c r="M836" s="948">
        <v>0.0215</v>
      </c>
      <c r="N836" s="951">
        <f t="shared" si="24"/>
        <v>0.00141404202</v>
      </c>
      <c r="O836" s="949">
        <f t="shared" si="25"/>
        <v>15</v>
      </c>
      <c r="P836" s="949">
        <f t="shared" si="77"/>
        <v>0.0215</v>
      </c>
      <c r="Q836" s="952">
        <f t="shared" si="79"/>
        <v>0</v>
      </c>
      <c r="R836" s="952">
        <f t="shared" si="78"/>
        <v>0</v>
      </c>
      <c r="S836" s="953"/>
      <c r="T836" s="949">
        <v>0.06</v>
      </c>
      <c r="U836" s="954"/>
      <c r="V836" s="949"/>
      <c r="W836" s="953"/>
      <c r="X836" s="949">
        <f t="shared" si="7"/>
        <v>0</v>
      </c>
      <c r="Y836" s="955"/>
      <c r="Z836" s="953" t="str">
        <f t="shared" si="8"/>
        <v/>
      </c>
      <c r="AA836" s="949">
        <f t="shared" si="9"/>
        <v>0</v>
      </c>
      <c r="AB836" s="955"/>
      <c r="AC836" s="949" t="str">
        <f t="shared" si="10"/>
        <v/>
      </c>
      <c r="AD836" s="953">
        <f t="shared" si="11"/>
        <v>0</v>
      </c>
      <c r="AE836" s="956"/>
      <c r="AF836" s="889"/>
      <c r="AG836" s="810" t="b">
        <v>0</v>
      </c>
      <c r="AH836" s="780"/>
      <c r="AI836" s="780"/>
      <c r="AJ836" s="780"/>
      <c r="AK836" s="780"/>
      <c r="AL836" s="780"/>
      <c r="AM836" s="780"/>
      <c r="AN836" s="780"/>
      <c r="AO836" s="780"/>
      <c r="AP836" s="780"/>
      <c r="AQ836" s="780"/>
      <c r="AR836" s="780"/>
      <c r="AS836" s="780"/>
      <c r="AT836" s="780"/>
      <c r="AU836" s="780"/>
      <c r="AV836" s="780"/>
      <c r="AW836" s="780"/>
    </row>
    <row r="837">
      <c r="A837" s="941"/>
      <c r="B837" s="941"/>
      <c r="C837" s="995"/>
      <c r="D837" s="944"/>
      <c r="E837" s="944"/>
      <c r="F837" s="946"/>
      <c r="G837" s="946"/>
      <c r="H837" s="946"/>
      <c r="I837" s="947">
        <v>0.00138428</v>
      </c>
      <c r="J837" s="948">
        <v>0.035</v>
      </c>
      <c r="K837" s="949">
        <f t="shared" si="22"/>
        <v>0</v>
      </c>
      <c r="L837" s="950">
        <f t="shared" si="23"/>
        <v>0</v>
      </c>
      <c r="M837" s="948">
        <v>0.0215</v>
      </c>
      <c r="N837" s="951">
        <f t="shared" si="24"/>
        <v>0.00141404202</v>
      </c>
      <c r="O837" s="949">
        <f t="shared" si="25"/>
        <v>15</v>
      </c>
      <c r="P837" s="949">
        <f t="shared" si="77"/>
        <v>0.0215</v>
      </c>
      <c r="Q837" s="952">
        <f t="shared" si="79"/>
        <v>0</v>
      </c>
      <c r="R837" s="952">
        <f t="shared" si="78"/>
        <v>0</v>
      </c>
      <c r="S837" s="953"/>
      <c r="T837" s="949">
        <v>0.06</v>
      </c>
      <c r="U837" s="954"/>
      <c r="V837" s="949"/>
      <c r="W837" s="953"/>
      <c r="X837" s="949">
        <f t="shared" si="7"/>
        <v>0</v>
      </c>
      <c r="Y837" s="955"/>
      <c r="Z837" s="953" t="str">
        <f t="shared" si="8"/>
        <v/>
      </c>
      <c r="AA837" s="949">
        <f t="shared" si="9"/>
        <v>0</v>
      </c>
      <c r="AB837" s="955"/>
      <c r="AC837" s="949" t="str">
        <f t="shared" si="10"/>
        <v/>
      </c>
      <c r="AD837" s="953">
        <f t="shared" si="11"/>
        <v>0</v>
      </c>
      <c r="AE837" s="956"/>
      <c r="AF837" s="889"/>
      <c r="AG837" s="810" t="b">
        <v>0</v>
      </c>
      <c r="AH837" s="780"/>
      <c r="AI837" s="780"/>
      <c r="AJ837" s="780"/>
      <c r="AK837" s="780"/>
      <c r="AL837" s="780"/>
      <c r="AM837" s="780"/>
      <c r="AN837" s="780"/>
      <c r="AO837" s="780"/>
      <c r="AP837" s="780"/>
      <c r="AQ837" s="780"/>
      <c r="AR837" s="780"/>
      <c r="AS837" s="780"/>
      <c r="AT837" s="780"/>
      <c r="AU837" s="780"/>
      <c r="AV837" s="780"/>
      <c r="AW837" s="780"/>
    </row>
    <row r="838">
      <c r="A838" s="941"/>
      <c r="B838" s="941"/>
      <c r="C838" s="995"/>
      <c r="D838" s="995"/>
      <c r="E838" s="995"/>
      <c r="F838" s="946"/>
      <c r="G838" s="946"/>
      <c r="H838" s="946"/>
      <c r="I838" s="947">
        <v>0.00138428</v>
      </c>
      <c r="J838" s="948">
        <v>0.035</v>
      </c>
      <c r="K838" s="949">
        <f t="shared" si="22"/>
        <v>0</v>
      </c>
      <c r="L838" s="950">
        <f t="shared" si="23"/>
        <v>0</v>
      </c>
      <c r="M838" s="948">
        <v>0.0215</v>
      </c>
      <c r="N838" s="951">
        <f t="shared" si="24"/>
        <v>0.00141404202</v>
      </c>
      <c r="O838" s="949">
        <f t="shared" si="25"/>
        <v>15</v>
      </c>
      <c r="P838" s="949">
        <f t="shared" si="77"/>
        <v>0.0215</v>
      </c>
      <c r="Q838" s="952">
        <f t="shared" si="79"/>
        <v>0</v>
      </c>
      <c r="R838" s="952">
        <f t="shared" si="78"/>
        <v>0</v>
      </c>
      <c r="S838" s="953"/>
      <c r="T838" s="949">
        <v>0.06</v>
      </c>
      <c r="U838" s="954"/>
      <c r="V838" s="949"/>
      <c r="W838" s="953"/>
      <c r="X838" s="949">
        <f t="shared" si="7"/>
        <v>0</v>
      </c>
      <c r="Y838" s="955"/>
      <c r="Z838" s="953" t="str">
        <f t="shared" si="8"/>
        <v/>
      </c>
      <c r="AA838" s="949">
        <f t="shared" si="9"/>
        <v>0</v>
      </c>
      <c r="AB838" s="955"/>
      <c r="AC838" s="949" t="str">
        <f t="shared" si="10"/>
        <v/>
      </c>
      <c r="AD838" s="953">
        <f t="shared" si="11"/>
        <v>0</v>
      </c>
      <c r="AE838" s="956"/>
      <c r="AF838" s="889"/>
      <c r="AG838" s="810" t="b">
        <v>0</v>
      </c>
      <c r="AH838" s="780"/>
      <c r="AI838" s="780"/>
      <c r="AJ838" s="780"/>
      <c r="AK838" s="780"/>
      <c r="AL838" s="780"/>
      <c r="AM838" s="780"/>
      <c r="AN838" s="780"/>
      <c r="AO838" s="780"/>
      <c r="AP838" s="780"/>
      <c r="AQ838" s="780"/>
      <c r="AR838" s="780"/>
      <c r="AS838" s="780"/>
      <c r="AT838" s="780"/>
      <c r="AU838" s="780"/>
      <c r="AV838" s="780"/>
      <c r="AW838" s="780"/>
    </row>
    <row r="839">
      <c r="A839" s="941"/>
      <c r="B839" s="941"/>
      <c r="C839" s="995"/>
      <c r="D839" s="944"/>
      <c r="E839" s="944"/>
      <c r="F839" s="946"/>
      <c r="G839" s="946"/>
      <c r="H839" s="946"/>
      <c r="I839" s="947">
        <v>0.00138428</v>
      </c>
      <c r="J839" s="948">
        <v>0.035</v>
      </c>
      <c r="K839" s="949">
        <f t="shared" si="22"/>
        <v>0</v>
      </c>
      <c r="L839" s="950">
        <f t="shared" si="23"/>
        <v>0</v>
      </c>
      <c r="M839" s="948">
        <v>0.0215</v>
      </c>
      <c r="N839" s="951">
        <f t="shared" si="24"/>
        <v>0.00141404202</v>
      </c>
      <c r="O839" s="949">
        <f t="shared" si="25"/>
        <v>15</v>
      </c>
      <c r="P839" s="949">
        <f t="shared" si="77"/>
        <v>0.0215</v>
      </c>
      <c r="Q839" s="952">
        <f t="shared" si="79"/>
        <v>0</v>
      </c>
      <c r="R839" s="952">
        <f t="shared" si="78"/>
        <v>0</v>
      </c>
      <c r="S839" s="953"/>
      <c r="T839" s="949">
        <v>0.06</v>
      </c>
      <c r="U839" s="954"/>
      <c r="V839" s="949"/>
      <c r="W839" s="953"/>
      <c r="X839" s="949">
        <f t="shared" si="7"/>
        <v>0</v>
      </c>
      <c r="Y839" s="955"/>
      <c r="Z839" s="953" t="str">
        <f t="shared" si="8"/>
        <v/>
      </c>
      <c r="AA839" s="949">
        <f t="shared" si="9"/>
        <v>0</v>
      </c>
      <c r="AB839" s="955"/>
      <c r="AC839" s="949" t="str">
        <f t="shared" si="10"/>
        <v/>
      </c>
      <c r="AD839" s="953">
        <f t="shared" si="11"/>
        <v>0</v>
      </c>
      <c r="AE839" s="956"/>
      <c r="AF839" s="889"/>
      <c r="AG839" s="810" t="b">
        <v>0</v>
      </c>
      <c r="AH839" s="780"/>
      <c r="AI839" s="780"/>
      <c r="AJ839" s="780"/>
      <c r="AK839" s="780"/>
      <c r="AL839" s="780"/>
      <c r="AM839" s="780"/>
      <c r="AN839" s="780"/>
      <c r="AO839" s="780"/>
      <c r="AP839" s="780"/>
      <c r="AQ839" s="780"/>
      <c r="AR839" s="780"/>
      <c r="AS839" s="780"/>
      <c r="AT839" s="780"/>
      <c r="AU839" s="780"/>
      <c r="AV839" s="780"/>
      <c r="AW839" s="780"/>
    </row>
    <row r="840">
      <c r="A840" s="941"/>
      <c r="B840" s="941"/>
      <c r="C840" s="995"/>
      <c r="D840" s="995"/>
      <c r="E840" s="995"/>
      <c r="F840" s="946"/>
      <c r="G840" s="946"/>
      <c r="H840" s="946"/>
      <c r="I840" s="947">
        <v>0.00138428</v>
      </c>
      <c r="J840" s="948">
        <v>0.035</v>
      </c>
      <c r="K840" s="949">
        <f t="shared" si="22"/>
        <v>0</v>
      </c>
      <c r="L840" s="950">
        <f t="shared" si="23"/>
        <v>0</v>
      </c>
      <c r="M840" s="948">
        <v>0.0215</v>
      </c>
      <c r="N840" s="951">
        <f t="shared" si="24"/>
        <v>0.00141404202</v>
      </c>
      <c r="O840" s="949">
        <f t="shared" si="25"/>
        <v>15</v>
      </c>
      <c r="P840" s="949">
        <f t="shared" si="77"/>
        <v>0.0215</v>
      </c>
      <c r="Q840" s="952">
        <f t="shared" si="79"/>
        <v>0</v>
      </c>
      <c r="R840" s="952">
        <f t="shared" si="78"/>
        <v>0</v>
      </c>
      <c r="S840" s="953"/>
      <c r="T840" s="949">
        <v>0.06</v>
      </c>
      <c r="U840" s="954"/>
      <c r="V840" s="949"/>
      <c r="W840" s="953"/>
      <c r="X840" s="949">
        <f t="shared" si="7"/>
        <v>0</v>
      </c>
      <c r="Y840" s="955"/>
      <c r="Z840" s="953" t="str">
        <f t="shared" si="8"/>
        <v/>
      </c>
      <c r="AA840" s="949">
        <f t="shared" si="9"/>
        <v>0</v>
      </c>
      <c r="AB840" s="955"/>
      <c r="AC840" s="949" t="str">
        <f t="shared" si="10"/>
        <v/>
      </c>
      <c r="AD840" s="953">
        <f t="shared" si="11"/>
        <v>0</v>
      </c>
      <c r="AE840" s="956"/>
      <c r="AF840" s="889"/>
      <c r="AG840" s="810" t="b">
        <v>0</v>
      </c>
      <c r="AH840" s="780"/>
      <c r="AI840" s="780"/>
      <c r="AJ840" s="780"/>
      <c r="AK840" s="780"/>
      <c r="AL840" s="780"/>
      <c r="AM840" s="780"/>
      <c r="AN840" s="780"/>
      <c r="AO840" s="780"/>
      <c r="AP840" s="780"/>
      <c r="AQ840" s="780"/>
      <c r="AR840" s="780"/>
      <c r="AS840" s="780"/>
      <c r="AT840" s="780"/>
      <c r="AU840" s="780"/>
      <c r="AV840" s="780"/>
      <c r="AW840" s="780"/>
    </row>
    <row r="841">
      <c r="A841" s="941"/>
      <c r="B841" s="941"/>
      <c r="C841" s="995"/>
      <c r="D841" s="944"/>
      <c r="E841" s="944"/>
      <c r="F841" s="946"/>
      <c r="G841" s="946"/>
      <c r="H841" s="946"/>
      <c r="I841" s="947">
        <v>0.00138428</v>
      </c>
      <c r="J841" s="948">
        <v>0.035</v>
      </c>
      <c r="K841" s="949">
        <f t="shared" si="22"/>
        <v>0</v>
      </c>
      <c r="L841" s="950">
        <f t="shared" si="23"/>
        <v>0</v>
      </c>
      <c r="M841" s="948">
        <v>0.0215</v>
      </c>
      <c r="N841" s="951">
        <f t="shared" si="24"/>
        <v>0.00141404202</v>
      </c>
      <c r="O841" s="949">
        <f t="shared" si="25"/>
        <v>15</v>
      </c>
      <c r="P841" s="949">
        <f t="shared" si="77"/>
        <v>0.0215</v>
      </c>
      <c r="Q841" s="952">
        <f t="shared" si="79"/>
        <v>0</v>
      </c>
      <c r="R841" s="952">
        <f t="shared" si="78"/>
        <v>0</v>
      </c>
      <c r="S841" s="953"/>
      <c r="T841" s="949">
        <v>0.06</v>
      </c>
      <c r="U841" s="954"/>
      <c r="V841" s="949"/>
      <c r="W841" s="953"/>
      <c r="X841" s="949">
        <f t="shared" si="7"/>
        <v>0</v>
      </c>
      <c r="Y841" s="955"/>
      <c r="Z841" s="953" t="str">
        <f t="shared" si="8"/>
        <v/>
      </c>
      <c r="AA841" s="949">
        <f t="shared" si="9"/>
        <v>0</v>
      </c>
      <c r="AB841" s="955"/>
      <c r="AC841" s="949" t="str">
        <f t="shared" si="10"/>
        <v/>
      </c>
      <c r="AD841" s="953">
        <f t="shared" si="11"/>
        <v>0</v>
      </c>
      <c r="AE841" s="956"/>
      <c r="AF841" s="889"/>
      <c r="AG841" s="810" t="b">
        <v>0</v>
      </c>
      <c r="AH841" s="780"/>
      <c r="AI841" s="780"/>
      <c r="AJ841" s="780"/>
      <c r="AK841" s="780"/>
      <c r="AL841" s="780"/>
      <c r="AM841" s="780"/>
      <c r="AN841" s="780"/>
      <c r="AO841" s="780"/>
      <c r="AP841" s="780"/>
      <c r="AQ841" s="780"/>
      <c r="AR841" s="780"/>
      <c r="AS841" s="780"/>
      <c r="AT841" s="780"/>
      <c r="AU841" s="780"/>
      <c r="AV841" s="780"/>
      <c r="AW841" s="780"/>
    </row>
    <row r="842">
      <c r="A842" s="941"/>
      <c r="B842" s="941"/>
      <c r="C842" s="995"/>
      <c r="D842" s="995"/>
      <c r="E842" s="995"/>
      <c r="F842" s="946"/>
      <c r="G842" s="946"/>
      <c r="H842" s="946"/>
      <c r="I842" s="947">
        <v>0.00138428</v>
      </c>
      <c r="J842" s="948">
        <v>0.035</v>
      </c>
      <c r="K842" s="949">
        <f t="shared" si="22"/>
        <v>0</v>
      </c>
      <c r="L842" s="950">
        <f t="shared" si="23"/>
        <v>0</v>
      </c>
      <c r="M842" s="948">
        <v>0.0215</v>
      </c>
      <c r="N842" s="951">
        <f t="shared" si="24"/>
        <v>0.00141404202</v>
      </c>
      <c r="O842" s="949">
        <f t="shared" si="25"/>
        <v>15</v>
      </c>
      <c r="P842" s="949">
        <f t="shared" si="77"/>
        <v>0.0215</v>
      </c>
      <c r="Q842" s="952">
        <f t="shared" si="79"/>
        <v>0</v>
      </c>
      <c r="R842" s="952">
        <f t="shared" si="78"/>
        <v>0</v>
      </c>
      <c r="S842" s="953"/>
      <c r="T842" s="949">
        <v>0.06</v>
      </c>
      <c r="U842" s="954"/>
      <c r="V842" s="949"/>
      <c r="W842" s="953"/>
      <c r="X842" s="949">
        <f t="shared" si="7"/>
        <v>0</v>
      </c>
      <c r="Y842" s="955"/>
      <c r="Z842" s="953" t="str">
        <f t="shared" si="8"/>
        <v/>
      </c>
      <c r="AA842" s="949">
        <f t="shared" si="9"/>
        <v>0</v>
      </c>
      <c r="AB842" s="955"/>
      <c r="AC842" s="949" t="str">
        <f t="shared" si="10"/>
        <v/>
      </c>
      <c r="AD842" s="953">
        <f t="shared" si="11"/>
        <v>0</v>
      </c>
      <c r="AE842" s="956"/>
      <c r="AF842" s="889"/>
      <c r="AG842" s="810" t="b">
        <v>0</v>
      </c>
      <c r="AH842" s="780"/>
      <c r="AI842" s="780"/>
      <c r="AJ842" s="780"/>
      <c r="AK842" s="780"/>
      <c r="AL842" s="780"/>
      <c r="AM842" s="780"/>
      <c r="AN842" s="780"/>
      <c r="AO842" s="780"/>
      <c r="AP842" s="780"/>
      <c r="AQ842" s="780"/>
      <c r="AR842" s="780"/>
      <c r="AS842" s="780"/>
      <c r="AT842" s="780"/>
      <c r="AU842" s="780"/>
      <c r="AV842" s="780"/>
      <c r="AW842" s="780"/>
    </row>
    <row r="843">
      <c r="A843" s="941"/>
      <c r="B843" s="941"/>
      <c r="C843" s="995"/>
      <c r="D843" s="944"/>
      <c r="E843" s="944"/>
      <c r="F843" s="1000"/>
      <c r="G843" s="1000"/>
      <c r="H843" s="1000"/>
      <c r="I843" s="947">
        <v>0.00138428</v>
      </c>
      <c r="J843" s="948">
        <v>0.035</v>
      </c>
      <c r="K843" s="949">
        <f t="shared" si="22"/>
        <v>0</v>
      </c>
      <c r="L843" s="950">
        <f t="shared" si="23"/>
        <v>0</v>
      </c>
      <c r="M843" s="948">
        <v>0.0215</v>
      </c>
      <c r="N843" s="951">
        <f t="shared" si="24"/>
        <v>0.00141404202</v>
      </c>
      <c r="O843" s="949">
        <f t="shared" si="25"/>
        <v>15</v>
      </c>
      <c r="P843" s="949">
        <f t="shared" si="77"/>
        <v>0.0215</v>
      </c>
      <c r="Q843" s="952">
        <f t="shared" si="79"/>
        <v>0</v>
      </c>
      <c r="R843" s="952">
        <f t="shared" si="78"/>
        <v>0</v>
      </c>
      <c r="S843" s="953"/>
      <c r="T843" s="949">
        <v>0.06</v>
      </c>
      <c r="U843" s="954"/>
      <c r="V843" s="949"/>
      <c r="W843" s="953"/>
      <c r="X843" s="949">
        <f t="shared" si="7"/>
        <v>0</v>
      </c>
      <c r="Y843" s="955"/>
      <c r="Z843" s="953" t="str">
        <f t="shared" si="8"/>
        <v/>
      </c>
      <c r="AA843" s="949">
        <f t="shared" si="9"/>
        <v>0</v>
      </c>
      <c r="AB843" s="955"/>
      <c r="AC843" s="949" t="str">
        <f t="shared" si="10"/>
        <v/>
      </c>
      <c r="AD843" s="953">
        <f t="shared" si="11"/>
        <v>0</v>
      </c>
      <c r="AE843" s="956"/>
      <c r="AF843" s="889"/>
      <c r="AG843" s="810" t="b">
        <v>0</v>
      </c>
      <c r="AH843" s="780"/>
      <c r="AI843" s="780"/>
      <c r="AJ843" s="780"/>
      <c r="AK843" s="780"/>
      <c r="AL843" s="780"/>
      <c r="AM843" s="780"/>
      <c r="AN843" s="780"/>
      <c r="AO843" s="780"/>
      <c r="AP843" s="780"/>
      <c r="AQ843" s="780"/>
      <c r="AR843" s="780"/>
      <c r="AS843" s="780"/>
      <c r="AT843" s="780"/>
      <c r="AU843" s="780"/>
      <c r="AV843" s="780"/>
      <c r="AW843" s="780"/>
    </row>
    <row r="844">
      <c r="A844" s="941"/>
      <c r="B844" s="941"/>
      <c r="C844" s="995"/>
      <c r="D844" s="995"/>
      <c r="E844" s="995"/>
      <c r="F844" s="946"/>
      <c r="G844" s="946"/>
      <c r="H844" s="946"/>
      <c r="I844" s="947">
        <v>0.00138428</v>
      </c>
      <c r="J844" s="948">
        <v>0.035</v>
      </c>
      <c r="K844" s="949">
        <f t="shared" si="22"/>
        <v>0</v>
      </c>
      <c r="L844" s="950">
        <f t="shared" si="23"/>
        <v>0</v>
      </c>
      <c r="M844" s="948">
        <v>0.0215</v>
      </c>
      <c r="N844" s="951">
        <f t="shared" si="24"/>
        <v>0.00141404202</v>
      </c>
      <c r="O844" s="949">
        <f t="shared" si="25"/>
        <v>15</v>
      </c>
      <c r="P844" s="949">
        <f t="shared" si="77"/>
        <v>0.0215</v>
      </c>
      <c r="Q844" s="952">
        <f t="shared" si="79"/>
        <v>0</v>
      </c>
      <c r="R844" s="952">
        <f t="shared" si="78"/>
        <v>0</v>
      </c>
      <c r="S844" s="953"/>
      <c r="T844" s="949">
        <v>0.06</v>
      </c>
      <c r="U844" s="954"/>
      <c r="V844" s="949"/>
      <c r="W844" s="953"/>
      <c r="X844" s="949">
        <f t="shared" si="7"/>
        <v>0</v>
      </c>
      <c r="Y844" s="955"/>
      <c r="Z844" s="953" t="str">
        <f t="shared" si="8"/>
        <v/>
      </c>
      <c r="AA844" s="949">
        <f t="shared" si="9"/>
        <v>0</v>
      </c>
      <c r="AB844" s="955"/>
      <c r="AC844" s="949" t="str">
        <f t="shared" si="10"/>
        <v/>
      </c>
      <c r="AD844" s="953">
        <f t="shared" si="11"/>
        <v>0</v>
      </c>
      <c r="AE844" s="956"/>
      <c r="AF844" s="889"/>
      <c r="AG844" s="810" t="b">
        <v>0</v>
      </c>
      <c r="AH844" s="780"/>
      <c r="AI844" s="780"/>
      <c r="AJ844" s="780"/>
      <c r="AK844" s="780"/>
      <c r="AL844" s="780"/>
      <c r="AM844" s="780"/>
      <c r="AN844" s="780"/>
      <c r="AO844" s="780"/>
      <c r="AP844" s="780"/>
      <c r="AQ844" s="780"/>
      <c r="AR844" s="780"/>
      <c r="AS844" s="780"/>
      <c r="AT844" s="780"/>
      <c r="AU844" s="780"/>
      <c r="AV844" s="780"/>
      <c r="AW844" s="780"/>
    </row>
    <row r="845">
      <c r="A845" s="941"/>
      <c r="B845" s="941"/>
      <c r="C845" s="995"/>
      <c r="D845" s="995"/>
      <c r="E845" s="995"/>
      <c r="F845" s="946"/>
      <c r="G845" s="946"/>
      <c r="H845" s="946"/>
      <c r="I845" s="947">
        <v>0.00138428</v>
      </c>
      <c r="J845" s="948">
        <v>0.035</v>
      </c>
      <c r="K845" s="949">
        <f t="shared" si="22"/>
        <v>0</v>
      </c>
      <c r="L845" s="950">
        <f t="shared" si="23"/>
        <v>0</v>
      </c>
      <c r="M845" s="948">
        <v>0.0215</v>
      </c>
      <c r="N845" s="951">
        <f t="shared" si="24"/>
        <v>0.00141404202</v>
      </c>
      <c r="O845" s="949">
        <f t="shared" si="25"/>
        <v>15</v>
      </c>
      <c r="P845" s="949">
        <f t="shared" si="77"/>
        <v>0.0215</v>
      </c>
      <c r="Q845" s="952">
        <f t="shared" si="79"/>
        <v>0</v>
      </c>
      <c r="R845" s="952">
        <f t="shared" si="78"/>
        <v>0</v>
      </c>
      <c r="S845" s="953"/>
      <c r="T845" s="949">
        <v>0.06</v>
      </c>
      <c r="U845" s="954"/>
      <c r="V845" s="949"/>
      <c r="W845" s="953"/>
      <c r="X845" s="949">
        <f t="shared" si="7"/>
        <v>0</v>
      </c>
      <c r="Y845" s="955"/>
      <c r="Z845" s="953" t="str">
        <f t="shared" si="8"/>
        <v/>
      </c>
      <c r="AA845" s="949">
        <f t="shared" si="9"/>
        <v>0</v>
      </c>
      <c r="AB845" s="955"/>
      <c r="AC845" s="949" t="str">
        <f t="shared" si="10"/>
        <v/>
      </c>
      <c r="AD845" s="953">
        <f t="shared" si="11"/>
        <v>0</v>
      </c>
      <c r="AE845" s="956"/>
      <c r="AF845" s="889"/>
      <c r="AG845" s="810" t="b">
        <v>0</v>
      </c>
      <c r="AH845" s="780"/>
      <c r="AI845" s="780"/>
      <c r="AJ845" s="780"/>
      <c r="AK845" s="780"/>
      <c r="AL845" s="780"/>
      <c r="AM845" s="780"/>
      <c r="AN845" s="780"/>
      <c r="AO845" s="780"/>
      <c r="AP845" s="780"/>
      <c r="AQ845" s="780"/>
      <c r="AR845" s="780"/>
      <c r="AS845" s="780"/>
      <c r="AT845" s="780"/>
      <c r="AU845" s="780"/>
      <c r="AV845" s="780"/>
      <c r="AW845" s="780"/>
    </row>
    <row r="846">
      <c r="A846" s="941"/>
      <c r="B846" s="941"/>
      <c r="C846" s="995"/>
      <c r="D846" s="995"/>
      <c r="E846" s="995"/>
      <c r="F846" s="946"/>
      <c r="G846" s="946"/>
      <c r="H846" s="946"/>
      <c r="I846" s="947">
        <v>0.00138428</v>
      </c>
      <c r="J846" s="948">
        <v>0.035</v>
      </c>
      <c r="K846" s="949">
        <f t="shared" si="22"/>
        <v>0</v>
      </c>
      <c r="L846" s="950">
        <f t="shared" si="23"/>
        <v>0</v>
      </c>
      <c r="M846" s="948">
        <v>0.0215</v>
      </c>
      <c r="N846" s="951">
        <f t="shared" si="24"/>
        <v>0.00141404202</v>
      </c>
      <c r="O846" s="949">
        <f t="shared" si="25"/>
        <v>15</v>
      </c>
      <c r="P846" s="949">
        <f t="shared" si="77"/>
        <v>0.0215</v>
      </c>
      <c r="Q846" s="952">
        <f t="shared" si="79"/>
        <v>0</v>
      </c>
      <c r="R846" s="952">
        <f t="shared" si="78"/>
        <v>0</v>
      </c>
      <c r="S846" s="953"/>
      <c r="T846" s="949">
        <v>0.06</v>
      </c>
      <c r="U846" s="954"/>
      <c r="V846" s="949"/>
      <c r="W846" s="953"/>
      <c r="X846" s="949">
        <f t="shared" si="7"/>
        <v>0</v>
      </c>
      <c r="Y846" s="955"/>
      <c r="Z846" s="953" t="str">
        <f t="shared" si="8"/>
        <v/>
      </c>
      <c r="AA846" s="949">
        <f t="shared" si="9"/>
        <v>0</v>
      </c>
      <c r="AB846" s="955"/>
      <c r="AC846" s="949" t="str">
        <f t="shared" si="10"/>
        <v/>
      </c>
      <c r="AD846" s="953">
        <f t="shared" si="11"/>
        <v>0</v>
      </c>
      <c r="AE846" s="956"/>
      <c r="AF846" s="889"/>
      <c r="AG846" s="810" t="b">
        <v>0</v>
      </c>
      <c r="AH846" s="780"/>
      <c r="AI846" s="780"/>
      <c r="AJ846" s="780"/>
      <c r="AK846" s="780"/>
      <c r="AL846" s="780"/>
      <c r="AM846" s="780"/>
      <c r="AN846" s="780"/>
      <c r="AO846" s="780"/>
      <c r="AP846" s="780"/>
      <c r="AQ846" s="780"/>
      <c r="AR846" s="780"/>
      <c r="AS846" s="780"/>
      <c r="AT846" s="780"/>
      <c r="AU846" s="780"/>
      <c r="AV846" s="780"/>
      <c r="AW846" s="780"/>
    </row>
    <row r="847">
      <c r="A847" s="941"/>
      <c r="B847" s="941"/>
      <c r="C847" s="995"/>
      <c r="D847" s="1001"/>
      <c r="E847" s="944"/>
      <c r="F847" s="946"/>
      <c r="G847" s="946"/>
      <c r="H847" s="946"/>
      <c r="I847" s="947">
        <v>0.00138428</v>
      </c>
      <c r="J847" s="948">
        <v>0.035</v>
      </c>
      <c r="K847" s="949">
        <f t="shared" si="22"/>
        <v>0</v>
      </c>
      <c r="L847" s="950">
        <f t="shared" si="23"/>
        <v>0</v>
      </c>
      <c r="M847" s="948">
        <v>0.0215</v>
      </c>
      <c r="N847" s="951">
        <f t="shared" si="24"/>
        <v>0.00141404202</v>
      </c>
      <c r="O847" s="949">
        <f t="shared" si="25"/>
        <v>15</v>
      </c>
      <c r="P847" s="949">
        <f t="shared" si="77"/>
        <v>0.0215</v>
      </c>
      <c r="Q847" s="952">
        <f t="shared" si="79"/>
        <v>0</v>
      </c>
      <c r="R847" s="952">
        <f t="shared" si="78"/>
        <v>0</v>
      </c>
      <c r="S847" s="953"/>
      <c r="T847" s="949">
        <v>0.06</v>
      </c>
      <c r="U847" s="954"/>
      <c r="V847" s="949"/>
      <c r="W847" s="953"/>
      <c r="X847" s="949">
        <f t="shared" si="7"/>
        <v>0</v>
      </c>
      <c r="Y847" s="955"/>
      <c r="Z847" s="953" t="str">
        <f t="shared" si="8"/>
        <v/>
      </c>
      <c r="AA847" s="949">
        <f t="shared" si="9"/>
        <v>0</v>
      </c>
      <c r="AB847" s="955"/>
      <c r="AC847" s="949" t="str">
        <f t="shared" si="10"/>
        <v/>
      </c>
      <c r="AD847" s="953">
        <f t="shared" si="11"/>
        <v>0</v>
      </c>
      <c r="AE847" s="956"/>
      <c r="AF847" s="889"/>
      <c r="AG847" s="810" t="b">
        <v>0</v>
      </c>
      <c r="AH847" s="780"/>
      <c r="AI847" s="780"/>
      <c r="AJ847" s="780"/>
      <c r="AK847" s="780"/>
      <c r="AL847" s="780"/>
      <c r="AM847" s="780"/>
      <c r="AN847" s="780"/>
      <c r="AO847" s="780"/>
      <c r="AP847" s="780"/>
      <c r="AQ847" s="780"/>
      <c r="AR847" s="780"/>
      <c r="AS847" s="780"/>
      <c r="AT847" s="780"/>
      <c r="AU847" s="780"/>
      <c r="AV847" s="780"/>
      <c r="AW847" s="780"/>
    </row>
    <row r="848">
      <c r="A848" s="941"/>
      <c r="B848" s="941"/>
      <c r="C848" s="995"/>
      <c r="D848" s="995"/>
      <c r="E848" s="995"/>
      <c r="F848" s="946"/>
      <c r="G848" s="946"/>
      <c r="H848" s="946"/>
      <c r="I848" s="947">
        <v>0.00138428</v>
      </c>
      <c r="J848" s="948">
        <v>0.035</v>
      </c>
      <c r="K848" s="949">
        <f t="shared" si="22"/>
        <v>0</v>
      </c>
      <c r="L848" s="950">
        <f t="shared" si="23"/>
        <v>0</v>
      </c>
      <c r="M848" s="948">
        <v>0.0215</v>
      </c>
      <c r="N848" s="951">
        <f t="shared" si="24"/>
        <v>0.00141404202</v>
      </c>
      <c r="O848" s="949">
        <f t="shared" si="25"/>
        <v>15</v>
      </c>
      <c r="P848" s="949">
        <f t="shared" si="77"/>
        <v>0.0215</v>
      </c>
      <c r="Q848" s="952">
        <f t="shared" si="79"/>
        <v>0</v>
      </c>
      <c r="R848" s="952">
        <f t="shared" si="78"/>
        <v>0</v>
      </c>
      <c r="S848" s="953"/>
      <c r="T848" s="949">
        <v>0.06</v>
      </c>
      <c r="U848" s="954"/>
      <c r="V848" s="949"/>
      <c r="W848" s="953"/>
      <c r="X848" s="949">
        <f t="shared" si="7"/>
        <v>0</v>
      </c>
      <c r="Y848" s="955"/>
      <c r="Z848" s="953" t="str">
        <f t="shared" si="8"/>
        <v/>
      </c>
      <c r="AA848" s="949">
        <f t="shared" si="9"/>
        <v>0</v>
      </c>
      <c r="AB848" s="955"/>
      <c r="AC848" s="949" t="str">
        <f t="shared" si="10"/>
        <v/>
      </c>
      <c r="AD848" s="953">
        <f t="shared" si="11"/>
        <v>0</v>
      </c>
      <c r="AE848" s="956"/>
      <c r="AF848" s="889"/>
      <c r="AG848" s="810" t="b">
        <v>0</v>
      </c>
      <c r="AH848" s="780"/>
      <c r="AI848" s="780"/>
      <c r="AJ848" s="780"/>
      <c r="AK848" s="780"/>
      <c r="AL848" s="780"/>
      <c r="AM848" s="780"/>
      <c r="AN848" s="780"/>
      <c r="AO848" s="780"/>
      <c r="AP848" s="780"/>
      <c r="AQ848" s="780"/>
      <c r="AR848" s="780"/>
      <c r="AS848" s="780"/>
      <c r="AT848" s="780"/>
      <c r="AU848" s="780"/>
      <c r="AV848" s="780"/>
      <c r="AW848" s="780"/>
    </row>
    <row r="849">
      <c r="A849" s="941"/>
      <c r="B849" s="941"/>
      <c r="C849" s="995"/>
      <c r="D849" s="995"/>
      <c r="E849" s="995"/>
      <c r="F849" s="946"/>
      <c r="G849" s="946"/>
      <c r="H849" s="946"/>
      <c r="I849" s="947">
        <v>0.00138428</v>
      </c>
      <c r="J849" s="948">
        <v>0.035</v>
      </c>
      <c r="K849" s="949">
        <f t="shared" si="22"/>
        <v>0</v>
      </c>
      <c r="L849" s="950">
        <f t="shared" si="23"/>
        <v>0</v>
      </c>
      <c r="M849" s="948">
        <v>0.0215</v>
      </c>
      <c r="N849" s="951">
        <f t="shared" si="24"/>
        <v>0.00141404202</v>
      </c>
      <c r="O849" s="949">
        <f t="shared" si="25"/>
        <v>15</v>
      </c>
      <c r="P849" s="949">
        <f t="shared" si="77"/>
        <v>0.0215</v>
      </c>
      <c r="Q849" s="952">
        <f t="shared" si="79"/>
        <v>0</v>
      </c>
      <c r="R849" s="952">
        <f t="shared" si="78"/>
        <v>0</v>
      </c>
      <c r="S849" s="953"/>
      <c r="T849" s="949">
        <v>0.06</v>
      </c>
      <c r="U849" s="954"/>
      <c r="V849" s="949"/>
      <c r="W849" s="953"/>
      <c r="X849" s="949">
        <f t="shared" si="7"/>
        <v>0</v>
      </c>
      <c r="Y849" s="955"/>
      <c r="Z849" s="953" t="str">
        <f t="shared" si="8"/>
        <v/>
      </c>
      <c r="AA849" s="949">
        <f t="shared" si="9"/>
        <v>0</v>
      </c>
      <c r="AB849" s="955"/>
      <c r="AC849" s="949" t="str">
        <f t="shared" si="10"/>
        <v/>
      </c>
      <c r="AD849" s="953">
        <f t="shared" si="11"/>
        <v>0</v>
      </c>
      <c r="AE849" s="956"/>
      <c r="AF849" s="889"/>
      <c r="AG849" s="810" t="b">
        <v>0</v>
      </c>
      <c r="AH849" s="780"/>
      <c r="AI849" s="780"/>
      <c r="AJ849" s="780"/>
      <c r="AK849" s="780"/>
      <c r="AL849" s="780"/>
      <c r="AM849" s="780"/>
      <c r="AN849" s="780"/>
      <c r="AO849" s="780"/>
      <c r="AP849" s="780"/>
      <c r="AQ849" s="780"/>
      <c r="AR849" s="780"/>
      <c r="AS849" s="780"/>
      <c r="AT849" s="780"/>
      <c r="AU849" s="780"/>
      <c r="AV849" s="780"/>
      <c r="AW849" s="780"/>
    </row>
    <row r="850">
      <c r="A850" s="941"/>
      <c r="B850" s="941"/>
      <c r="C850" s="995"/>
      <c r="D850" s="995"/>
      <c r="E850" s="995"/>
      <c r="F850" s="946"/>
      <c r="G850" s="946"/>
      <c r="H850" s="946"/>
      <c r="I850" s="947">
        <v>0.00138428</v>
      </c>
      <c r="J850" s="948">
        <v>0.035</v>
      </c>
      <c r="K850" s="949">
        <f t="shared" si="22"/>
        <v>0</v>
      </c>
      <c r="L850" s="950">
        <f t="shared" si="23"/>
        <v>0</v>
      </c>
      <c r="M850" s="948">
        <v>0.0215</v>
      </c>
      <c r="N850" s="951">
        <f t="shared" si="24"/>
        <v>0.00141404202</v>
      </c>
      <c r="O850" s="949">
        <f t="shared" si="25"/>
        <v>15</v>
      </c>
      <c r="P850" s="949">
        <f t="shared" si="77"/>
        <v>0.0215</v>
      </c>
      <c r="Q850" s="952">
        <f t="shared" si="79"/>
        <v>0</v>
      </c>
      <c r="R850" s="952">
        <f t="shared" si="78"/>
        <v>0</v>
      </c>
      <c r="S850" s="953"/>
      <c r="T850" s="949">
        <v>0.06</v>
      </c>
      <c r="U850" s="954"/>
      <c r="V850" s="949"/>
      <c r="W850" s="953"/>
      <c r="X850" s="949">
        <f t="shared" si="7"/>
        <v>0</v>
      </c>
      <c r="Y850" s="955"/>
      <c r="Z850" s="953" t="str">
        <f t="shared" si="8"/>
        <v/>
      </c>
      <c r="AA850" s="949">
        <f t="shared" si="9"/>
        <v>0</v>
      </c>
      <c r="AB850" s="955"/>
      <c r="AC850" s="949" t="str">
        <f t="shared" si="10"/>
        <v/>
      </c>
      <c r="AD850" s="953">
        <f t="shared" si="11"/>
        <v>0</v>
      </c>
      <c r="AE850" s="956"/>
      <c r="AF850" s="889"/>
      <c r="AG850" s="810" t="b">
        <v>0</v>
      </c>
      <c r="AH850" s="780"/>
      <c r="AI850" s="780"/>
      <c r="AJ850" s="780"/>
      <c r="AK850" s="780"/>
      <c r="AL850" s="780"/>
      <c r="AM850" s="780"/>
      <c r="AN850" s="780"/>
      <c r="AO850" s="780"/>
      <c r="AP850" s="780"/>
      <c r="AQ850" s="780"/>
      <c r="AR850" s="780"/>
      <c r="AS850" s="780"/>
      <c r="AT850" s="780"/>
      <c r="AU850" s="780"/>
      <c r="AV850" s="780"/>
      <c r="AW850" s="780"/>
    </row>
    <row r="851">
      <c r="A851" s="941"/>
      <c r="B851" s="941"/>
      <c r="C851" s="995"/>
      <c r="D851" s="995"/>
      <c r="E851" s="995"/>
      <c r="F851" s="946"/>
      <c r="G851" s="946"/>
      <c r="H851" s="946"/>
      <c r="I851" s="947">
        <v>0.00138428</v>
      </c>
      <c r="J851" s="948">
        <v>0.035</v>
      </c>
      <c r="K851" s="949">
        <f t="shared" si="22"/>
        <v>0</v>
      </c>
      <c r="L851" s="950">
        <f t="shared" si="23"/>
        <v>0</v>
      </c>
      <c r="M851" s="948">
        <v>0.0215</v>
      </c>
      <c r="N851" s="951">
        <f t="shared" si="24"/>
        <v>0.00141404202</v>
      </c>
      <c r="O851" s="949">
        <f t="shared" si="25"/>
        <v>15</v>
      </c>
      <c r="P851" s="949">
        <f t="shared" si="77"/>
        <v>0.0215</v>
      </c>
      <c r="Q851" s="952">
        <f t="shared" si="79"/>
        <v>0</v>
      </c>
      <c r="R851" s="952">
        <f t="shared" si="78"/>
        <v>0</v>
      </c>
      <c r="S851" s="953"/>
      <c r="T851" s="949">
        <v>0.06</v>
      </c>
      <c r="U851" s="954"/>
      <c r="V851" s="949"/>
      <c r="W851" s="953"/>
      <c r="X851" s="949">
        <f t="shared" si="7"/>
        <v>0</v>
      </c>
      <c r="Y851" s="955"/>
      <c r="Z851" s="953" t="str">
        <f t="shared" si="8"/>
        <v/>
      </c>
      <c r="AA851" s="949">
        <f t="shared" si="9"/>
        <v>0</v>
      </c>
      <c r="AB851" s="955"/>
      <c r="AC851" s="949" t="str">
        <f t="shared" si="10"/>
        <v/>
      </c>
      <c r="AD851" s="953">
        <f t="shared" si="11"/>
        <v>0</v>
      </c>
      <c r="AE851" s="956"/>
      <c r="AF851" s="889"/>
      <c r="AG851" s="810" t="b">
        <v>0</v>
      </c>
      <c r="AH851" s="780"/>
      <c r="AI851" s="780"/>
      <c r="AJ851" s="780"/>
      <c r="AK851" s="780"/>
      <c r="AL851" s="780"/>
      <c r="AM851" s="780"/>
      <c r="AN851" s="780"/>
      <c r="AO851" s="780"/>
      <c r="AP851" s="780"/>
      <c r="AQ851" s="780"/>
      <c r="AR851" s="780"/>
      <c r="AS851" s="780"/>
      <c r="AT851" s="780"/>
      <c r="AU851" s="780"/>
      <c r="AV851" s="780"/>
      <c r="AW851" s="780"/>
    </row>
    <row r="852">
      <c r="A852" s="941"/>
      <c r="B852" s="941"/>
      <c r="C852" s="995"/>
      <c r="D852" s="995"/>
      <c r="E852" s="995"/>
      <c r="F852" s="946"/>
      <c r="G852" s="946"/>
      <c r="H852" s="946"/>
      <c r="I852" s="947">
        <v>0.00138428</v>
      </c>
      <c r="J852" s="948">
        <v>0.035</v>
      </c>
      <c r="K852" s="949">
        <f t="shared" si="22"/>
        <v>0</v>
      </c>
      <c r="L852" s="950">
        <f t="shared" si="23"/>
        <v>0</v>
      </c>
      <c r="M852" s="948">
        <v>0.0215</v>
      </c>
      <c r="N852" s="951">
        <f t="shared" si="24"/>
        <v>0.00141404202</v>
      </c>
      <c r="O852" s="949">
        <f t="shared" si="25"/>
        <v>15</v>
      </c>
      <c r="P852" s="949">
        <f t="shared" si="77"/>
        <v>0.0215</v>
      </c>
      <c r="Q852" s="952">
        <f t="shared" si="79"/>
        <v>0</v>
      </c>
      <c r="R852" s="952">
        <f t="shared" si="78"/>
        <v>0</v>
      </c>
      <c r="S852" s="953"/>
      <c r="T852" s="949">
        <v>0.06</v>
      </c>
      <c r="U852" s="954"/>
      <c r="V852" s="949"/>
      <c r="W852" s="953"/>
      <c r="X852" s="949">
        <f t="shared" si="7"/>
        <v>0</v>
      </c>
      <c r="Y852" s="955"/>
      <c r="Z852" s="953" t="str">
        <f t="shared" si="8"/>
        <v/>
      </c>
      <c r="AA852" s="949">
        <f t="shared" si="9"/>
        <v>0</v>
      </c>
      <c r="AB852" s="955"/>
      <c r="AC852" s="949" t="str">
        <f t="shared" si="10"/>
        <v/>
      </c>
      <c r="AD852" s="953">
        <f t="shared" si="11"/>
        <v>0</v>
      </c>
      <c r="AE852" s="956"/>
      <c r="AF852" s="889"/>
      <c r="AG852" s="810" t="b">
        <v>0</v>
      </c>
      <c r="AH852" s="780"/>
      <c r="AI852" s="780"/>
      <c r="AJ852" s="780"/>
      <c r="AK852" s="780"/>
      <c r="AL852" s="780"/>
      <c r="AM852" s="780"/>
      <c r="AN852" s="780"/>
      <c r="AO852" s="780"/>
      <c r="AP852" s="780"/>
      <c r="AQ852" s="780"/>
      <c r="AR852" s="780"/>
      <c r="AS852" s="780"/>
      <c r="AT852" s="780"/>
      <c r="AU852" s="780"/>
      <c r="AV852" s="780"/>
      <c r="AW852" s="780"/>
    </row>
    <row r="853">
      <c r="A853" s="941"/>
      <c r="B853" s="941"/>
      <c r="C853" s="995"/>
      <c r="D853" s="995"/>
      <c r="E853" s="995"/>
      <c r="F853" s="946"/>
      <c r="G853" s="946"/>
      <c r="H853" s="946"/>
      <c r="I853" s="947">
        <v>0.00138428</v>
      </c>
      <c r="J853" s="948">
        <v>0.035</v>
      </c>
      <c r="K853" s="949">
        <f t="shared" si="22"/>
        <v>0</v>
      </c>
      <c r="L853" s="950">
        <f t="shared" si="23"/>
        <v>0</v>
      </c>
      <c r="M853" s="948">
        <v>0.0215</v>
      </c>
      <c r="N853" s="951">
        <f t="shared" si="24"/>
        <v>0.00141404202</v>
      </c>
      <c r="O853" s="949">
        <f t="shared" si="25"/>
        <v>15</v>
      </c>
      <c r="P853" s="949">
        <f t="shared" si="77"/>
        <v>0.0215</v>
      </c>
      <c r="Q853" s="952">
        <f t="shared" si="79"/>
        <v>0</v>
      </c>
      <c r="R853" s="952">
        <f t="shared" si="78"/>
        <v>0</v>
      </c>
      <c r="S853" s="953"/>
      <c r="T853" s="949">
        <v>0.06</v>
      </c>
      <c r="U853" s="954"/>
      <c r="V853" s="949"/>
      <c r="W853" s="953"/>
      <c r="X853" s="949">
        <f t="shared" si="7"/>
        <v>0</v>
      </c>
      <c r="Y853" s="955"/>
      <c r="Z853" s="953" t="str">
        <f t="shared" si="8"/>
        <v/>
      </c>
      <c r="AA853" s="949">
        <f t="shared" si="9"/>
        <v>0</v>
      </c>
      <c r="AB853" s="955"/>
      <c r="AC853" s="949" t="str">
        <f t="shared" si="10"/>
        <v/>
      </c>
      <c r="AD853" s="953">
        <f t="shared" si="11"/>
        <v>0</v>
      </c>
      <c r="AE853" s="956"/>
      <c r="AF853" s="889"/>
      <c r="AG853" s="810" t="b">
        <v>0</v>
      </c>
      <c r="AH853" s="780"/>
      <c r="AI853" s="780"/>
      <c r="AJ853" s="780"/>
      <c r="AK853" s="780"/>
      <c r="AL853" s="780"/>
      <c r="AM853" s="780"/>
      <c r="AN853" s="780"/>
      <c r="AO853" s="780"/>
      <c r="AP853" s="780"/>
      <c r="AQ853" s="780"/>
      <c r="AR853" s="780"/>
      <c r="AS853" s="780"/>
      <c r="AT853" s="780"/>
      <c r="AU853" s="780"/>
      <c r="AV853" s="780"/>
      <c r="AW853" s="780"/>
    </row>
    <row r="854">
      <c r="A854" s="941"/>
      <c r="B854" s="941"/>
      <c r="C854" s="995"/>
      <c r="D854" s="995"/>
      <c r="E854" s="995"/>
      <c r="F854" s="946"/>
      <c r="G854" s="946"/>
      <c r="H854" s="946"/>
      <c r="I854" s="947">
        <v>0.00138428</v>
      </c>
      <c r="J854" s="948">
        <v>0.035</v>
      </c>
      <c r="K854" s="949">
        <f t="shared" si="22"/>
        <v>0</v>
      </c>
      <c r="L854" s="950">
        <f t="shared" si="23"/>
        <v>0</v>
      </c>
      <c r="M854" s="948">
        <v>0.0215</v>
      </c>
      <c r="N854" s="951">
        <f t="shared" si="24"/>
        <v>0.00141404202</v>
      </c>
      <c r="O854" s="949">
        <f t="shared" si="25"/>
        <v>15</v>
      </c>
      <c r="P854" s="949">
        <f t="shared" si="77"/>
        <v>0.0215</v>
      </c>
      <c r="Q854" s="952">
        <f t="shared" si="79"/>
        <v>0</v>
      </c>
      <c r="R854" s="952">
        <f t="shared" si="78"/>
        <v>0</v>
      </c>
      <c r="S854" s="953"/>
      <c r="T854" s="949">
        <v>0.06</v>
      </c>
      <c r="U854" s="954"/>
      <c r="V854" s="949"/>
      <c r="W854" s="953"/>
      <c r="X854" s="949">
        <f t="shared" si="7"/>
        <v>0</v>
      </c>
      <c r="Y854" s="955"/>
      <c r="Z854" s="953" t="str">
        <f t="shared" si="8"/>
        <v/>
      </c>
      <c r="AA854" s="949">
        <f t="shared" si="9"/>
        <v>0</v>
      </c>
      <c r="AB854" s="955"/>
      <c r="AC854" s="949" t="str">
        <f t="shared" si="10"/>
        <v/>
      </c>
      <c r="AD854" s="953">
        <f t="shared" si="11"/>
        <v>0</v>
      </c>
      <c r="AE854" s="956"/>
      <c r="AF854" s="889"/>
      <c r="AG854" s="810" t="b">
        <v>0</v>
      </c>
      <c r="AH854" s="780"/>
      <c r="AI854" s="780"/>
      <c r="AJ854" s="780"/>
      <c r="AK854" s="780"/>
      <c r="AL854" s="780"/>
      <c r="AM854" s="780"/>
      <c r="AN854" s="780"/>
      <c r="AO854" s="780"/>
      <c r="AP854" s="780"/>
      <c r="AQ854" s="780"/>
      <c r="AR854" s="780"/>
      <c r="AS854" s="780"/>
      <c r="AT854" s="780"/>
      <c r="AU854" s="780"/>
      <c r="AV854" s="780"/>
      <c r="AW854" s="780"/>
    </row>
    <row r="855">
      <c r="A855" s="941"/>
      <c r="B855" s="941"/>
      <c r="C855" s="995"/>
      <c r="D855" s="995"/>
      <c r="E855" s="995"/>
      <c r="F855" s="946"/>
      <c r="G855" s="946"/>
      <c r="H855" s="946"/>
      <c r="I855" s="947">
        <v>0.00138428</v>
      </c>
      <c r="J855" s="948">
        <v>0.035</v>
      </c>
      <c r="K855" s="949">
        <f t="shared" si="22"/>
        <v>0</v>
      </c>
      <c r="L855" s="950">
        <f t="shared" si="23"/>
        <v>0</v>
      </c>
      <c r="M855" s="948">
        <v>0.0215</v>
      </c>
      <c r="N855" s="951">
        <f t="shared" si="24"/>
        <v>0.00141404202</v>
      </c>
      <c r="O855" s="949">
        <f t="shared" si="25"/>
        <v>15</v>
      </c>
      <c r="P855" s="949">
        <f t="shared" si="77"/>
        <v>0.0215</v>
      </c>
      <c r="Q855" s="952">
        <f t="shared" si="79"/>
        <v>0</v>
      </c>
      <c r="R855" s="952">
        <f t="shared" si="78"/>
        <v>0</v>
      </c>
      <c r="S855" s="953"/>
      <c r="T855" s="949">
        <v>0.06</v>
      </c>
      <c r="U855" s="954"/>
      <c r="V855" s="949"/>
      <c r="W855" s="953"/>
      <c r="X855" s="949">
        <f t="shared" si="7"/>
        <v>0</v>
      </c>
      <c r="Y855" s="955"/>
      <c r="Z855" s="953" t="str">
        <f t="shared" si="8"/>
        <v/>
      </c>
      <c r="AA855" s="949">
        <f t="shared" si="9"/>
        <v>0</v>
      </c>
      <c r="AB855" s="955"/>
      <c r="AC855" s="949" t="str">
        <f t="shared" si="10"/>
        <v/>
      </c>
      <c r="AD855" s="953">
        <f t="shared" si="11"/>
        <v>0</v>
      </c>
      <c r="AE855" s="956"/>
      <c r="AF855" s="889"/>
      <c r="AG855" s="810" t="b">
        <v>0</v>
      </c>
      <c r="AH855" s="780"/>
      <c r="AI855" s="780"/>
      <c r="AJ855" s="780"/>
      <c r="AK855" s="780"/>
      <c r="AL855" s="780"/>
      <c r="AM855" s="780"/>
      <c r="AN855" s="780"/>
      <c r="AO855" s="780"/>
      <c r="AP855" s="780"/>
      <c r="AQ855" s="780"/>
      <c r="AR855" s="780"/>
      <c r="AS855" s="780"/>
      <c r="AT855" s="780"/>
      <c r="AU855" s="780"/>
      <c r="AV855" s="780"/>
      <c r="AW855" s="780"/>
    </row>
    <row r="856">
      <c r="A856" s="941"/>
      <c r="B856" s="941"/>
      <c r="C856" s="995"/>
      <c r="D856" s="995"/>
      <c r="E856" s="995"/>
      <c r="F856" s="946"/>
      <c r="G856" s="946"/>
      <c r="H856" s="946"/>
      <c r="I856" s="947">
        <v>0.00138428</v>
      </c>
      <c r="J856" s="948">
        <v>0.035</v>
      </c>
      <c r="K856" s="949">
        <f t="shared" si="22"/>
        <v>0</v>
      </c>
      <c r="L856" s="950">
        <f t="shared" si="23"/>
        <v>0</v>
      </c>
      <c r="M856" s="948">
        <v>0.0215</v>
      </c>
      <c r="N856" s="951">
        <f t="shared" si="24"/>
        <v>0.00141404202</v>
      </c>
      <c r="O856" s="949">
        <f t="shared" si="25"/>
        <v>15</v>
      </c>
      <c r="P856" s="949">
        <f t="shared" si="77"/>
        <v>0.0215</v>
      </c>
      <c r="Q856" s="952">
        <f t="shared" si="79"/>
        <v>0</v>
      </c>
      <c r="R856" s="952">
        <f t="shared" si="78"/>
        <v>0</v>
      </c>
      <c r="S856" s="953"/>
      <c r="T856" s="949">
        <v>0.06</v>
      </c>
      <c r="U856" s="954"/>
      <c r="V856" s="949"/>
      <c r="W856" s="953"/>
      <c r="X856" s="949">
        <f t="shared" si="7"/>
        <v>0</v>
      </c>
      <c r="Y856" s="955"/>
      <c r="Z856" s="953" t="str">
        <f t="shared" si="8"/>
        <v/>
      </c>
      <c r="AA856" s="949">
        <f t="shared" si="9"/>
        <v>0</v>
      </c>
      <c r="AB856" s="955"/>
      <c r="AC856" s="949" t="str">
        <f t="shared" si="10"/>
        <v/>
      </c>
      <c r="AD856" s="953">
        <f t="shared" si="11"/>
        <v>0</v>
      </c>
      <c r="AE856" s="956"/>
      <c r="AF856" s="889"/>
      <c r="AG856" s="810" t="b">
        <v>0</v>
      </c>
      <c r="AH856" s="780"/>
      <c r="AI856" s="780"/>
      <c r="AJ856" s="780"/>
      <c r="AK856" s="780"/>
      <c r="AL856" s="780"/>
      <c r="AM856" s="780"/>
      <c r="AN856" s="780"/>
      <c r="AO856" s="780"/>
      <c r="AP856" s="780"/>
      <c r="AQ856" s="780"/>
      <c r="AR856" s="780"/>
      <c r="AS856" s="780"/>
      <c r="AT856" s="780"/>
      <c r="AU856" s="780"/>
      <c r="AV856" s="780"/>
      <c r="AW856" s="780"/>
    </row>
    <row r="857">
      <c r="A857" s="941"/>
      <c r="B857" s="941"/>
      <c r="C857" s="995"/>
      <c r="D857" s="995"/>
      <c r="E857" s="995"/>
      <c r="F857" s="946"/>
      <c r="G857" s="946"/>
      <c r="H857" s="946"/>
      <c r="I857" s="947">
        <v>0.00138428</v>
      </c>
      <c r="J857" s="948">
        <v>0.035</v>
      </c>
      <c r="K857" s="949">
        <f t="shared" si="22"/>
        <v>0</v>
      </c>
      <c r="L857" s="950">
        <f t="shared" si="23"/>
        <v>0</v>
      </c>
      <c r="M857" s="948">
        <v>0.0215</v>
      </c>
      <c r="N857" s="951">
        <f t="shared" si="24"/>
        <v>0.00141404202</v>
      </c>
      <c r="O857" s="949">
        <f t="shared" si="25"/>
        <v>15</v>
      </c>
      <c r="P857" s="949">
        <f t="shared" si="77"/>
        <v>0.0215</v>
      </c>
      <c r="Q857" s="952">
        <f t="shared" si="79"/>
        <v>0</v>
      </c>
      <c r="R857" s="952">
        <f t="shared" si="78"/>
        <v>0</v>
      </c>
      <c r="S857" s="953"/>
      <c r="T857" s="949">
        <v>0.06</v>
      </c>
      <c r="U857" s="954"/>
      <c r="V857" s="949"/>
      <c r="W857" s="953"/>
      <c r="X857" s="949">
        <f t="shared" si="7"/>
        <v>0</v>
      </c>
      <c r="Y857" s="955"/>
      <c r="Z857" s="953" t="str">
        <f t="shared" si="8"/>
        <v/>
      </c>
      <c r="AA857" s="949">
        <f t="shared" si="9"/>
        <v>0</v>
      </c>
      <c r="AB857" s="955"/>
      <c r="AC857" s="949" t="str">
        <f t="shared" si="10"/>
        <v/>
      </c>
      <c r="AD857" s="953">
        <f t="shared" si="11"/>
        <v>0</v>
      </c>
      <c r="AE857" s="956"/>
      <c r="AF857" s="889"/>
      <c r="AG857" s="810" t="b">
        <v>0</v>
      </c>
      <c r="AH857" s="780"/>
      <c r="AI857" s="780"/>
      <c r="AJ857" s="780"/>
      <c r="AK857" s="780"/>
      <c r="AL857" s="780"/>
      <c r="AM857" s="780"/>
      <c r="AN857" s="780"/>
      <c r="AO857" s="780"/>
      <c r="AP857" s="780"/>
      <c r="AQ857" s="780"/>
      <c r="AR857" s="780"/>
      <c r="AS857" s="780"/>
      <c r="AT857" s="780"/>
      <c r="AU857" s="780"/>
      <c r="AV857" s="780"/>
      <c r="AW857" s="780"/>
    </row>
    <row r="858">
      <c r="A858" s="941"/>
      <c r="B858" s="941"/>
      <c r="C858" s="995"/>
      <c r="D858" s="1001"/>
      <c r="E858" s="944"/>
      <c r="F858" s="946"/>
      <c r="G858" s="946"/>
      <c r="H858" s="946"/>
      <c r="I858" s="947">
        <v>0.00138428</v>
      </c>
      <c r="J858" s="948">
        <v>0.035</v>
      </c>
      <c r="K858" s="949">
        <f t="shared" si="22"/>
        <v>0</v>
      </c>
      <c r="L858" s="950">
        <f t="shared" si="23"/>
        <v>0</v>
      </c>
      <c r="M858" s="948">
        <v>0.0215</v>
      </c>
      <c r="N858" s="951">
        <f t="shared" si="24"/>
        <v>0.00141404202</v>
      </c>
      <c r="O858" s="949">
        <f t="shared" si="25"/>
        <v>15</v>
      </c>
      <c r="P858" s="949">
        <f t="shared" si="77"/>
        <v>0.0215</v>
      </c>
      <c r="Q858" s="952">
        <f t="shared" si="79"/>
        <v>0</v>
      </c>
      <c r="R858" s="952">
        <f t="shared" si="78"/>
        <v>0</v>
      </c>
      <c r="S858" s="953"/>
      <c r="T858" s="949">
        <v>0.06</v>
      </c>
      <c r="U858" s="954"/>
      <c r="V858" s="949"/>
      <c r="W858" s="953"/>
      <c r="X858" s="949">
        <f t="shared" si="7"/>
        <v>0</v>
      </c>
      <c r="Y858" s="955"/>
      <c r="Z858" s="953" t="str">
        <f t="shared" si="8"/>
        <v/>
      </c>
      <c r="AA858" s="949">
        <f t="shared" si="9"/>
        <v>0</v>
      </c>
      <c r="AB858" s="955"/>
      <c r="AC858" s="949" t="str">
        <f t="shared" si="10"/>
        <v/>
      </c>
      <c r="AD858" s="953">
        <f t="shared" si="11"/>
        <v>0</v>
      </c>
      <c r="AE858" s="956"/>
      <c r="AF858" s="889"/>
      <c r="AG858" s="810" t="b">
        <v>0</v>
      </c>
      <c r="AH858" s="780"/>
      <c r="AI858" s="780"/>
      <c r="AJ858" s="780"/>
      <c r="AK858" s="780"/>
      <c r="AL858" s="780"/>
      <c r="AM858" s="780"/>
      <c r="AN858" s="780"/>
      <c r="AO858" s="780"/>
      <c r="AP858" s="780"/>
      <c r="AQ858" s="780"/>
      <c r="AR858" s="780"/>
      <c r="AS858" s="780"/>
      <c r="AT858" s="780"/>
      <c r="AU858" s="780"/>
      <c r="AV858" s="780"/>
      <c r="AW858" s="780"/>
    </row>
    <row r="859">
      <c r="A859" s="941"/>
      <c r="B859" s="941"/>
      <c r="C859" s="995"/>
      <c r="D859" s="995"/>
      <c r="E859" s="995"/>
      <c r="F859" s="946"/>
      <c r="G859" s="946"/>
      <c r="H859" s="946"/>
      <c r="I859" s="947">
        <v>0.00138428</v>
      </c>
      <c r="J859" s="948">
        <v>0.035</v>
      </c>
      <c r="K859" s="949">
        <f t="shared" si="22"/>
        <v>0</v>
      </c>
      <c r="L859" s="950">
        <f t="shared" si="23"/>
        <v>0</v>
      </c>
      <c r="M859" s="948">
        <v>0.0215</v>
      </c>
      <c r="N859" s="951">
        <f t="shared" si="24"/>
        <v>0.00141404202</v>
      </c>
      <c r="O859" s="949">
        <f t="shared" si="25"/>
        <v>15</v>
      </c>
      <c r="P859" s="949">
        <f t="shared" si="77"/>
        <v>0.0215</v>
      </c>
      <c r="Q859" s="952">
        <f t="shared" si="79"/>
        <v>0</v>
      </c>
      <c r="R859" s="952">
        <f t="shared" si="78"/>
        <v>0</v>
      </c>
      <c r="S859" s="953"/>
      <c r="T859" s="949">
        <v>0.06</v>
      </c>
      <c r="U859" s="954"/>
      <c r="V859" s="949"/>
      <c r="W859" s="953"/>
      <c r="X859" s="949">
        <f t="shared" si="7"/>
        <v>0</v>
      </c>
      <c r="Y859" s="955"/>
      <c r="Z859" s="953" t="str">
        <f t="shared" si="8"/>
        <v/>
      </c>
      <c r="AA859" s="949">
        <f t="shared" si="9"/>
        <v>0</v>
      </c>
      <c r="AB859" s="955"/>
      <c r="AC859" s="949" t="str">
        <f t="shared" si="10"/>
        <v/>
      </c>
      <c r="AD859" s="953">
        <f t="shared" si="11"/>
        <v>0</v>
      </c>
      <c r="AE859" s="956"/>
      <c r="AF859" s="889"/>
      <c r="AG859" s="810" t="b">
        <v>0</v>
      </c>
      <c r="AH859" s="780"/>
      <c r="AI859" s="780"/>
      <c r="AJ859" s="780"/>
      <c r="AK859" s="780"/>
      <c r="AL859" s="780"/>
      <c r="AM859" s="780"/>
      <c r="AN859" s="780"/>
      <c r="AO859" s="780"/>
      <c r="AP859" s="780"/>
      <c r="AQ859" s="780"/>
      <c r="AR859" s="780"/>
      <c r="AS859" s="780"/>
      <c r="AT859" s="780"/>
      <c r="AU859" s="780"/>
      <c r="AV859" s="780"/>
      <c r="AW859" s="780"/>
    </row>
    <row r="860">
      <c r="A860" s="941"/>
      <c r="B860" s="941"/>
      <c r="C860" s="995"/>
      <c r="D860" s="995"/>
      <c r="E860" s="995"/>
      <c r="F860" s="946"/>
      <c r="G860" s="946"/>
      <c r="H860" s="946"/>
      <c r="I860" s="947">
        <v>0.00138428</v>
      </c>
      <c r="J860" s="948">
        <v>0.035</v>
      </c>
      <c r="K860" s="949">
        <f t="shared" si="22"/>
        <v>0</v>
      </c>
      <c r="L860" s="950">
        <f t="shared" si="23"/>
        <v>0</v>
      </c>
      <c r="M860" s="948">
        <v>0.0215</v>
      </c>
      <c r="N860" s="951">
        <f t="shared" si="24"/>
        <v>0.00141404202</v>
      </c>
      <c r="O860" s="949">
        <f t="shared" si="25"/>
        <v>15</v>
      </c>
      <c r="P860" s="949">
        <f t="shared" si="77"/>
        <v>0.0215</v>
      </c>
      <c r="Q860" s="952">
        <f t="shared" si="79"/>
        <v>0</v>
      </c>
      <c r="R860" s="952">
        <f t="shared" si="78"/>
        <v>0</v>
      </c>
      <c r="S860" s="953"/>
      <c r="T860" s="949">
        <v>0.06</v>
      </c>
      <c r="U860" s="954"/>
      <c r="V860" s="949"/>
      <c r="W860" s="953"/>
      <c r="X860" s="949">
        <f t="shared" si="7"/>
        <v>0</v>
      </c>
      <c r="Y860" s="955"/>
      <c r="Z860" s="953" t="str">
        <f t="shared" si="8"/>
        <v/>
      </c>
      <c r="AA860" s="949">
        <f t="shared" si="9"/>
        <v>0</v>
      </c>
      <c r="AB860" s="955"/>
      <c r="AC860" s="949" t="str">
        <f t="shared" si="10"/>
        <v/>
      </c>
      <c r="AD860" s="953">
        <f t="shared" si="11"/>
        <v>0</v>
      </c>
      <c r="AE860" s="956"/>
      <c r="AF860" s="889"/>
      <c r="AG860" s="810" t="b">
        <v>0</v>
      </c>
      <c r="AH860" s="780"/>
      <c r="AI860" s="780"/>
      <c r="AJ860" s="780"/>
      <c r="AK860" s="780"/>
      <c r="AL860" s="780"/>
      <c r="AM860" s="780"/>
      <c r="AN860" s="780"/>
      <c r="AO860" s="780"/>
      <c r="AP860" s="780"/>
      <c r="AQ860" s="780"/>
      <c r="AR860" s="780"/>
      <c r="AS860" s="780"/>
      <c r="AT860" s="780"/>
      <c r="AU860" s="780"/>
      <c r="AV860" s="780"/>
      <c r="AW860" s="780"/>
    </row>
    <row r="861">
      <c r="A861" s="941"/>
      <c r="B861" s="941"/>
      <c r="C861" s="995"/>
      <c r="D861" s="995"/>
      <c r="E861" s="995"/>
      <c r="F861" s="946"/>
      <c r="G861" s="946"/>
      <c r="H861" s="946"/>
      <c r="I861" s="947">
        <v>0.00138428</v>
      </c>
      <c r="J861" s="948">
        <v>0.035</v>
      </c>
      <c r="K861" s="949">
        <f t="shared" si="22"/>
        <v>0</v>
      </c>
      <c r="L861" s="950">
        <f t="shared" si="23"/>
        <v>0</v>
      </c>
      <c r="M861" s="948">
        <v>0.0215</v>
      </c>
      <c r="N861" s="951">
        <f t="shared" si="24"/>
        <v>0.00141404202</v>
      </c>
      <c r="O861" s="949">
        <f t="shared" si="25"/>
        <v>15</v>
      </c>
      <c r="P861" s="949">
        <f t="shared" si="77"/>
        <v>0.0215</v>
      </c>
      <c r="Q861" s="952">
        <f t="shared" si="79"/>
        <v>0</v>
      </c>
      <c r="R861" s="952">
        <f t="shared" si="78"/>
        <v>0</v>
      </c>
      <c r="S861" s="953"/>
      <c r="T861" s="949">
        <v>0.06</v>
      </c>
      <c r="U861" s="954"/>
      <c r="V861" s="949"/>
      <c r="W861" s="953"/>
      <c r="X861" s="949">
        <f t="shared" si="7"/>
        <v>0</v>
      </c>
      <c r="Y861" s="955"/>
      <c r="Z861" s="953" t="str">
        <f t="shared" si="8"/>
        <v/>
      </c>
      <c r="AA861" s="949">
        <f t="shared" si="9"/>
        <v>0</v>
      </c>
      <c r="AB861" s="955"/>
      <c r="AC861" s="949" t="str">
        <f t="shared" si="10"/>
        <v/>
      </c>
      <c r="AD861" s="953">
        <f t="shared" si="11"/>
        <v>0</v>
      </c>
      <c r="AE861" s="956"/>
      <c r="AF861" s="889"/>
      <c r="AG861" s="810" t="b">
        <v>0</v>
      </c>
      <c r="AH861" s="780"/>
      <c r="AI861" s="780"/>
      <c r="AJ861" s="780"/>
      <c r="AK861" s="780"/>
      <c r="AL861" s="780"/>
      <c r="AM861" s="780"/>
      <c r="AN861" s="780"/>
      <c r="AO861" s="780"/>
      <c r="AP861" s="780"/>
      <c r="AQ861" s="780"/>
      <c r="AR861" s="780"/>
      <c r="AS861" s="780"/>
      <c r="AT861" s="780"/>
      <c r="AU861" s="780"/>
      <c r="AV861" s="780"/>
      <c r="AW861" s="780"/>
    </row>
    <row r="862">
      <c r="A862" s="941"/>
      <c r="B862" s="941"/>
      <c r="C862" s="995"/>
      <c r="D862" s="995"/>
      <c r="E862" s="995"/>
      <c r="F862" s="946"/>
      <c r="G862" s="946"/>
      <c r="H862" s="946"/>
      <c r="I862" s="947">
        <v>0.00138428</v>
      </c>
      <c r="J862" s="948">
        <v>0.035</v>
      </c>
      <c r="K862" s="949">
        <f t="shared" si="22"/>
        <v>0</v>
      </c>
      <c r="L862" s="950">
        <f t="shared" si="23"/>
        <v>0</v>
      </c>
      <c r="M862" s="948">
        <v>0.0215</v>
      </c>
      <c r="N862" s="951">
        <f t="shared" si="24"/>
        <v>0.00141404202</v>
      </c>
      <c r="O862" s="949">
        <f t="shared" si="25"/>
        <v>15</v>
      </c>
      <c r="P862" s="949">
        <f t="shared" si="77"/>
        <v>0.0215</v>
      </c>
      <c r="Q862" s="952">
        <f t="shared" si="79"/>
        <v>0</v>
      </c>
      <c r="R862" s="952">
        <f t="shared" si="78"/>
        <v>0</v>
      </c>
      <c r="S862" s="953"/>
      <c r="T862" s="949">
        <v>0.06</v>
      </c>
      <c r="U862" s="954"/>
      <c r="V862" s="949"/>
      <c r="W862" s="953"/>
      <c r="X862" s="949">
        <f t="shared" si="7"/>
        <v>0</v>
      </c>
      <c r="Y862" s="955"/>
      <c r="Z862" s="953" t="str">
        <f t="shared" si="8"/>
        <v/>
      </c>
      <c r="AA862" s="949">
        <f t="shared" si="9"/>
        <v>0</v>
      </c>
      <c r="AB862" s="955"/>
      <c r="AC862" s="949" t="str">
        <f t="shared" si="10"/>
        <v/>
      </c>
      <c r="AD862" s="953">
        <f t="shared" si="11"/>
        <v>0</v>
      </c>
      <c r="AE862" s="956"/>
      <c r="AF862" s="889"/>
      <c r="AG862" s="810" t="b">
        <v>0</v>
      </c>
      <c r="AH862" s="780"/>
      <c r="AI862" s="780"/>
      <c r="AJ862" s="780"/>
      <c r="AK862" s="780"/>
      <c r="AL862" s="780"/>
      <c r="AM862" s="780"/>
      <c r="AN862" s="780"/>
      <c r="AO862" s="780"/>
      <c r="AP862" s="780"/>
      <c r="AQ862" s="780"/>
      <c r="AR862" s="780"/>
      <c r="AS862" s="780"/>
      <c r="AT862" s="780"/>
      <c r="AU862" s="780"/>
      <c r="AV862" s="780"/>
      <c r="AW862" s="780"/>
    </row>
    <row r="863">
      <c r="A863" s="941"/>
      <c r="B863" s="941"/>
      <c r="C863" s="995"/>
      <c r="D863" s="995"/>
      <c r="E863" s="995"/>
      <c r="F863" s="946"/>
      <c r="G863" s="946"/>
      <c r="H863" s="946"/>
      <c r="I863" s="947">
        <v>0.00138428</v>
      </c>
      <c r="J863" s="948">
        <v>0.035</v>
      </c>
      <c r="K863" s="949">
        <f t="shared" si="22"/>
        <v>0</v>
      </c>
      <c r="L863" s="950">
        <f t="shared" si="23"/>
        <v>0</v>
      </c>
      <c r="M863" s="948">
        <v>0.0215</v>
      </c>
      <c r="N863" s="951">
        <f t="shared" si="24"/>
        <v>0.00141404202</v>
      </c>
      <c r="O863" s="949">
        <f t="shared" si="25"/>
        <v>15</v>
      </c>
      <c r="P863" s="949">
        <f t="shared" si="77"/>
        <v>0.0215</v>
      </c>
      <c r="Q863" s="952">
        <f t="shared" si="79"/>
        <v>0</v>
      </c>
      <c r="R863" s="952">
        <f t="shared" si="78"/>
        <v>0</v>
      </c>
      <c r="S863" s="953"/>
      <c r="T863" s="949">
        <v>0.06</v>
      </c>
      <c r="U863" s="954"/>
      <c r="V863" s="949"/>
      <c r="W863" s="953"/>
      <c r="X863" s="949">
        <f t="shared" si="7"/>
        <v>0</v>
      </c>
      <c r="Y863" s="955"/>
      <c r="Z863" s="953" t="str">
        <f t="shared" si="8"/>
        <v/>
      </c>
      <c r="AA863" s="949">
        <f t="shared" si="9"/>
        <v>0</v>
      </c>
      <c r="AB863" s="955"/>
      <c r="AC863" s="949" t="str">
        <f t="shared" si="10"/>
        <v/>
      </c>
      <c r="AD863" s="953">
        <f t="shared" si="11"/>
        <v>0</v>
      </c>
      <c r="AE863" s="956"/>
      <c r="AF863" s="889"/>
      <c r="AG863" s="810" t="b">
        <v>0</v>
      </c>
      <c r="AH863" s="780"/>
      <c r="AI863" s="780"/>
      <c r="AJ863" s="780"/>
      <c r="AK863" s="780"/>
      <c r="AL863" s="780"/>
      <c r="AM863" s="780"/>
      <c r="AN863" s="780"/>
      <c r="AO863" s="780"/>
      <c r="AP863" s="780"/>
      <c r="AQ863" s="780"/>
      <c r="AR863" s="780"/>
      <c r="AS863" s="780"/>
      <c r="AT863" s="780"/>
      <c r="AU863" s="780"/>
      <c r="AV863" s="780"/>
      <c r="AW863" s="780"/>
    </row>
    <row r="864">
      <c r="A864" s="941"/>
      <c r="B864" s="941"/>
      <c r="C864" s="995"/>
      <c r="D864" s="995"/>
      <c r="E864" s="995"/>
      <c r="F864" s="946"/>
      <c r="G864" s="946"/>
      <c r="H864" s="946"/>
      <c r="I864" s="947">
        <v>0.00138428</v>
      </c>
      <c r="J864" s="948">
        <v>0.035</v>
      </c>
      <c r="K864" s="949">
        <f t="shared" si="22"/>
        <v>0</v>
      </c>
      <c r="L864" s="950">
        <f t="shared" si="23"/>
        <v>0</v>
      </c>
      <c r="M864" s="948">
        <v>0.0215</v>
      </c>
      <c r="N864" s="951">
        <f t="shared" si="24"/>
        <v>0.00141404202</v>
      </c>
      <c r="O864" s="949">
        <f t="shared" si="25"/>
        <v>15</v>
      </c>
      <c r="P864" s="949">
        <f t="shared" si="77"/>
        <v>0.0215</v>
      </c>
      <c r="Q864" s="952">
        <f t="shared" si="79"/>
        <v>0</v>
      </c>
      <c r="R864" s="952">
        <f t="shared" si="78"/>
        <v>0</v>
      </c>
      <c r="S864" s="953"/>
      <c r="T864" s="949">
        <v>0.06</v>
      </c>
      <c r="U864" s="954"/>
      <c r="V864" s="949"/>
      <c r="W864" s="953"/>
      <c r="X864" s="949">
        <f t="shared" si="7"/>
        <v>0</v>
      </c>
      <c r="Y864" s="955"/>
      <c r="Z864" s="953" t="str">
        <f t="shared" si="8"/>
        <v/>
      </c>
      <c r="AA864" s="949">
        <f t="shared" si="9"/>
        <v>0</v>
      </c>
      <c r="AB864" s="955"/>
      <c r="AC864" s="949" t="str">
        <f t="shared" si="10"/>
        <v/>
      </c>
      <c r="AD864" s="953">
        <f t="shared" si="11"/>
        <v>0</v>
      </c>
      <c r="AE864" s="956"/>
      <c r="AF864" s="889"/>
      <c r="AG864" s="810" t="b">
        <v>0</v>
      </c>
      <c r="AH864" s="780"/>
      <c r="AI864" s="780"/>
      <c r="AJ864" s="780"/>
      <c r="AK864" s="780"/>
      <c r="AL864" s="780"/>
      <c r="AM864" s="780"/>
      <c r="AN864" s="780"/>
      <c r="AO864" s="780"/>
      <c r="AP864" s="780"/>
      <c r="AQ864" s="780"/>
      <c r="AR864" s="780"/>
      <c r="AS864" s="780"/>
      <c r="AT864" s="780"/>
      <c r="AU864" s="780"/>
      <c r="AV864" s="780"/>
      <c r="AW864" s="780"/>
    </row>
    <row r="865">
      <c r="A865" s="941"/>
      <c r="B865" s="941"/>
      <c r="C865" s="995"/>
      <c r="D865" s="944"/>
      <c r="E865" s="944"/>
      <c r="F865" s="946"/>
      <c r="G865" s="946"/>
      <c r="H865" s="946"/>
      <c r="I865" s="947">
        <v>0.00138428</v>
      </c>
      <c r="J865" s="948">
        <v>0.035</v>
      </c>
      <c r="K865" s="949">
        <f t="shared" si="22"/>
        <v>0</v>
      </c>
      <c r="L865" s="950">
        <f t="shared" si="23"/>
        <v>0</v>
      </c>
      <c r="M865" s="948">
        <v>0.0215</v>
      </c>
      <c r="N865" s="951">
        <f t="shared" si="24"/>
        <v>0.00141404202</v>
      </c>
      <c r="O865" s="949">
        <f t="shared" si="25"/>
        <v>15</v>
      </c>
      <c r="P865" s="949">
        <f t="shared" si="77"/>
        <v>0.0215</v>
      </c>
      <c r="Q865" s="952">
        <f t="shared" si="79"/>
        <v>0</v>
      </c>
      <c r="R865" s="952">
        <f t="shared" si="78"/>
        <v>0</v>
      </c>
      <c r="S865" s="953"/>
      <c r="T865" s="949">
        <v>0.06</v>
      </c>
      <c r="U865" s="954"/>
      <c r="V865" s="949"/>
      <c r="W865" s="953"/>
      <c r="X865" s="949">
        <f t="shared" si="7"/>
        <v>0</v>
      </c>
      <c r="Y865" s="955"/>
      <c r="Z865" s="953" t="str">
        <f t="shared" si="8"/>
        <v/>
      </c>
      <c r="AA865" s="949">
        <f t="shared" si="9"/>
        <v>0</v>
      </c>
      <c r="AB865" s="955"/>
      <c r="AC865" s="949" t="str">
        <f t="shared" si="10"/>
        <v/>
      </c>
      <c r="AD865" s="953">
        <f t="shared" si="11"/>
        <v>0</v>
      </c>
      <c r="AE865" s="956"/>
      <c r="AF865" s="889"/>
      <c r="AG865" s="810" t="b">
        <v>0</v>
      </c>
      <c r="AH865" s="780"/>
      <c r="AI865" s="780"/>
      <c r="AJ865" s="780"/>
      <c r="AK865" s="780"/>
      <c r="AL865" s="780"/>
      <c r="AM865" s="780"/>
      <c r="AN865" s="780"/>
      <c r="AO865" s="780"/>
      <c r="AP865" s="780"/>
      <c r="AQ865" s="780"/>
      <c r="AR865" s="780"/>
      <c r="AS865" s="780"/>
      <c r="AT865" s="780"/>
      <c r="AU865" s="780"/>
      <c r="AV865" s="780"/>
      <c r="AW865" s="780"/>
    </row>
    <row r="866">
      <c r="A866" s="941"/>
      <c r="B866" s="941"/>
      <c r="C866" s="995"/>
      <c r="D866" s="995"/>
      <c r="E866" s="995"/>
      <c r="F866" s="946"/>
      <c r="G866" s="946"/>
      <c r="H866" s="946"/>
      <c r="I866" s="947">
        <v>0.00138428</v>
      </c>
      <c r="J866" s="948">
        <v>0.035</v>
      </c>
      <c r="K866" s="949">
        <f t="shared" si="22"/>
        <v>0</v>
      </c>
      <c r="L866" s="950">
        <f t="shared" si="23"/>
        <v>0</v>
      </c>
      <c r="M866" s="948">
        <v>0.0215</v>
      </c>
      <c r="N866" s="951">
        <f t="shared" si="24"/>
        <v>0.00141404202</v>
      </c>
      <c r="O866" s="949">
        <f t="shared" si="25"/>
        <v>15</v>
      </c>
      <c r="P866" s="949">
        <f t="shared" si="77"/>
        <v>0.0215</v>
      </c>
      <c r="Q866" s="952">
        <f t="shared" si="79"/>
        <v>0</v>
      </c>
      <c r="R866" s="952">
        <f t="shared" si="78"/>
        <v>0</v>
      </c>
      <c r="S866" s="953"/>
      <c r="T866" s="949">
        <v>0.06</v>
      </c>
      <c r="U866" s="954"/>
      <c r="V866" s="949"/>
      <c r="W866" s="953"/>
      <c r="X866" s="949">
        <f t="shared" si="7"/>
        <v>0</v>
      </c>
      <c r="Y866" s="955"/>
      <c r="Z866" s="953" t="str">
        <f t="shared" si="8"/>
        <v/>
      </c>
      <c r="AA866" s="949">
        <f t="shared" si="9"/>
        <v>0</v>
      </c>
      <c r="AB866" s="955"/>
      <c r="AC866" s="949" t="str">
        <f t="shared" si="10"/>
        <v/>
      </c>
      <c r="AD866" s="953">
        <f t="shared" si="11"/>
        <v>0</v>
      </c>
      <c r="AE866" s="956"/>
      <c r="AF866" s="889"/>
      <c r="AG866" s="810" t="b">
        <v>0</v>
      </c>
      <c r="AH866" s="780"/>
      <c r="AI866" s="780"/>
      <c r="AJ866" s="780"/>
      <c r="AK866" s="780"/>
      <c r="AL866" s="780"/>
      <c r="AM866" s="780"/>
      <c r="AN866" s="780"/>
      <c r="AO866" s="780"/>
      <c r="AP866" s="780"/>
      <c r="AQ866" s="780"/>
      <c r="AR866" s="780"/>
      <c r="AS866" s="780"/>
      <c r="AT866" s="780"/>
      <c r="AU866" s="780"/>
      <c r="AV866" s="780"/>
      <c r="AW866" s="780"/>
    </row>
    <row r="867">
      <c r="A867" s="941"/>
      <c r="B867" s="941"/>
      <c r="C867" s="995"/>
      <c r="D867" s="944"/>
      <c r="E867" s="944"/>
      <c r="F867" s="946"/>
      <c r="G867" s="946"/>
      <c r="H867" s="946"/>
      <c r="I867" s="947">
        <v>0.00138428</v>
      </c>
      <c r="J867" s="948">
        <v>0.035</v>
      </c>
      <c r="K867" s="949">
        <f t="shared" si="22"/>
        <v>0</v>
      </c>
      <c r="L867" s="950">
        <f t="shared" si="23"/>
        <v>0</v>
      </c>
      <c r="M867" s="948">
        <v>0.0215</v>
      </c>
      <c r="N867" s="951">
        <f t="shared" si="24"/>
        <v>0.00141404202</v>
      </c>
      <c r="O867" s="949">
        <f t="shared" si="25"/>
        <v>15</v>
      </c>
      <c r="P867" s="949">
        <f t="shared" si="77"/>
        <v>0.0215</v>
      </c>
      <c r="Q867" s="952">
        <f t="shared" si="79"/>
        <v>0</v>
      </c>
      <c r="R867" s="952">
        <f t="shared" si="78"/>
        <v>0</v>
      </c>
      <c r="S867" s="953"/>
      <c r="T867" s="949">
        <v>0.06</v>
      </c>
      <c r="U867" s="954"/>
      <c r="V867" s="949"/>
      <c r="W867" s="953"/>
      <c r="X867" s="949">
        <f t="shared" si="7"/>
        <v>0</v>
      </c>
      <c r="Y867" s="955"/>
      <c r="Z867" s="953" t="str">
        <f t="shared" si="8"/>
        <v/>
      </c>
      <c r="AA867" s="949">
        <f t="shared" si="9"/>
        <v>0</v>
      </c>
      <c r="AB867" s="955"/>
      <c r="AC867" s="949" t="str">
        <f t="shared" si="10"/>
        <v/>
      </c>
      <c r="AD867" s="953">
        <f t="shared" si="11"/>
        <v>0</v>
      </c>
      <c r="AE867" s="956"/>
      <c r="AF867" s="889"/>
      <c r="AG867" s="810" t="b">
        <v>0</v>
      </c>
      <c r="AH867" s="780"/>
      <c r="AI867" s="780"/>
      <c r="AJ867" s="780"/>
      <c r="AK867" s="780"/>
      <c r="AL867" s="780"/>
      <c r="AM867" s="780"/>
      <c r="AN867" s="780"/>
      <c r="AO867" s="780"/>
      <c r="AP867" s="780"/>
      <c r="AQ867" s="780"/>
      <c r="AR867" s="780"/>
      <c r="AS867" s="780"/>
      <c r="AT867" s="780"/>
      <c r="AU867" s="780"/>
      <c r="AV867" s="780"/>
      <c r="AW867" s="780"/>
    </row>
    <row r="868">
      <c r="A868" s="941"/>
      <c r="B868" s="941"/>
      <c r="C868" s="995"/>
      <c r="D868" s="995"/>
      <c r="E868" s="995"/>
      <c r="F868" s="946"/>
      <c r="G868" s="946"/>
      <c r="H868" s="946"/>
      <c r="I868" s="947">
        <v>0.00138428</v>
      </c>
      <c r="J868" s="948">
        <v>0.035</v>
      </c>
      <c r="K868" s="949">
        <f t="shared" si="22"/>
        <v>0</v>
      </c>
      <c r="L868" s="950">
        <f t="shared" si="23"/>
        <v>0</v>
      </c>
      <c r="M868" s="948">
        <v>0.0215</v>
      </c>
      <c r="N868" s="951">
        <f t="shared" si="24"/>
        <v>0.00141404202</v>
      </c>
      <c r="O868" s="949">
        <f t="shared" si="25"/>
        <v>15</v>
      </c>
      <c r="P868" s="949">
        <f t="shared" si="77"/>
        <v>0.0215</v>
      </c>
      <c r="Q868" s="952">
        <f t="shared" si="79"/>
        <v>0</v>
      </c>
      <c r="R868" s="952">
        <f t="shared" si="78"/>
        <v>0</v>
      </c>
      <c r="S868" s="953"/>
      <c r="T868" s="949">
        <v>0.06</v>
      </c>
      <c r="U868" s="954"/>
      <c r="V868" s="949"/>
      <c r="W868" s="953"/>
      <c r="X868" s="949">
        <f t="shared" si="7"/>
        <v>0</v>
      </c>
      <c r="Y868" s="955"/>
      <c r="Z868" s="953" t="str">
        <f t="shared" si="8"/>
        <v/>
      </c>
      <c r="AA868" s="949">
        <f t="shared" si="9"/>
        <v>0</v>
      </c>
      <c r="AB868" s="955"/>
      <c r="AC868" s="949" t="str">
        <f t="shared" si="10"/>
        <v/>
      </c>
      <c r="AD868" s="953">
        <f t="shared" si="11"/>
        <v>0</v>
      </c>
      <c r="AE868" s="956"/>
      <c r="AF868" s="889"/>
      <c r="AG868" s="810" t="b">
        <v>0</v>
      </c>
      <c r="AH868" s="780"/>
      <c r="AI868" s="780"/>
      <c r="AJ868" s="780"/>
      <c r="AK868" s="780"/>
      <c r="AL868" s="780"/>
      <c r="AM868" s="780"/>
      <c r="AN868" s="780"/>
      <c r="AO868" s="780"/>
      <c r="AP868" s="780"/>
      <c r="AQ868" s="780"/>
      <c r="AR868" s="780"/>
      <c r="AS868" s="780"/>
      <c r="AT868" s="780"/>
      <c r="AU868" s="780"/>
      <c r="AV868" s="780"/>
      <c r="AW868" s="780"/>
    </row>
    <row r="869">
      <c r="A869" s="941"/>
      <c r="B869" s="941"/>
      <c r="C869" s="995"/>
      <c r="D869" s="944"/>
      <c r="E869" s="944"/>
      <c r="F869" s="946"/>
      <c r="G869" s="946"/>
      <c r="H869" s="946"/>
      <c r="I869" s="947">
        <v>0.00138428</v>
      </c>
      <c r="J869" s="948">
        <v>0.035</v>
      </c>
      <c r="K869" s="949">
        <f t="shared" si="22"/>
        <v>0</v>
      </c>
      <c r="L869" s="950">
        <f t="shared" si="23"/>
        <v>0</v>
      </c>
      <c r="M869" s="948">
        <v>0.0215</v>
      </c>
      <c r="N869" s="951">
        <f t="shared" si="24"/>
        <v>0.00141404202</v>
      </c>
      <c r="O869" s="949">
        <f t="shared" si="25"/>
        <v>15</v>
      </c>
      <c r="P869" s="949">
        <f t="shared" si="77"/>
        <v>0.0215</v>
      </c>
      <c r="Q869" s="952">
        <f t="shared" si="79"/>
        <v>0</v>
      </c>
      <c r="R869" s="952">
        <f t="shared" si="78"/>
        <v>0</v>
      </c>
      <c r="S869" s="953"/>
      <c r="T869" s="949">
        <v>0.06</v>
      </c>
      <c r="U869" s="954"/>
      <c r="V869" s="949"/>
      <c r="W869" s="953"/>
      <c r="X869" s="949">
        <f t="shared" si="7"/>
        <v>0</v>
      </c>
      <c r="Y869" s="955"/>
      <c r="Z869" s="953" t="str">
        <f t="shared" si="8"/>
        <v/>
      </c>
      <c r="AA869" s="949">
        <f t="shared" si="9"/>
        <v>0</v>
      </c>
      <c r="AB869" s="955"/>
      <c r="AC869" s="949" t="str">
        <f t="shared" si="10"/>
        <v/>
      </c>
      <c r="AD869" s="953">
        <f t="shared" si="11"/>
        <v>0</v>
      </c>
      <c r="AE869" s="956"/>
      <c r="AF869" s="889"/>
      <c r="AG869" s="810" t="b">
        <v>0</v>
      </c>
      <c r="AH869" s="780"/>
      <c r="AI869" s="780"/>
      <c r="AJ869" s="780"/>
      <c r="AK869" s="780"/>
      <c r="AL869" s="780"/>
      <c r="AM869" s="780"/>
      <c r="AN869" s="780"/>
      <c r="AO869" s="780"/>
      <c r="AP869" s="780"/>
      <c r="AQ869" s="780"/>
      <c r="AR869" s="780"/>
      <c r="AS869" s="780"/>
      <c r="AT869" s="780"/>
      <c r="AU869" s="780"/>
      <c r="AV869" s="780"/>
      <c r="AW869" s="780"/>
    </row>
    <row r="870">
      <c r="A870" s="941"/>
      <c r="B870" s="941"/>
      <c r="C870" s="995"/>
      <c r="D870" s="995"/>
      <c r="E870" s="995"/>
      <c r="F870" s="946"/>
      <c r="G870" s="946"/>
      <c r="H870" s="946"/>
      <c r="I870" s="947">
        <v>0.00138428</v>
      </c>
      <c r="J870" s="948">
        <v>0.035</v>
      </c>
      <c r="K870" s="949">
        <f t="shared" si="22"/>
        <v>0</v>
      </c>
      <c r="L870" s="950">
        <f t="shared" si="23"/>
        <v>0</v>
      </c>
      <c r="M870" s="948">
        <v>0.0215</v>
      </c>
      <c r="N870" s="951">
        <f t="shared" si="24"/>
        <v>0.00141404202</v>
      </c>
      <c r="O870" s="949">
        <f t="shared" si="25"/>
        <v>15</v>
      </c>
      <c r="P870" s="949">
        <f t="shared" si="77"/>
        <v>0.0215</v>
      </c>
      <c r="Q870" s="952">
        <f t="shared" si="79"/>
        <v>0</v>
      </c>
      <c r="R870" s="952">
        <f t="shared" si="78"/>
        <v>0</v>
      </c>
      <c r="S870" s="953"/>
      <c r="T870" s="949">
        <v>0.06</v>
      </c>
      <c r="U870" s="954"/>
      <c r="V870" s="949"/>
      <c r="W870" s="953"/>
      <c r="X870" s="949">
        <f t="shared" si="7"/>
        <v>0</v>
      </c>
      <c r="Y870" s="955"/>
      <c r="Z870" s="953" t="str">
        <f t="shared" si="8"/>
        <v/>
      </c>
      <c r="AA870" s="949">
        <f t="shared" si="9"/>
        <v>0</v>
      </c>
      <c r="AB870" s="955"/>
      <c r="AC870" s="949" t="str">
        <f t="shared" si="10"/>
        <v/>
      </c>
      <c r="AD870" s="953">
        <f t="shared" si="11"/>
        <v>0</v>
      </c>
      <c r="AE870" s="956"/>
      <c r="AF870" s="889"/>
      <c r="AG870" s="810" t="b">
        <v>0</v>
      </c>
      <c r="AH870" s="780"/>
      <c r="AI870" s="780"/>
      <c r="AJ870" s="780"/>
      <c r="AK870" s="780"/>
      <c r="AL870" s="780"/>
      <c r="AM870" s="780"/>
      <c r="AN870" s="780"/>
      <c r="AO870" s="780"/>
      <c r="AP870" s="780"/>
      <c r="AQ870" s="780"/>
      <c r="AR870" s="780"/>
      <c r="AS870" s="780"/>
      <c r="AT870" s="780"/>
      <c r="AU870" s="780"/>
      <c r="AV870" s="780"/>
      <c r="AW870" s="780"/>
    </row>
    <row r="871">
      <c r="A871" s="941"/>
      <c r="B871" s="941"/>
      <c r="C871" s="995"/>
      <c r="D871" s="944"/>
      <c r="E871" s="944"/>
      <c r="F871" s="946"/>
      <c r="G871" s="946"/>
      <c r="H871" s="946"/>
      <c r="I871" s="947">
        <v>0.00138428</v>
      </c>
      <c r="J871" s="948">
        <v>0.035</v>
      </c>
      <c r="K871" s="949">
        <f t="shared" si="22"/>
        <v>0</v>
      </c>
      <c r="L871" s="950">
        <f t="shared" si="23"/>
        <v>0</v>
      </c>
      <c r="M871" s="948">
        <v>0.0215</v>
      </c>
      <c r="N871" s="951">
        <f t="shared" si="24"/>
        <v>0.00141404202</v>
      </c>
      <c r="O871" s="949">
        <f t="shared" si="25"/>
        <v>15</v>
      </c>
      <c r="P871" s="949">
        <f t="shared" si="77"/>
        <v>0.0215</v>
      </c>
      <c r="Q871" s="952">
        <f t="shared" si="79"/>
        <v>0</v>
      </c>
      <c r="R871" s="952">
        <f t="shared" si="78"/>
        <v>0</v>
      </c>
      <c r="S871" s="953"/>
      <c r="T871" s="949">
        <v>0.06</v>
      </c>
      <c r="U871" s="954"/>
      <c r="V871" s="949"/>
      <c r="W871" s="953"/>
      <c r="X871" s="949">
        <f t="shared" si="7"/>
        <v>0</v>
      </c>
      <c r="Y871" s="955"/>
      <c r="Z871" s="953" t="str">
        <f t="shared" si="8"/>
        <v/>
      </c>
      <c r="AA871" s="949">
        <f t="shared" si="9"/>
        <v>0</v>
      </c>
      <c r="AB871" s="955"/>
      <c r="AC871" s="949" t="str">
        <f t="shared" si="10"/>
        <v/>
      </c>
      <c r="AD871" s="953">
        <f t="shared" si="11"/>
        <v>0</v>
      </c>
      <c r="AE871" s="956"/>
      <c r="AF871" s="889"/>
      <c r="AG871" s="810" t="b">
        <v>0</v>
      </c>
      <c r="AH871" s="780"/>
      <c r="AI871" s="780"/>
      <c r="AJ871" s="780"/>
      <c r="AK871" s="780"/>
      <c r="AL871" s="780"/>
      <c r="AM871" s="780"/>
      <c r="AN871" s="780"/>
      <c r="AO871" s="780"/>
      <c r="AP871" s="780"/>
      <c r="AQ871" s="780"/>
      <c r="AR871" s="780"/>
      <c r="AS871" s="780"/>
      <c r="AT871" s="780"/>
      <c r="AU871" s="780"/>
      <c r="AV871" s="780"/>
      <c r="AW871" s="780"/>
    </row>
    <row r="872">
      <c r="A872" s="941"/>
      <c r="B872" s="941"/>
      <c r="C872" s="995"/>
      <c r="D872" s="995"/>
      <c r="E872" s="995"/>
      <c r="F872" s="946"/>
      <c r="G872" s="946"/>
      <c r="H872" s="946"/>
      <c r="I872" s="947">
        <v>0.00138428</v>
      </c>
      <c r="J872" s="948">
        <v>0.035</v>
      </c>
      <c r="K872" s="949">
        <f t="shared" si="22"/>
        <v>0</v>
      </c>
      <c r="L872" s="950">
        <f t="shared" si="23"/>
        <v>0</v>
      </c>
      <c r="M872" s="948">
        <v>0.0215</v>
      </c>
      <c r="N872" s="951">
        <f t="shared" si="24"/>
        <v>0.00141404202</v>
      </c>
      <c r="O872" s="949">
        <f t="shared" si="25"/>
        <v>15</v>
      </c>
      <c r="P872" s="949">
        <f t="shared" si="77"/>
        <v>0.0215</v>
      </c>
      <c r="Q872" s="952">
        <f t="shared" si="79"/>
        <v>0</v>
      </c>
      <c r="R872" s="952">
        <f t="shared" si="78"/>
        <v>0</v>
      </c>
      <c r="S872" s="953"/>
      <c r="T872" s="949">
        <v>0.06</v>
      </c>
      <c r="U872" s="954"/>
      <c r="V872" s="949"/>
      <c r="W872" s="953"/>
      <c r="X872" s="949">
        <f t="shared" si="7"/>
        <v>0</v>
      </c>
      <c r="Y872" s="955"/>
      <c r="Z872" s="953" t="str">
        <f t="shared" si="8"/>
        <v/>
      </c>
      <c r="AA872" s="949">
        <f t="shared" si="9"/>
        <v>0</v>
      </c>
      <c r="AB872" s="955"/>
      <c r="AC872" s="949" t="str">
        <f t="shared" si="10"/>
        <v/>
      </c>
      <c r="AD872" s="953">
        <f t="shared" si="11"/>
        <v>0</v>
      </c>
      <c r="AE872" s="956"/>
      <c r="AF872" s="889"/>
      <c r="AG872" s="810" t="b">
        <v>0</v>
      </c>
      <c r="AH872" s="780"/>
      <c r="AI872" s="780"/>
      <c r="AJ872" s="780"/>
      <c r="AK872" s="780"/>
      <c r="AL872" s="780"/>
      <c r="AM872" s="780"/>
      <c r="AN872" s="780"/>
      <c r="AO872" s="780"/>
      <c r="AP872" s="780"/>
      <c r="AQ872" s="780"/>
      <c r="AR872" s="780"/>
      <c r="AS872" s="780"/>
      <c r="AT872" s="780"/>
      <c r="AU872" s="780"/>
      <c r="AV872" s="780"/>
      <c r="AW872" s="780"/>
    </row>
    <row r="873">
      <c r="A873" s="941"/>
      <c r="B873" s="941"/>
      <c r="C873" s="995"/>
      <c r="D873" s="944"/>
      <c r="E873" s="944"/>
      <c r="F873" s="946"/>
      <c r="G873" s="946"/>
      <c r="H873" s="946"/>
      <c r="I873" s="947">
        <v>0.00138428</v>
      </c>
      <c r="J873" s="948">
        <v>0.035</v>
      </c>
      <c r="K873" s="949">
        <f t="shared" si="22"/>
        <v>0</v>
      </c>
      <c r="L873" s="950">
        <f t="shared" si="23"/>
        <v>0</v>
      </c>
      <c r="M873" s="948">
        <v>0.0215</v>
      </c>
      <c r="N873" s="951">
        <f t="shared" si="24"/>
        <v>0.00141404202</v>
      </c>
      <c r="O873" s="949">
        <f t="shared" si="25"/>
        <v>15</v>
      </c>
      <c r="P873" s="949">
        <f t="shared" si="77"/>
        <v>0.0215</v>
      </c>
      <c r="Q873" s="952">
        <f t="shared" si="79"/>
        <v>0</v>
      </c>
      <c r="R873" s="952">
        <f t="shared" si="78"/>
        <v>0</v>
      </c>
      <c r="S873" s="953"/>
      <c r="T873" s="949">
        <v>0.06</v>
      </c>
      <c r="U873" s="954"/>
      <c r="V873" s="949"/>
      <c r="W873" s="953"/>
      <c r="X873" s="949">
        <f t="shared" si="7"/>
        <v>0</v>
      </c>
      <c r="Y873" s="955"/>
      <c r="Z873" s="953" t="str">
        <f t="shared" si="8"/>
        <v/>
      </c>
      <c r="AA873" s="949">
        <f t="shared" si="9"/>
        <v>0</v>
      </c>
      <c r="AB873" s="955"/>
      <c r="AC873" s="949" t="str">
        <f t="shared" si="10"/>
        <v/>
      </c>
      <c r="AD873" s="953">
        <f t="shared" si="11"/>
        <v>0</v>
      </c>
      <c r="AE873" s="956"/>
      <c r="AF873" s="889"/>
      <c r="AG873" s="810" t="b">
        <v>0</v>
      </c>
      <c r="AH873" s="780"/>
      <c r="AI873" s="780"/>
      <c r="AJ873" s="780"/>
      <c r="AK873" s="780"/>
      <c r="AL873" s="780"/>
      <c r="AM873" s="780"/>
      <c r="AN873" s="780"/>
      <c r="AO873" s="780"/>
      <c r="AP873" s="780"/>
      <c r="AQ873" s="780"/>
      <c r="AR873" s="780"/>
      <c r="AS873" s="780"/>
      <c r="AT873" s="780"/>
      <c r="AU873" s="780"/>
      <c r="AV873" s="780"/>
      <c r="AW873" s="780"/>
    </row>
    <row r="874">
      <c r="A874" s="941"/>
      <c r="B874" s="941"/>
      <c r="C874" s="995"/>
      <c r="D874" s="995"/>
      <c r="E874" s="995"/>
      <c r="F874" s="946"/>
      <c r="G874" s="946"/>
      <c r="H874" s="946"/>
      <c r="I874" s="947">
        <v>0.00138428</v>
      </c>
      <c r="J874" s="948">
        <v>0.035</v>
      </c>
      <c r="K874" s="949">
        <f t="shared" si="22"/>
        <v>0</v>
      </c>
      <c r="L874" s="950">
        <f t="shared" si="23"/>
        <v>0</v>
      </c>
      <c r="M874" s="948">
        <v>0.0215</v>
      </c>
      <c r="N874" s="951">
        <f t="shared" si="24"/>
        <v>0.00141404202</v>
      </c>
      <c r="O874" s="949">
        <f t="shared" si="25"/>
        <v>15</v>
      </c>
      <c r="P874" s="949">
        <f t="shared" si="77"/>
        <v>0.0215</v>
      </c>
      <c r="Q874" s="952">
        <f t="shared" si="79"/>
        <v>0</v>
      </c>
      <c r="R874" s="952">
        <f t="shared" si="78"/>
        <v>0</v>
      </c>
      <c r="S874" s="953"/>
      <c r="T874" s="949">
        <v>0.06</v>
      </c>
      <c r="U874" s="954"/>
      <c r="V874" s="949"/>
      <c r="W874" s="953"/>
      <c r="X874" s="949">
        <f t="shared" si="7"/>
        <v>0</v>
      </c>
      <c r="Y874" s="955"/>
      <c r="Z874" s="953" t="str">
        <f t="shared" si="8"/>
        <v/>
      </c>
      <c r="AA874" s="949">
        <f t="shared" si="9"/>
        <v>0</v>
      </c>
      <c r="AB874" s="955"/>
      <c r="AC874" s="949" t="str">
        <f t="shared" si="10"/>
        <v/>
      </c>
      <c r="AD874" s="953">
        <f t="shared" si="11"/>
        <v>0</v>
      </c>
      <c r="AE874" s="956"/>
      <c r="AF874" s="889"/>
      <c r="AG874" s="810" t="b">
        <v>0</v>
      </c>
      <c r="AH874" s="780"/>
      <c r="AI874" s="780"/>
      <c r="AJ874" s="780"/>
      <c r="AK874" s="780"/>
      <c r="AL874" s="780"/>
      <c r="AM874" s="780"/>
      <c r="AN874" s="780"/>
      <c r="AO874" s="780"/>
      <c r="AP874" s="780"/>
      <c r="AQ874" s="780"/>
      <c r="AR874" s="780"/>
      <c r="AS874" s="780"/>
      <c r="AT874" s="780"/>
      <c r="AU874" s="780"/>
      <c r="AV874" s="780"/>
      <c r="AW874" s="780"/>
    </row>
    <row r="875">
      <c r="A875" s="941"/>
      <c r="B875" s="941"/>
      <c r="C875" s="995"/>
      <c r="D875" s="944"/>
      <c r="E875" s="944"/>
      <c r="F875" s="946"/>
      <c r="G875" s="946"/>
      <c r="H875" s="946"/>
      <c r="I875" s="947">
        <v>0.00138428</v>
      </c>
      <c r="J875" s="948">
        <v>0.035</v>
      </c>
      <c r="K875" s="949">
        <f t="shared" si="22"/>
        <v>0</v>
      </c>
      <c r="L875" s="950">
        <f t="shared" si="23"/>
        <v>0</v>
      </c>
      <c r="M875" s="948">
        <v>0.0215</v>
      </c>
      <c r="N875" s="951">
        <f t="shared" si="24"/>
        <v>0.00141404202</v>
      </c>
      <c r="O875" s="949">
        <f t="shared" si="25"/>
        <v>15</v>
      </c>
      <c r="P875" s="949">
        <f t="shared" si="77"/>
        <v>0.0215</v>
      </c>
      <c r="Q875" s="952">
        <f t="shared" si="79"/>
        <v>0</v>
      </c>
      <c r="R875" s="952">
        <f t="shared" si="78"/>
        <v>0</v>
      </c>
      <c r="S875" s="953"/>
      <c r="T875" s="949">
        <v>0.06</v>
      </c>
      <c r="U875" s="954"/>
      <c r="V875" s="949"/>
      <c r="W875" s="953"/>
      <c r="X875" s="949">
        <f t="shared" si="7"/>
        <v>0</v>
      </c>
      <c r="Y875" s="955"/>
      <c r="Z875" s="953" t="str">
        <f t="shared" si="8"/>
        <v/>
      </c>
      <c r="AA875" s="949">
        <f t="shared" si="9"/>
        <v>0</v>
      </c>
      <c r="AB875" s="955"/>
      <c r="AC875" s="949" t="str">
        <f t="shared" si="10"/>
        <v/>
      </c>
      <c r="AD875" s="953">
        <f t="shared" si="11"/>
        <v>0</v>
      </c>
      <c r="AE875" s="956"/>
      <c r="AF875" s="889"/>
      <c r="AG875" s="810" t="b">
        <v>0</v>
      </c>
      <c r="AH875" s="780"/>
      <c r="AI875" s="780"/>
      <c r="AJ875" s="780"/>
      <c r="AK875" s="780"/>
      <c r="AL875" s="780"/>
      <c r="AM875" s="780"/>
      <c r="AN875" s="780"/>
      <c r="AO875" s="780"/>
      <c r="AP875" s="780"/>
      <c r="AQ875" s="780"/>
      <c r="AR875" s="780"/>
      <c r="AS875" s="780"/>
      <c r="AT875" s="780"/>
      <c r="AU875" s="780"/>
      <c r="AV875" s="780"/>
      <c r="AW875" s="780"/>
    </row>
    <row r="876">
      <c r="A876" s="941"/>
      <c r="B876" s="941"/>
      <c r="C876" s="995"/>
      <c r="D876" s="995"/>
      <c r="E876" s="995"/>
      <c r="F876" s="946"/>
      <c r="G876" s="946"/>
      <c r="H876" s="946"/>
      <c r="I876" s="947">
        <v>0.00138428</v>
      </c>
      <c r="J876" s="948">
        <v>0.035</v>
      </c>
      <c r="K876" s="949">
        <f t="shared" si="22"/>
        <v>0</v>
      </c>
      <c r="L876" s="950">
        <f t="shared" si="23"/>
        <v>0</v>
      </c>
      <c r="M876" s="948">
        <v>0.0215</v>
      </c>
      <c r="N876" s="951">
        <f t="shared" si="24"/>
        <v>0.00141404202</v>
      </c>
      <c r="O876" s="949">
        <f t="shared" si="25"/>
        <v>15</v>
      </c>
      <c r="P876" s="949">
        <f t="shared" si="77"/>
        <v>0.0215</v>
      </c>
      <c r="Q876" s="952">
        <f t="shared" si="79"/>
        <v>0</v>
      </c>
      <c r="R876" s="952">
        <f t="shared" si="78"/>
        <v>0</v>
      </c>
      <c r="S876" s="953"/>
      <c r="T876" s="949">
        <v>0.06</v>
      </c>
      <c r="U876" s="954"/>
      <c r="V876" s="949"/>
      <c r="W876" s="953"/>
      <c r="X876" s="949">
        <f t="shared" si="7"/>
        <v>0</v>
      </c>
      <c r="Y876" s="955"/>
      <c r="Z876" s="953" t="str">
        <f t="shared" si="8"/>
        <v/>
      </c>
      <c r="AA876" s="949">
        <f t="shared" si="9"/>
        <v>0</v>
      </c>
      <c r="AB876" s="955"/>
      <c r="AC876" s="949" t="str">
        <f t="shared" si="10"/>
        <v/>
      </c>
      <c r="AD876" s="953">
        <f t="shared" si="11"/>
        <v>0</v>
      </c>
      <c r="AE876" s="956"/>
      <c r="AF876" s="889"/>
      <c r="AG876" s="810" t="b">
        <v>0</v>
      </c>
      <c r="AH876" s="780"/>
      <c r="AI876" s="780"/>
      <c r="AJ876" s="780"/>
      <c r="AK876" s="780"/>
      <c r="AL876" s="780"/>
      <c r="AM876" s="780"/>
      <c r="AN876" s="780"/>
      <c r="AO876" s="780"/>
      <c r="AP876" s="780"/>
      <c r="AQ876" s="780"/>
      <c r="AR876" s="780"/>
      <c r="AS876" s="780"/>
      <c r="AT876" s="780"/>
      <c r="AU876" s="780"/>
      <c r="AV876" s="780"/>
      <c r="AW876" s="780"/>
    </row>
    <row r="877">
      <c r="A877" s="941"/>
      <c r="B877" s="941"/>
      <c r="C877" s="995"/>
      <c r="D877" s="944"/>
      <c r="E877" s="944"/>
      <c r="F877" s="946"/>
      <c r="G877" s="946"/>
      <c r="H877" s="946"/>
      <c r="I877" s="947">
        <v>0.00138428</v>
      </c>
      <c r="J877" s="948">
        <v>0.035</v>
      </c>
      <c r="K877" s="949">
        <f t="shared" si="22"/>
        <v>0</v>
      </c>
      <c r="L877" s="950">
        <f t="shared" si="23"/>
        <v>0</v>
      </c>
      <c r="M877" s="948">
        <v>0.0215</v>
      </c>
      <c r="N877" s="951">
        <f t="shared" si="24"/>
        <v>0.00141404202</v>
      </c>
      <c r="O877" s="949">
        <f t="shared" si="25"/>
        <v>15</v>
      </c>
      <c r="P877" s="949">
        <f t="shared" si="77"/>
        <v>0.0215</v>
      </c>
      <c r="Q877" s="952">
        <f t="shared" si="79"/>
        <v>0</v>
      </c>
      <c r="R877" s="952">
        <f t="shared" si="78"/>
        <v>0</v>
      </c>
      <c r="S877" s="953"/>
      <c r="T877" s="949">
        <v>0.06</v>
      </c>
      <c r="U877" s="954"/>
      <c r="V877" s="949"/>
      <c r="W877" s="953"/>
      <c r="X877" s="949">
        <f t="shared" si="7"/>
        <v>0</v>
      </c>
      <c r="Y877" s="955"/>
      <c r="Z877" s="953" t="str">
        <f t="shared" si="8"/>
        <v/>
      </c>
      <c r="AA877" s="949">
        <f t="shared" si="9"/>
        <v>0</v>
      </c>
      <c r="AB877" s="955"/>
      <c r="AC877" s="949" t="str">
        <f t="shared" si="10"/>
        <v/>
      </c>
      <c r="AD877" s="953">
        <f t="shared" si="11"/>
        <v>0</v>
      </c>
      <c r="AE877" s="956"/>
      <c r="AF877" s="889"/>
      <c r="AG877" s="810" t="b">
        <v>0</v>
      </c>
      <c r="AH877" s="780"/>
      <c r="AI877" s="780"/>
      <c r="AJ877" s="780"/>
      <c r="AK877" s="780"/>
      <c r="AL877" s="780"/>
      <c r="AM877" s="780"/>
      <c r="AN877" s="780"/>
      <c r="AO877" s="780"/>
      <c r="AP877" s="780"/>
      <c r="AQ877" s="780"/>
      <c r="AR877" s="780"/>
      <c r="AS877" s="780"/>
      <c r="AT877" s="780"/>
      <c r="AU877" s="780"/>
      <c r="AV877" s="780"/>
      <c r="AW877" s="780"/>
    </row>
    <row r="878">
      <c r="A878" s="941"/>
      <c r="B878" s="941"/>
      <c r="C878" s="995"/>
      <c r="D878" s="995"/>
      <c r="E878" s="995"/>
      <c r="F878" s="946"/>
      <c r="G878" s="946"/>
      <c r="H878" s="946"/>
      <c r="I878" s="947">
        <v>0.00138428</v>
      </c>
      <c r="J878" s="948">
        <v>0.035</v>
      </c>
      <c r="K878" s="949">
        <f t="shared" si="22"/>
        <v>0</v>
      </c>
      <c r="L878" s="950">
        <f t="shared" si="23"/>
        <v>0</v>
      </c>
      <c r="M878" s="948">
        <v>0.0215</v>
      </c>
      <c r="N878" s="951">
        <f t="shared" si="24"/>
        <v>0.00141404202</v>
      </c>
      <c r="O878" s="949">
        <f t="shared" si="25"/>
        <v>15</v>
      </c>
      <c r="P878" s="949">
        <f t="shared" si="77"/>
        <v>0.0215</v>
      </c>
      <c r="Q878" s="952">
        <f t="shared" si="79"/>
        <v>0</v>
      </c>
      <c r="R878" s="952">
        <f t="shared" si="78"/>
        <v>0</v>
      </c>
      <c r="S878" s="953"/>
      <c r="T878" s="949">
        <v>0.06</v>
      </c>
      <c r="U878" s="954"/>
      <c r="V878" s="949"/>
      <c r="W878" s="953"/>
      <c r="X878" s="949">
        <f t="shared" si="7"/>
        <v>0</v>
      </c>
      <c r="Y878" s="955"/>
      <c r="Z878" s="953" t="str">
        <f t="shared" si="8"/>
        <v/>
      </c>
      <c r="AA878" s="949">
        <f t="shared" si="9"/>
        <v>0</v>
      </c>
      <c r="AB878" s="955"/>
      <c r="AC878" s="949" t="str">
        <f t="shared" si="10"/>
        <v/>
      </c>
      <c r="AD878" s="953">
        <f t="shared" si="11"/>
        <v>0</v>
      </c>
      <c r="AE878" s="956"/>
      <c r="AF878" s="889"/>
      <c r="AG878" s="810" t="b">
        <v>0</v>
      </c>
      <c r="AH878" s="780"/>
      <c r="AI878" s="780"/>
      <c r="AJ878" s="780"/>
      <c r="AK878" s="780"/>
      <c r="AL878" s="780"/>
      <c r="AM878" s="780"/>
      <c r="AN878" s="780"/>
      <c r="AO878" s="780"/>
      <c r="AP878" s="780"/>
      <c r="AQ878" s="780"/>
      <c r="AR878" s="780"/>
      <c r="AS878" s="780"/>
      <c r="AT878" s="780"/>
      <c r="AU878" s="780"/>
      <c r="AV878" s="780"/>
      <c r="AW878" s="780"/>
    </row>
    <row r="879">
      <c r="A879" s="941"/>
      <c r="B879" s="941"/>
      <c r="C879" s="995"/>
      <c r="D879" s="944"/>
      <c r="E879" s="944"/>
      <c r="F879" s="946"/>
      <c r="G879" s="946"/>
      <c r="H879" s="946"/>
      <c r="I879" s="947">
        <v>0.00138428</v>
      </c>
      <c r="J879" s="948">
        <v>0.035</v>
      </c>
      <c r="K879" s="949">
        <f t="shared" si="22"/>
        <v>0</v>
      </c>
      <c r="L879" s="950">
        <f t="shared" si="23"/>
        <v>0</v>
      </c>
      <c r="M879" s="948">
        <v>0.0215</v>
      </c>
      <c r="N879" s="951">
        <f t="shared" si="24"/>
        <v>0.00141404202</v>
      </c>
      <c r="O879" s="949">
        <f t="shared" si="25"/>
        <v>15</v>
      </c>
      <c r="P879" s="949">
        <f t="shared" si="77"/>
        <v>0.0215</v>
      </c>
      <c r="Q879" s="952">
        <f t="shared" si="79"/>
        <v>0</v>
      </c>
      <c r="R879" s="952">
        <f t="shared" si="78"/>
        <v>0</v>
      </c>
      <c r="S879" s="953"/>
      <c r="T879" s="949">
        <v>0.06</v>
      </c>
      <c r="U879" s="954"/>
      <c r="V879" s="949"/>
      <c r="W879" s="953"/>
      <c r="X879" s="949">
        <f t="shared" si="7"/>
        <v>0</v>
      </c>
      <c r="Y879" s="955"/>
      <c r="Z879" s="953" t="str">
        <f t="shared" si="8"/>
        <v/>
      </c>
      <c r="AA879" s="949">
        <f t="shared" si="9"/>
        <v>0</v>
      </c>
      <c r="AB879" s="955"/>
      <c r="AC879" s="949" t="str">
        <f t="shared" si="10"/>
        <v/>
      </c>
      <c r="AD879" s="953">
        <f t="shared" si="11"/>
        <v>0</v>
      </c>
      <c r="AE879" s="956"/>
      <c r="AF879" s="889"/>
      <c r="AG879" s="810" t="b">
        <v>0</v>
      </c>
      <c r="AH879" s="780"/>
      <c r="AI879" s="780"/>
      <c r="AJ879" s="780"/>
      <c r="AK879" s="780"/>
      <c r="AL879" s="780"/>
      <c r="AM879" s="780"/>
      <c r="AN879" s="780"/>
      <c r="AO879" s="780"/>
      <c r="AP879" s="780"/>
      <c r="AQ879" s="780"/>
      <c r="AR879" s="780"/>
      <c r="AS879" s="780"/>
      <c r="AT879" s="780"/>
      <c r="AU879" s="780"/>
      <c r="AV879" s="780"/>
      <c r="AW879" s="780"/>
    </row>
    <row r="880">
      <c r="A880" s="941"/>
      <c r="B880" s="941"/>
      <c r="C880" s="995"/>
      <c r="D880" s="995"/>
      <c r="E880" s="995"/>
      <c r="F880" s="946"/>
      <c r="G880" s="946"/>
      <c r="H880" s="946"/>
      <c r="I880" s="947">
        <v>0.00138428</v>
      </c>
      <c r="J880" s="948">
        <v>0.035</v>
      </c>
      <c r="K880" s="949">
        <f t="shared" si="22"/>
        <v>0</v>
      </c>
      <c r="L880" s="950">
        <f t="shared" si="23"/>
        <v>0</v>
      </c>
      <c r="M880" s="948">
        <v>0.0215</v>
      </c>
      <c r="N880" s="951">
        <f t="shared" si="24"/>
        <v>0.00141404202</v>
      </c>
      <c r="O880" s="949">
        <f t="shared" si="25"/>
        <v>15</v>
      </c>
      <c r="P880" s="949">
        <f t="shared" si="77"/>
        <v>0.0215</v>
      </c>
      <c r="Q880" s="952">
        <f t="shared" si="79"/>
        <v>0</v>
      </c>
      <c r="R880" s="952">
        <f t="shared" si="78"/>
        <v>0</v>
      </c>
      <c r="S880" s="953"/>
      <c r="T880" s="949">
        <v>0.06</v>
      </c>
      <c r="U880" s="954"/>
      <c r="V880" s="949"/>
      <c r="W880" s="953"/>
      <c r="X880" s="949">
        <f t="shared" si="7"/>
        <v>0</v>
      </c>
      <c r="Y880" s="955"/>
      <c r="Z880" s="953" t="str">
        <f t="shared" si="8"/>
        <v/>
      </c>
      <c r="AA880" s="949">
        <f t="shared" si="9"/>
        <v>0</v>
      </c>
      <c r="AB880" s="955"/>
      <c r="AC880" s="949" t="str">
        <f t="shared" si="10"/>
        <v/>
      </c>
      <c r="AD880" s="953">
        <f t="shared" si="11"/>
        <v>0</v>
      </c>
      <c r="AE880" s="956"/>
      <c r="AF880" s="889"/>
      <c r="AG880" s="810" t="b">
        <v>0</v>
      </c>
      <c r="AH880" s="780"/>
      <c r="AI880" s="780"/>
      <c r="AJ880" s="780"/>
      <c r="AK880" s="780"/>
      <c r="AL880" s="780"/>
      <c r="AM880" s="780"/>
      <c r="AN880" s="780"/>
      <c r="AO880" s="780"/>
      <c r="AP880" s="780"/>
      <c r="AQ880" s="780"/>
      <c r="AR880" s="780"/>
      <c r="AS880" s="780"/>
      <c r="AT880" s="780"/>
      <c r="AU880" s="780"/>
      <c r="AV880" s="780"/>
      <c r="AW880" s="780"/>
    </row>
    <row r="881">
      <c r="A881" s="941"/>
      <c r="B881" s="941"/>
      <c r="C881" s="995"/>
      <c r="D881" s="944"/>
      <c r="E881" s="944"/>
      <c r="F881" s="946"/>
      <c r="G881" s="946"/>
      <c r="H881" s="946"/>
      <c r="I881" s="947">
        <v>0.00138428</v>
      </c>
      <c r="J881" s="948">
        <v>0.035</v>
      </c>
      <c r="K881" s="949">
        <f t="shared" si="22"/>
        <v>0</v>
      </c>
      <c r="L881" s="950">
        <f t="shared" si="23"/>
        <v>0</v>
      </c>
      <c r="M881" s="948">
        <v>0.0215</v>
      </c>
      <c r="N881" s="951">
        <f t="shared" si="24"/>
        <v>0.00141404202</v>
      </c>
      <c r="O881" s="949">
        <f t="shared" si="25"/>
        <v>15</v>
      </c>
      <c r="P881" s="949">
        <f t="shared" si="77"/>
        <v>0.0215</v>
      </c>
      <c r="Q881" s="952">
        <f t="shared" si="79"/>
        <v>0</v>
      </c>
      <c r="R881" s="952">
        <f t="shared" si="78"/>
        <v>0</v>
      </c>
      <c r="S881" s="953"/>
      <c r="T881" s="949">
        <v>0.06</v>
      </c>
      <c r="U881" s="954"/>
      <c r="V881" s="949"/>
      <c r="W881" s="953"/>
      <c r="X881" s="949">
        <f t="shared" si="7"/>
        <v>0</v>
      </c>
      <c r="Y881" s="955"/>
      <c r="Z881" s="953" t="str">
        <f t="shared" si="8"/>
        <v/>
      </c>
      <c r="AA881" s="949">
        <f t="shared" si="9"/>
        <v>0</v>
      </c>
      <c r="AB881" s="955"/>
      <c r="AC881" s="949" t="str">
        <f t="shared" si="10"/>
        <v/>
      </c>
      <c r="AD881" s="953">
        <f t="shared" si="11"/>
        <v>0</v>
      </c>
      <c r="AE881" s="956"/>
      <c r="AF881" s="889"/>
      <c r="AG881" s="810" t="b">
        <v>0</v>
      </c>
      <c r="AH881" s="780"/>
      <c r="AI881" s="780"/>
      <c r="AJ881" s="780"/>
      <c r="AK881" s="780"/>
      <c r="AL881" s="780"/>
      <c r="AM881" s="780"/>
      <c r="AN881" s="780"/>
      <c r="AO881" s="780"/>
      <c r="AP881" s="780"/>
      <c r="AQ881" s="780"/>
      <c r="AR881" s="780"/>
      <c r="AS881" s="780"/>
      <c r="AT881" s="780"/>
      <c r="AU881" s="780"/>
      <c r="AV881" s="780"/>
      <c r="AW881" s="780"/>
    </row>
    <row r="882">
      <c r="A882" s="941"/>
      <c r="B882" s="941"/>
      <c r="C882" s="995"/>
      <c r="D882" s="995"/>
      <c r="E882" s="995"/>
      <c r="F882" s="946"/>
      <c r="G882" s="946"/>
      <c r="H882" s="946"/>
      <c r="I882" s="947">
        <v>0.00138428</v>
      </c>
      <c r="J882" s="948">
        <v>0.035</v>
      </c>
      <c r="K882" s="949">
        <f t="shared" si="22"/>
        <v>0</v>
      </c>
      <c r="L882" s="950">
        <f t="shared" si="23"/>
        <v>0</v>
      </c>
      <c r="M882" s="948">
        <v>0.0215</v>
      </c>
      <c r="N882" s="951">
        <f t="shared" si="24"/>
        <v>0.00141404202</v>
      </c>
      <c r="O882" s="949">
        <f t="shared" si="25"/>
        <v>15</v>
      </c>
      <c r="P882" s="949">
        <f t="shared" si="77"/>
        <v>0.0215</v>
      </c>
      <c r="Q882" s="952">
        <f t="shared" si="79"/>
        <v>0</v>
      </c>
      <c r="R882" s="952">
        <f t="shared" si="78"/>
        <v>0</v>
      </c>
      <c r="S882" s="953"/>
      <c r="T882" s="949">
        <v>0.06</v>
      </c>
      <c r="U882" s="954"/>
      <c r="V882" s="949"/>
      <c r="W882" s="953"/>
      <c r="X882" s="949">
        <f t="shared" si="7"/>
        <v>0</v>
      </c>
      <c r="Y882" s="955"/>
      <c r="Z882" s="953" t="str">
        <f t="shared" si="8"/>
        <v/>
      </c>
      <c r="AA882" s="949">
        <f t="shared" si="9"/>
        <v>0</v>
      </c>
      <c r="AB882" s="955"/>
      <c r="AC882" s="949" t="str">
        <f t="shared" si="10"/>
        <v/>
      </c>
      <c r="AD882" s="953">
        <f t="shared" si="11"/>
        <v>0</v>
      </c>
      <c r="AE882" s="956"/>
      <c r="AF882" s="889"/>
      <c r="AG882" s="810" t="b">
        <v>0</v>
      </c>
      <c r="AH882" s="780"/>
      <c r="AI882" s="780"/>
      <c r="AJ882" s="780"/>
      <c r="AK882" s="780"/>
      <c r="AL882" s="780"/>
      <c r="AM882" s="780"/>
      <c r="AN882" s="780"/>
      <c r="AO882" s="780"/>
      <c r="AP882" s="780"/>
      <c r="AQ882" s="780"/>
      <c r="AR882" s="780"/>
      <c r="AS882" s="780"/>
      <c r="AT882" s="780"/>
      <c r="AU882" s="780"/>
      <c r="AV882" s="780"/>
      <c r="AW882" s="780"/>
    </row>
    <row r="883">
      <c r="A883" s="941"/>
      <c r="B883" s="941"/>
      <c r="C883" s="995"/>
      <c r="D883" s="944"/>
      <c r="E883" s="944"/>
      <c r="F883" s="946"/>
      <c r="G883" s="946"/>
      <c r="H883" s="946"/>
      <c r="I883" s="947">
        <v>0.00138428</v>
      </c>
      <c r="J883" s="948">
        <v>0.035</v>
      </c>
      <c r="K883" s="949">
        <f t="shared" si="22"/>
        <v>0</v>
      </c>
      <c r="L883" s="950">
        <f t="shared" si="23"/>
        <v>0</v>
      </c>
      <c r="M883" s="948">
        <v>0.0215</v>
      </c>
      <c r="N883" s="951">
        <f t="shared" si="24"/>
        <v>0.00141404202</v>
      </c>
      <c r="O883" s="949">
        <f t="shared" si="25"/>
        <v>15</v>
      </c>
      <c r="P883" s="949">
        <f t="shared" si="77"/>
        <v>0.0215</v>
      </c>
      <c r="Q883" s="952">
        <f t="shared" si="79"/>
        <v>0</v>
      </c>
      <c r="R883" s="952">
        <f t="shared" si="78"/>
        <v>0</v>
      </c>
      <c r="S883" s="953"/>
      <c r="T883" s="949">
        <v>0.06</v>
      </c>
      <c r="U883" s="954"/>
      <c r="V883" s="949"/>
      <c r="W883" s="953"/>
      <c r="X883" s="949">
        <f t="shared" si="7"/>
        <v>0</v>
      </c>
      <c r="Y883" s="955"/>
      <c r="Z883" s="953" t="str">
        <f t="shared" si="8"/>
        <v/>
      </c>
      <c r="AA883" s="949">
        <f t="shared" si="9"/>
        <v>0</v>
      </c>
      <c r="AB883" s="955"/>
      <c r="AC883" s="949" t="str">
        <f t="shared" si="10"/>
        <v/>
      </c>
      <c r="AD883" s="953">
        <f t="shared" si="11"/>
        <v>0</v>
      </c>
      <c r="AE883" s="956"/>
      <c r="AF883" s="889"/>
      <c r="AG883" s="810" t="b">
        <v>0</v>
      </c>
      <c r="AH883" s="780"/>
      <c r="AI883" s="780"/>
      <c r="AJ883" s="780"/>
      <c r="AK883" s="780"/>
      <c r="AL883" s="780"/>
      <c r="AM883" s="780"/>
      <c r="AN883" s="780"/>
      <c r="AO883" s="780"/>
      <c r="AP883" s="780"/>
      <c r="AQ883" s="780"/>
      <c r="AR883" s="780"/>
      <c r="AS883" s="780"/>
      <c r="AT883" s="780"/>
      <c r="AU883" s="780"/>
      <c r="AV883" s="780"/>
      <c r="AW883" s="780"/>
    </row>
    <row r="884">
      <c r="A884" s="941"/>
      <c r="B884" s="941"/>
      <c r="C884" s="995"/>
      <c r="D884" s="995"/>
      <c r="E884" s="995"/>
      <c r="F884" s="946"/>
      <c r="G884" s="946"/>
      <c r="H884" s="946"/>
      <c r="I884" s="947">
        <v>0.00138428</v>
      </c>
      <c r="J884" s="948">
        <v>0.035</v>
      </c>
      <c r="K884" s="949">
        <f t="shared" si="22"/>
        <v>0</v>
      </c>
      <c r="L884" s="950">
        <f t="shared" si="23"/>
        <v>0</v>
      </c>
      <c r="M884" s="948">
        <v>0.0215</v>
      </c>
      <c r="N884" s="951">
        <f t="shared" si="24"/>
        <v>0.00141404202</v>
      </c>
      <c r="O884" s="949">
        <f t="shared" si="25"/>
        <v>15</v>
      </c>
      <c r="P884" s="949">
        <f t="shared" si="77"/>
        <v>0.0215</v>
      </c>
      <c r="Q884" s="952">
        <f t="shared" si="79"/>
        <v>0</v>
      </c>
      <c r="R884" s="952">
        <f t="shared" si="78"/>
        <v>0</v>
      </c>
      <c r="S884" s="953"/>
      <c r="T884" s="949">
        <v>0.06</v>
      </c>
      <c r="U884" s="954"/>
      <c r="V884" s="949"/>
      <c r="W884" s="953"/>
      <c r="X884" s="949">
        <f t="shared" si="7"/>
        <v>0</v>
      </c>
      <c r="Y884" s="955"/>
      <c r="Z884" s="953" t="str">
        <f t="shared" si="8"/>
        <v/>
      </c>
      <c r="AA884" s="949">
        <f t="shared" si="9"/>
        <v>0</v>
      </c>
      <c r="AB884" s="955"/>
      <c r="AC884" s="949" t="str">
        <f t="shared" si="10"/>
        <v/>
      </c>
      <c r="AD884" s="953">
        <f t="shared" si="11"/>
        <v>0</v>
      </c>
      <c r="AE884" s="956"/>
      <c r="AF884" s="889"/>
      <c r="AG884" s="810" t="b">
        <v>0</v>
      </c>
      <c r="AH884" s="780"/>
      <c r="AI884" s="780"/>
      <c r="AJ884" s="780"/>
      <c r="AK884" s="780"/>
      <c r="AL884" s="780"/>
      <c r="AM884" s="780"/>
      <c r="AN884" s="780"/>
      <c r="AO884" s="780"/>
      <c r="AP884" s="780"/>
      <c r="AQ884" s="780"/>
      <c r="AR884" s="780"/>
      <c r="AS884" s="780"/>
      <c r="AT884" s="780"/>
      <c r="AU884" s="780"/>
      <c r="AV884" s="780"/>
      <c r="AW884" s="780"/>
    </row>
    <row r="885">
      <c r="A885" s="941"/>
      <c r="B885" s="941"/>
      <c r="C885" s="995"/>
      <c r="D885" s="944"/>
      <c r="E885" s="944"/>
      <c r="F885" s="946"/>
      <c r="G885" s="946"/>
      <c r="H885" s="946"/>
      <c r="I885" s="947">
        <v>0.00138428</v>
      </c>
      <c r="J885" s="948">
        <v>0.035</v>
      </c>
      <c r="K885" s="949">
        <f t="shared" si="22"/>
        <v>0</v>
      </c>
      <c r="L885" s="950">
        <f t="shared" si="23"/>
        <v>0</v>
      </c>
      <c r="M885" s="948">
        <v>0.0215</v>
      </c>
      <c r="N885" s="951">
        <f t="shared" si="24"/>
        <v>0.00141404202</v>
      </c>
      <c r="O885" s="949">
        <f t="shared" si="25"/>
        <v>15</v>
      </c>
      <c r="P885" s="949">
        <f t="shared" si="77"/>
        <v>0.0215</v>
      </c>
      <c r="Q885" s="952">
        <f t="shared" si="79"/>
        <v>0</v>
      </c>
      <c r="R885" s="952">
        <f t="shared" si="78"/>
        <v>0</v>
      </c>
      <c r="S885" s="953"/>
      <c r="T885" s="949">
        <v>0.06</v>
      </c>
      <c r="U885" s="954"/>
      <c r="V885" s="949"/>
      <c r="W885" s="953"/>
      <c r="X885" s="949">
        <f t="shared" si="7"/>
        <v>0</v>
      </c>
      <c r="Y885" s="955"/>
      <c r="Z885" s="953" t="str">
        <f t="shared" si="8"/>
        <v/>
      </c>
      <c r="AA885" s="949">
        <f t="shared" si="9"/>
        <v>0</v>
      </c>
      <c r="AB885" s="955"/>
      <c r="AC885" s="949" t="str">
        <f t="shared" si="10"/>
        <v/>
      </c>
      <c r="AD885" s="953">
        <f t="shared" si="11"/>
        <v>0</v>
      </c>
      <c r="AE885" s="956"/>
      <c r="AF885" s="889"/>
      <c r="AG885" s="810" t="b">
        <v>0</v>
      </c>
      <c r="AH885" s="780"/>
      <c r="AI885" s="780"/>
      <c r="AJ885" s="780"/>
      <c r="AK885" s="780"/>
      <c r="AL885" s="780"/>
      <c r="AM885" s="780"/>
      <c r="AN885" s="780"/>
      <c r="AO885" s="780"/>
      <c r="AP885" s="780"/>
      <c r="AQ885" s="780"/>
      <c r="AR885" s="780"/>
      <c r="AS885" s="780"/>
      <c r="AT885" s="780"/>
      <c r="AU885" s="780"/>
      <c r="AV885" s="780"/>
      <c r="AW885" s="780"/>
    </row>
    <row r="886">
      <c r="A886" s="941"/>
      <c r="B886" s="941"/>
      <c r="C886" s="995"/>
      <c r="D886" s="995"/>
      <c r="E886" s="995"/>
      <c r="F886" s="946"/>
      <c r="G886" s="946"/>
      <c r="H886" s="946"/>
      <c r="I886" s="947">
        <v>0.00138428</v>
      </c>
      <c r="J886" s="948">
        <v>0.035</v>
      </c>
      <c r="K886" s="949">
        <f t="shared" si="22"/>
        <v>0</v>
      </c>
      <c r="L886" s="950">
        <f t="shared" si="23"/>
        <v>0</v>
      </c>
      <c r="M886" s="948">
        <v>0.0215</v>
      </c>
      <c r="N886" s="951">
        <f t="shared" si="24"/>
        <v>0.00141404202</v>
      </c>
      <c r="O886" s="949">
        <f t="shared" si="25"/>
        <v>15</v>
      </c>
      <c r="P886" s="949">
        <f t="shared" si="77"/>
        <v>0.0215</v>
      </c>
      <c r="Q886" s="952">
        <f t="shared" si="79"/>
        <v>0</v>
      </c>
      <c r="R886" s="952">
        <f t="shared" si="78"/>
        <v>0</v>
      </c>
      <c r="S886" s="953"/>
      <c r="T886" s="949">
        <v>0.06</v>
      </c>
      <c r="U886" s="954"/>
      <c r="V886" s="949"/>
      <c r="W886" s="953"/>
      <c r="X886" s="949">
        <f t="shared" si="7"/>
        <v>0</v>
      </c>
      <c r="Y886" s="955"/>
      <c r="Z886" s="953" t="str">
        <f t="shared" si="8"/>
        <v/>
      </c>
      <c r="AA886" s="949">
        <f t="shared" si="9"/>
        <v>0</v>
      </c>
      <c r="AB886" s="955"/>
      <c r="AC886" s="949" t="str">
        <f t="shared" si="10"/>
        <v/>
      </c>
      <c r="AD886" s="953">
        <f t="shared" si="11"/>
        <v>0</v>
      </c>
      <c r="AE886" s="956"/>
      <c r="AF886" s="889"/>
      <c r="AG886" s="810" t="b">
        <v>0</v>
      </c>
      <c r="AH886" s="780"/>
      <c r="AI886" s="780"/>
      <c r="AJ886" s="780"/>
      <c r="AK886" s="780"/>
      <c r="AL886" s="780"/>
      <c r="AM886" s="780"/>
      <c r="AN886" s="780"/>
      <c r="AO886" s="780"/>
      <c r="AP886" s="780"/>
      <c r="AQ886" s="780"/>
      <c r="AR886" s="780"/>
      <c r="AS886" s="780"/>
      <c r="AT886" s="780"/>
      <c r="AU886" s="780"/>
      <c r="AV886" s="780"/>
      <c r="AW886" s="780"/>
    </row>
    <row r="887">
      <c r="A887" s="941"/>
      <c r="B887" s="941"/>
      <c r="C887" s="995"/>
      <c r="D887" s="944"/>
      <c r="E887" s="944"/>
      <c r="F887" s="946"/>
      <c r="G887" s="946"/>
      <c r="H887" s="946"/>
      <c r="I887" s="947">
        <v>0.00138428</v>
      </c>
      <c r="J887" s="948">
        <v>0.035</v>
      </c>
      <c r="K887" s="949">
        <f t="shared" si="22"/>
        <v>0</v>
      </c>
      <c r="L887" s="950">
        <f t="shared" si="23"/>
        <v>0</v>
      </c>
      <c r="M887" s="948">
        <v>0.0215</v>
      </c>
      <c r="N887" s="951">
        <f t="shared" si="24"/>
        <v>0.00141404202</v>
      </c>
      <c r="O887" s="949">
        <f t="shared" si="25"/>
        <v>15</v>
      </c>
      <c r="P887" s="949">
        <f t="shared" si="77"/>
        <v>0.0215</v>
      </c>
      <c r="Q887" s="952">
        <f t="shared" si="79"/>
        <v>0</v>
      </c>
      <c r="R887" s="952">
        <f t="shared" si="78"/>
        <v>0</v>
      </c>
      <c r="S887" s="953"/>
      <c r="T887" s="949">
        <v>0.06</v>
      </c>
      <c r="U887" s="954"/>
      <c r="V887" s="949"/>
      <c r="W887" s="953"/>
      <c r="X887" s="949">
        <f t="shared" si="7"/>
        <v>0</v>
      </c>
      <c r="Y887" s="955"/>
      <c r="Z887" s="953" t="str">
        <f t="shared" si="8"/>
        <v/>
      </c>
      <c r="AA887" s="949">
        <f t="shared" si="9"/>
        <v>0</v>
      </c>
      <c r="AB887" s="955"/>
      <c r="AC887" s="949" t="str">
        <f t="shared" si="10"/>
        <v/>
      </c>
      <c r="AD887" s="953">
        <f t="shared" si="11"/>
        <v>0</v>
      </c>
      <c r="AE887" s="956"/>
      <c r="AF887" s="889"/>
      <c r="AG887" s="810" t="b">
        <v>0</v>
      </c>
      <c r="AH887" s="780"/>
      <c r="AI887" s="780"/>
      <c r="AJ887" s="780"/>
      <c r="AK887" s="780"/>
      <c r="AL887" s="780"/>
      <c r="AM887" s="780"/>
      <c r="AN887" s="780"/>
      <c r="AO887" s="780"/>
      <c r="AP887" s="780"/>
      <c r="AQ887" s="780"/>
      <c r="AR887" s="780"/>
      <c r="AS887" s="780"/>
      <c r="AT887" s="780"/>
      <c r="AU887" s="780"/>
      <c r="AV887" s="780"/>
      <c r="AW887" s="780"/>
    </row>
    <row r="888">
      <c r="A888" s="941"/>
      <c r="B888" s="941"/>
      <c r="C888" s="995"/>
      <c r="D888" s="995"/>
      <c r="E888" s="995"/>
      <c r="F888" s="946"/>
      <c r="G888" s="946"/>
      <c r="H888" s="946"/>
      <c r="I888" s="947">
        <v>0.00138428</v>
      </c>
      <c r="J888" s="948">
        <v>0.035</v>
      </c>
      <c r="K888" s="949">
        <f t="shared" si="22"/>
        <v>0</v>
      </c>
      <c r="L888" s="950">
        <f t="shared" si="23"/>
        <v>0</v>
      </c>
      <c r="M888" s="948">
        <v>0.0215</v>
      </c>
      <c r="N888" s="951">
        <f t="shared" si="24"/>
        <v>0.00141404202</v>
      </c>
      <c r="O888" s="949">
        <f t="shared" si="25"/>
        <v>15</v>
      </c>
      <c r="P888" s="949">
        <f t="shared" si="77"/>
        <v>0.0215</v>
      </c>
      <c r="Q888" s="952">
        <f t="shared" si="79"/>
        <v>0</v>
      </c>
      <c r="R888" s="952">
        <f t="shared" si="78"/>
        <v>0</v>
      </c>
      <c r="S888" s="953"/>
      <c r="T888" s="949">
        <v>0.06</v>
      </c>
      <c r="U888" s="954"/>
      <c r="V888" s="949"/>
      <c r="W888" s="953"/>
      <c r="X888" s="949">
        <f t="shared" si="7"/>
        <v>0</v>
      </c>
      <c r="Y888" s="955"/>
      <c r="Z888" s="953" t="str">
        <f t="shared" si="8"/>
        <v/>
      </c>
      <c r="AA888" s="949">
        <f t="shared" si="9"/>
        <v>0</v>
      </c>
      <c r="AB888" s="955"/>
      <c r="AC888" s="949" t="str">
        <f t="shared" si="10"/>
        <v/>
      </c>
      <c r="AD888" s="953">
        <f t="shared" si="11"/>
        <v>0</v>
      </c>
      <c r="AE888" s="956"/>
      <c r="AF888" s="889"/>
      <c r="AG888" s="810" t="b">
        <v>0</v>
      </c>
      <c r="AH888" s="780"/>
      <c r="AI888" s="780"/>
      <c r="AJ888" s="780"/>
      <c r="AK888" s="780"/>
      <c r="AL888" s="780"/>
      <c r="AM888" s="780"/>
      <c r="AN888" s="780"/>
      <c r="AO888" s="780"/>
      <c r="AP888" s="780"/>
      <c r="AQ888" s="780"/>
      <c r="AR888" s="780"/>
      <c r="AS888" s="780"/>
      <c r="AT888" s="780"/>
      <c r="AU888" s="780"/>
      <c r="AV888" s="780"/>
      <c r="AW888" s="780"/>
    </row>
    <row r="889">
      <c r="A889" s="941"/>
      <c r="B889" s="941"/>
      <c r="C889" s="995"/>
      <c r="D889" s="944"/>
      <c r="E889" s="944"/>
      <c r="F889" s="946"/>
      <c r="G889" s="946"/>
      <c r="H889" s="946"/>
      <c r="I889" s="947">
        <v>0.00138428</v>
      </c>
      <c r="J889" s="948">
        <v>0.035</v>
      </c>
      <c r="K889" s="949">
        <f t="shared" si="22"/>
        <v>0</v>
      </c>
      <c r="L889" s="950">
        <f t="shared" si="23"/>
        <v>0</v>
      </c>
      <c r="M889" s="948">
        <v>0.0215</v>
      </c>
      <c r="N889" s="951">
        <f t="shared" si="24"/>
        <v>0.00141404202</v>
      </c>
      <c r="O889" s="949">
        <f t="shared" si="25"/>
        <v>15</v>
      </c>
      <c r="P889" s="949">
        <f t="shared" si="77"/>
        <v>0.0215</v>
      </c>
      <c r="Q889" s="952">
        <f t="shared" si="79"/>
        <v>0</v>
      </c>
      <c r="R889" s="952">
        <f t="shared" si="78"/>
        <v>0</v>
      </c>
      <c r="S889" s="953"/>
      <c r="T889" s="949">
        <v>0.06</v>
      </c>
      <c r="U889" s="954"/>
      <c r="V889" s="949"/>
      <c r="W889" s="953"/>
      <c r="X889" s="949">
        <f t="shared" si="7"/>
        <v>0</v>
      </c>
      <c r="Y889" s="955"/>
      <c r="Z889" s="953" t="str">
        <f t="shared" si="8"/>
        <v/>
      </c>
      <c r="AA889" s="949">
        <f t="shared" si="9"/>
        <v>0</v>
      </c>
      <c r="AB889" s="955"/>
      <c r="AC889" s="949" t="str">
        <f t="shared" si="10"/>
        <v/>
      </c>
      <c r="AD889" s="953">
        <f t="shared" si="11"/>
        <v>0</v>
      </c>
      <c r="AE889" s="956"/>
      <c r="AF889" s="889"/>
      <c r="AG889" s="810" t="b">
        <v>0</v>
      </c>
      <c r="AH889" s="780"/>
      <c r="AI889" s="780"/>
      <c r="AJ889" s="780"/>
      <c r="AK889" s="780"/>
      <c r="AL889" s="780"/>
      <c r="AM889" s="780"/>
      <c r="AN889" s="780"/>
      <c r="AO889" s="780"/>
      <c r="AP889" s="780"/>
      <c r="AQ889" s="780"/>
      <c r="AR889" s="780"/>
      <c r="AS889" s="780"/>
      <c r="AT889" s="780"/>
      <c r="AU889" s="780"/>
      <c r="AV889" s="780"/>
      <c r="AW889" s="780"/>
    </row>
    <row r="890">
      <c r="A890" s="941"/>
      <c r="B890" s="941"/>
      <c r="C890" s="995"/>
      <c r="D890" s="995"/>
      <c r="E890" s="995"/>
      <c r="F890" s="946"/>
      <c r="G890" s="946"/>
      <c r="H890" s="946"/>
      <c r="I890" s="947">
        <v>0.00138428</v>
      </c>
      <c r="J890" s="948">
        <v>0.035</v>
      </c>
      <c r="K890" s="949">
        <f t="shared" si="22"/>
        <v>0</v>
      </c>
      <c r="L890" s="950">
        <f t="shared" si="23"/>
        <v>0</v>
      </c>
      <c r="M890" s="948">
        <v>0.0215</v>
      </c>
      <c r="N890" s="951">
        <f t="shared" si="24"/>
        <v>0.00141404202</v>
      </c>
      <c r="O890" s="949">
        <f t="shared" si="25"/>
        <v>15</v>
      </c>
      <c r="P890" s="949">
        <f t="shared" si="77"/>
        <v>0.0215</v>
      </c>
      <c r="Q890" s="952">
        <f t="shared" si="79"/>
        <v>0</v>
      </c>
      <c r="R890" s="952">
        <f t="shared" si="78"/>
        <v>0</v>
      </c>
      <c r="S890" s="953"/>
      <c r="T890" s="949">
        <v>0.06</v>
      </c>
      <c r="U890" s="954"/>
      <c r="V890" s="949"/>
      <c r="W890" s="953"/>
      <c r="X890" s="949">
        <f t="shared" si="7"/>
        <v>0</v>
      </c>
      <c r="Y890" s="955"/>
      <c r="Z890" s="953" t="str">
        <f t="shared" si="8"/>
        <v/>
      </c>
      <c r="AA890" s="949">
        <f t="shared" si="9"/>
        <v>0</v>
      </c>
      <c r="AB890" s="955"/>
      <c r="AC890" s="949" t="str">
        <f t="shared" si="10"/>
        <v/>
      </c>
      <c r="AD890" s="953">
        <f t="shared" si="11"/>
        <v>0</v>
      </c>
      <c r="AE890" s="956"/>
      <c r="AF890" s="889"/>
      <c r="AG890" s="810" t="b">
        <v>0</v>
      </c>
      <c r="AH890" s="780"/>
      <c r="AI890" s="780"/>
      <c r="AJ890" s="780"/>
      <c r="AK890" s="780"/>
      <c r="AL890" s="780"/>
      <c r="AM890" s="780"/>
      <c r="AN890" s="780"/>
      <c r="AO890" s="780"/>
      <c r="AP890" s="780"/>
      <c r="AQ890" s="780"/>
      <c r="AR890" s="780"/>
      <c r="AS890" s="780"/>
      <c r="AT890" s="780"/>
      <c r="AU890" s="780"/>
      <c r="AV890" s="780"/>
      <c r="AW890" s="780"/>
    </row>
    <row r="891">
      <c r="A891" s="941"/>
      <c r="B891" s="941"/>
      <c r="C891" s="995"/>
      <c r="D891" s="944"/>
      <c r="E891" s="944"/>
      <c r="F891" s="946"/>
      <c r="G891" s="946"/>
      <c r="H891" s="946"/>
      <c r="I891" s="947">
        <v>0.00138428</v>
      </c>
      <c r="J891" s="948">
        <v>0.035</v>
      </c>
      <c r="K891" s="949">
        <f t="shared" si="22"/>
        <v>0</v>
      </c>
      <c r="L891" s="950">
        <f t="shared" si="23"/>
        <v>0</v>
      </c>
      <c r="M891" s="948">
        <v>0.0215</v>
      </c>
      <c r="N891" s="951">
        <f t="shared" si="24"/>
        <v>0.00141404202</v>
      </c>
      <c r="O891" s="949">
        <f t="shared" si="25"/>
        <v>15</v>
      </c>
      <c r="P891" s="949">
        <f t="shared" si="77"/>
        <v>0.0215</v>
      </c>
      <c r="Q891" s="952">
        <f t="shared" si="79"/>
        <v>0</v>
      </c>
      <c r="R891" s="952">
        <f t="shared" si="78"/>
        <v>0</v>
      </c>
      <c r="S891" s="953"/>
      <c r="T891" s="949">
        <v>0.06</v>
      </c>
      <c r="U891" s="954"/>
      <c r="V891" s="949"/>
      <c r="W891" s="953"/>
      <c r="X891" s="949">
        <f t="shared" si="7"/>
        <v>0</v>
      </c>
      <c r="Y891" s="955"/>
      <c r="Z891" s="953" t="str">
        <f t="shared" si="8"/>
        <v/>
      </c>
      <c r="AA891" s="949">
        <f t="shared" si="9"/>
        <v>0</v>
      </c>
      <c r="AB891" s="955"/>
      <c r="AC891" s="949" t="str">
        <f t="shared" si="10"/>
        <v/>
      </c>
      <c r="AD891" s="953">
        <f t="shared" si="11"/>
        <v>0</v>
      </c>
      <c r="AE891" s="956"/>
      <c r="AF891" s="889"/>
      <c r="AG891" s="810" t="b">
        <v>0</v>
      </c>
      <c r="AH891" s="780"/>
      <c r="AI891" s="780"/>
      <c r="AJ891" s="780"/>
      <c r="AK891" s="780"/>
      <c r="AL891" s="780"/>
      <c r="AM891" s="780"/>
      <c r="AN891" s="780"/>
      <c r="AO891" s="780"/>
      <c r="AP891" s="780"/>
      <c r="AQ891" s="780"/>
      <c r="AR891" s="780"/>
      <c r="AS891" s="780"/>
      <c r="AT891" s="780"/>
      <c r="AU891" s="780"/>
      <c r="AV891" s="780"/>
      <c r="AW891" s="780"/>
    </row>
    <row r="892">
      <c r="A892" s="941"/>
      <c r="B892" s="941"/>
      <c r="C892" s="995"/>
      <c r="D892" s="995"/>
      <c r="E892" s="995"/>
      <c r="F892" s="946"/>
      <c r="G892" s="946"/>
      <c r="H892" s="946"/>
      <c r="I892" s="947">
        <v>0.00138428</v>
      </c>
      <c r="J892" s="948">
        <v>0.035</v>
      </c>
      <c r="K892" s="949">
        <f t="shared" si="22"/>
        <v>0</v>
      </c>
      <c r="L892" s="950">
        <f t="shared" si="23"/>
        <v>0</v>
      </c>
      <c r="M892" s="948">
        <v>0.0215</v>
      </c>
      <c r="N892" s="951">
        <f t="shared" si="24"/>
        <v>0.00141404202</v>
      </c>
      <c r="O892" s="949">
        <f t="shared" si="25"/>
        <v>15</v>
      </c>
      <c r="P892" s="949">
        <f t="shared" si="77"/>
        <v>0.0215</v>
      </c>
      <c r="Q892" s="952">
        <f t="shared" si="79"/>
        <v>0</v>
      </c>
      <c r="R892" s="952">
        <f t="shared" si="78"/>
        <v>0</v>
      </c>
      <c r="S892" s="953"/>
      <c r="T892" s="949">
        <v>0.06</v>
      </c>
      <c r="U892" s="954"/>
      <c r="V892" s="949"/>
      <c r="W892" s="953"/>
      <c r="X892" s="949">
        <f t="shared" si="7"/>
        <v>0</v>
      </c>
      <c r="Y892" s="955"/>
      <c r="Z892" s="953" t="str">
        <f t="shared" si="8"/>
        <v/>
      </c>
      <c r="AA892" s="949">
        <f t="shared" si="9"/>
        <v>0</v>
      </c>
      <c r="AB892" s="955"/>
      <c r="AC892" s="949" t="str">
        <f t="shared" si="10"/>
        <v/>
      </c>
      <c r="AD892" s="953">
        <f t="shared" si="11"/>
        <v>0</v>
      </c>
      <c r="AE892" s="956"/>
      <c r="AF892" s="889"/>
      <c r="AG892" s="810" t="b">
        <v>0</v>
      </c>
      <c r="AH892" s="780"/>
      <c r="AI892" s="780"/>
      <c r="AJ892" s="780"/>
      <c r="AK892" s="780"/>
      <c r="AL892" s="780"/>
      <c r="AM892" s="780"/>
      <c r="AN892" s="780"/>
      <c r="AO892" s="780"/>
      <c r="AP892" s="780"/>
      <c r="AQ892" s="780"/>
      <c r="AR892" s="780"/>
      <c r="AS892" s="780"/>
      <c r="AT892" s="780"/>
      <c r="AU892" s="780"/>
      <c r="AV892" s="780"/>
      <c r="AW892" s="780"/>
    </row>
    <row r="893">
      <c r="A893" s="941"/>
      <c r="B893" s="941"/>
      <c r="C893" s="995"/>
      <c r="D893" s="944"/>
      <c r="E893" s="944"/>
      <c r="F893" s="946"/>
      <c r="G893" s="946"/>
      <c r="H893" s="946"/>
      <c r="I893" s="947">
        <v>0.00138428</v>
      </c>
      <c r="J893" s="948">
        <v>0.035</v>
      </c>
      <c r="K893" s="949">
        <f t="shared" si="22"/>
        <v>0</v>
      </c>
      <c r="L893" s="950">
        <f t="shared" si="23"/>
        <v>0</v>
      </c>
      <c r="M893" s="948">
        <v>0.0215</v>
      </c>
      <c r="N893" s="951">
        <f t="shared" si="24"/>
        <v>0.00141404202</v>
      </c>
      <c r="O893" s="949">
        <f t="shared" si="25"/>
        <v>15</v>
      </c>
      <c r="P893" s="949">
        <f t="shared" si="77"/>
        <v>0.0215</v>
      </c>
      <c r="Q893" s="952">
        <f t="shared" si="79"/>
        <v>0</v>
      </c>
      <c r="R893" s="952">
        <f t="shared" si="78"/>
        <v>0</v>
      </c>
      <c r="S893" s="953"/>
      <c r="T893" s="949">
        <v>0.06</v>
      </c>
      <c r="U893" s="954"/>
      <c r="V893" s="949"/>
      <c r="W893" s="953"/>
      <c r="X893" s="949">
        <f t="shared" si="7"/>
        <v>0</v>
      </c>
      <c r="Y893" s="955"/>
      <c r="Z893" s="953" t="str">
        <f t="shared" si="8"/>
        <v/>
      </c>
      <c r="AA893" s="949">
        <f t="shared" si="9"/>
        <v>0</v>
      </c>
      <c r="AB893" s="955"/>
      <c r="AC893" s="949" t="str">
        <f t="shared" si="10"/>
        <v/>
      </c>
      <c r="AD893" s="953">
        <f t="shared" si="11"/>
        <v>0</v>
      </c>
      <c r="AE893" s="956"/>
      <c r="AF893" s="889"/>
      <c r="AG893" s="810" t="b">
        <v>0</v>
      </c>
      <c r="AH893" s="780"/>
      <c r="AI893" s="780"/>
      <c r="AJ893" s="780"/>
      <c r="AK893" s="780"/>
      <c r="AL893" s="780"/>
      <c r="AM893" s="780"/>
      <c r="AN893" s="780"/>
      <c r="AO893" s="780"/>
      <c r="AP893" s="780"/>
      <c r="AQ893" s="780"/>
      <c r="AR893" s="780"/>
      <c r="AS893" s="780"/>
      <c r="AT893" s="780"/>
      <c r="AU893" s="780"/>
      <c r="AV893" s="780"/>
      <c r="AW893" s="780"/>
    </row>
    <row r="894">
      <c r="A894" s="941"/>
      <c r="B894" s="941"/>
      <c r="C894" s="995"/>
      <c r="D894" s="995"/>
      <c r="E894" s="995"/>
      <c r="F894" s="946"/>
      <c r="G894" s="946"/>
      <c r="H894" s="946"/>
      <c r="I894" s="947">
        <v>0.00138428</v>
      </c>
      <c r="J894" s="948">
        <v>0.035</v>
      </c>
      <c r="K894" s="949">
        <f t="shared" si="22"/>
        <v>0</v>
      </c>
      <c r="L894" s="950">
        <f t="shared" si="23"/>
        <v>0</v>
      </c>
      <c r="M894" s="948">
        <v>0.0215</v>
      </c>
      <c r="N894" s="951">
        <f t="shared" si="24"/>
        <v>0.00141404202</v>
      </c>
      <c r="O894" s="949">
        <f t="shared" si="25"/>
        <v>15</v>
      </c>
      <c r="P894" s="949">
        <f t="shared" si="77"/>
        <v>0.0215</v>
      </c>
      <c r="Q894" s="952">
        <f t="shared" si="79"/>
        <v>0</v>
      </c>
      <c r="R894" s="952">
        <f t="shared" si="78"/>
        <v>0</v>
      </c>
      <c r="S894" s="953"/>
      <c r="T894" s="949">
        <v>0.06</v>
      </c>
      <c r="U894" s="954"/>
      <c r="V894" s="949"/>
      <c r="W894" s="953"/>
      <c r="X894" s="949">
        <f t="shared" si="7"/>
        <v>0</v>
      </c>
      <c r="Y894" s="955"/>
      <c r="Z894" s="953" t="str">
        <f t="shared" si="8"/>
        <v/>
      </c>
      <c r="AA894" s="949">
        <f t="shared" si="9"/>
        <v>0</v>
      </c>
      <c r="AB894" s="955"/>
      <c r="AC894" s="949" t="str">
        <f t="shared" si="10"/>
        <v/>
      </c>
      <c r="AD894" s="953">
        <f t="shared" si="11"/>
        <v>0</v>
      </c>
      <c r="AE894" s="956"/>
      <c r="AF894" s="889"/>
      <c r="AG894" s="810" t="b">
        <v>0</v>
      </c>
      <c r="AH894" s="780"/>
      <c r="AI894" s="780"/>
      <c r="AJ894" s="780"/>
      <c r="AK894" s="780"/>
      <c r="AL894" s="780"/>
      <c r="AM894" s="780"/>
      <c r="AN894" s="780"/>
      <c r="AO894" s="780"/>
      <c r="AP894" s="780"/>
      <c r="AQ894" s="780"/>
      <c r="AR894" s="780"/>
      <c r="AS894" s="780"/>
      <c r="AT894" s="780"/>
      <c r="AU894" s="780"/>
      <c r="AV894" s="780"/>
      <c r="AW894" s="780"/>
    </row>
    <row r="895">
      <c r="A895" s="941"/>
      <c r="B895" s="941"/>
      <c r="C895" s="995"/>
      <c r="D895" s="944"/>
      <c r="E895" s="944"/>
      <c r="F895" s="946"/>
      <c r="G895" s="946"/>
      <c r="H895" s="946"/>
      <c r="I895" s="947">
        <v>0.00138428</v>
      </c>
      <c r="J895" s="948">
        <v>0.035</v>
      </c>
      <c r="K895" s="949">
        <f t="shared" si="22"/>
        <v>0</v>
      </c>
      <c r="L895" s="950">
        <f t="shared" si="23"/>
        <v>0</v>
      </c>
      <c r="M895" s="948">
        <v>0.0215</v>
      </c>
      <c r="N895" s="951">
        <f t="shared" si="24"/>
        <v>0.00141404202</v>
      </c>
      <c r="O895" s="949">
        <f t="shared" si="25"/>
        <v>15</v>
      </c>
      <c r="P895" s="949">
        <f t="shared" si="77"/>
        <v>0.0215</v>
      </c>
      <c r="Q895" s="952">
        <f t="shared" si="79"/>
        <v>0</v>
      </c>
      <c r="R895" s="952">
        <f t="shared" si="78"/>
        <v>0</v>
      </c>
      <c r="S895" s="953"/>
      <c r="T895" s="949">
        <v>0.06</v>
      </c>
      <c r="U895" s="954"/>
      <c r="V895" s="949"/>
      <c r="W895" s="953"/>
      <c r="X895" s="949">
        <f t="shared" si="7"/>
        <v>0</v>
      </c>
      <c r="Y895" s="955"/>
      <c r="Z895" s="953" t="str">
        <f t="shared" si="8"/>
        <v/>
      </c>
      <c r="AA895" s="949">
        <f t="shared" si="9"/>
        <v>0</v>
      </c>
      <c r="AB895" s="955"/>
      <c r="AC895" s="949" t="str">
        <f t="shared" si="10"/>
        <v/>
      </c>
      <c r="AD895" s="953">
        <f t="shared" si="11"/>
        <v>0</v>
      </c>
      <c r="AE895" s="956"/>
      <c r="AF895" s="889"/>
      <c r="AG895" s="810" t="b">
        <v>0</v>
      </c>
      <c r="AH895" s="780"/>
      <c r="AI895" s="780"/>
      <c r="AJ895" s="780"/>
      <c r="AK895" s="780"/>
      <c r="AL895" s="780"/>
      <c r="AM895" s="780"/>
      <c r="AN895" s="780"/>
      <c r="AO895" s="780"/>
      <c r="AP895" s="780"/>
      <c r="AQ895" s="780"/>
      <c r="AR895" s="780"/>
      <c r="AS895" s="780"/>
      <c r="AT895" s="780"/>
      <c r="AU895" s="780"/>
      <c r="AV895" s="780"/>
      <c r="AW895" s="780"/>
    </row>
    <row r="896">
      <c r="A896" s="941"/>
      <c r="B896" s="941"/>
      <c r="C896" s="995"/>
      <c r="D896" s="995"/>
      <c r="E896" s="995"/>
      <c r="F896" s="946"/>
      <c r="G896" s="946"/>
      <c r="H896" s="946"/>
      <c r="I896" s="947">
        <v>0.00138428</v>
      </c>
      <c r="J896" s="948">
        <v>0.035</v>
      </c>
      <c r="K896" s="949">
        <f t="shared" si="22"/>
        <v>0</v>
      </c>
      <c r="L896" s="950">
        <f t="shared" si="23"/>
        <v>0</v>
      </c>
      <c r="M896" s="948">
        <v>0.0215</v>
      </c>
      <c r="N896" s="951">
        <f t="shared" si="24"/>
        <v>0.00141404202</v>
      </c>
      <c r="O896" s="949">
        <f t="shared" si="25"/>
        <v>15</v>
      </c>
      <c r="P896" s="949">
        <f t="shared" si="77"/>
        <v>0.0215</v>
      </c>
      <c r="Q896" s="952">
        <f t="shared" si="79"/>
        <v>0</v>
      </c>
      <c r="R896" s="952">
        <f t="shared" si="78"/>
        <v>0</v>
      </c>
      <c r="S896" s="953"/>
      <c r="T896" s="949">
        <v>0.06</v>
      </c>
      <c r="U896" s="954"/>
      <c r="V896" s="949"/>
      <c r="W896" s="953"/>
      <c r="X896" s="949">
        <f t="shared" si="7"/>
        <v>0</v>
      </c>
      <c r="Y896" s="955"/>
      <c r="Z896" s="953" t="str">
        <f t="shared" si="8"/>
        <v/>
      </c>
      <c r="AA896" s="949">
        <f t="shared" si="9"/>
        <v>0</v>
      </c>
      <c r="AB896" s="955"/>
      <c r="AC896" s="949" t="str">
        <f t="shared" si="10"/>
        <v/>
      </c>
      <c r="AD896" s="953">
        <f t="shared" si="11"/>
        <v>0</v>
      </c>
      <c r="AE896" s="956"/>
      <c r="AF896" s="889"/>
      <c r="AG896" s="810" t="b">
        <v>0</v>
      </c>
      <c r="AH896" s="780"/>
      <c r="AI896" s="780"/>
      <c r="AJ896" s="780"/>
      <c r="AK896" s="780"/>
      <c r="AL896" s="780"/>
      <c r="AM896" s="780"/>
      <c r="AN896" s="780"/>
      <c r="AO896" s="780"/>
      <c r="AP896" s="780"/>
      <c r="AQ896" s="780"/>
      <c r="AR896" s="780"/>
      <c r="AS896" s="780"/>
      <c r="AT896" s="780"/>
      <c r="AU896" s="780"/>
      <c r="AV896" s="780"/>
      <c r="AW896" s="780"/>
    </row>
    <row r="897">
      <c r="A897" s="941"/>
      <c r="B897" s="941"/>
      <c r="C897" s="995"/>
      <c r="D897" s="944"/>
      <c r="E897" s="944"/>
      <c r="F897" s="946"/>
      <c r="G897" s="946"/>
      <c r="H897" s="946"/>
      <c r="I897" s="947">
        <v>0.00138428</v>
      </c>
      <c r="J897" s="948">
        <v>0.035</v>
      </c>
      <c r="K897" s="949">
        <f t="shared" si="22"/>
        <v>0</v>
      </c>
      <c r="L897" s="950">
        <f t="shared" si="23"/>
        <v>0</v>
      </c>
      <c r="M897" s="948">
        <v>0.0215</v>
      </c>
      <c r="N897" s="951">
        <f t="shared" si="24"/>
        <v>0.00141404202</v>
      </c>
      <c r="O897" s="949">
        <f t="shared" si="25"/>
        <v>15</v>
      </c>
      <c r="P897" s="949">
        <f t="shared" si="77"/>
        <v>0.0215</v>
      </c>
      <c r="Q897" s="952">
        <f t="shared" si="79"/>
        <v>0</v>
      </c>
      <c r="R897" s="952">
        <f t="shared" si="78"/>
        <v>0</v>
      </c>
      <c r="S897" s="953"/>
      <c r="T897" s="949">
        <v>0.06</v>
      </c>
      <c r="U897" s="954"/>
      <c r="V897" s="949"/>
      <c r="W897" s="953"/>
      <c r="X897" s="949">
        <f t="shared" si="7"/>
        <v>0</v>
      </c>
      <c r="Y897" s="955"/>
      <c r="Z897" s="953" t="str">
        <f t="shared" si="8"/>
        <v/>
      </c>
      <c r="AA897" s="949">
        <f t="shared" si="9"/>
        <v>0</v>
      </c>
      <c r="AB897" s="955"/>
      <c r="AC897" s="949" t="str">
        <f t="shared" si="10"/>
        <v/>
      </c>
      <c r="AD897" s="953">
        <f t="shared" si="11"/>
        <v>0</v>
      </c>
      <c r="AE897" s="956"/>
      <c r="AF897" s="889"/>
      <c r="AG897" s="810" t="b">
        <v>0</v>
      </c>
      <c r="AH897" s="780"/>
      <c r="AI897" s="780"/>
      <c r="AJ897" s="780"/>
      <c r="AK897" s="780"/>
      <c r="AL897" s="780"/>
      <c r="AM897" s="780"/>
      <c r="AN897" s="780"/>
      <c r="AO897" s="780"/>
      <c r="AP897" s="780"/>
      <c r="AQ897" s="780"/>
      <c r="AR897" s="780"/>
      <c r="AS897" s="780"/>
      <c r="AT897" s="780"/>
      <c r="AU897" s="780"/>
      <c r="AV897" s="780"/>
      <c r="AW897" s="780"/>
    </row>
    <row r="898">
      <c r="A898" s="941"/>
      <c r="B898" s="941"/>
      <c r="C898" s="995"/>
      <c r="D898" s="995"/>
      <c r="E898" s="995"/>
      <c r="F898" s="946"/>
      <c r="G898" s="946"/>
      <c r="H898" s="946"/>
      <c r="I898" s="947">
        <v>0.00138428</v>
      </c>
      <c r="J898" s="948">
        <v>0.035</v>
      </c>
      <c r="K898" s="949">
        <f t="shared" si="22"/>
        <v>0</v>
      </c>
      <c r="L898" s="950">
        <f t="shared" si="23"/>
        <v>0</v>
      </c>
      <c r="M898" s="948">
        <v>0.0215</v>
      </c>
      <c r="N898" s="951">
        <f t="shared" si="24"/>
        <v>0.00141404202</v>
      </c>
      <c r="O898" s="949">
        <f t="shared" si="25"/>
        <v>15</v>
      </c>
      <c r="P898" s="949">
        <f t="shared" si="77"/>
        <v>0.0215</v>
      </c>
      <c r="Q898" s="952">
        <f t="shared" si="79"/>
        <v>0</v>
      </c>
      <c r="R898" s="952">
        <f t="shared" si="78"/>
        <v>0</v>
      </c>
      <c r="S898" s="953"/>
      <c r="T898" s="949">
        <v>0.06</v>
      </c>
      <c r="U898" s="954"/>
      <c r="V898" s="949"/>
      <c r="W898" s="953"/>
      <c r="X898" s="949">
        <f t="shared" si="7"/>
        <v>0</v>
      </c>
      <c r="Y898" s="955"/>
      <c r="Z898" s="953" t="str">
        <f t="shared" si="8"/>
        <v/>
      </c>
      <c r="AA898" s="949">
        <f t="shared" si="9"/>
        <v>0</v>
      </c>
      <c r="AB898" s="955"/>
      <c r="AC898" s="949" t="str">
        <f t="shared" si="10"/>
        <v/>
      </c>
      <c r="AD898" s="953">
        <f t="shared" si="11"/>
        <v>0</v>
      </c>
      <c r="AE898" s="956"/>
      <c r="AF898" s="889"/>
      <c r="AG898" s="810" t="b">
        <v>0</v>
      </c>
      <c r="AH898" s="780"/>
      <c r="AI898" s="780"/>
      <c r="AJ898" s="780"/>
      <c r="AK898" s="780"/>
      <c r="AL898" s="780"/>
      <c r="AM898" s="780"/>
      <c r="AN898" s="780"/>
      <c r="AO898" s="780"/>
      <c r="AP898" s="780"/>
      <c r="AQ898" s="780"/>
      <c r="AR898" s="780"/>
      <c r="AS898" s="780"/>
      <c r="AT898" s="780"/>
      <c r="AU898" s="780"/>
      <c r="AV898" s="780"/>
      <c r="AW898" s="780"/>
    </row>
    <row r="899">
      <c r="A899" s="941"/>
      <c r="B899" s="941"/>
      <c r="C899" s="995"/>
      <c r="D899" s="944"/>
      <c r="E899" s="944"/>
      <c r="F899" s="946"/>
      <c r="G899" s="946"/>
      <c r="H899" s="946"/>
      <c r="I899" s="947">
        <v>0.00138428</v>
      </c>
      <c r="J899" s="948">
        <v>0.035</v>
      </c>
      <c r="K899" s="949">
        <f t="shared" si="22"/>
        <v>0</v>
      </c>
      <c r="L899" s="950">
        <f t="shared" si="23"/>
        <v>0</v>
      </c>
      <c r="M899" s="948">
        <v>0.0215</v>
      </c>
      <c r="N899" s="951">
        <f t="shared" si="24"/>
        <v>0.00141404202</v>
      </c>
      <c r="O899" s="949">
        <f t="shared" si="25"/>
        <v>15</v>
      </c>
      <c r="P899" s="949">
        <f t="shared" si="77"/>
        <v>0.0215</v>
      </c>
      <c r="Q899" s="952">
        <f t="shared" si="79"/>
        <v>0</v>
      </c>
      <c r="R899" s="952">
        <f t="shared" si="78"/>
        <v>0</v>
      </c>
      <c r="S899" s="953"/>
      <c r="T899" s="949">
        <v>0.06</v>
      </c>
      <c r="U899" s="954"/>
      <c r="V899" s="949"/>
      <c r="W899" s="953"/>
      <c r="X899" s="949">
        <f t="shared" si="7"/>
        <v>0</v>
      </c>
      <c r="Y899" s="955"/>
      <c r="Z899" s="953" t="str">
        <f t="shared" si="8"/>
        <v/>
      </c>
      <c r="AA899" s="949">
        <f t="shared" si="9"/>
        <v>0</v>
      </c>
      <c r="AB899" s="955"/>
      <c r="AC899" s="949" t="str">
        <f t="shared" si="10"/>
        <v/>
      </c>
      <c r="AD899" s="953">
        <f t="shared" si="11"/>
        <v>0</v>
      </c>
      <c r="AE899" s="956"/>
      <c r="AF899" s="889"/>
      <c r="AG899" s="810" t="b">
        <v>0</v>
      </c>
      <c r="AH899" s="780"/>
      <c r="AI899" s="780"/>
      <c r="AJ899" s="780"/>
      <c r="AK899" s="780"/>
      <c r="AL899" s="780"/>
      <c r="AM899" s="780"/>
      <c r="AN899" s="780"/>
      <c r="AO899" s="780"/>
      <c r="AP899" s="780"/>
      <c r="AQ899" s="780"/>
      <c r="AR899" s="780"/>
      <c r="AS899" s="780"/>
      <c r="AT899" s="780"/>
      <c r="AU899" s="780"/>
      <c r="AV899" s="780"/>
      <c r="AW899" s="780"/>
    </row>
    <row r="900">
      <c r="A900" s="941"/>
      <c r="B900" s="941"/>
      <c r="C900" s="995"/>
      <c r="D900" s="995"/>
      <c r="E900" s="995"/>
      <c r="F900" s="946"/>
      <c r="G900" s="946"/>
      <c r="H900" s="946"/>
      <c r="I900" s="947">
        <v>0.00138428</v>
      </c>
      <c r="J900" s="948">
        <v>0.035</v>
      </c>
      <c r="K900" s="949">
        <f t="shared" si="22"/>
        <v>0</v>
      </c>
      <c r="L900" s="950">
        <f t="shared" si="23"/>
        <v>0</v>
      </c>
      <c r="M900" s="948">
        <v>0.0215</v>
      </c>
      <c r="N900" s="951">
        <f t="shared" si="24"/>
        <v>0.00141404202</v>
      </c>
      <c r="O900" s="949">
        <f t="shared" si="25"/>
        <v>15</v>
      </c>
      <c r="P900" s="949">
        <f t="shared" si="77"/>
        <v>0.0215</v>
      </c>
      <c r="Q900" s="952">
        <f t="shared" si="79"/>
        <v>0</v>
      </c>
      <c r="R900" s="952">
        <f t="shared" si="78"/>
        <v>0</v>
      </c>
      <c r="S900" s="953"/>
      <c r="T900" s="949">
        <v>0.06</v>
      </c>
      <c r="U900" s="954"/>
      <c r="V900" s="949"/>
      <c r="W900" s="953"/>
      <c r="X900" s="949">
        <f t="shared" si="7"/>
        <v>0</v>
      </c>
      <c r="Y900" s="955"/>
      <c r="Z900" s="953" t="str">
        <f t="shared" si="8"/>
        <v/>
      </c>
      <c r="AA900" s="949">
        <f t="shared" si="9"/>
        <v>0</v>
      </c>
      <c r="AB900" s="955"/>
      <c r="AC900" s="949" t="str">
        <f t="shared" si="10"/>
        <v/>
      </c>
      <c r="AD900" s="953">
        <f t="shared" si="11"/>
        <v>0</v>
      </c>
      <c r="AE900" s="956"/>
      <c r="AF900" s="889"/>
      <c r="AG900" s="810" t="b">
        <v>0</v>
      </c>
      <c r="AH900" s="780"/>
      <c r="AI900" s="780"/>
      <c r="AJ900" s="780"/>
      <c r="AK900" s="780"/>
      <c r="AL900" s="780"/>
      <c r="AM900" s="780"/>
      <c r="AN900" s="780"/>
      <c r="AO900" s="780"/>
      <c r="AP900" s="780"/>
      <c r="AQ900" s="780"/>
      <c r="AR900" s="780"/>
      <c r="AS900" s="780"/>
      <c r="AT900" s="780"/>
      <c r="AU900" s="780"/>
      <c r="AV900" s="780"/>
      <c r="AW900" s="780"/>
    </row>
    <row r="901">
      <c r="A901" s="941"/>
      <c r="B901" s="941"/>
      <c r="C901" s="995"/>
      <c r="D901" s="944"/>
      <c r="E901" s="944"/>
      <c r="F901" s="946"/>
      <c r="G901" s="946"/>
      <c r="H901" s="946"/>
      <c r="I901" s="947">
        <v>0.00138428</v>
      </c>
      <c r="J901" s="948">
        <v>0.035</v>
      </c>
      <c r="K901" s="949">
        <f t="shared" si="22"/>
        <v>0</v>
      </c>
      <c r="L901" s="950">
        <f t="shared" si="23"/>
        <v>0</v>
      </c>
      <c r="M901" s="948">
        <v>0.0215</v>
      </c>
      <c r="N901" s="951">
        <f t="shared" si="24"/>
        <v>0.00141404202</v>
      </c>
      <c r="O901" s="949">
        <f t="shared" si="25"/>
        <v>15</v>
      </c>
      <c r="P901" s="949">
        <f t="shared" si="77"/>
        <v>0.0215</v>
      </c>
      <c r="Q901" s="952">
        <f t="shared" si="79"/>
        <v>0</v>
      </c>
      <c r="R901" s="952">
        <f t="shared" si="78"/>
        <v>0</v>
      </c>
      <c r="S901" s="953"/>
      <c r="T901" s="949">
        <v>0.06</v>
      </c>
      <c r="U901" s="954"/>
      <c r="V901" s="949"/>
      <c r="W901" s="953"/>
      <c r="X901" s="949">
        <f t="shared" si="7"/>
        <v>0</v>
      </c>
      <c r="Y901" s="955"/>
      <c r="Z901" s="953" t="str">
        <f t="shared" si="8"/>
        <v/>
      </c>
      <c r="AA901" s="949">
        <f t="shared" si="9"/>
        <v>0</v>
      </c>
      <c r="AB901" s="955"/>
      <c r="AC901" s="949" t="str">
        <f t="shared" si="10"/>
        <v/>
      </c>
      <c r="AD901" s="953">
        <f t="shared" si="11"/>
        <v>0</v>
      </c>
      <c r="AE901" s="956"/>
      <c r="AF901" s="889"/>
      <c r="AG901" s="810" t="b">
        <v>0</v>
      </c>
      <c r="AH901" s="780"/>
      <c r="AI901" s="780"/>
      <c r="AJ901" s="780"/>
      <c r="AK901" s="780"/>
      <c r="AL901" s="780"/>
      <c r="AM901" s="780"/>
      <c r="AN901" s="780"/>
      <c r="AO901" s="780"/>
      <c r="AP901" s="780"/>
      <c r="AQ901" s="780"/>
      <c r="AR901" s="780"/>
      <c r="AS901" s="780"/>
      <c r="AT901" s="780"/>
      <c r="AU901" s="780"/>
      <c r="AV901" s="780"/>
      <c r="AW901" s="780"/>
    </row>
    <row r="902">
      <c r="A902" s="941"/>
      <c r="B902" s="941"/>
      <c r="C902" s="995"/>
      <c r="D902" s="995"/>
      <c r="E902" s="995"/>
      <c r="F902" s="946"/>
      <c r="G902" s="946"/>
      <c r="H902" s="946"/>
      <c r="I902" s="947">
        <v>0.00138428</v>
      </c>
      <c r="J902" s="948">
        <v>0.035</v>
      </c>
      <c r="K902" s="949">
        <f t="shared" si="22"/>
        <v>0</v>
      </c>
      <c r="L902" s="950">
        <f t="shared" si="23"/>
        <v>0</v>
      </c>
      <c r="M902" s="948">
        <v>0.0215</v>
      </c>
      <c r="N902" s="951">
        <f t="shared" si="24"/>
        <v>0.00141404202</v>
      </c>
      <c r="O902" s="949">
        <f t="shared" si="25"/>
        <v>15</v>
      </c>
      <c r="P902" s="949">
        <f t="shared" si="77"/>
        <v>0.0215</v>
      </c>
      <c r="Q902" s="952">
        <f t="shared" si="79"/>
        <v>0</v>
      </c>
      <c r="R902" s="952">
        <f t="shared" si="78"/>
        <v>0</v>
      </c>
      <c r="S902" s="953"/>
      <c r="T902" s="949">
        <v>0.06</v>
      </c>
      <c r="U902" s="954"/>
      <c r="V902" s="949"/>
      <c r="W902" s="953"/>
      <c r="X902" s="949">
        <f t="shared" si="7"/>
        <v>0</v>
      </c>
      <c r="Y902" s="955"/>
      <c r="Z902" s="953" t="str">
        <f t="shared" si="8"/>
        <v/>
      </c>
      <c r="AA902" s="949">
        <f t="shared" si="9"/>
        <v>0</v>
      </c>
      <c r="AB902" s="955"/>
      <c r="AC902" s="949" t="str">
        <f t="shared" si="10"/>
        <v/>
      </c>
      <c r="AD902" s="953">
        <f t="shared" si="11"/>
        <v>0</v>
      </c>
      <c r="AE902" s="956"/>
      <c r="AF902" s="889"/>
      <c r="AG902" s="810" t="b">
        <v>0</v>
      </c>
      <c r="AH902" s="780"/>
      <c r="AI902" s="780"/>
      <c r="AJ902" s="780"/>
      <c r="AK902" s="780"/>
      <c r="AL902" s="780"/>
      <c r="AM902" s="780"/>
      <c r="AN902" s="780"/>
      <c r="AO902" s="780"/>
      <c r="AP902" s="780"/>
      <c r="AQ902" s="780"/>
      <c r="AR902" s="780"/>
      <c r="AS902" s="780"/>
      <c r="AT902" s="780"/>
      <c r="AU902" s="780"/>
      <c r="AV902" s="780"/>
      <c r="AW902" s="780"/>
    </row>
    <row r="903">
      <c r="A903" s="941"/>
      <c r="B903" s="941"/>
      <c r="C903" s="995"/>
      <c r="D903" s="944"/>
      <c r="E903" s="944"/>
      <c r="F903" s="1000"/>
      <c r="G903" s="1000"/>
      <c r="H903" s="1000"/>
      <c r="I903" s="947">
        <v>0.00138428</v>
      </c>
      <c r="J903" s="948">
        <v>0.035</v>
      </c>
      <c r="K903" s="949">
        <f t="shared" si="22"/>
        <v>0</v>
      </c>
      <c r="L903" s="950">
        <f t="shared" si="23"/>
        <v>0</v>
      </c>
      <c r="M903" s="948">
        <v>0.0215</v>
      </c>
      <c r="N903" s="951">
        <f t="shared" si="24"/>
        <v>0.00141404202</v>
      </c>
      <c r="O903" s="949">
        <f t="shared" si="25"/>
        <v>15</v>
      </c>
      <c r="P903" s="949">
        <f t="shared" si="77"/>
        <v>0.0215</v>
      </c>
      <c r="Q903" s="952">
        <f t="shared" si="79"/>
        <v>0</v>
      </c>
      <c r="R903" s="952">
        <f t="shared" si="78"/>
        <v>0</v>
      </c>
      <c r="S903" s="953"/>
      <c r="T903" s="949">
        <v>0.06</v>
      </c>
      <c r="U903" s="954"/>
      <c r="V903" s="949"/>
      <c r="W903" s="953"/>
      <c r="X903" s="949">
        <f t="shared" si="7"/>
        <v>0</v>
      </c>
      <c r="Y903" s="955"/>
      <c r="Z903" s="953" t="str">
        <f t="shared" si="8"/>
        <v/>
      </c>
      <c r="AA903" s="949">
        <f t="shared" si="9"/>
        <v>0</v>
      </c>
      <c r="AB903" s="955"/>
      <c r="AC903" s="949" t="str">
        <f t="shared" si="10"/>
        <v/>
      </c>
      <c r="AD903" s="953">
        <f t="shared" si="11"/>
        <v>0</v>
      </c>
      <c r="AE903" s="956"/>
      <c r="AF903" s="889"/>
      <c r="AG903" s="810" t="b">
        <v>0</v>
      </c>
      <c r="AH903" s="780"/>
      <c r="AI903" s="780"/>
      <c r="AJ903" s="780"/>
      <c r="AK903" s="780"/>
      <c r="AL903" s="780"/>
      <c r="AM903" s="780"/>
      <c r="AN903" s="780"/>
      <c r="AO903" s="780"/>
      <c r="AP903" s="780"/>
      <c r="AQ903" s="780"/>
      <c r="AR903" s="780"/>
      <c r="AS903" s="780"/>
      <c r="AT903" s="780"/>
      <c r="AU903" s="780"/>
      <c r="AV903" s="780"/>
      <c r="AW903" s="780"/>
    </row>
    <row r="904">
      <c r="A904" s="941"/>
      <c r="B904" s="941"/>
      <c r="C904" s="995"/>
      <c r="D904" s="995"/>
      <c r="E904" s="995"/>
      <c r="F904" s="946"/>
      <c r="G904" s="946"/>
      <c r="H904" s="946"/>
      <c r="I904" s="947">
        <v>0.00138428</v>
      </c>
      <c r="J904" s="948">
        <v>0.035</v>
      </c>
      <c r="K904" s="949">
        <f t="shared" si="22"/>
        <v>0</v>
      </c>
      <c r="L904" s="950">
        <f t="shared" si="23"/>
        <v>0</v>
      </c>
      <c r="M904" s="948">
        <v>0.0215</v>
      </c>
      <c r="N904" s="951">
        <f t="shared" si="24"/>
        <v>0.00141404202</v>
      </c>
      <c r="O904" s="949">
        <f t="shared" si="25"/>
        <v>15</v>
      </c>
      <c r="P904" s="949">
        <f t="shared" si="77"/>
        <v>0.0215</v>
      </c>
      <c r="Q904" s="952">
        <f t="shared" si="79"/>
        <v>0</v>
      </c>
      <c r="R904" s="952">
        <f t="shared" si="78"/>
        <v>0</v>
      </c>
      <c r="S904" s="953"/>
      <c r="T904" s="949">
        <v>0.06</v>
      </c>
      <c r="U904" s="954"/>
      <c r="V904" s="949"/>
      <c r="W904" s="953"/>
      <c r="X904" s="949">
        <f t="shared" si="7"/>
        <v>0</v>
      </c>
      <c r="Y904" s="955"/>
      <c r="Z904" s="953" t="str">
        <f t="shared" si="8"/>
        <v/>
      </c>
      <c r="AA904" s="949">
        <f t="shared" si="9"/>
        <v>0</v>
      </c>
      <c r="AB904" s="955"/>
      <c r="AC904" s="949" t="str">
        <f t="shared" si="10"/>
        <v/>
      </c>
      <c r="AD904" s="953">
        <f t="shared" si="11"/>
        <v>0</v>
      </c>
      <c r="AE904" s="956"/>
      <c r="AF904" s="889"/>
      <c r="AG904" s="810" t="b">
        <v>0</v>
      </c>
      <c r="AH904" s="780"/>
      <c r="AI904" s="780"/>
      <c r="AJ904" s="780"/>
      <c r="AK904" s="780"/>
      <c r="AL904" s="780"/>
      <c r="AM904" s="780"/>
      <c r="AN904" s="780"/>
      <c r="AO904" s="780"/>
      <c r="AP904" s="780"/>
      <c r="AQ904" s="780"/>
      <c r="AR904" s="780"/>
      <c r="AS904" s="780"/>
      <c r="AT904" s="780"/>
      <c r="AU904" s="780"/>
      <c r="AV904" s="780"/>
      <c r="AW904" s="780"/>
    </row>
    <row r="905">
      <c r="A905" s="941"/>
      <c r="B905" s="941"/>
      <c r="C905" s="995"/>
      <c r="D905" s="995"/>
      <c r="E905" s="995"/>
      <c r="F905" s="946"/>
      <c r="G905" s="946"/>
      <c r="H905" s="946"/>
      <c r="I905" s="947">
        <v>0.00138428</v>
      </c>
      <c r="J905" s="948">
        <v>0.035</v>
      </c>
      <c r="K905" s="949">
        <f t="shared" si="22"/>
        <v>0</v>
      </c>
      <c r="L905" s="950">
        <f t="shared" si="23"/>
        <v>0</v>
      </c>
      <c r="M905" s="948">
        <v>0.0215</v>
      </c>
      <c r="N905" s="951">
        <f t="shared" si="24"/>
        <v>0.00141404202</v>
      </c>
      <c r="O905" s="949">
        <f t="shared" si="25"/>
        <v>15</v>
      </c>
      <c r="P905" s="949">
        <f t="shared" si="77"/>
        <v>0.0215</v>
      </c>
      <c r="Q905" s="952">
        <f t="shared" si="79"/>
        <v>0</v>
      </c>
      <c r="R905" s="952">
        <f t="shared" si="78"/>
        <v>0</v>
      </c>
      <c r="S905" s="953"/>
      <c r="T905" s="949">
        <v>0.06</v>
      </c>
      <c r="U905" s="954"/>
      <c r="V905" s="949"/>
      <c r="W905" s="953"/>
      <c r="X905" s="949">
        <f t="shared" si="7"/>
        <v>0</v>
      </c>
      <c r="Y905" s="955"/>
      <c r="Z905" s="953" t="str">
        <f t="shared" si="8"/>
        <v/>
      </c>
      <c r="AA905" s="949">
        <f t="shared" si="9"/>
        <v>0</v>
      </c>
      <c r="AB905" s="955"/>
      <c r="AC905" s="949" t="str">
        <f t="shared" si="10"/>
        <v/>
      </c>
      <c r="AD905" s="953">
        <f t="shared" si="11"/>
        <v>0</v>
      </c>
      <c r="AE905" s="956"/>
      <c r="AF905" s="889"/>
      <c r="AG905" s="810" t="b">
        <v>0</v>
      </c>
      <c r="AH905" s="780"/>
      <c r="AI905" s="780"/>
      <c r="AJ905" s="780"/>
      <c r="AK905" s="780"/>
      <c r="AL905" s="780"/>
      <c r="AM905" s="780"/>
      <c r="AN905" s="780"/>
      <c r="AO905" s="780"/>
      <c r="AP905" s="780"/>
      <c r="AQ905" s="780"/>
      <c r="AR905" s="780"/>
      <c r="AS905" s="780"/>
      <c r="AT905" s="780"/>
      <c r="AU905" s="780"/>
      <c r="AV905" s="780"/>
      <c r="AW905" s="780"/>
    </row>
    <row r="906">
      <c r="A906" s="941"/>
      <c r="B906" s="941"/>
      <c r="C906" s="995"/>
      <c r="D906" s="995"/>
      <c r="E906" s="995"/>
      <c r="F906" s="946"/>
      <c r="G906" s="946"/>
      <c r="H906" s="946"/>
      <c r="I906" s="947">
        <v>0.00138428</v>
      </c>
      <c r="J906" s="948">
        <v>0.035</v>
      </c>
      <c r="K906" s="949">
        <f t="shared" si="22"/>
        <v>0</v>
      </c>
      <c r="L906" s="950">
        <f t="shared" si="23"/>
        <v>0</v>
      </c>
      <c r="M906" s="948">
        <v>0.0215</v>
      </c>
      <c r="N906" s="951">
        <f t="shared" si="24"/>
        <v>0.00141404202</v>
      </c>
      <c r="O906" s="949">
        <f t="shared" si="25"/>
        <v>15</v>
      </c>
      <c r="P906" s="949">
        <f t="shared" si="77"/>
        <v>0.0215</v>
      </c>
      <c r="Q906" s="952">
        <f t="shared" si="79"/>
        <v>0</v>
      </c>
      <c r="R906" s="952">
        <f t="shared" si="78"/>
        <v>0</v>
      </c>
      <c r="S906" s="953"/>
      <c r="T906" s="949">
        <v>0.06</v>
      </c>
      <c r="U906" s="954"/>
      <c r="V906" s="949"/>
      <c r="W906" s="953"/>
      <c r="X906" s="949">
        <f t="shared" si="7"/>
        <v>0</v>
      </c>
      <c r="Y906" s="955"/>
      <c r="Z906" s="953" t="str">
        <f t="shared" si="8"/>
        <v/>
      </c>
      <c r="AA906" s="949">
        <f t="shared" si="9"/>
        <v>0</v>
      </c>
      <c r="AB906" s="955"/>
      <c r="AC906" s="949" t="str">
        <f t="shared" si="10"/>
        <v/>
      </c>
      <c r="AD906" s="953">
        <f t="shared" si="11"/>
        <v>0</v>
      </c>
      <c r="AE906" s="956"/>
      <c r="AF906" s="889"/>
      <c r="AG906" s="810" t="b">
        <v>0</v>
      </c>
      <c r="AH906" s="780"/>
      <c r="AI906" s="780"/>
      <c r="AJ906" s="780"/>
      <c r="AK906" s="780"/>
      <c r="AL906" s="780"/>
      <c r="AM906" s="780"/>
      <c r="AN906" s="780"/>
      <c r="AO906" s="780"/>
      <c r="AP906" s="780"/>
      <c r="AQ906" s="780"/>
      <c r="AR906" s="780"/>
      <c r="AS906" s="780"/>
      <c r="AT906" s="780"/>
      <c r="AU906" s="780"/>
      <c r="AV906" s="780"/>
      <c r="AW906" s="780"/>
    </row>
    <row r="907">
      <c r="A907" s="941"/>
      <c r="B907" s="941"/>
      <c r="C907" s="995"/>
      <c r="D907" s="1001"/>
      <c r="E907" s="944"/>
      <c r="F907" s="946"/>
      <c r="G907" s="946"/>
      <c r="H907" s="946"/>
      <c r="I907" s="947">
        <v>0.00138428</v>
      </c>
      <c r="J907" s="948">
        <v>0.035</v>
      </c>
      <c r="K907" s="949">
        <f t="shared" si="22"/>
        <v>0</v>
      </c>
      <c r="L907" s="950">
        <f t="shared" si="23"/>
        <v>0</v>
      </c>
      <c r="M907" s="948">
        <v>0.0215</v>
      </c>
      <c r="N907" s="951">
        <f t="shared" si="24"/>
        <v>0.00141404202</v>
      </c>
      <c r="O907" s="949">
        <f t="shared" si="25"/>
        <v>15</v>
      </c>
      <c r="P907" s="949">
        <f t="shared" si="77"/>
        <v>0.0215</v>
      </c>
      <c r="Q907" s="952">
        <f t="shared" si="79"/>
        <v>0</v>
      </c>
      <c r="R907" s="952">
        <f t="shared" si="78"/>
        <v>0</v>
      </c>
      <c r="S907" s="953"/>
      <c r="T907" s="949">
        <v>0.06</v>
      </c>
      <c r="U907" s="954"/>
      <c r="V907" s="949"/>
      <c r="W907" s="953"/>
      <c r="X907" s="949">
        <f t="shared" si="7"/>
        <v>0</v>
      </c>
      <c r="Y907" s="955"/>
      <c r="Z907" s="953" t="str">
        <f t="shared" si="8"/>
        <v/>
      </c>
      <c r="AA907" s="949">
        <f t="shared" si="9"/>
        <v>0</v>
      </c>
      <c r="AB907" s="955"/>
      <c r="AC907" s="949" t="str">
        <f t="shared" si="10"/>
        <v/>
      </c>
      <c r="AD907" s="953">
        <f t="shared" si="11"/>
        <v>0</v>
      </c>
      <c r="AE907" s="956"/>
      <c r="AF907" s="889"/>
      <c r="AG907" s="810" t="b">
        <v>0</v>
      </c>
      <c r="AH907" s="780"/>
      <c r="AI907" s="780"/>
      <c r="AJ907" s="780"/>
      <c r="AK907" s="780"/>
      <c r="AL907" s="780"/>
      <c r="AM907" s="780"/>
      <c r="AN907" s="780"/>
      <c r="AO907" s="780"/>
      <c r="AP907" s="780"/>
      <c r="AQ907" s="780"/>
      <c r="AR907" s="780"/>
      <c r="AS907" s="780"/>
      <c r="AT907" s="780"/>
      <c r="AU907" s="780"/>
      <c r="AV907" s="780"/>
      <c r="AW907" s="780"/>
    </row>
    <row r="908">
      <c r="A908" s="941"/>
      <c r="B908" s="941"/>
      <c r="C908" s="995"/>
      <c r="D908" s="995"/>
      <c r="E908" s="995"/>
      <c r="F908" s="946"/>
      <c r="G908" s="946"/>
      <c r="H908" s="946"/>
      <c r="I908" s="947">
        <v>0.00138428</v>
      </c>
      <c r="J908" s="948">
        <v>0.035</v>
      </c>
      <c r="K908" s="949">
        <f t="shared" si="22"/>
        <v>0</v>
      </c>
      <c r="L908" s="950">
        <f t="shared" si="23"/>
        <v>0</v>
      </c>
      <c r="M908" s="948">
        <v>0.0215</v>
      </c>
      <c r="N908" s="951">
        <f t="shared" si="24"/>
        <v>0.00141404202</v>
      </c>
      <c r="O908" s="949">
        <f t="shared" si="25"/>
        <v>15</v>
      </c>
      <c r="P908" s="949">
        <f t="shared" si="77"/>
        <v>0.0215</v>
      </c>
      <c r="Q908" s="952">
        <f t="shared" si="79"/>
        <v>0</v>
      </c>
      <c r="R908" s="952">
        <f t="shared" si="78"/>
        <v>0</v>
      </c>
      <c r="S908" s="953"/>
      <c r="T908" s="949">
        <v>0.06</v>
      </c>
      <c r="U908" s="954"/>
      <c r="V908" s="949"/>
      <c r="W908" s="953"/>
      <c r="X908" s="949">
        <f t="shared" si="7"/>
        <v>0</v>
      </c>
      <c r="Y908" s="955"/>
      <c r="Z908" s="953" t="str">
        <f t="shared" si="8"/>
        <v/>
      </c>
      <c r="AA908" s="949">
        <f t="shared" si="9"/>
        <v>0</v>
      </c>
      <c r="AB908" s="955"/>
      <c r="AC908" s="949" t="str">
        <f t="shared" si="10"/>
        <v/>
      </c>
      <c r="AD908" s="953">
        <f t="shared" si="11"/>
        <v>0</v>
      </c>
      <c r="AE908" s="956"/>
      <c r="AF908" s="889"/>
      <c r="AG908" s="810" t="b">
        <v>0</v>
      </c>
      <c r="AH908" s="780"/>
      <c r="AI908" s="780"/>
      <c r="AJ908" s="780"/>
      <c r="AK908" s="780"/>
      <c r="AL908" s="780"/>
      <c r="AM908" s="780"/>
      <c r="AN908" s="780"/>
      <c r="AO908" s="780"/>
      <c r="AP908" s="780"/>
      <c r="AQ908" s="780"/>
      <c r="AR908" s="780"/>
      <c r="AS908" s="780"/>
      <c r="AT908" s="780"/>
      <c r="AU908" s="780"/>
      <c r="AV908" s="780"/>
      <c r="AW908" s="780"/>
    </row>
    <row r="909">
      <c r="A909" s="941"/>
      <c r="B909" s="941"/>
      <c r="C909" s="995"/>
      <c r="D909" s="995"/>
      <c r="E909" s="995"/>
      <c r="F909" s="946"/>
      <c r="G909" s="946"/>
      <c r="H909" s="946"/>
      <c r="I909" s="947">
        <v>0.00138428</v>
      </c>
      <c r="J909" s="948">
        <v>0.035</v>
      </c>
      <c r="K909" s="949">
        <f t="shared" si="22"/>
        <v>0</v>
      </c>
      <c r="L909" s="950">
        <f t="shared" si="23"/>
        <v>0</v>
      </c>
      <c r="M909" s="948">
        <v>0.0215</v>
      </c>
      <c r="N909" s="951">
        <f t="shared" si="24"/>
        <v>0.00141404202</v>
      </c>
      <c r="O909" s="949">
        <f t="shared" si="25"/>
        <v>15</v>
      </c>
      <c r="P909" s="949">
        <f t="shared" si="77"/>
        <v>0.0215</v>
      </c>
      <c r="Q909" s="952">
        <f t="shared" si="79"/>
        <v>0</v>
      </c>
      <c r="R909" s="952">
        <f t="shared" si="78"/>
        <v>0</v>
      </c>
      <c r="S909" s="953"/>
      <c r="T909" s="949">
        <v>0.06</v>
      </c>
      <c r="U909" s="954"/>
      <c r="V909" s="949"/>
      <c r="W909" s="953"/>
      <c r="X909" s="949">
        <f t="shared" si="7"/>
        <v>0</v>
      </c>
      <c r="Y909" s="955"/>
      <c r="Z909" s="953" t="str">
        <f t="shared" si="8"/>
        <v/>
      </c>
      <c r="AA909" s="949">
        <f t="shared" si="9"/>
        <v>0</v>
      </c>
      <c r="AB909" s="955"/>
      <c r="AC909" s="949" t="str">
        <f t="shared" si="10"/>
        <v/>
      </c>
      <c r="AD909" s="953">
        <f t="shared" si="11"/>
        <v>0</v>
      </c>
      <c r="AE909" s="956"/>
      <c r="AF909" s="889"/>
      <c r="AG909" s="810" t="b">
        <v>0</v>
      </c>
      <c r="AH909" s="780"/>
      <c r="AI909" s="780"/>
      <c r="AJ909" s="780"/>
      <c r="AK909" s="780"/>
      <c r="AL909" s="780"/>
      <c r="AM909" s="780"/>
      <c r="AN909" s="780"/>
      <c r="AO909" s="780"/>
      <c r="AP909" s="780"/>
      <c r="AQ909" s="780"/>
      <c r="AR909" s="780"/>
      <c r="AS909" s="780"/>
      <c r="AT909" s="780"/>
      <c r="AU909" s="780"/>
      <c r="AV909" s="780"/>
      <c r="AW909" s="780"/>
    </row>
    <row r="910">
      <c r="A910" s="941"/>
      <c r="B910" s="941"/>
      <c r="C910" s="995"/>
      <c r="D910" s="995"/>
      <c r="E910" s="995"/>
      <c r="F910" s="946"/>
      <c r="G910" s="946"/>
      <c r="H910" s="946"/>
      <c r="I910" s="947">
        <v>0.00138428</v>
      </c>
      <c r="J910" s="948">
        <v>0.035</v>
      </c>
      <c r="K910" s="949">
        <f t="shared" si="22"/>
        <v>0</v>
      </c>
      <c r="L910" s="950">
        <f t="shared" si="23"/>
        <v>0</v>
      </c>
      <c r="M910" s="948">
        <v>0.0215</v>
      </c>
      <c r="N910" s="951">
        <f t="shared" si="24"/>
        <v>0.00141404202</v>
      </c>
      <c r="O910" s="949">
        <f t="shared" si="25"/>
        <v>15</v>
      </c>
      <c r="P910" s="949">
        <f t="shared" si="77"/>
        <v>0.0215</v>
      </c>
      <c r="Q910" s="952">
        <f t="shared" si="79"/>
        <v>0</v>
      </c>
      <c r="R910" s="952">
        <f t="shared" si="78"/>
        <v>0</v>
      </c>
      <c r="S910" s="953"/>
      <c r="T910" s="949">
        <v>0.06</v>
      </c>
      <c r="U910" s="954"/>
      <c r="V910" s="949"/>
      <c r="W910" s="953"/>
      <c r="X910" s="949">
        <f t="shared" si="7"/>
        <v>0</v>
      </c>
      <c r="Y910" s="955"/>
      <c r="Z910" s="953" t="str">
        <f t="shared" si="8"/>
        <v/>
      </c>
      <c r="AA910" s="949">
        <f t="shared" si="9"/>
        <v>0</v>
      </c>
      <c r="AB910" s="955"/>
      <c r="AC910" s="949" t="str">
        <f t="shared" si="10"/>
        <v/>
      </c>
      <c r="AD910" s="953">
        <f t="shared" si="11"/>
        <v>0</v>
      </c>
      <c r="AE910" s="956"/>
      <c r="AF910" s="889"/>
      <c r="AG910" s="810" t="b">
        <v>0</v>
      </c>
      <c r="AH910" s="780"/>
      <c r="AI910" s="780"/>
      <c r="AJ910" s="780"/>
      <c r="AK910" s="780"/>
      <c r="AL910" s="780"/>
      <c r="AM910" s="780"/>
      <c r="AN910" s="780"/>
      <c r="AO910" s="780"/>
      <c r="AP910" s="780"/>
      <c r="AQ910" s="780"/>
      <c r="AR910" s="780"/>
      <c r="AS910" s="780"/>
      <c r="AT910" s="780"/>
      <c r="AU910" s="780"/>
      <c r="AV910" s="780"/>
      <c r="AW910" s="780"/>
    </row>
    <row r="911">
      <c r="A911" s="941"/>
      <c r="B911" s="941"/>
      <c r="C911" s="995"/>
      <c r="D911" s="995"/>
      <c r="E911" s="995"/>
      <c r="F911" s="946"/>
      <c r="G911" s="946"/>
      <c r="H911" s="946"/>
      <c r="I911" s="947">
        <v>0.00138428</v>
      </c>
      <c r="J911" s="948">
        <v>0.035</v>
      </c>
      <c r="K911" s="949">
        <f t="shared" si="22"/>
        <v>0</v>
      </c>
      <c r="L911" s="950">
        <f t="shared" si="23"/>
        <v>0</v>
      </c>
      <c r="M911" s="948">
        <v>0.0215</v>
      </c>
      <c r="N911" s="951">
        <f t="shared" si="24"/>
        <v>0.00141404202</v>
      </c>
      <c r="O911" s="949">
        <f t="shared" si="25"/>
        <v>15</v>
      </c>
      <c r="P911" s="949">
        <f t="shared" si="77"/>
        <v>0.0215</v>
      </c>
      <c r="Q911" s="952">
        <f t="shared" si="79"/>
        <v>0</v>
      </c>
      <c r="R911" s="952">
        <f t="shared" si="78"/>
        <v>0</v>
      </c>
      <c r="S911" s="953"/>
      <c r="T911" s="949">
        <v>0.06</v>
      </c>
      <c r="U911" s="954"/>
      <c r="V911" s="949"/>
      <c r="W911" s="953"/>
      <c r="X911" s="949">
        <f t="shared" si="7"/>
        <v>0</v>
      </c>
      <c r="Y911" s="955"/>
      <c r="Z911" s="953" t="str">
        <f t="shared" si="8"/>
        <v/>
      </c>
      <c r="AA911" s="949">
        <f t="shared" si="9"/>
        <v>0</v>
      </c>
      <c r="AB911" s="955"/>
      <c r="AC911" s="949" t="str">
        <f t="shared" si="10"/>
        <v/>
      </c>
      <c r="AD911" s="953">
        <f t="shared" si="11"/>
        <v>0</v>
      </c>
      <c r="AE911" s="956"/>
      <c r="AF911" s="889"/>
      <c r="AG911" s="810" t="b">
        <v>0</v>
      </c>
      <c r="AH911" s="780"/>
      <c r="AI911" s="780"/>
      <c r="AJ911" s="780"/>
      <c r="AK911" s="780"/>
      <c r="AL911" s="780"/>
      <c r="AM911" s="780"/>
      <c r="AN911" s="780"/>
      <c r="AO911" s="780"/>
      <c r="AP911" s="780"/>
      <c r="AQ911" s="780"/>
      <c r="AR911" s="780"/>
      <c r="AS911" s="780"/>
      <c r="AT911" s="780"/>
      <c r="AU911" s="780"/>
      <c r="AV911" s="780"/>
      <c r="AW911" s="780"/>
    </row>
    <row r="912">
      <c r="A912" s="941"/>
      <c r="B912" s="941"/>
      <c r="C912" s="995"/>
      <c r="D912" s="995"/>
      <c r="E912" s="995"/>
      <c r="F912" s="946"/>
      <c r="G912" s="946"/>
      <c r="H912" s="946"/>
      <c r="I912" s="947">
        <v>0.00138428</v>
      </c>
      <c r="J912" s="948">
        <v>0.035</v>
      </c>
      <c r="K912" s="949">
        <f t="shared" si="22"/>
        <v>0</v>
      </c>
      <c r="L912" s="950">
        <f t="shared" si="23"/>
        <v>0</v>
      </c>
      <c r="M912" s="948">
        <v>0.0215</v>
      </c>
      <c r="N912" s="951">
        <f t="shared" si="24"/>
        <v>0.00141404202</v>
      </c>
      <c r="O912" s="949">
        <f t="shared" si="25"/>
        <v>15</v>
      </c>
      <c r="P912" s="949">
        <f t="shared" si="77"/>
        <v>0.0215</v>
      </c>
      <c r="Q912" s="952">
        <f t="shared" si="79"/>
        <v>0</v>
      </c>
      <c r="R912" s="952">
        <f t="shared" si="78"/>
        <v>0</v>
      </c>
      <c r="S912" s="953"/>
      <c r="T912" s="949">
        <v>0.06</v>
      </c>
      <c r="U912" s="954"/>
      <c r="V912" s="949"/>
      <c r="W912" s="953"/>
      <c r="X912" s="949">
        <f t="shared" si="7"/>
        <v>0</v>
      </c>
      <c r="Y912" s="955"/>
      <c r="Z912" s="953" t="str">
        <f t="shared" si="8"/>
        <v/>
      </c>
      <c r="AA912" s="949">
        <f t="shared" si="9"/>
        <v>0</v>
      </c>
      <c r="AB912" s="955"/>
      <c r="AC912" s="949" t="str">
        <f t="shared" si="10"/>
        <v/>
      </c>
      <c r="AD912" s="953">
        <f t="shared" si="11"/>
        <v>0</v>
      </c>
      <c r="AE912" s="956"/>
      <c r="AF912" s="889"/>
      <c r="AG912" s="810" t="b">
        <v>0</v>
      </c>
      <c r="AH912" s="780"/>
      <c r="AI912" s="780"/>
      <c r="AJ912" s="780"/>
      <c r="AK912" s="780"/>
      <c r="AL912" s="780"/>
      <c r="AM912" s="780"/>
      <c r="AN912" s="780"/>
      <c r="AO912" s="780"/>
      <c r="AP912" s="780"/>
      <c r="AQ912" s="780"/>
      <c r="AR912" s="780"/>
      <c r="AS912" s="780"/>
      <c r="AT912" s="780"/>
      <c r="AU912" s="780"/>
      <c r="AV912" s="780"/>
      <c r="AW912" s="780"/>
    </row>
    <row r="913">
      <c r="A913" s="941"/>
      <c r="B913" s="941"/>
      <c r="C913" s="995"/>
      <c r="D913" s="995"/>
      <c r="E913" s="995"/>
      <c r="F913" s="946"/>
      <c r="G913" s="946"/>
      <c r="H913" s="946"/>
      <c r="I913" s="947">
        <v>0.00138428</v>
      </c>
      <c r="J913" s="948">
        <v>0.035</v>
      </c>
      <c r="K913" s="949">
        <f t="shared" si="22"/>
        <v>0</v>
      </c>
      <c r="L913" s="950">
        <f t="shared" si="23"/>
        <v>0</v>
      </c>
      <c r="M913" s="948">
        <v>0.0215</v>
      </c>
      <c r="N913" s="951">
        <f t="shared" si="24"/>
        <v>0.00141404202</v>
      </c>
      <c r="O913" s="949">
        <f t="shared" si="25"/>
        <v>15</v>
      </c>
      <c r="P913" s="949">
        <f t="shared" si="77"/>
        <v>0.0215</v>
      </c>
      <c r="Q913" s="952">
        <f t="shared" si="79"/>
        <v>0</v>
      </c>
      <c r="R913" s="952">
        <f t="shared" si="78"/>
        <v>0</v>
      </c>
      <c r="S913" s="953"/>
      <c r="T913" s="949">
        <v>0.06</v>
      </c>
      <c r="U913" s="954"/>
      <c r="V913" s="949"/>
      <c r="W913" s="953"/>
      <c r="X913" s="949">
        <f t="shared" si="7"/>
        <v>0</v>
      </c>
      <c r="Y913" s="955"/>
      <c r="Z913" s="953" t="str">
        <f t="shared" si="8"/>
        <v/>
      </c>
      <c r="AA913" s="949">
        <f t="shared" si="9"/>
        <v>0</v>
      </c>
      <c r="AB913" s="955"/>
      <c r="AC913" s="949" t="str">
        <f t="shared" si="10"/>
        <v/>
      </c>
      <c r="AD913" s="953">
        <f t="shared" si="11"/>
        <v>0</v>
      </c>
      <c r="AE913" s="956"/>
      <c r="AF913" s="889"/>
      <c r="AG913" s="810" t="b">
        <v>0</v>
      </c>
      <c r="AH913" s="780"/>
      <c r="AI913" s="780"/>
      <c r="AJ913" s="780"/>
      <c r="AK913" s="780"/>
      <c r="AL913" s="780"/>
      <c r="AM913" s="780"/>
      <c r="AN913" s="780"/>
      <c r="AO913" s="780"/>
      <c r="AP913" s="780"/>
      <c r="AQ913" s="780"/>
      <c r="AR913" s="780"/>
      <c r="AS913" s="780"/>
      <c r="AT913" s="780"/>
      <c r="AU913" s="780"/>
      <c r="AV913" s="780"/>
      <c r="AW913" s="780"/>
    </row>
    <row r="914">
      <c r="A914" s="941"/>
      <c r="B914" s="941"/>
      <c r="C914" s="995"/>
      <c r="D914" s="995"/>
      <c r="E914" s="995"/>
      <c r="F914" s="946"/>
      <c r="G914" s="946"/>
      <c r="H914" s="946"/>
      <c r="I914" s="947">
        <v>0.00138428</v>
      </c>
      <c r="J914" s="948">
        <v>0.035</v>
      </c>
      <c r="K914" s="949">
        <f t="shared" si="22"/>
        <v>0</v>
      </c>
      <c r="L914" s="950">
        <f t="shared" si="23"/>
        <v>0</v>
      </c>
      <c r="M914" s="948">
        <v>0.0215</v>
      </c>
      <c r="N914" s="951">
        <f t="shared" si="24"/>
        <v>0.00141404202</v>
      </c>
      <c r="O914" s="949">
        <f t="shared" si="25"/>
        <v>15</v>
      </c>
      <c r="P914" s="949">
        <f t="shared" si="77"/>
        <v>0.0215</v>
      </c>
      <c r="Q914" s="952">
        <f t="shared" si="79"/>
        <v>0</v>
      </c>
      <c r="R914" s="952">
        <f t="shared" si="78"/>
        <v>0</v>
      </c>
      <c r="S914" s="953"/>
      <c r="T914" s="949">
        <v>0.06</v>
      </c>
      <c r="U914" s="954"/>
      <c r="V914" s="949"/>
      <c r="W914" s="953"/>
      <c r="X914" s="949">
        <f t="shared" si="7"/>
        <v>0</v>
      </c>
      <c r="Y914" s="955"/>
      <c r="Z914" s="953" t="str">
        <f t="shared" si="8"/>
        <v/>
      </c>
      <c r="AA914" s="949">
        <f t="shared" si="9"/>
        <v>0</v>
      </c>
      <c r="AB914" s="955"/>
      <c r="AC914" s="949" t="str">
        <f t="shared" si="10"/>
        <v/>
      </c>
      <c r="AD914" s="953">
        <f t="shared" si="11"/>
        <v>0</v>
      </c>
      <c r="AE914" s="956"/>
      <c r="AF914" s="889"/>
      <c r="AG914" s="810" t="b">
        <v>0</v>
      </c>
      <c r="AH914" s="780"/>
      <c r="AI914" s="780"/>
      <c r="AJ914" s="780"/>
      <c r="AK914" s="780"/>
      <c r="AL914" s="780"/>
      <c r="AM914" s="780"/>
      <c r="AN914" s="780"/>
      <c r="AO914" s="780"/>
      <c r="AP914" s="780"/>
      <c r="AQ914" s="780"/>
      <c r="AR914" s="780"/>
      <c r="AS914" s="780"/>
      <c r="AT914" s="780"/>
      <c r="AU914" s="780"/>
      <c r="AV914" s="780"/>
      <c r="AW914" s="780"/>
    </row>
    <row r="915">
      <c r="A915" s="941"/>
      <c r="B915" s="941"/>
      <c r="C915" s="995"/>
      <c r="D915" s="995"/>
      <c r="E915" s="995"/>
      <c r="F915" s="946"/>
      <c r="G915" s="946"/>
      <c r="H915" s="946"/>
      <c r="I915" s="947">
        <v>0.00138428</v>
      </c>
      <c r="J915" s="948">
        <v>0.035</v>
      </c>
      <c r="K915" s="949">
        <f t="shared" si="22"/>
        <v>0</v>
      </c>
      <c r="L915" s="950">
        <f t="shared" si="23"/>
        <v>0</v>
      </c>
      <c r="M915" s="948">
        <v>0.0215</v>
      </c>
      <c r="N915" s="951">
        <f t="shared" si="24"/>
        <v>0.00141404202</v>
      </c>
      <c r="O915" s="949">
        <f t="shared" si="25"/>
        <v>15</v>
      </c>
      <c r="P915" s="949">
        <f t="shared" si="77"/>
        <v>0.0215</v>
      </c>
      <c r="Q915" s="952">
        <f t="shared" si="79"/>
        <v>0</v>
      </c>
      <c r="R915" s="952">
        <f t="shared" si="78"/>
        <v>0</v>
      </c>
      <c r="S915" s="953"/>
      <c r="T915" s="949">
        <v>0.06</v>
      </c>
      <c r="U915" s="954"/>
      <c r="V915" s="949"/>
      <c r="W915" s="953"/>
      <c r="X915" s="949">
        <f t="shared" si="7"/>
        <v>0</v>
      </c>
      <c r="Y915" s="955"/>
      <c r="Z915" s="953" t="str">
        <f t="shared" si="8"/>
        <v/>
      </c>
      <c r="AA915" s="949">
        <f t="shared" si="9"/>
        <v>0</v>
      </c>
      <c r="AB915" s="955"/>
      <c r="AC915" s="949" t="str">
        <f t="shared" si="10"/>
        <v/>
      </c>
      <c r="AD915" s="953">
        <f t="shared" si="11"/>
        <v>0</v>
      </c>
      <c r="AE915" s="956"/>
      <c r="AF915" s="889"/>
      <c r="AG915" s="810" t="b">
        <v>0</v>
      </c>
      <c r="AH915" s="780"/>
      <c r="AI915" s="780"/>
      <c r="AJ915" s="780"/>
      <c r="AK915" s="780"/>
      <c r="AL915" s="780"/>
      <c r="AM915" s="780"/>
      <c r="AN915" s="780"/>
      <c r="AO915" s="780"/>
      <c r="AP915" s="780"/>
      <c r="AQ915" s="780"/>
      <c r="AR915" s="780"/>
      <c r="AS915" s="780"/>
      <c r="AT915" s="780"/>
      <c r="AU915" s="780"/>
      <c r="AV915" s="780"/>
      <c r="AW915" s="780"/>
    </row>
    <row r="916">
      <c r="A916" s="941"/>
      <c r="B916" s="941"/>
      <c r="C916" s="995"/>
      <c r="D916" s="995"/>
      <c r="E916" s="995"/>
      <c r="F916" s="946"/>
      <c r="G916" s="946"/>
      <c r="H916" s="946"/>
      <c r="I916" s="947">
        <v>0.00138428</v>
      </c>
      <c r="J916" s="948">
        <v>0.035</v>
      </c>
      <c r="K916" s="949">
        <f t="shared" si="22"/>
        <v>0</v>
      </c>
      <c r="L916" s="950">
        <f t="shared" si="23"/>
        <v>0</v>
      </c>
      <c r="M916" s="948">
        <v>0.0215</v>
      </c>
      <c r="N916" s="951">
        <f t="shared" si="24"/>
        <v>0.00141404202</v>
      </c>
      <c r="O916" s="949">
        <f t="shared" si="25"/>
        <v>15</v>
      </c>
      <c r="P916" s="949">
        <f t="shared" si="77"/>
        <v>0.0215</v>
      </c>
      <c r="Q916" s="952">
        <f t="shared" si="79"/>
        <v>0</v>
      </c>
      <c r="R916" s="952">
        <f t="shared" si="78"/>
        <v>0</v>
      </c>
      <c r="S916" s="953"/>
      <c r="T916" s="949">
        <v>0.06</v>
      </c>
      <c r="U916" s="954"/>
      <c r="V916" s="949"/>
      <c r="W916" s="953"/>
      <c r="X916" s="949">
        <f t="shared" si="7"/>
        <v>0</v>
      </c>
      <c r="Y916" s="955"/>
      <c r="Z916" s="953" t="str">
        <f t="shared" si="8"/>
        <v/>
      </c>
      <c r="AA916" s="949">
        <f t="shared" si="9"/>
        <v>0</v>
      </c>
      <c r="AB916" s="955"/>
      <c r="AC916" s="949" t="str">
        <f t="shared" si="10"/>
        <v/>
      </c>
      <c r="AD916" s="953">
        <f t="shared" si="11"/>
        <v>0</v>
      </c>
      <c r="AE916" s="956"/>
      <c r="AF916" s="889"/>
      <c r="AG916" s="810" t="b">
        <v>0</v>
      </c>
      <c r="AH916" s="780"/>
      <c r="AI916" s="780"/>
      <c r="AJ916" s="780"/>
      <c r="AK916" s="780"/>
      <c r="AL916" s="780"/>
      <c r="AM916" s="780"/>
      <c r="AN916" s="780"/>
      <c r="AO916" s="780"/>
      <c r="AP916" s="780"/>
      <c r="AQ916" s="780"/>
      <c r="AR916" s="780"/>
      <c r="AS916" s="780"/>
      <c r="AT916" s="780"/>
      <c r="AU916" s="780"/>
      <c r="AV916" s="780"/>
      <c r="AW916" s="780"/>
    </row>
    <row r="917">
      <c r="A917" s="941"/>
      <c r="B917" s="941"/>
      <c r="C917" s="995"/>
      <c r="D917" s="995"/>
      <c r="E917" s="995"/>
      <c r="F917" s="946"/>
      <c r="G917" s="946"/>
      <c r="H917" s="946"/>
      <c r="I917" s="947">
        <v>0.00138428</v>
      </c>
      <c r="J917" s="948">
        <v>0.035</v>
      </c>
      <c r="K917" s="949">
        <f t="shared" si="22"/>
        <v>0</v>
      </c>
      <c r="L917" s="950">
        <f t="shared" si="23"/>
        <v>0</v>
      </c>
      <c r="M917" s="948">
        <v>0.0215</v>
      </c>
      <c r="N917" s="951">
        <f t="shared" si="24"/>
        <v>0.00141404202</v>
      </c>
      <c r="O917" s="949">
        <f t="shared" si="25"/>
        <v>15</v>
      </c>
      <c r="P917" s="949">
        <f t="shared" si="77"/>
        <v>0.0215</v>
      </c>
      <c r="Q917" s="952">
        <f t="shared" si="79"/>
        <v>0</v>
      </c>
      <c r="R917" s="952">
        <f t="shared" si="78"/>
        <v>0</v>
      </c>
      <c r="S917" s="953"/>
      <c r="T917" s="949">
        <v>0.06</v>
      </c>
      <c r="U917" s="954"/>
      <c r="V917" s="949"/>
      <c r="W917" s="953"/>
      <c r="X917" s="949">
        <f t="shared" si="7"/>
        <v>0</v>
      </c>
      <c r="Y917" s="955"/>
      <c r="Z917" s="953" t="str">
        <f t="shared" si="8"/>
        <v/>
      </c>
      <c r="AA917" s="949">
        <f t="shared" si="9"/>
        <v>0</v>
      </c>
      <c r="AB917" s="955"/>
      <c r="AC917" s="949" t="str">
        <f t="shared" si="10"/>
        <v/>
      </c>
      <c r="AD917" s="953">
        <f t="shared" si="11"/>
        <v>0</v>
      </c>
      <c r="AE917" s="956"/>
      <c r="AF917" s="889"/>
      <c r="AG917" s="810" t="b">
        <v>0</v>
      </c>
      <c r="AH917" s="780"/>
      <c r="AI917" s="780"/>
      <c r="AJ917" s="780"/>
      <c r="AK917" s="780"/>
      <c r="AL917" s="780"/>
      <c r="AM917" s="780"/>
      <c r="AN917" s="780"/>
      <c r="AO917" s="780"/>
      <c r="AP917" s="780"/>
      <c r="AQ917" s="780"/>
      <c r="AR917" s="780"/>
      <c r="AS917" s="780"/>
      <c r="AT917" s="780"/>
      <c r="AU917" s="780"/>
      <c r="AV917" s="780"/>
      <c r="AW917" s="780"/>
    </row>
    <row r="918">
      <c r="A918" s="941"/>
      <c r="B918" s="941"/>
      <c r="C918" s="995"/>
      <c r="D918" s="1001"/>
      <c r="E918" s="944"/>
      <c r="F918" s="946"/>
      <c r="G918" s="946"/>
      <c r="H918" s="946"/>
      <c r="I918" s="947">
        <v>0.00138428</v>
      </c>
      <c r="J918" s="948">
        <v>0.035</v>
      </c>
      <c r="K918" s="949">
        <f t="shared" si="22"/>
        <v>0</v>
      </c>
      <c r="L918" s="950">
        <f t="shared" si="23"/>
        <v>0</v>
      </c>
      <c r="M918" s="948">
        <v>0.0215</v>
      </c>
      <c r="N918" s="951">
        <f t="shared" si="24"/>
        <v>0.00141404202</v>
      </c>
      <c r="O918" s="949">
        <f t="shared" si="25"/>
        <v>15</v>
      </c>
      <c r="P918" s="949">
        <f t="shared" si="77"/>
        <v>0.0215</v>
      </c>
      <c r="Q918" s="952">
        <f t="shared" si="79"/>
        <v>0</v>
      </c>
      <c r="R918" s="952">
        <f t="shared" si="78"/>
        <v>0</v>
      </c>
      <c r="S918" s="953"/>
      <c r="T918" s="949">
        <v>0.06</v>
      </c>
      <c r="U918" s="954"/>
      <c r="V918" s="949"/>
      <c r="W918" s="953"/>
      <c r="X918" s="949">
        <f t="shared" si="7"/>
        <v>0</v>
      </c>
      <c r="Y918" s="955"/>
      <c r="Z918" s="953" t="str">
        <f t="shared" si="8"/>
        <v/>
      </c>
      <c r="AA918" s="949">
        <f t="shared" si="9"/>
        <v>0</v>
      </c>
      <c r="AB918" s="955"/>
      <c r="AC918" s="949" t="str">
        <f t="shared" si="10"/>
        <v/>
      </c>
      <c r="AD918" s="953">
        <f t="shared" si="11"/>
        <v>0</v>
      </c>
      <c r="AE918" s="956"/>
      <c r="AF918" s="889"/>
      <c r="AG918" s="810" t="b">
        <v>0</v>
      </c>
      <c r="AH918" s="780"/>
      <c r="AI918" s="780"/>
      <c r="AJ918" s="780"/>
      <c r="AK918" s="780"/>
      <c r="AL918" s="780"/>
      <c r="AM918" s="780"/>
      <c r="AN918" s="780"/>
      <c r="AO918" s="780"/>
      <c r="AP918" s="780"/>
      <c r="AQ918" s="780"/>
      <c r="AR918" s="780"/>
      <c r="AS918" s="780"/>
      <c r="AT918" s="780"/>
      <c r="AU918" s="780"/>
      <c r="AV918" s="780"/>
      <c r="AW918" s="780"/>
    </row>
    <row r="919">
      <c r="A919" s="941"/>
      <c r="B919" s="941"/>
      <c r="C919" s="995"/>
      <c r="D919" s="995"/>
      <c r="E919" s="995"/>
      <c r="F919" s="946"/>
      <c r="G919" s="946"/>
      <c r="H919" s="946"/>
      <c r="I919" s="947">
        <v>0.00138428</v>
      </c>
      <c r="J919" s="948">
        <v>0.035</v>
      </c>
      <c r="K919" s="949">
        <f t="shared" si="22"/>
        <v>0</v>
      </c>
      <c r="L919" s="950">
        <f t="shared" si="23"/>
        <v>0</v>
      </c>
      <c r="M919" s="948">
        <v>0.0215</v>
      </c>
      <c r="N919" s="951">
        <f t="shared" si="24"/>
        <v>0.00141404202</v>
      </c>
      <c r="O919" s="949">
        <f t="shared" si="25"/>
        <v>15</v>
      </c>
      <c r="P919" s="949">
        <f t="shared" si="77"/>
        <v>0.0215</v>
      </c>
      <c r="Q919" s="952">
        <f t="shared" si="79"/>
        <v>0</v>
      </c>
      <c r="R919" s="952">
        <f t="shared" si="78"/>
        <v>0</v>
      </c>
      <c r="S919" s="953"/>
      <c r="T919" s="949">
        <v>0.06</v>
      </c>
      <c r="U919" s="954"/>
      <c r="V919" s="949"/>
      <c r="W919" s="953"/>
      <c r="X919" s="949">
        <f t="shared" si="7"/>
        <v>0</v>
      </c>
      <c r="Y919" s="955"/>
      <c r="Z919" s="953" t="str">
        <f t="shared" si="8"/>
        <v/>
      </c>
      <c r="AA919" s="949">
        <f t="shared" si="9"/>
        <v>0</v>
      </c>
      <c r="AB919" s="955"/>
      <c r="AC919" s="949" t="str">
        <f t="shared" si="10"/>
        <v/>
      </c>
      <c r="AD919" s="953">
        <f t="shared" si="11"/>
        <v>0</v>
      </c>
      <c r="AE919" s="956"/>
      <c r="AF919" s="889"/>
      <c r="AG919" s="810" t="b">
        <v>0</v>
      </c>
      <c r="AH919" s="780"/>
      <c r="AI919" s="780"/>
      <c r="AJ919" s="780"/>
      <c r="AK919" s="780"/>
      <c r="AL919" s="780"/>
      <c r="AM919" s="780"/>
      <c r="AN919" s="780"/>
      <c r="AO919" s="780"/>
      <c r="AP919" s="780"/>
      <c r="AQ919" s="780"/>
      <c r="AR919" s="780"/>
      <c r="AS919" s="780"/>
      <c r="AT919" s="780"/>
      <c r="AU919" s="780"/>
      <c r="AV919" s="780"/>
      <c r="AW919" s="780"/>
    </row>
    <row r="920">
      <c r="A920" s="941"/>
      <c r="B920" s="941"/>
      <c r="C920" s="995"/>
      <c r="D920" s="995"/>
      <c r="E920" s="995"/>
      <c r="F920" s="946"/>
      <c r="G920" s="946"/>
      <c r="H920" s="946"/>
      <c r="I920" s="947">
        <v>0.00138428</v>
      </c>
      <c r="J920" s="948">
        <v>0.035</v>
      </c>
      <c r="K920" s="949">
        <f t="shared" si="22"/>
        <v>0</v>
      </c>
      <c r="L920" s="950">
        <f t="shared" si="23"/>
        <v>0</v>
      </c>
      <c r="M920" s="948">
        <v>0.0215</v>
      </c>
      <c r="N920" s="951">
        <f t="shared" si="24"/>
        <v>0.00141404202</v>
      </c>
      <c r="O920" s="949">
        <f t="shared" si="25"/>
        <v>15</v>
      </c>
      <c r="P920" s="949">
        <f t="shared" si="77"/>
        <v>0.0215</v>
      </c>
      <c r="Q920" s="952">
        <f t="shared" si="79"/>
        <v>0</v>
      </c>
      <c r="R920" s="952">
        <f t="shared" si="78"/>
        <v>0</v>
      </c>
      <c r="S920" s="953"/>
      <c r="T920" s="949">
        <v>0.06</v>
      </c>
      <c r="U920" s="954"/>
      <c r="V920" s="949"/>
      <c r="W920" s="953"/>
      <c r="X920" s="949">
        <f t="shared" si="7"/>
        <v>0</v>
      </c>
      <c r="Y920" s="955"/>
      <c r="Z920" s="953" t="str">
        <f t="shared" si="8"/>
        <v/>
      </c>
      <c r="AA920" s="949">
        <f t="shared" si="9"/>
        <v>0</v>
      </c>
      <c r="AB920" s="955"/>
      <c r="AC920" s="949" t="str">
        <f t="shared" si="10"/>
        <v/>
      </c>
      <c r="AD920" s="953">
        <f t="shared" si="11"/>
        <v>0</v>
      </c>
      <c r="AE920" s="956"/>
      <c r="AF920" s="889"/>
      <c r="AG920" s="810" t="b">
        <v>0</v>
      </c>
      <c r="AH920" s="780"/>
      <c r="AI920" s="780"/>
      <c r="AJ920" s="780"/>
      <c r="AK920" s="780"/>
      <c r="AL920" s="780"/>
      <c r="AM920" s="780"/>
      <c r="AN920" s="780"/>
      <c r="AO920" s="780"/>
      <c r="AP920" s="780"/>
      <c r="AQ920" s="780"/>
      <c r="AR920" s="780"/>
      <c r="AS920" s="780"/>
      <c r="AT920" s="780"/>
      <c r="AU920" s="780"/>
      <c r="AV920" s="780"/>
      <c r="AW920" s="780"/>
    </row>
    <row r="921">
      <c r="A921" s="941"/>
      <c r="B921" s="941"/>
      <c r="C921" s="995"/>
      <c r="D921" s="995"/>
      <c r="E921" s="995"/>
      <c r="F921" s="946"/>
      <c r="G921" s="946"/>
      <c r="H921" s="946"/>
      <c r="I921" s="947">
        <v>0.00138428</v>
      </c>
      <c r="J921" s="948">
        <v>0.035</v>
      </c>
      <c r="K921" s="949">
        <f t="shared" si="22"/>
        <v>0</v>
      </c>
      <c r="L921" s="950">
        <f t="shared" si="23"/>
        <v>0</v>
      </c>
      <c r="M921" s="948">
        <v>0.0215</v>
      </c>
      <c r="N921" s="951">
        <f t="shared" si="24"/>
        <v>0.00141404202</v>
      </c>
      <c r="O921" s="949">
        <f t="shared" si="25"/>
        <v>15</v>
      </c>
      <c r="P921" s="949">
        <f t="shared" si="77"/>
        <v>0.0215</v>
      </c>
      <c r="Q921" s="952">
        <f t="shared" si="79"/>
        <v>0</v>
      </c>
      <c r="R921" s="952">
        <f t="shared" si="78"/>
        <v>0</v>
      </c>
      <c r="S921" s="953"/>
      <c r="T921" s="949">
        <v>0.06</v>
      </c>
      <c r="U921" s="954"/>
      <c r="V921" s="949"/>
      <c r="W921" s="953"/>
      <c r="X921" s="949">
        <f t="shared" si="7"/>
        <v>0</v>
      </c>
      <c r="Y921" s="955"/>
      <c r="Z921" s="953" t="str">
        <f t="shared" si="8"/>
        <v/>
      </c>
      <c r="AA921" s="949">
        <f t="shared" si="9"/>
        <v>0</v>
      </c>
      <c r="AB921" s="955"/>
      <c r="AC921" s="949" t="str">
        <f t="shared" si="10"/>
        <v/>
      </c>
      <c r="AD921" s="953">
        <f t="shared" si="11"/>
        <v>0</v>
      </c>
      <c r="AE921" s="956"/>
      <c r="AF921" s="889"/>
      <c r="AG921" s="810" t="b">
        <v>0</v>
      </c>
      <c r="AH921" s="780"/>
      <c r="AI921" s="780"/>
      <c r="AJ921" s="780"/>
      <c r="AK921" s="780"/>
      <c r="AL921" s="780"/>
      <c r="AM921" s="780"/>
      <c r="AN921" s="780"/>
      <c r="AO921" s="780"/>
      <c r="AP921" s="780"/>
      <c r="AQ921" s="780"/>
      <c r="AR921" s="780"/>
      <c r="AS921" s="780"/>
      <c r="AT921" s="780"/>
      <c r="AU921" s="780"/>
      <c r="AV921" s="780"/>
      <c r="AW921" s="780"/>
    </row>
    <row r="922">
      <c r="A922" s="941"/>
      <c r="B922" s="941"/>
      <c r="C922" s="995"/>
      <c r="D922" s="995"/>
      <c r="E922" s="995"/>
      <c r="F922" s="946"/>
      <c r="G922" s="946"/>
      <c r="H922" s="946"/>
      <c r="I922" s="947">
        <v>0.00138428</v>
      </c>
      <c r="J922" s="948">
        <v>0.035</v>
      </c>
      <c r="K922" s="949">
        <f t="shared" si="22"/>
        <v>0</v>
      </c>
      <c r="L922" s="950">
        <f t="shared" si="23"/>
        <v>0</v>
      </c>
      <c r="M922" s="948">
        <v>0.0215</v>
      </c>
      <c r="N922" s="951">
        <f t="shared" si="24"/>
        <v>0.00141404202</v>
      </c>
      <c r="O922" s="949">
        <f t="shared" si="25"/>
        <v>15</v>
      </c>
      <c r="P922" s="949">
        <f t="shared" si="77"/>
        <v>0.0215</v>
      </c>
      <c r="Q922" s="952">
        <f t="shared" si="79"/>
        <v>0</v>
      </c>
      <c r="R922" s="952">
        <f t="shared" si="78"/>
        <v>0</v>
      </c>
      <c r="S922" s="953"/>
      <c r="T922" s="949">
        <v>0.06</v>
      </c>
      <c r="U922" s="954"/>
      <c r="V922" s="949"/>
      <c r="W922" s="953"/>
      <c r="X922" s="949">
        <f t="shared" si="7"/>
        <v>0</v>
      </c>
      <c r="Y922" s="955"/>
      <c r="Z922" s="953" t="str">
        <f t="shared" si="8"/>
        <v/>
      </c>
      <c r="AA922" s="949">
        <f t="shared" si="9"/>
        <v>0</v>
      </c>
      <c r="AB922" s="955"/>
      <c r="AC922" s="949" t="str">
        <f t="shared" si="10"/>
        <v/>
      </c>
      <c r="AD922" s="953">
        <f t="shared" si="11"/>
        <v>0</v>
      </c>
      <c r="AE922" s="956"/>
      <c r="AF922" s="889"/>
      <c r="AG922" s="810" t="b">
        <v>0</v>
      </c>
      <c r="AH922" s="780"/>
      <c r="AI922" s="780"/>
      <c r="AJ922" s="780"/>
      <c r="AK922" s="780"/>
      <c r="AL922" s="780"/>
      <c r="AM922" s="780"/>
      <c r="AN922" s="780"/>
      <c r="AO922" s="780"/>
      <c r="AP922" s="780"/>
      <c r="AQ922" s="780"/>
      <c r="AR922" s="780"/>
      <c r="AS922" s="780"/>
      <c r="AT922" s="780"/>
      <c r="AU922" s="780"/>
      <c r="AV922" s="780"/>
      <c r="AW922" s="780"/>
    </row>
    <row r="923">
      <c r="A923" s="941"/>
      <c r="B923" s="941"/>
      <c r="C923" s="995"/>
      <c r="D923" s="995"/>
      <c r="E923" s="995"/>
      <c r="F923" s="946"/>
      <c r="G923" s="946"/>
      <c r="H923" s="946"/>
      <c r="I923" s="947">
        <v>0.00138428</v>
      </c>
      <c r="J923" s="948">
        <v>0.035</v>
      </c>
      <c r="K923" s="949">
        <f t="shared" si="22"/>
        <v>0</v>
      </c>
      <c r="L923" s="950">
        <f t="shared" si="23"/>
        <v>0</v>
      </c>
      <c r="M923" s="948">
        <v>0.0215</v>
      </c>
      <c r="N923" s="951">
        <f t="shared" si="24"/>
        <v>0.00141404202</v>
      </c>
      <c r="O923" s="949">
        <f t="shared" si="25"/>
        <v>15</v>
      </c>
      <c r="P923" s="949">
        <f t="shared" si="77"/>
        <v>0.0215</v>
      </c>
      <c r="Q923" s="952">
        <f t="shared" si="79"/>
        <v>0</v>
      </c>
      <c r="R923" s="952">
        <f t="shared" si="78"/>
        <v>0</v>
      </c>
      <c r="S923" s="953"/>
      <c r="T923" s="949">
        <v>0.06</v>
      </c>
      <c r="U923" s="954"/>
      <c r="V923" s="949"/>
      <c r="W923" s="953"/>
      <c r="X923" s="949">
        <f t="shared" si="7"/>
        <v>0</v>
      </c>
      <c r="Y923" s="955"/>
      <c r="Z923" s="953" t="str">
        <f t="shared" si="8"/>
        <v/>
      </c>
      <c r="AA923" s="949">
        <f t="shared" si="9"/>
        <v>0</v>
      </c>
      <c r="AB923" s="955"/>
      <c r="AC923" s="949" t="str">
        <f t="shared" si="10"/>
        <v/>
      </c>
      <c r="AD923" s="953">
        <f t="shared" si="11"/>
        <v>0</v>
      </c>
      <c r="AE923" s="956"/>
      <c r="AF923" s="889"/>
      <c r="AG923" s="810" t="b">
        <v>0</v>
      </c>
      <c r="AH923" s="780"/>
      <c r="AI923" s="780"/>
      <c r="AJ923" s="780"/>
      <c r="AK923" s="780"/>
      <c r="AL923" s="780"/>
      <c r="AM923" s="780"/>
      <c r="AN923" s="780"/>
      <c r="AO923" s="780"/>
      <c r="AP923" s="780"/>
      <c r="AQ923" s="780"/>
      <c r="AR923" s="780"/>
      <c r="AS923" s="780"/>
      <c r="AT923" s="780"/>
      <c r="AU923" s="780"/>
      <c r="AV923" s="780"/>
      <c r="AW923" s="780"/>
    </row>
    <row r="924">
      <c r="A924" s="941"/>
      <c r="B924" s="941"/>
      <c r="C924" s="995"/>
      <c r="D924" s="995"/>
      <c r="E924" s="995"/>
      <c r="F924" s="946"/>
      <c r="G924" s="946"/>
      <c r="H924" s="946"/>
      <c r="I924" s="947">
        <v>0.00138428</v>
      </c>
      <c r="J924" s="948">
        <v>0.035</v>
      </c>
      <c r="K924" s="949">
        <f t="shared" si="22"/>
        <v>0</v>
      </c>
      <c r="L924" s="950">
        <f t="shared" si="23"/>
        <v>0</v>
      </c>
      <c r="M924" s="948">
        <v>0.0215</v>
      </c>
      <c r="N924" s="951">
        <f t="shared" si="24"/>
        <v>0.00141404202</v>
      </c>
      <c r="O924" s="949">
        <f t="shared" si="25"/>
        <v>15</v>
      </c>
      <c r="P924" s="949">
        <f t="shared" si="77"/>
        <v>0.0215</v>
      </c>
      <c r="Q924" s="952">
        <f t="shared" si="79"/>
        <v>0</v>
      </c>
      <c r="R924" s="952">
        <f t="shared" si="78"/>
        <v>0</v>
      </c>
      <c r="S924" s="953"/>
      <c r="T924" s="949">
        <v>0.06</v>
      </c>
      <c r="U924" s="954"/>
      <c r="V924" s="949"/>
      <c r="W924" s="953"/>
      <c r="X924" s="949">
        <f t="shared" si="7"/>
        <v>0</v>
      </c>
      <c r="Y924" s="955"/>
      <c r="Z924" s="953" t="str">
        <f t="shared" si="8"/>
        <v/>
      </c>
      <c r="AA924" s="949">
        <f t="shared" si="9"/>
        <v>0</v>
      </c>
      <c r="AB924" s="955"/>
      <c r="AC924" s="949" t="str">
        <f t="shared" si="10"/>
        <v/>
      </c>
      <c r="AD924" s="953">
        <f t="shared" si="11"/>
        <v>0</v>
      </c>
      <c r="AE924" s="956"/>
      <c r="AF924" s="889"/>
      <c r="AG924" s="810" t="b">
        <v>0</v>
      </c>
      <c r="AH924" s="780"/>
      <c r="AI924" s="780"/>
      <c r="AJ924" s="780"/>
      <c r="AK924" s="780"/>
      <c r="AL924" s="780"/>
      <c r="AM924" s="780"/>
      <c r="AN924" s="780"/>
      <c r="AO924" s="780"/>
      <c r="AP924" s="780"/>
      <c r="AQ924" s="780"/>
      <c r="AR924" s="780"/>
      <c r="AS924" s="780"/>
      <c r="AT924" s="780"/>
      <c r="AU924" s="780"/>
      <c r="AV924" s="780"/>
      <c r="AW924" s="780"/>
    </row>
    <row r="925">
      <c r="A925" s="941"/>
      <c r="B925" s="941"/>
      <c r="C925" s="995"/>
      <c r="D925" s="944"/>
      <c r="E925" s="944"/>
      <c r="F925" s="946"/>
      <c r="G925" s="946"/>
      <c r="H925" s="946"/>
      <c r="I925" s="947">
        <v>0.00138428</v>
      </c>
      <c r="J925" s="948">
        <v>0.035</v>
      </c>
      <c r="K925" s="949">
        <f t="shared" si="22"/>
        <v>0</v>
      </c>
      <c r="L925" s="950">
        <f t="shared" si="23"/>
        <v>0</v>
      </c>
      <c r="M925" s="948">
        <v>0.0215</v>
      </c>
      <c r="N925" s="951">
        <f t="shared" si="24"/>
        <v>0.00141404202</v>
      </c>
      <c r="O925" s="949">
        <f t="shared" si="25"/>
        <v>15</v>
      </c>
      <c r="P925" s="949">
        <f t="shared" si="77"/>
        <v>0.0215</v>
      </c>
      <c r="Q925" s="952">
        <f t="shared" si="79"/>
        <v>0</v>
      </c>
      <c r="R925" s="952">
        <f t="shared" si="78"/>
        <v>0</v>
      </c>
      <c r="S925" s="953"/>
      <c r="T925" s="949">
        <v>0.06</v>
      </c>
      <c r="U925" s="954"/>
      <c r="V925" s="949"/>
      <c r="W925" s="953"/>
      <c r="X925" s="949">
        <f t="shared" si="7"/>
        <v>0</v>
      </c>
      <c r="Y925" s="955"/>
      <c r="Z925" s="953" t="str">
        <f t="shared" si="8"/>
        <v/>
      </c>
      <c r="AA925" s="949">
        <f t="shared" si="9"/>
        <v>0</v>
      </c>
      <c r="AB925" s="955"/>
      <c r="AC925" s="949" t="str">
        <f t="shared" si="10"/>
        <v/>
      </c>
      <c r="AD925" s="953">
        <f t="shared" si="11"/>
        <v>0</v>
      </c>
      <c r="AE925" s="956"/>
      <c r="AF925" s="889"/>
      <c r="AG925" s="810" t="b">
        <v>0</v>
      </c>
      <c r="AH925" s="780"/>
      <c r="AI925" s="780"/>
      <c r="AJ925" s="780"/>
      <c r="AK925" s="780"/>
      <c r="AL925" s="780"/>
      <c r="AM925" s="780"/>
      <c r="AN925" s="780"/>
      <c r="AO925" s="780"/>
      <c r="AP925" s="780"/>
      <c r="AQ925" s="780"/>
      <c r="AR925" s="780"/>
      <c r="AS925" s="780"/>
      <c r="AT925" s="780"/>
      <c r="AU925" s="780"/>
      <c r="AV925" s="780"/>
      <c r="AW925" s="780"/>
    </row>
    <row r="926">
      <c r="A926" s="941"/>
      <c r="B926" s="941"/>
      <c r="C926" s="995"/>
      <c r="D926" s="995"/>
      <c r="E926" s="995"/>
      <c r="F926" s="946"/>
      <c r="G926" s="946"/>
      <c r="H926" s="946"/>
      <c r="I926" s="947">
        <v>0.00138428</v>
      </c>
      <c r="J926" s="948">
        <v>0.035</v>
      </c>
      <c r="K926" s="949">
        <f t="shared" si="22"/>
        <v>0</v>
      </c>
      <c r="L926" s="950">
        <f t="shared" si="23"/>
        <v>0</v>
      </c>
      <c r="M926" s="948">
        <v>0.0215</v>
      </c>
      <c r="N926" s="951">
        <f t="shared" si="24"/>
        <v>0.00141404202</v>
      </c>
      <c r="O926" s="949">
        <f t="shared" si="25"/>
        <v>15</v>
      </c>
      <c r="P926" s="949">
        <f t="shared" si="77"/>
        <v>0.0215</v>
      </c>
      <c r="Q926" s="952">
        <f t="shared" si="79"/>
        <v>0</v>
      </c>
      <c r="R926" s="952">
        <f t="shared" si="78"/>
        <v>0</v>
      </c>
      <c r="S926" s="953"/>
      <c r="T926" s="949">
        <v>0.06</v>
      </c>
      <c r="U926" s="954"/>
      <c r="V926" s="949"/>
      <c r="W926" s="953"/>
      <c r="X926" s="949">
        <f t="shared" si="7"/>
        <v>0</v>
      </c>
      <c r="Y926" s="955"/>
      <c r="Z926" s="953" t="str">
        <f t="shared" si="8"/>
        <v/>
      </c>
      <c r="AA926" s="949">
        <f t="shared" si="9"/>
        <v>0</v>
      </c>
      <c r="AB926" s="955"/>
      <c r="AC926" s="949" t="str">
        <f t="shared" si="10"/>
        <v/>
      </c>
      <c r="AD926" s="953">
        <f t="shared" si="11"/>
        <v>0</v>
      </c>
      <c r="AE926" s="956"/>
      <c r="AF926" s="889"/>
      <c r="AG926" s="810" t="b">
        <v>0</v>
      </c>
      <c r="AH926" s="780"/>
      <c r="AI926" s="780"/>
      <c r="AJ926" s="780"/>
      <c r="AK926" s="780"/>
      <c r="AL926" s="780"/>
      <c r="AM926" s="780"/>
      <c r="AN926" s="780"/>
      <c r="AO926" s="780"/>
      <c r="AP926" s="780"/>
      <c r="AQ926" s="780"/>
      <c r="AR926" s="780"/>
      <c r="AS926" s="780"/>
      <c r="AT926" s="780"/>
      <c r="AU926" s="780"/>
      <c r="AV926" s="780"/>
      <c r="AW926" s="780"/>
    </row>
    <row r="927">
      <c r="A927" s="941"/>
      <c r="B927" s="941"/>
      <c r="C927" s="995"/>
      <c r="D927" s="944"/>
      <c r="E927" s="944"/>
      <c r="F927" s="946"/>
      <c r="G927" s="946"/>
      <c r="H927" s="946"/>
      <c r="I927" s="947">
        <v>0.00138428</v>
      </c>
      <c r="J927" s="948">
        <v>0.035</v>
      </c>
      <c r="K927" s="949">
        <f t="shared" si="22"/>
        <v>0</v>
      </c>
      <c r="L927" s="950">
        <f t="shared" si="23"/>
        <v>0</v>
      </c>
      <c r="M927" s="948">
        <v>0.0215</v>
      </c>
      <c r="N927" s="951">
        <f t="shared" si="24"/>
        <v>0.00141404202</v>
      </c>
      <c r="O927" s="949">
        <f t="shared" si="25"/>
        <v>15</v>
      </c>
      <c r="P927" s="949">
        <f t="shared" si="77"/>
        <v>0.0215</v>
      </c>
      <c r="Q927" s="952">
        <f t="shared" si="79"/>
        <v>0</v>
      </c>
      <c r="R927" s="952">
        <f t="shared" si="78"/>
        <v>0</v>
      </c>
      <c r="S927" s="953"/>
      <c r="T927" s="949">
        <v>0.06</v>
      </c>
      <c r="U927" s="954"/>
      <c r="V927" s="949"/>
      <c r="W927" s="953"/>
      <c r="X927" s="949">
        <f t="shared" si="7"/>
        <v>0</v>
      </c>
      <c r="Y927" s="955"/>
      <c r="Z927" s="953" t="str">
        <f t="shared" si="8"/>
        <v/>
      </c>
      <c r="AA927" s="949">
        <f t="shared" si="9"/>
        <v>0</v>
      </c>
      <c r="AB927" s="955"/>
      <c r="AC927" s="949" t="str">
        <f t="shared" si="10"/>
        <v/>
      </c>
      <c r="AD927" s="953">
        <f t="shared" si="11"/>
        <v>0</v>
      </c>
      <c r="AE927" s="956"/>
      <c r="AF927" s="889"/>
      <c r="AG927" s="810" t="b">
        <v>0</v>
      </c>
      <c r="AH927" s="780"/>
      <c r="AI927" s="780"/>
      <c r="AJ927" s="780"/>
      <c r="AK927" s="780"/>
      <c r="AL927" s="780"/>
      <c r="AM927" s="780"/>
      <c r="AN927" s="780"/>
      <c r="AO927" s="780"/>
      <c r="AP927" s="780"/>
      <c r="AQ927" s="780"/>
      <c r="AR927" s="780"/>
      <c r="AS927" s="780"/>
      <c r="AT927" s="780"/>
      <c r="AU927" s="780"/>
      <c r="AV927" s="780"/>
      <c r="AW927" s="780"/>
    </row>
    <row r="928">
      <c r="A928" s="941"/>
      <c r="B928" s="941"/>
      <c r="C928" s="995"/>
      <c r="D928" s="995"/>
      <c r="E928" s="995"/>
      <c r="F928" s="946"/>
      <c r="G928" s="946"/>
      <c r="H928" s="946"/>
      <c r="I928" s="947">
        <v>0.00138428</v>
      </c>
      <c r="J928" s="948">
        <v>0.035</v>
      </c>
      <c r="K928" s="949">
        <f t="shared" si="22"/>
        <v>0</v>
      </c>
      <c r="L928" s="950">
        <f t="shared" si="23"/>
        <v>0</v>
      </c>
      <c r="M928" s="948">
        <v>0.0215</v>
      </c>
      <c r="N928" s="951">
        <f t="shared" si="24"/>
        <v>0.00141404202</v>
      </c>
      <c r="O928" s="949">
        <f t="shared" si="25"/>
        <v>15</v>
      </c>
      <c r="P928" s="949">
        <f t="shared" si="77"/>
        <v>0.0215</v>
      </c>
      <c r="Q928" s="952">
        <f t="shared" si="79"/>
        <v>0</v>
      </c>
      <c r="R928" s="952">
        <f t="shared" si="78"/>
        <v>0</v>
      </c>
      <c r="S928" s="953"/>
      <c r="T928" s="949">
        <v>0.06</v>
      </c>
      <c r="U928" s="954"/>
      <c r="V928" s="949"/>
      <c r="W928" s="953"/>
      <c r="X928" s="949">
        <f t="shared" si="7"/>
        <v>0</v>
      </c>
      <c r="Y928" s="955"/>
      <c r="Z928" s="953" t="str">
        <f t="shared" si="8"/>
        <v/>
      </c>
      <c r="AA928" s="949">
        <f t="shared" si="9"/>
        <v>0</v>
      </c>
      <c r="AB928" s="955"/>
      <c r="AC928" s="949" t="str">
        <f t="shared" si="10"/>
        <v/>
      </c>
      <c r="AD928" s="953">
        <f t="shared" si="11"/>
        <v>0</v>
      </c>
      <c r="AE928" s="956"/>
      <c r="AF928" s="889"/>
      <c r="AG928" s="810" t="b">
        <v>0</v>
      </c>
      <c r="AH928" s="780"/>
      <c r="AI928" s="780"/>
      <c r="AJ928" s="780"/>
      <c r="AK928" s="780"/>
      <c r="AL928" s="780"/>
      <c r="AM928" s="780"/>
      <c r="AN928" s="780"/>
      <c r="AO928" s="780"/>
      <c r="AP928" s="780"/>
      <c r="AQ928" s="780"/>
      <c r="AR928" s="780"/>
      <c r="AS928" s="780"/>
      <c r="AT928" s="780"/>
      <c r="AU928" s="780"/>
      <c r="AV928" s="780"/>
      <c r="AW928" s="780"/>
    </row>
    <row r="929">
      <c r="A929" s="941"/>
      <c r="B929" s="941"/>
      <c r="C929" s="995"/>
      <c r="D929" s="944"/>
      <c r="E929" s="944"/>
      <c r="F929" s="946"/>
      <c r="G929" s="946"/>
      <c r="H929" s="946"/>
      <c r="I929" s="947">
        <v>0.00138428</v>
      </c>
      <c r="J929" s="948">
        <v>0.035</v>
      </c>
      <c r="K929" s="949">
        <f t="shared" si="22"/>
        <v>0</v>
      </c>
      <c r="L929" s="950">
        <f t="shared" si="23"/>
        <v>0</v>
      </c>
      <c r="M929" s="948">
        <v>0.0215</v>
      </c>
      <c r="N929" s="951">
        <f t="shared" si="24"/>
        <v>0.00141404202</v>
      </c>
      <c r="O929" s="949">
        <f t="shared" si="25"/>
        <v>15</v>
      </c>
      <c r="P929" s="949">
        <f t="shared" si="77"/>
        <v>0.0215</v>
      </c>
      <c r="Q929" s="952">
        <f t="shared" si="79"/>
        <v>0</v>
      </c>
      <c r="R929" s="952">
        <f t="shared" si="78"/>
        <v>0</v>
      </c>
      <c r="S929" s="953"/>
      <c r="T929" s="949">
        <v>0.06</v>
      </c>
      <c r="U929" s="954"/>
      <c r="V929" s="949"/>
      <c r="W929" s="953"/>
      <c r="X929" s="949">
        <f t="shared" si="7"/>
        <v>0</v>
      </c>
      <c r="Y929" s="955"/>
      <c r="Z929" s="953" t="str">
        <f t="shared" si="8"/>
        <v/>
      </c>
      <c r="AA929" s="949">
        <f t="shared" si="9"/>
        <v>0</v>
      </c>
      <c r="AB929" s="955"/>
      <c r="AC929" s="949" t="str">
        <f t="shared" si="10"/>
        <v/>
      </c>
      <c r="AD929" s="953">
        <f t="shared" si="11"/>
        <v>0</v>
      </c>
      <c r="AE929" s="956"/>
      <c r="AF929" s="889"/>
      <c r="AG929" s="810" t="b">
        <v>0</v>
      </c>
      <c r="AH929" s="780"/>
      <c r="AI929" s="780"/>
      <c r="AJ929" s="780"/>
      <c r="AK929" s="780"/>
      <c r="AL929" s="780"/>
      <c r="AM929" s="780"/>
      <c r="AN929" s="780"/>
      <c r="AO929" s="780"/>
      <c r="AP929" s="780"/>
      <c r="AQ929" s="780"/>
      <c r="AR929" s="780"/>
      <c r="AS929" s="780"/>
      <c r="AT929" s="780"/>
      <c r="AU929" s="780"/>
      <c r="AV929" s="780"/>
      <c r="AW929" s="780"/>
    </row>
    <row r="930">
      <c r="A930" s="941"/>
      <c r="B930" s="941"/>
      <c r="C930" s="995"/>
      <c r="D930" s="995"/>
      <c r="E930" s="995"/>
      <c r="F930" s="946"/>
      <c r="G930" s="946"/>
      <c r="H930" s="946"/>
      <c r="I930" s="947">
        <v>0.00138428</v>
      </c>
      <c r="J930" s="948">
        <v>0.035</v>
      </c>
      <c r="K930" s="949">
        <f t="shared" si="22"/>
        <v>0</v>
      </c>
      <c r="L930" s="950">
        <f t="shared" si="23"/>
        <v>0</v>
      </c>
      <c r="M930" s="948">
        <v>0.0215</v>
      </c>
      <c r="N930" s="951">
        <f t="shared" si="24"/>
        <v>0.00141404202</v>
      </c>
      <c r="O930" s="949">
        <f t="shared" si="25"/>
        <v>15</v>
      </c>
      <c r="P930" s="949">
        <f t="shared" si="77"/>
        <v>0.0215</v>
      </c>
      <c r="Q930" s="952">
        <f t="shared" si="79"/>
        <v>0</v>
      </c>
      <c r="R930" s="952">
        <f t="shared" si="78"/>
        <v>0</v>
      </c>
      <c r="S930" s="953"/>
      <c r="T930" s="949">
        <v>0.06</v>
      </c>
      <c r="U930" s="954"/>
      <c r="V930" s="949"/>
      <c r="W930" s="953"/>
      <c r="X930" s="949">
        <f t="shared" si="7"/>
        <v>0</v>
      </c>
      <c r="Y930" s="955"/>
      <c r="Z930" s="953" t="str">
        <f t="shared" si="8"/>
        <v/>
      </c>
      <c r="AA930" s="949">
        <f t="shared" si="9"/>
        <v>0</v>
      </c>
      <c r="AB930" s="955"/>
      <c r="AC930" s="949" t="str">
        <f t="shared" si="10"/>
        <v/>
      </c>
      <c r="AD930" s="953">
        <f t="shared" si="11"/>
        <v>0</v>
      </c>
      <c r="AE930" s="956"/>
      <c r="AF930" s="889"/>
      <c r="AG930" s="810" t="b">
        <v>0</v>
      </c>
      <c r="AH930" s="780"/>
      <c r="AI930" s="780"/>
      <c r="AJ930" s="780"/>
      <c r="AK930" s="780"/>
      <c r="AL930" s="780"/>
      <c r="AM930" s="780"/>
      <c r="AN930" s="780"/>
      <c r="AO930" s="780"/>
      <c r="AP930" s="780"/>
      <c r="AQ930" s="780"/>
      <c r="AR930" s="780"/>
      <c r="AS930" s="780"/>
      <c r="AT930" s="780"/>
      <c r="AU930" s="780"/>
      <c r="AV930" s="780"/>
      <c r="AW930" s="780"/>
    </row>
    <row r="931">
      <c r="A931" s="941"/>
      <c r="B931" s="941"/>
      <c r="C931" s="995"/>
      <c r="D931" s="944"/>
      <c r="E931" s="944"/>
      <c r="F931" s="946"/>
      <c r="G931" s="946"/>
      <c r="H931" s="946"/>
      <c r="I931" s="947">
        <v>0.00138428</v>
      </c>
      <c r="J931" s="948">
        <v>0.035</v>
      </c>
      <c r="K931" s="949">
        <f t="shared" si="22"/>
        <v>0</v>
      </c>
      <c r="L931" s="950">
        <f t="shared" si="23"/>
        <v>0</v>
      </c>
      <c r="M931" s="948">
        <v>0.0215</v>
      </c>
      <c r="N931" s="951">
        <f t="shared" si="24"/>
        <v>0.00141404202</v>
      </c>
      <c r="O931" s="949">
        <f t="shared" si="25"/>
        <v>15</v>
      </c>
      <c r="P931" s="949">
        <f t="shared" si="77"/>
        <v>0.0215</v>
      </c>
      <c r="Q931" s="952">
        <f t="shared" si="79"/>
        <v>0</v>
      </c>
      <c r="R931" s="952">
        <f t="shared" si="78"/>
        <v>0</v>
      </c>
      <c r="S931" s="953"/>
      <c r="T931" s="949">
        <v>0.06</v>
      </c>
      <c r="U931" s="954"/>
      <c r="V931" s="949"/>
      <c r="W931" s="953"/>
      <c r="X931" s="949">
        <f t="shared" si="7"/>
        <v>0</v>
      </c>
      <c r="Y931" s="955"/>
      <c r="Z931" s="953" t="str">
        <f t="shared" si="8"/>
        <v/>
      </c>
      <c r="AA931" s="949">
        <f t="shared" si="9"/>
        <v>0</v>
      </c>
      <c r="AB931" s="955"/>
      <c r="AC931" s="949" t="str">
        <f t="shared" si="10"/>
        <v/>
      </c>
      <c r="AD931" s="953">
        <f t="shared" si="11"/>
        <v>0</v>
      </c>
      <c r="AE931" s="956"/>
      <c r="AF931" s="889"/>
      <c r="AG931" s="810" t="b">
        <v>0</v>
      </c>
      <c r="AH931" s="780"/>
      <c r="AI931" s="780"/>
      <c r="AJ931" s="780"/>
      <c r="AK931" s="780"/>
      <c r="AL931" s="780"/>
      <c r="AM931" s="780"/>
      <c r="AN931" s="780"/>
      <c r="AO931" s="780"/>
      <c r="AP931" s="780"/>
      <c r="AQ931" s="780"/>
      <c r="AR931" s="780"/>
      <c r="AS931" s="780"/>
      <c r="AT931" s="780"/>
      <c r="AU931" s="780"/>
      <c r="AV931" s="780"/>
      <c r="AW931" s="780"/>
    </row>
    <row r="932">
      <c r="A932" s="941"/>
      <c r="B932" s="941"/>
      <c r="C932" s="995"/>
      <c r="D932" s="995"/>
      <c r="E932" s="995"/>
      <c r="F932" s="946"/>
      <c r="G932" s="946"/>
      <c r="H932" s="946"/>
      <c r="I932" s="947">
        <v>0.00138428</v>
      </c>
      <c r="J932" s="948">
        <v>0.035</v>
      </c>
      <c r="K932" s="949">
        <f t="shared" si="22"/>
        <v>0</v>
      </c>
      <c r="L932" s="950">
        <f t="shared" si="23"/>
        <v>0</v>
      </c>
      <c r="M932" s="948">
        <v>0.0215</v>
      </c>
      <c r="N932" s="951">
        <f t="shared" si="24"/>
        <v>0.00141404202</v>
      </c>
      <c r="O932" s="949">
        <f t="shared" si="25"/>
        <v>15</v>
      </c>
      <c r="P932" s="949">
        <f t="shared" si="77"/>
        <v>0.0215</v>
      </c>
      <c r="Q932" s="952">
        <f t="shared" si="79"/>
        <v>0</v>
      </c>
      <c r="R932" s="952">
        <f t="shared" si="78"/>
        <v>0</v>
      </c>
      <c r="S932" s="953"/>
      <c r="T932" s="949">
        <v>0.06</v>
      </c>
      <c r="U932" s="954"/>
      <c r="V932" s="949"/>
      <c r="W932" s="953"/>
      <c r="X932" s="949">
        <f t="shared" si="7"/>
        <v>0</v>
      </c>
      <c r="Y932" s="955"/>
      <c r="Z932" s="953" t="str">
        <f t="shared" si="8"/>
        <v/>
      </c>
      <c r="AA932" s="949">
        <f t="shared" si="9"/>
        <v>0</v>
      </c>
      <c r="AB932" s="955"/>
      <c r="AC932" s="949" t="str">
        <f t="shared" si="10"/>
        <v/>
      </c>
      <c r="AD932" s="953">
        <f t="shared" si="11"/>
        <v>0</v>
      </c>
      <c r="AE932" s="956"/>
      <c r="AF932" s="889"/>
      <c r="AG932" s="810" t="b">
        <v>0</v>
      </c>
      <c r="AH932" s="780"/>
      <c r="AI932" s="780"/>
      <c r="AJ932" s="780"/>
      <c r="AK932" s="780"/>
      <c r="AL932" s="780"/>
      <c r="AM932" s="780"/>
      <c r="AN932" s="780"/>
      <c r="AO932" s="780"/>
      <c r="AP932" s="780"/>
      <c r="AQ932" s="780"/>
      <c r="AR932" s="780"/>
      <c r="AS932" s="780"/>
      <c r="AT932" s="780"/>
      <c r="AU932" s="780"/>
      <c r="AV932" s="780"/>
      <c r="AW932" s="780"/>
    </row>
    <row r="933">
      <c r="A933" s="941"/>
      <c r="B933" s="941"/>
      <c r="C933" s="995"/>
      <c r="D933" s="944"/>
      <c r="E933" s="944"/>
      <c r="F933" s="946"/>
      <c r="G933" s="946"/>
      <c r="H933" s="946"/>
      <c r="I933" s="947">
        <v>0.00138428</v>
      </c>
      <c r="J933" s="948">
        <v>0.035</v>
      </c>
      <c r="K933" s="949">
        <f t="shared" si="22"/>
        <v>0</v>
      </c>
      <c r="L933" s="950">
        <f t="shared" si="23"/>
        <v>0</v>
      </c>
      <c r="M933" s="948">
        <v>0.0215</v>
      </c>
      <c r="N933" s="951">
        <f t="shared" si="24"/>
        <v>0.00141404202</v>
      </c>
      <c r="O933" s="949">
        <f t="shared" si="25"/>
        <v>15</v>
      </c>
      <c r="P933" s="949">
        <f t="shared" si="77"/>
        <v>0.0215</v>
      </c>
      <c r="Q933" s="952">
        <f t="shared" si="79"/>
        <v>0</v>
      </c>
      <c r="R933" s="952">
        <f t="shared" si="78"/>
        <v>0</v>
      </c>
      <c r="S933" s="953"/>
      <c r="T933" s="949">
        <v>0.06</v>
      </c>
      <c r="U933" s="954"/>
      <c r="V933" s="949"/>
      <c r="W933" s="953"/>
      <c r="X933" s="949">
        <f t="shared" si="7"/>
        <v>0</v>
      </c>
      <c r="Y933" s="955"/>
      <c r="Z933" s="953" t="str">
        <f t="shared" si="8"/>
        <v/>
      </c>
      <c r="AA933" s="949">
        <f t="shared" si="9"/>
        <v>0</v>
      </c>
      <c r="AB933" s="955"/>
      <c r="AC933" s="949" t="str">
        <f t="shared" si="10"/>
        <v/>
      </c>
      <c r="AD933" s="953">
        <f t="shared" si="11"/>
        <v>0</v>
      </c>
      <c r="AE933" s="956"/>
      <c r="AF933" s="889"/>
      <c r="AG933" s="810" t="b">
        <v>0</v>
      </c>
      <c r="AH933" s="780"/>
      <c r="AI933" s="780"/>
      <c r="AJ933" s="780"/>
      <c r="AK933" s="780"/>
      <c r="AL933" s="780"/>
      <c r="AM933" s="780"/>
      <c r="AN933" s="780"/>
      <c r="AO933" s="780"/>
      <c r="AP933" s="780"/>
      <c r="AQ933" s="780"/>
      <c r="AR933" s="780"/>
      <c r="AS933" s="780"/>
      <c r="AT933" s="780"/>
      <c r="AU933" s="780"/>
      <c r="AV933" s="780"/>
      <c r="AW933" s="780"/>
    </row>
    <row r="934">
      <c r="A934" s="941"/>
      <c r="B934" s="941"/>
      <c r="C934" s="995"/>
      <c r="D934" s="995"/>
      <c r="E934" s="995"/>
      <c r="F934" s="946"/>
      <c r="G934" s="946"/>
      <c r="H934" s="946"/>
      <c r="I934" s="947">
        <v>0.00138428</v>
      </c>
      <c r="J934" s="948">
        <v>0.035</v>
      </c>
      <c r="K934" s="949">
        <f t="shared" si="22"/>
        <v>0</v>
      </c>
      <c r="L934" s="950">
        <f t="shared" si="23"/>
        <v>0</v>
      </c>
      <c r="M934" s="948">
        <v>0.0215</v>
      </c>
      <c r="N934" s="951">
        <f t="shared" si="24"/>
        <v>0.00141404202</v>
      </c>
      <c r="O934" s="949">
        <f t="shared" si="25"/>
        <v>15</v>
      </c>
      <c r="P934" s="949">
        <f t="shared" si="77"/>
        <v>0.0215</v>
      </c>
      <c r="Q934" s="952">
        <f t="shared" si="79"/>
        <v>0</v>
      </c>
      <c r="R934" s="952">
        <f t="shared" si="78"/>
        <v>0</v>
      </c>
      <c r="S934" s="953"/>
      <c r="T934" s="949">
        <v>0.06</v>
      </c>
      <c r="U934" s="954"/>
      <c r="V934" s="949"/>
      <c r="W934" s="953"/>
      <c r="X934" s="949">
        <f t="shared" si="7"/>
        <v>0</v>
      </c>
      <c r="Y934" s="955"/>
      <c r="Z934" s="953" t="str">
        <f t="shared" si="8"/>
        <v/>
      </c>
      <c r="AA934" s="949">
        <f t="shared" si="9"/>
        <v>0</v>
      </c>
      <c r="AB934" s="955"/>
      <c r="AC934" s="949" t="str">
        <f t="shared" si="10"/>
        <v/>
      </c>
      <c r="AD934" s="953">
        <f t="shared" si="11"/>
        <v>0</v>
      </c>
      <c r="AE934" s="956"/>
      <c r="AF934" s="889"/>
      <c r="AG934" s="810" t="b">
        <v>0</v>
      </c>
      <c r="AH934" s="780"/>
      <c r="AI934" s="780"/>
      <c r="AJ934" s="780"/>
      <c r="AK934" s="780"/>
      <c r="AL934" s="780"/>
      <c r="AM934" s="780"/>
      <c r="AN934" s="780"/>
      <c r="AO934" s="780"/>
      <c r="AP934" s="780"/>
      <c r="AQ934" s="780"/>
      <c r="AR934" s="780"/>
      <c r="AS934" s="780"/>
      <c r="AT934" s="780"/>
      <c r="AU934" s="780"/>
      <c r="AV934" s="780"/>
      <c r="AW934" s="780"/>
    </row>
    <row r="935">
      <c r="A935" s="941"/>
      <c r="B935" s="941"/>
      <c r="C935" s="995"/>
      <c r="D935" s="944"/>
      <c r="E935" s="944"/>
      <c r="F935" s="946"/>
      <c r="G935" s="946"/>
      <c r="H935" s="946"/>
      <c r="I935" s="947">
        <v>0.00138428</v>
      </c>
      <c r="J935" s="948">
        <v>0.035</v>
      </c>
      <c r="K935" s="949">
        <f t="shared" si="22"/>
        <v>0</v>
      </c>
      <c r="L935" s="950">
        <f t="shared" si="23"/>
        <v>0</v>
      </c>
      <c r="M935" s="948">
        <v>0.0215</v>
      </c>
      <c r="N935" s="951">
        <f t="shared" si="24"/>
        <v>0.00141404202</v>
      </c>
      <c r="O935" s="949">
        <f t="shared" si="25"/>
        <v>15</v>
      </c>
      <c r="P935" s="949">
        <f t="shared" si="77"/>
        <v>0.0215</v>
      </c>
      <c r="Q935" s="952">
        <f t="shared" si="79"/>
        <v>0</v>
      </c>
      <c r="R935" s="952">
        <f t="shared" si="78"/>
        <v>0</v>
      </c>
      <c r="S935" s="953"/>
      <c r="T935" s="949">
        <v>0.06</v>
      </c>
      <c r="U935" s="954"/>
      <c r="V935" s="949"/>
      <c r="W935" s="953"/>
      <c r="X935" s="949">
        <f t="shared" si="7"/>
        <v>0</v>
      </c>
      <c r="Y935" s="955"/>
      <c r="Z935" s="953" t="str">
        <f t="shared" si="8"/>
        <v/>
      </c>
      <c r="AA935" s="949">
        <f t="shared" si="9"/>
        <v>0</v>
      </c>
      <c r="AB935" s="955"/>
      <c r="AC935" s="949" t="str">
        <f t="shared" si="10"/>
        <v/>
      </c>
      <c r="AD935" s="953">
        <f t="shared" si="11"/>
        <v>0</v>
      </c>
      <c r="AE935" s="956"/>
      <c r="AF935" s="889"/>
      <c r="AG935" s="810" t="b">
        <v>0</v>
      </c>
      <c r="AH935" s="780"/>
      <c r="AI935" s="780"/>
      <c r="AJ935" s="780"/>
      <c r="AK935" s="780"/>
      <c r="AL935" s="780"/>
      <c r="AM935" s="780"/>
      <c r="AN935" s="780"/>
      <c r="AO935" s="780"/>
      <c r="AP935" s="780"/>
      <c r="AQ935" s="780"/>
      <c r="AR935" s="780"/>
      <c r="AS935" s="780"/>
      <c r="AT935" s="780"/>
      <c r="AU935" s="780"/>
      <c r="AV935" s="780"/>
      <c r="AW935" s="780"/>
    </row>
    <row r="936">
      <c r="A936" s="941"/>
      <c r="B936" s="941"/>
      <c r="C936" s="995"/>
      <c r="D936" s="995"/>
      <c r="E936" s="995"/>
      <c r="F936" s="946"/>
      <c r="G936" s="946"/>
      <c r="H936" s="946"/>
      <c r="I936" s="947">
        <v>0.00138428</v>
      </c>
      <c r="J936" s="948">
        <v>0.035</v>
      </c>
      <c r="K936" s="949">
        <f t="shared" si="22"/>
        <v>0</v>
      </c>
      <c r="L936" s="950">
        <f t="shared" si="23"/>
        <v>0</v>
      </c>
      <c r="M936" s="948">
        <v>0.0215</v>
      </c>
      <c r="N936" s="951">
        <f t="shared" si="24"/>
        <v>0.00141404202</v>
      </c>
      <c r="O936" s="949">
        <f t="shared" si="25"/>
        <v>15</v>
      </c>
      <c r="P936" s="949">
        <f t="shared" si="77"/>
        <v>0.0215</v>
      </c>
      <c r="Q936" s="952">
        <f t="shared" si="79"/>
        <v>0</v>
      </c>
      <c r="R936" s="952">
        <f t="shared" si="78"/>
        <v>0</v>
      </c>
      <c r="S936" s="953"/>
      <c r="T936" s="949">
        <v>0.06</v>
      </c>
      <c r="U936" s="954"/>
      <c r="V936" s="949"/>
      <c r="W936" s="953"/>
      <c r="X936" s="949">
        <f t="shared" si="7"/>
        <v>0</v>
      </c>
      <c r="Y936" s="955"/>
      <c r="Z936" s="953" t="str">
        <f t="shared" si="8"/>
        <v/>
      </c>
      <c r="AA936" s="949">
        <f t="shared" si="9"/>
        <v>0</v>
      </c>
      <c r="AB936" s="955"/>
      <c r="AC936" s="949" t="str">
        <f t="shared" si="10"/>
        <v/>
      </c>
      <c r="AD936" s="953">
        <f t="shared" si="11"/>
        <v>0</v>
      </c>
      <c r="AE936" s="956"/>
      <c r="AF936" s="889"/>
      <c r="AG936" s="810" t="b">
        <v>0</v>
      </c>
      <c r="AH936" s="780"/>
      <c r="AI936" s="780"/>
      <c r="AJ936" s="780"/>
      <c r="AK936" s="780"/>
      <c r="AL936" s="780"/>
      <c r="AM936" s="780"/>
      <c r="AN936" s="780"/>
      <c r="AO936" s="780"/>
      <c r="AP936" s="780"/>
      <c r="AQ936" s="780"/>
      <c r="AR936" s="780"/>
      <c r="AS936" s="780"/>
      <c r="AT936" s="780"/>
      <c r="AU936" s="780"/>
      <c r="AV936" s="780"/>
      <c r="AW936" s="780"/>
    </row>
    <row r="937">
      <c r="A937" s="941"/>
      <c r="B937" s="941"/>
      <c r="C937" s="995"/>
      <c r="D937" s="944"/>
      <c r="E937" s="944"/>
      <c r="F937" s="946"/>
      <c r="G937" s="946"/>
      <c r="H937" s="946"/>
      <c r="I937" s="947">
        <v>0.00138428</v>
      </c>
      <c r="J937" s="948">
        <v>0.035</v>
      </c>
      <c r="K937" s="949">
        <f t="shared" si="22"/>
        <v>0</v>
      </c>
      <c r="L937" s="950">
        <f t="shared" si="23"/>
        <v>0</v>
      </c>
      <c r="M937" s="948">
        <v>0.0215</v>
      </c>
      <c r="N937" s="951">
        <f t="shared" si="24"/>
        <v>0.00141404202</v>
      </c>
      <c r="O937" s="949">
        <f t="shared" si="25"/>
        <v>15</v>
      </c>
      <c r="P937" s="949">
        <f t="shared" si="77"/>
        <v>0.0215</v>
      </c>
      <c r="Q937" s="952">
        <f t="shared" si="79"/>
        <v>0</v>
      </c>
      <c r="R937" s="952">
        <f t="shared" si="78"/>
        <v>0</v>
      </c>
      <c r="S937" s="953"/>
      <c r="T937" s="949">
        <v>0.06</v>
      </c>
      <c r="U937" s="954"/>
      <c r="V937" s="949"/>
      <c r="W937" s="953"/>
      <c r="X937" s="949">
        <f t="shared" si="7"/>
        <v>0</v>
      </c>
      <c r="Y937" s="955"/>
      <c r="Z937" s="953" t="str">
        <f t="shared" si="8"/>
        <v/>
      </c>
      <c r="AA937" s="949">
        <f t="shared" si="9"/>
        <v>0</v>
      </c>
      <c r="AB937" s="955"/>
      <c r="AC937" s="949" t="str">
        <f t="shared" si="10"/>
        <v/>
      </c>
      <c r="AD937" s="953">
        <f t="shared" si="11"/>
        <v>0</v>
      </c>
      <c r="AE937" s="956"/>
      <c r="AF937" s="889"/>
      <c r="AG937" s="810" t="b">
        <v>0</v>
      </c>
      <c r="AH937" s="780"/>
      <c r="AI937" s="780"/>
      <c r="AJ937" s="780"/>
      <c r="AK937" s="780"/>
      <c r="AL937" s="780"/>
      <c r="AM937" s="780"/>
      <c r="AN937" s="780"/>
      <c r="AO937" s="780"/>
      <c r="AP937" s="780"/>
      <c r="AQ937" s="780"/>
      <c r="AR937" s="780"/>
      <c r="AS937" s="780"/>
      <c r="AT937" s="780"/>
      <c r="AU937" s="780"/>
      <c r="AV937" s="780"/>
      <c r="AW937" s="780"/>
    </row>
    <row r="938">
      <c r="A938" s="941"/>
      <c r="B938" s="941"/>
      <c r="C938" s="995"/>
      <c r="D938" s="995"/>
      <c r="E938" s="995"/>
      <c r="F938" s="946"/>
      <c r="G938" s="946"/>
      <c r="H938" s="946"/>
      <c r="I938" s="947">
        <v>0.00138428</v>
      </c>
      <c r="J938" s="948">
        <v>0.035</v>
      </c>
      <c r="K938" s="949">
        <f t="shared" si="22"/>
        <v>0</v>
      </c>
      <c r="L938" s="950">
        <f t="shared" si="23"/>
        <v>0</v>
      </c>
      <c r="M938" s="948">
        <v>0.0215</v>
      </c>
      <c r="N938" s="951">
        <f t="shared" si="24"/>
        <v>0.00141404202</v>
      </c>
      <c r="O938" s="949">
        <f t="shared" si="25"/>
        <v>15</v>
      </c>
      <c r="P938" s="949">
        <f t="shared" si="77"/>
        <v>0.0215</v>
      </c>
      <c r="Q938" s="952">
        <f t="shared" si="79"/>
        <v>0</v>
      </c>
      <c r="R938" s="952">
        <f t="shared" si="78"/>
        <v>0</v>
      </c>
      <c r="S938" s="953"/>
      <c r="T938" s="949">
        <v>0.06</v>
      </c>
      <c r="U938" s="954"/>
      <c r="V938" s="949"/>
      <c r="W938" s="953"/>
      <c r="X938" s="949">
        <f t="shared" si="7"/>
        <v>0</v>
      </c>
      <c r="Y938" s="955"/>
      <c r="Z938" s="953" t="str">
        <f t="shared" si="8"/>
        <v/>
      </c>
      <c r="AA938" s="949">
        <f t="shared" si="9"/>
        <v>0</v>
      </c>
      <c r="AB938" s="955"/>
      <c r="AC938" s="949" t="str">
        <f t="shared" si="10"/>
        <v/>
      </c>
      <c r="AD938" s="953">
        <f t="shared" si="11"/>
        <v>0</v>
      </c>
      <c r="AE938" s="956"/>
      <c r="AF938" s="889"/>
      <c r="AG938" s="810" t="b">
        <v>0</v>
      </c>
      <c r="AH938" s="780"/>
      <c r="AI938" s="780"/>
      <c r="AJ938" s="780"/>
      <c r="AK938" s="780"/>
      <c r="AL938" s="780"/>
      <c r="AM938" s="780"/>
      <c r="AN938" s="780"/>
      <c r="AO938" s="780"/>
      <c r="AP938" s="780"/>
      <c r="AQ938" s="780"/>
      <c r="AR938" s="780"/>
      <c r="AS938" s="780"/>
      <c r="AT938" s="780"/>
      <c r="AU938" s="780"/>
      <c r="AV938" s="780"/>
      <c r="AW938" s="780"/>
    </row>
    <row r="939">
      <c r="A939" s="941"/>
      <c r="B939" s="941"/>
      <c r="C939" s="995"/>
      <c r="D939" s="944"/>
      <c r="E939" s="944"/>
      <c r="F939" s="946"/>
      <c r="G939" s="946"/>
      <c r="H939" s="946"/>
      <c r="I939" s="947">
        <v>0.00138428</v>
      </c>
      <c r="J939" s="948">
        <v>0.035</v>
      </c>
      <c r="K939" s="949">
        <f t="shared" si="22"/>
        <v>0</v>
      </c>
      <c r="L939" s="950">
        <f t="shared" si="23"/>
        <v>0</v>
      </c>
      <c r="M939" s="948">
        <v>0.0215</v>
      </c>
      <c r="N939" s="951">
        <f t="shared" si="24"/>
        <v>0.00141404202</v>
      </c>
      <c r="O939" s="949">
        <f t="shared" si="25"/>
        <v>15</v>
      </c>
      <c r="P939" s="949">
        <f t="shared" si="77"/>
        <v>0.0215</v>
      </c>
      <c r="Q939" s="952">
        <f t="shared" si="79"/>
        <v>0</v>
      </c>
      <c r="R939" s="952">
        <f t="shared" si="78"/>
        <v>0</v>
      </c>
      <c r="S939" s="953"/>
      <c r="T939" s="949">
        <v>0.06</v>
      </c>
      <c r="U939" s="954"/>
      <c r="V939" s="949"/>
      <c r="W939" s="953"/>
      <c r="X939" s="949">
        <f t="shared" si="7"/>
        <v>0</v>
      </c>
      <c r="Y939" s="955"/>
      <c r="Z939" s="953" t="str">
        <f t="shared" si="8"/>
        <v/>
      </c>
      <c r="AA939" s="949">
        <f t="shared" si="9"/>
        <v>0</v>
      </c>
      <c r="AB939" s="955"/>
      <c r="AC939" s="949" t="str">
        <f t="shared" si="10"/>
        <v/>
      </c>
      <c r="AD939" s="953">
        <f t="shared" si="11"/>
        <v>0</v>
      </c>
      <c r="AE939" s="956"/>
      <c r="AF939" s="889"/>
      <c r="AG939" s="810" t="b">
        <v>0</v>
      </c>
      <c r="AH939" s="780"/>
      <c r="AI939" s="780"/>
      <c r="AJ939" s="780"/>
      <c r="AK939" s="780"/>
      <c r="AL939" s="780"/>
      <c r="AM939" s="780"/>
      <c r="AN939" s="780"/>
      <c r="AO939" s="780"/>
      <c r="AP939" s="780"/>
      <c r="AQ939" s="780"/>
      <c r="AR939" s="780"/>
      <c r="AS939" s="780"/>
      <c r="AT939" s="780"/>
      <c r="AU939" s="780"/>
      <c r="AV939" s="780"/>
      <c r="AW939" s="780"/>
    </row>
    <row r="940">
      <c r="A940" s="941"/>
      <c r="B940" s="941"/>
      <c r="C940" s="995"/>
      <c r="D940" s="995"/>
      <c r="E940" s="995"/>
      <c r="F940" s="946"/>
      <c r="G940" s="946"/>
      <c r="H940" s="946"/>
      <c r="I940" s="947">
        <v>0.00138428</v>
      </c>
      <c r="J940" s="948">
        <v>0.035</v>
      </c>
      <c r="K940" s="949">
        <f t="shared" si="22"/>
        <v>0</v>
      </c>
      <c r="L940" s="950">
        <f t="shared" si="23"/>
        <v>0</v>
      </c>
      <c r="M940" s="948">
        <v>0.0215</v>
      </c>
      <c r="N940" s="951">
        <f t="shared" si="24"/>
        <v>0.00141404202</v>
      </c>
      <c r="O940" s="949">
        <f t="shared" si="25"/>
        <v>15</v>
      </c>
      <c r="P940" s="949">
        <f t="shared" si="77"/>
        <v>0.0215</v>
      </c>
      <c r="Q940" s="952">
        <f t="shared" si="79"/>
        <v>0</v>
      </c>
      <c r="R940" s="952">
        <f t="shared" si="78"/>
        <v>0</v>
      </c>
      <c r="S940" s="953"/>
      <c r="T940" s="949">
        <v>0.06</v>
      </c>
      <c r="U940" s="954"/>
      <c r="V940" s="949"/>
      <c r="W940" s="953"/>
      <c r="X940" s="949">
        <f t="shared" si="7"/>
        <v>0</v>
      </c>
      <c r="Y940" s="955"/>
      <c r="Z940" s="953" t="str">
        <f t="shared" si="8"/>
        <v/>
      </c>
      <c r="AA940" s="949">
        <f t="shared" si="9"/>
        <v>0</v>
      </c>
      <c r="AB940" s="955"/>
      <c r="AC940" s="949" t="str">
        <f t="shared" si="10"/>
        <v/>
      </c>
      <c r="AD940" s="953">
        <f t="shared" si="11"/>
        <v>0</v>
      </c>
      <c r="AE940" s="956"/>
      <c r="AF940" s="889"/>
      <c r="AG940" s="810" t="b">
        <v>0</v>
      </c>
      <c r="AH940" s="780"/>
      <c r="AI940" s="780"/>
      <c r="AJ940" s="780"/>
      <c r="AK940" s="780"/>
      <c r="AL940" s="780"/>
      <c r="AM940" s="780"/>
      <c r="AN940" s="780"/>
      <c r="AO940" s="780"/>
      <c r="AP940" s="780"/>
      <c r="AQ940" s="780"/>
      <c r="AR940" s="780"/>
      <c r="AS940" s="780"/>
      <c r="AT940" s="780"/>
      <c r="AU940" s="780"/>
      <c r="AV940" s="780"/>
      <c r="AW940" s="780"/>
    </row>
    <row r="941">
      <c r="A941" s="941"/>
      <c r="B941" s="941"/>
      <c r="C941" s="995"/>
      <c r="D941" s="944"/>
      <c r="E941" s="944"/>
      <c r="F941" s="946"/>
      <c r="G941" s="946"/>
      <c r="H941" s="946"/>
      <c r="I941" s="947">
        <v>0.00138428</v>
      </c>
      <c r="J941" s="948">
        <v>0.035</v>
      </c>
      <c r="K941" s="949">
        <f t="shared" si="22"/>
        <v>0</v>
      </c>
      <c r="L941" s="950">
        <f t="shared" si="23"/>
        <v>0</v>
      </c>
      <c r="M941" s="948">
        <v>0.0215</v>
      </c>
      <c r="N941" s="951">
        <f t="shared" si="24"/>
        <v>0.00141404202</v>
      </c>
      <c r="O941" s="949">
        <f t="shared" si="25"/>
        <v>15</v>
      </c>
      <c r="P941" s="949">
        <f t="shared" si="77"/>
        <v>0.0215</v>
      </c>
      <c r="Q941" s="952">
        <f t="shared" si="79"/>
        <v>0</v>
      </c>
      <c r="R941" s="952">
        <f t="shared" si="78"/>
        <v>0</v>
      </c>
      <c r="S941" s="953"/>
      <c r="T941" s="949">
        <v>0.06</v>
      </c>
      <c r="U941" s="954"/>
      <c r="V941" s="949"/>
      <c r="W941" s="953"/>
      <c r="X941" s="949">
        <f t="shared" si="7"/>
        <v>0</v>
      </c>
      <c r="Y941" s="955"/>
      <c r="Z941" s="953" t="str">
        <f t="shared" si="8"/>
        <v/>
      </c>
      <c r="AA941" s="949">
        <f t="shared" si="9"/>
        <v>0</v>
      </c>
      <c r="AB941" s="955"/>
      <c r="AC941" s="949" t="str">
        <f t="shared" si="10"/>
        <v/>
      </c>
      <c r="AD941" s="953">
        <f t="shared" si="11"/>
        <v>0</v>
      </c>
      <c r="AE941" s="956"/>
      <c r="AF941" s="889"/>
      <c r="AG941" s="810" t="b">
        <v>0</v>
      </c>
      <c r="AH941" s="780"/>
      <c r="AI941" s="780"/>
      <c r="AJ941" s="780"/>
      <c r="AK941" s="780"/>
      <c r="AL941" s="780"/>
      <c r="AM941" s="780"/>
      <c r="AN941" s="780"/>
      <c r="AO941" s="780"/>
      <c r="AP941" s="780"/>
      <c r="AQ941" s="780"/>
      <c r="AR941" s="780"/>
      <c r="AS941" s="780"/>
      <c r="AT941" s="780"/>
      <c r="AU941" s="780"/>
      <c r="AV941" s="780"/>
      <c r="AW941" s="780"/>
    </row>
    <row r="942">
      <c r="A942" s="941"/>
      <c r="B942" s="941"/>
      <c r="C942" s="995"/>
      <c r="D942" s="995"/>
      <c r="E942" s="995"/>
      <c r="F942" s="946"/>
      <c r="G942" s="946"/>
      <c r="H942" s="946"/>
      <c r="I942" s="947">
        <v>0.00138428</v>
      </c>
      <c r="J942" s="948">
        <v>0.035</v>
      </c>
      <c r="K942" s="949">
        <f t="shared" si="22"/>
        <v>0</v>
      </c>
      <c r="L942" s="950">
        <f t="shared" si="23"/>
        <v>0</v>
      </c>
      <c r="M942" s="948">
        <v>0.0215</v>
      </c>
      <c r="N942" s="951">
        <f t="shared" si="24"/>
        <v>0.00141404202</v>
      </c>
      <c r="O942" s="949">
        <f t="shared" si="25"/>
        <v>15</v>
      </c>
      <c r="P942" s="949">
        <f t="shared" si="77"/>
        <v>0.0215</v>
      </c>
      <c r="Q942" s="952">
        <f t="shared" si="79"/>
        <v>0</v>
      </c>
      <c r="R942" s="952">
        <f t="shared" si="78"/>
        <v>0</v>
      </c>
      <c r="S942" s="953"/>
      <c r="T942" s="949">
        <v>0.06</v>
      </c>
      <c r="U942" s="954"/>
      <c r="V942" s="949"/>
      <c r="W942" s="953"/>
      <c r="X942" s="949">
        <f t="shared" si="7"/>
        <v>0</v>
      </c>
      <c r="Y942" s="955"/>
      <c r="Z942" s="953" t="str">
        <f t="shared" si="8"/>
        <v/>
      </c>
      <c r="AA942" s="949">
        <f t="shared" si="9"/>
        <v>0</v>
      </c>
      <c r="AB942" s="955"/>
      <c r="AC942" s="949" t="str">
        <f t="shared" si="10"/>
        <v/>
      </c>
      <c r="AD942" s="953">
        <f t="shared" si="11"/>
        <v>0</v>
      </c>
      <c r="AE942" s="956"/>
      <c r="AF942" s="889"/>
      <c r="AG942" s="810" t="b">
        <v>0</v>
      </c>
      <c r="AH942" s="780"/>
      <c r="AI942" s="780"/>
      <c r="AJ942" s="780"/>
      <c r="AK942" s="780"/>
      <c r="AL942" s="780"/>
      <c r="AM942" s="780"/>
      <c r="AN942" s="780"/>
      <c r="AO942" s="780"/>
      <c r="AP942" s="780"/>
      <c r="AQ942" s="780"/>
      <c r="AR942" s="780"/>
      <c r="AS942" s="780"/>
      <c r="AT942" s="780"/>
      <c r="AU942" s="780"/>
      <c r="AV942" s="780"/>
      <c r="AW942" s="780"/>
    </row>
    <row r="943">
      <c r="A943" s="941"/>
      <c r="B943" s="941"/>
      <c r="C943" s="995"/>
      <c r="D943" s="944"/>
      <c r="E943" s="944"/>
      <c r="F943" s="946"/>
      <c r="G943" s="946"/>
      <c r="H943" s="946"/>
      <c r="I943" s="947">
        <v>0.00138428</v>
      </c>
      <c r="J943" s="948">
        <v>0.035</v>
      </c>
      <c r="K943" s="949">
        <f t="shared" si="22"/>
        <v>0</v>
      </c>
      <c r="L943" s="950">
        <f t="shared" si="23"/>
        <v>0</v>
      </c>
      <c r="M943" s="948">
        <v>0.0215</v>
      </c>
      <c r="N943" s="951">
        <f t="shared" si="24"/>
        <v>0.00141404202</v>
      </c>
      <c r="O943" s="949">
        <f t="shared" si="25"/>
        <v>15</v>
      </c>
      <c r="P943" s="949">
        <f t="shared" ref="P943:P962" si="80">(K943*N943)+M964</f>
        <v>0</v>
      </c>
      <c r="Q943" s="952">
        <f t="shared" si="79"/>
        <v>0</v>
      </c>
      <c r="R943" s="952">
        <f t="shared" si="78"/>
        <v>0</v>
      </c>
      <c r="S943" s="953"/>
      <c r="T943" s="949">
        <v>0.06</v>
      </c>
      <c r="U943" s="954"/>
      <c r="V943" s="949"/>
      <c r="W943" s="953"/>
      <c r="X943" s="949">
        <f t="shared" si="7"/>
        <v>0</v>
      </c>
      <c r="Y943" s="955"/>
      <c r="Z943" s="953" t="str">
        <f t="shared" si="8"/>
        <v/>
      </c>
      <c r="AA943" s="949">
        <f t="shared" si="9"/>
        <v>0</v>
      </c>
      <c r="AB943" s="955"/>
      <c r="AC943" s="949" t="str">
        <f t="shared" si="10"/>
        <v/>
      </c>
      <c r="AD943" s="953">
        <f t="shared" si="11"/>
        <v>0</v>
      </c>
      <c r="AE943" s="956"/>
      <c r="AF943" s="889"/>
      <c r="AG943" s="810" t="b">
        <v>0</v>
      </c>
      <c r="AH943" s="780"/>
      <c r="AI943" s="780"/>
      <c r="AJ943" s="780"/>
      <c r="AK943" s="780"/>
      <c r="AL943" s="780"/>
      <c r="AM943" s="780"/>
      <c r="AN943" s="780"/>
      <c r="AO943" s="780"/>
      <c r="AP943" s="780"/>
      <c r="AQ943" s="780"/>
      <c r="AR943" s="780"/>
      <c r="AS943" s="780"/>
      <c r="AT943" s="780"/>
      <c r="AU943" s="780"/>
      <c r="AV943" s="780"/>
      <c r="AW943" s="780"/>
    </row>
    <row r="944">
      <c r="A944" s="941"/>
      <c r="B944" s="941"/>
      <c r="C944" s="995"/>
      <c r="D944" s="995"/>
      <c r="E944" s="995"/>
      <c r="F944" s="946"/>
      <c r="G944" s="946"/>
      <c r="H944" s="946"/>
      <c r="I944" s="947">
        <v>0.00138428</v>
      </c>
      <c r="J944" s="948">
        <v>0.035</v>
      </c>
      <c r="K944" s="949">
        <f t="shared" si="22"/>
        <v>0</v>
      </c>
      <c r="L944" s="950">
        <f t="shared" si="23"/>
        <v>0</v>
      </c>
      <c r="M944" s="948">
        <v>0.0215</v>
      </c>
      <c r="N944" s="951">
        <f t="shared" si="24"/>
        <v>0.00141404202</v>
      </c>
      <c r="O944" s="949">
        <f t="shared" si="25"/>
        <v>15</v>
      </c>
      <c r="P944" s="949">
        <f t="shared" si="80"/>
        <v>0</v>
      </c>
      <c r="Q944" s="952">
        <f t="shared" si="79"/>
        <v>0</v>
      </c>
      <c r="R944" s="952">
        <f t="shared" si="78"/>
        <v>0</v>
      </c>
      <c r="S944" s="953"/>
      <c r="T944" s="949">
        <v>0.06</v>
      </c>
      <c r="U944" s="954"/>
      <c r="V944" s="949"/>
      <c r="W944" s="953"/>
      <c r="X944" s="949">
        <f t="shared" si="7"/>
        <v>0</v>
      </c>
      <c r="Y944" s="955"/>
      <c r="Z944" s="953" t="str">
        <f t="shared" si="8"/>
        <v/>
      </c>
      <c r="AA944" s="949">
        <f t="shared" si="9"/>
        <v>0</v>
      </c>
      <c r="AB944" s="955"/>
      <c r="AC944" s="949" t="str">
        <f t="shared" si="10"/>
        <v/>
      </c>
      <c r="AD944" s="953">
        <f t="shared" si="11"/>
        <v>0</v>
      </c>
      <c r="AE944" s="956"/>
      <c r="AF944" s="889"/>
      <c r="AG944" s="810" t="b">
        <v>0</v>
      </c>
      <c r="AH944" s="780"/>
      <c r="AI944" s="780"/>
      <c r="AJ944" s="780"/>
      <c r="AK944" s="780"/>
      <c r="AL944" s="780"/>
      <c r="AM944" s="780"/>
      <c r="AN944" s="780"/>
      <c r="AO944" s="780"/>
      <c r="AP944" s="780"/>
      <c r="AQ944" s="780"/>
      <c r="AR944" s="780"/>
      <c r="AS944" s="780"/>
      <c r="AT944" s="780"/>
      <c r="AU944" s="780"/>
      <c r="AV944" s="780"/>
      <c r="AW944" s="780"/>
    </row>
    <row r="945">
      <c r="A945" s="941"/>
      <c r="B945" s="941"/>
      <c r="C945" s="995"/>
      <c r="D945" s="944"/>
      <c r="E945" s="944"/>
      <c r="F945" s="946"/>
      <c r="G945" s="946"/>
      <c r="H945" s="946"/>
      <c r="I945" s="947">
        <v>0.00138428</v>
      </c>
      <c r="J945" s="948">
        <v>0.035</v>
      </c>
      <c r="K945" s="949">
        <f t="shared" si="22"/>
        <v>0</v>
      </c>
      <c r="L945" s="950">
        <f t="shared" si="23"/>
        <v>0</v>
      </c>
      <c r="M945" s="948">
        <v>0.0215</v>
      </c>
      <c r="N945" s="951">
        <f t="shared" si="24"/>
        <v>0.00141404202</v>
      </c>
      <c r="O945" s="949">
        <f t="shared" si="25"/>
        <v>15</v>
      </c>
      <c r="P945" s="949">
        <f t="shared" si="80"/>
        <v>0</v>
      </c>
      <c r="Q945" s="952">
        <f t="shared" si="79"/>
        <v>0</v>
      </c>
      <c r="R945" s="952">
        <f t="shared" si="78"/>
        <v>0</v>
      </c>
      <c r="S945" s="953"/>
      <c r="T945" s="949">
        <v>0.06</v>
      </c>
      <c r="U945" s="954"/>
      <c r="V945" s="949"/>
      <c r="W945" s="953"/>
      <c r="X945" s="949">
        <f t="shared" si="7"/>
        <v>0</v>
      </c>
      <c r="Y945" s="955"/>
      <c r="Z945" s="953" t="str">
        <f t="shared" si="8"/>
        <v/>
      </c>
      <c r="AA945" s="949">
        <f t="shared" si="9"/>
        <v>0</v>
      </c>
      <c r="AB945" s="955"/>
      <c r="AC945" s="949" t="str">
        <f t="shared" si="10"/>
        <v/>
      </c>
      <c r="AD945" s="953">
        <f t="shared" si="11"/>
        <v>0</v>
      </c>
      <c r="AE945" s="956"/>
      <c r="AF945" s="889"/>
      <c r="AG945" s="810" t="b">
        <v>0</v>
      </c>
      <c r="AH945" s="780"/>
      <c r="AI945" s="780"/>
      <c r="AJ945" s="780"/>
      <c r="AK945" s="780"/>
      <c r="AL945" s="780"/>
      <c r="AM945" s="780"/>
      <c r="AN945" s="780"/>
      <c r="AO945" s="780"/>
      <c r="AP945" s="780"/>
      <c r="AQ945" s="780"/>
      <c r="AR945" s="780"/>
      <c r="AS945" s="780"/>
      <c r="AT945" s="780"/>
      <c r="AU945" s="780"/>
      <c r="AV945" s="780"/>
      <c r="AW945" s="780"/>
    </row>
    <row r="946">
      <c r="A946" s="941"/>
      <c r="B946" s="941"/>
      <c r="C946" s="995"/>
      <c r="D946" s="995"/>
      <c r="E946" s="995"/>
      <c r="F946" s="946"/>
      <c r="G946" s="946"/>
      <c r="H946" s="946"/>
      <c r="I946" s="947">
        <v>0.00138428</v>
      </c>
      <c r="J946" s="948">
        <v>0.035</v>
      </c>
      <c r="K946" s="949">
        <f t="shared" si="22"/>
        <v>0</v>
      </c>
      <c r="L946" s="950">
        <f t="shared" si="23"/>
        <v>0</v>
      </c>
      <c r="M946" s="948">
        <v>0.0215</v>
      </c>
      <c r="N946" s="951">
        <f t="shared" si="24"/>
        <v>0.00141404202</v>
      </c>
      <c r="O946" s="949">
        <f t="shared" si="25"/>
        <v>15</v>
      </c>
      <c r="P946" s="949">
        <f t="shared" si="80"/>
        <v>0</v>
      </c>
      <c r="Q946" s="952">
        <f t="shared" si="79"/>
        <v>0</v>
      </c>
      <c r="R946" s="952">
        <f t="shared" si="78"/>
        <v>0</v>
      </c>
      <c r="S946" s="953"/>
      <c r="T946" s="949">
        <v>0.06</v>
      </c>
      <c r="U946" s="954"/>
      <c r="V946" s="949"/>
      <c r="W946" s="953"/>
      <c r="X946" s="949">
        <f t="shared" si="7"/>
        <v>0</v>
      </c>
      <c r="Y946" s="955"/>
      <c r="Z946" s="953" t="str">
        <f t="shared" si="8"/>
        <v/>
      </c>
      <c r="AA946" s="949">
        <f t="shared" si="9"/>
        <v>0</v>
      </c>
      <c r="AB946" s="955"/>
      <c r="AC946" s="949" t="str">
        <f t="shared" si="10"/>
        <v/>
      </c>
      <c r="AD946" s="953">
        <f t="shared" si="11"/>
        <v>0</v>
      </c>
      <c r="AE946" s="956"/>
      <c r="AF946" s="889"/>
      <c r="AG946" s="810" t="b">
        <v>0</v>
      </c>
      <c r="AH946" s="780"/>
      <c r="AI946" s="780"/>
      <c r="AJ946" s="780"/>
      <c r="AK946" s="780"/>
      <c r="AL946" s="780"/>
      <c r="AM946" s="780"/>
      <c r="AN946" s="780"/>
      <c r="AO946" s="780"/>
      <c r="AP946" s="780"/>
      <c r="AQ946" s="780"/>
      <c r="AR946" s="780"/>
      <c r="AS946" s="780"/>
      <c r="AT946" s="780"/>
      <c r="AU946" s="780"/>
      <c r="AV946" s="780"/>
      <c r="AW946" s="780"/>
    </row>
    <row r="947">
      <c r="A947" s="941"/>
      <c r="B947" s="941"/>
      <c r="C947" s="995"/>
      <c r="D947" s="944"/>
      <c r="E947" s="944"/>
      <c r="F947" s="946"/>
      <c r="G947" s="946"/>
      <c r="H947" s="946"/>
      <c r="I947" s="947">
        <v>0.00138428</v>
      </c>
      <c r="J947" s="948">
        <v>0.035</v>
      </c>
      <c r="K947" s="949">
        <f t="shared" si="22"/>
        <v>0</v>
      </c>
      <c r="L947" s="950">
        <f t="shared" si="23"/>
        <v>0</v>
      </c>
      <c r="M947" s="948">
        <v>0.0215</v>
      </c>
      <c r="N947" s="951">
        <f t="shared" si="24"/>
        <v>0.00141404202</v>
      </c>
      <c r="O947" s="949">
        <f t="shared" si="25"/>
        <v>15</v>
      </c>
      <c r="P947" s="949">
        <f t="shared" si="80"/>
        <v>0</v>
      </c>
      <c r="Q947" s="952">
        <f t="shared" si="79"/>
        <v>0</v>
      </c>
      <c r="R947" s="952">
        <f t="shared" si="78"/>
        <v>0</v>
      </c>
      <c r="S947" s="953"/>
      <c r="T947" s="949">
        <v>0.06</v>
      </c>
      <c r="U947" s="954"/>
      <c r="V947" s="949"/>
      <c r="W947" s="953"/>
      <c r="X947" s="949">
        <f t="shared" si="7"/>
        <v>0</v>
      </c>
      <c r="Y947" s="955"/>
      <c r="Z947" s="953" t="str">
        <f t="shared" si="8"/>
        <v/>
      </c>
      <c r="AA947" s="949">
        <f t="shared" si="9"/>
        <v>0</v>
      </c>
      <c r="AB947" s="955"/>
      <c r="AC947" s="949" t="str">
        <f t="shared" si="10"/>
        <v/>
      </c>
      <c r="AD947" s="953">
        <f t="shared" si="11"/>
        <v>0</v>
      </c>
      <c r="AE947" s="956"/>
      <c r="AF947" s="889"/>
      <c r="AG947" s="810" t="b">
        <v>0</v>
      </c>
      <c r="AH947" s="780"/>
      <c r="AI947" s="780"/>
      <c r="AJ947" s="780"/>
      <c r="AK947" s="780"/>
      <c r="AL947" s="780"/>
      <c r="AM947" s="780"/>
      <c r="AN947" s="780"/>
      <c r="AO947" s="780"/>
      <c r="AP947" s="780"/>
      <c r="AQ947" s="780"/>
      <c r="AR947" s="780"/>
      <c r="AS947" s="780"/>
      <c r="AT947" s="780"/>
      <c r="AU947" s="780"/>
      <c r="AV947" s="780"/>
      <c r="AW947" s="780"/>
    </row>
    <row r="948">
      <c r="A948" s="941"/>
      <c r="B948" s="941"/>
      <c r="C948" s="995"/>
      <c r="D948" s="995"/>
      <c r="E948" s="995"/>
      <c r="F948" s="946"/>
      <c r="G948" s="946"/>
      <c r="H948" s="946"/>
      <c r="I948" s="947">
        <v>0.00138428</v>
      </c>
      <c r="J948" s="948">
        <v>0.035</v>
      </c>
      <c r="K948" s="949">
        <f t="shared" si="22"/>
        <v>0</v>
      </c>
      <c r="L948" s="950">
        <f t="shared" si="23"/>
        <v>0</v>
      </c>
      <c r="M948" s="948">
        <v>0.0215</v>
      </c>
      <c r="N948" s="951">
        <f t="shared" si="24"/>
        <v>0.00141404202</v>
      </c>
      <c r="O948" s="949">
        <f t="shared" si="25"/>
        <v>15</v>
      </c>
      <c r="P948" s="949">
        <f t="shared" si="80"/>
        <v>0</v>
      </c>
      <c r="Q948" s="952">
        <f t="shared" si="79"/>
        <v>0</v>
      </c>
      <c r="R948" s="952">
        <f t="shared" si="78"/>
        <v>0</v>
      </c>
      <c r="S948" s="953"/>
      <c r="T948" s="949">
        <v>0.06</v>
      </c>
      <c r="U948" s="954"/>
      <c r="V948" s="949"/>
      <c r="W948" s="953"/>
      <c r="X948" s="949">
        <f t="shared" si="7"/>
        <v>0</v>
      </c>
      <c r="Y948" s="955"/>
      <c r="Z948" s="953" t="str">
        <f t="shared" si="8"/>
        <v/>
      </c>
      <c r="AA948" s="949">
        <f t="shared" si="9"/>
        <v>0</v>
      </c>
      <c r="AB948" s="955"/>
      <c r="AC948" s="949" t="str">
        <f t="shared" si="10"/>
        <v/>
      </c>
      <c r="AD948" s="953">
        <f t="shared" si="11"/>
        <v>0</v>
      </c>
      <c r="AE948" s="956"/>
      <c r="AF948" s="889"/>
      <c r="AG948" s="810" t="b">
        <v>0</v>
      </c>
      <c r="AH948" s="780"/>
      <c r="AI948" s="780"/>
      <c r="AJ948" s="780"/>
      <c r="AK948" s="780"/>
      <c r="AL948" s="780"/>
      <c r="AM948" s="780"/>
      <c r="AN948" s="780"/>
      <c r="AO948" s="780"/>
      <c r="AP948" s="780"/>
      <c r="AQ948" s="780"/>
      <c r="AR948" s="780"/>
      <c r="AS948" s="780"/>
      <c r="AT948" s="780"/>
      <c r="AU948" s="780"/>
      <c r="AV948" s="780"/>
      <c r="AW948" s="780"/>
    </row>
    <row r="949">
      <c r="A949" s="941"/>
      <c r="B949" s="941"/>
      <c r="C949" s="995"/>
      <c r="D949" s="944"/>
      <c r="E949" s="944"/>
      <c r="F949" s="946"/>
      <c r="G949" s="946"/>
      <c r="H949" s="946"/>
      <c r="I949" s="947">
        <v>0.00138428</v>
      </c>
      <c r="J949" s="948">
        <v>0.035</v>
      </c>
      <c r="K949" s="949">
        <f t="shared" si="22"/>
        <v>0</v>
      </c>
      <c r="L949" s="950">
        <f t="shared" si="23"/>
        <v>0</v>
      </c>
      <c r="M949" s="948">
        <v>0.0215</v>
      </c>
      <c r="N949" s="951">
        <f t="shared" si="24"/>
        <v>0.00141404202</v>
      </c>
      <c r="O949" s="949">
        <f t="shared" si="25"/>
        <v>15</v>
      </c>
      <c r="P949" s="949">
        <f t="shared" si="80"/>
        <v>0</v>
      </c>
      <c r="Q949" s="952">
        <f t="shared" si="79"/>
        <v>0</v>
      </c>
      <c r="R949" s="952">
        <f t="shared" si="78"/>
        <v>0</v>
      </c>
      <c r="S949" s="953"/>
      <c r="T949" s="949">
        <v>0.06</v>
      </c>
      <c r="U949" s="954"/>
      <c r="V949" s="949"/>
      <c r="W949" s="953"/>
      <c r="X949" s="949">
        <f t="shared" si="7"/>
        <v>0</v>
      </c>
      <c r="Y949" s="955"/>
      <c r="Z949" s="953" t="str">
        <f t="shared" si="8"/>
        <v/>
      </c>
      <c r="AA949" s="949">
        <f t="shared" si="9"/>
        <v>0</v>
      </c>
      <c r="AB949" s="955"/>
      <c r="AC949" s="949" t="str">
        <f t="shared" si="10"/>
        <v/>
      </c>
      <c r="AD949" s="953">
        <f t="shared" si="11"/>
        <v>0</v>
      </c>
      <c r="AE949" s="956"/>
      <c r="AF949" s="889"/>
      <c r="AG949" s="810" t="b">
        <v>0</v>
      </c>
      <c r="AH949" s="780"/>
      <c r="AI949" s="780"/>
      <c r="AJ949" s="780"/>
      <c r="AK949" s="780"/>
      <c r="AL949" s="780"/>
      <c r="AM949" s="780"/>
      <c r="AN949" s="780"/>
      <c r="AO949" s="780"/>
      <c r="AP949" s="780"/>
      <c r="AQ949" s="780"/>
      <c r="AR949" s="780"/>
      <c r="AS949" s="780"/>
      <c r="AT949" s="780"/>
      <c r="AU949" s="780"/>
      <c r="AV949" s="780"/>
      <c r="AW949" s="780"/>
    </row>
    <row r="950">
      <c r="A950" s="941"/>
      <c r="B950" s="941"/>
      <c r="C950" s="995"/>
      <c r="D950" s="995"/>
      <c r="E950" s="995"/>
      <c r="F950" s="946"/>
      <c r="G950" s="946"/>
      <c r="H950" s="946"/>
      <c r="I950" s="947">
        <v>0.00138428</v>
      </c>
      <c r="J950" s="948">
        <v>0.035</v>
      </c>
      <c r="K950" s="949">
        <f t="shared" si="22"/>
        <v>0</v>
      </c>
      <c r="L950" s="950">
        <f t="shared" si="23"/>
        <v>0</v>
      </c>
      <c r="M950" s="948">
        <v>0.0215</v>
      </c>
      <c r="N950" s="951">
        <f t="shared" si="24"/>
        <v>0.00141404202</v>
      </c>
      <c r="O950" s="949">
        <f t="shared" si="25"/>
        <v>15</v>
      </c>
      <c r="P950" s="949">
        <f t="shared" si="80"/>
        <v>0</v>
      </c>
      <c r="Q950" s="952">
        <f t="shared" si="79"/>
        <v>0</v>
      </c>
      <c r="R950" s="952">
        <f t="shared" si="78"/>
        <v>0</v>
      </c>
      <c r="S950" s="953"/>
      <c r="T950" s="949">
        <v>0.06</v>
      </c>
      <c r="U950" s="954"/>
      <c r="V950" s="949"/>
      <c r="W950" s="953"/>
      <c r="X950" s="949">
        <f t="shared" si="7"/>
        <v>0</v>
      </c>
      <c r="Y950" s="955"/>
      <c r="Z950" s="953" t="str">
        <f t="shared" si="8"/>
        <v/>
      </c>
      <c r="AA950" s="949">
        <f t="shared" si="9"/>
        <v>0</v>
      </c>
      <c r="AB950" s="955"/>
      <c r="AC950" s="949" t="str">
        <f t="shared" si="10"/>
        <v/>
      </c>
      <c r="AD950" s="953">
        <f t="shared" si="11"/>
        <v>0</v>
      </c>
      <c r="AE950" s="956"/>
      <c r="AF950" s="889"/>
      <c r="AG950" s="810" t="b">
        <v>0</v>
      </c>
      <c r="AH950" s="780"/>
      <c r="AI950" s="780"/>
      <c r="AJ950" s="780"/>
      <c r="AK950" s="780"/>
      <c r="AL950" s="780"/>
      <c r="AM950" s="780"/>
      <c r="AN950" s="780"/>
      <c r="AO950" s="780"/>
      <c r="AP950" s="780"/>
      <c r="AQ950" s="780"/>
      <c r="AR950" s="780"/>
      <c r="AS950" s="780"/>
      <c r="AT950" s="780"/>
      <c r="AU950" s="780"/>
      <c r="AV950" s="780"/>
      <c r="AW950" s="780"/>
    </row>
    <row r="951">
      <c r="A951" s="941"/>
      <c r="B951" s="941"/>
      <c r="C951" s="995"/>
      <c r="D951" s="944"/>
      <c r="E951" s="944"/>
      <c r="F951" s="946"/>
      <c r="G951" s="946"/>
      <c r="H951" s="946"/>
      <c r="I951" s="947">
        <v>0.00138428</v>
      </c>
      <c r="J951" s="948">
        <v>0.035</v>
      </c>
      <c r="K951" s="949">
        <f t="shared" si="22"/>
        <v>0</v>
      </c>
      <c r="L951" s="950">
        <f t="shared" si="23"/>
        <v>0</v>
      </c>
      <c r="M951" s="948">
        <v>0.0215</v>
      </c>
      <c r="N951" s="951">
        <f t="shared" si="24"/>
        <v>0.00141404202</v>
      </c>
      <c r="O951" s="949">
        <f t="shared" si="25"/>
        <v>15</v>
      </c>
      <c r="P951" s="949">
        <f t="shared" si="80"/>
        <v>0</v>
      </c>
      <c r="Q951" s="952">
        <f t="shared" si="79"/>
        <v>0</v>
      </c>
      <c r="R951" s="952">
        <f t="shared" si="78"/>
        <v>0</v>
      </c>
      <c r="S951" s="953"/>
      <c r="T951" s="949">
        <v>0.06</v>
      </c>
      <c r="U951" s="954"/>
      <c r="V951" s="949"/>
      <c r="W951" s="953"/>
      <c r="X951" s="949">
        <f t="shared" si="7"/>
        <v>0</v>
      </c>
      <c r="Y951" s="955"/>
      <c r="Z951" s="953" t="str">
        <f t="shared" si="8"/>
        <v/>
      </c>
      <c r="AA951" s="949">
        <f t="shared" si="9"/>
        <v>0</v>
      </c>
      <c r="AB951" s="955"/>
      <c r="AC951" s="949" t="str">
        <f t="shared" si="10"/>
        <v/>
      </c>
      <c r="AD951" s="953">
        <f t="shared" si="11"/>
        <v>0</v>
      </c>
      <c r="AE951" s="956"/>
      <c r="AF951" s="889"/>
      <c r="AG951" s="810" t="b">
        <v>0</v>
      </c>
      <c r="AH951" s="780"/>
      <c r="AI951" s="780"/>
      <c r="AJ951" s="780"/>
      <c r="AK951" s="780"/>
      <c r="AL951" s="780"/>
      <c r="AM951" s="780"/>
      <c r="AN951" s="780"/>
      <c r="AO951" s="780"/>
      <c r="AP951" s="780"/>
      <c r="AQ951" s="780"/>
      <c r="AR951" s="780"/>
      <c r="AS951" s="780"/>
      <c r="AT951" s="780"/>
      <c r="AU951" s="780"/>
      <c r="AV951" s="780"/>
      <c r="AW951" s="780"/>
    </row>
    <row r="952">
      <c r="A952" s="941"/>
      <c r="B952" s="941"/>
      <c r="C952" s="995"/>
      <c r="D952" s="995"/>
      <c r="E952" s="995"/>
      <c r="F952" s="946"/>
      <c r="G952" s="946"/>
      <c r="H952" s="946"/>
      <c r="I952" s="947">
        <v>0.00138428</v>
      </c>
      <c r="J952" s="948">
        <v>0.035</v>
      </c>
      <c r="K952" s="949">
        <f t="shared" si="22"/>
        <v>0</v>
      </c>
      <c r="L952" s="950">
        <f t="shared" si="23"/>
        <v>0</v>
      </c>
      <c r="M952" s="948">
        <v>0.0215</v>
      </c>
      <c r="N952" s="951">
        <f t="shared" si="24"/>
        <v>0.00141404202</v>
      </c>
      <c r="O952" s="949">
        <f t="shared" si="25"/>
        <v>15</v>
      </c>
      <c r="P952" s="949">
        <f t="shared" si="80"/>
        <v>0</v>
      </c>
      <c r="Q952" s="952">
        <f t="shared" si="79"/>
        <v>0</v>
      </c>
      <c r="R952" s="952">
        <f t="shared" si="78"/>
        <v>0</v>
      </c>
      <c r="S952" s="953"/>
      <c r="T952" s="949">
        <v>0.06</v>
      </c>
      <c r="U952" s="954"/>
      <c r="V952" s="949"/>
      <c r="W952" s="953"/>
      <c r="X952" s="949">
        <f t="shared" si="7"/>
        <v>0</v>
      </c>
      <c r="Y952" s="955"/>
      <c r="Z952" s="953" t="str">
        <f t="shared" si="8"/>
        <v/>
      </c>
      <c r="AA952" s="949">
        <f t="shared" si="9"/>
        <v>0</v>
      </c>
      <c r="AB952" s="955"/>
      <c r="AC952" s="949" t="str">
        <f t="shared" si="10"/>
        <v/>
      </c>
      <c r="AD952" s="953">
        <f t="shared" si="11"/>
        <v>0</v>
      </c>
      <c r="AE952" s="956"/>
      <c r="AF952" s="889"/>
      <c r="AG952" s="810" t="b">
        <v>0</v>
      </c>
      <c r="AH952" s="780"/>
      <c r="AI952" s="780"/>
      <c r="AJ952" s="780"/>
      <c r="AK952" s="780"/>
      <c r="AL952" s="780"/>
      <c r="AM952" s="780"/>
      <c r="AN952" s="780"/>
      <c r="AO952" s="780"/>
      <c r="AP952" s="780"/>
      <c r="AQ952" s="780"/>
      <c r="AR952" s="780"/>
      <c r="AS952" s="780"/>
      <c r="AT952" s="780"/>
      <c r="AU952" s="780"/>
      <c r="AV952" s="780"/>
      <c r="AW952" s="780"/>
    </row>
    <row r="953">
      <c r="A953" s="941"/>
      <c r="B953" s="941"/>
      <c r="C953" s="995"/>
      <c r="D953" s="944"/>
      <c r="E953" s="944"/>
      <c r="F953" s="946"/>
      <c r="G953" s="946"/>
      <c r="H953" s="946"/>
      <c r="I953" s="947">
        <v>0.00138428</v>
      </c>
      <c r="J953" s="948">
        <v>0.035</v>
      </c>
      <c r="K953" s="949">
        <f t="shared" si="22"/>
        <v>0</v>
      </c>
      <c r="L953" s="950">
        <f t="shared" si="23"/>
        <v>0</v>
      </c>
      <c r="M953" s="948">
        <v>0.0215</v>
      </c>
      <c r="N953" s="951">
        <f t="shared" si="24"/>
        <v>0.00141404202</v>
      </c>
      <c r="O953" s="949">
        <f t="shared" si="25"/>
        <v>15</v>
      </c>
      <c r="P953" s="949">
        <f t="shared" si="80"/>
        <v>0</v>
      </c>
      <c r="Q953" s="952">
        <f t="shared" si="79"/>
        <v>0</v>
      </c>
      <c r="R953" s="952">
        <f t="shared" si="78"/>
        <v>0</v>
      </c>
      <c r="S953" s="953"/>
      <c r="T953" s="949">
        <v>0.06</v>
      </c>
      <c r="U953" s="954"/>
      <c r="V953" s="949"/>
      <c r="W953" s="953"/>
      <c r="X953" s="949">
        <f t="shared" si="7"/>
        <v>0</v>
      </c>
      <c r="Y953" s="955"/>
      <c r="Z953" s="953" t="str">
        <f t="shared" si="8"/>
        <v/>
      </c>
      <c r="AA953" s="949">
        <f t="shared" si="9"/>
        <v>0</v>
      </c>
      <c r="AB953" s="955"/>
      <c r="AC953" s="949" t="str">
        <f t="shared" si="10"/>
        <v/>
      </c>
      <c r="AD953" s="953">
        <f t="shared" si="11"/>
        <v>0</v>
      </c>
      <c r="AE953" s="956"/>
      <c r="AF953" s="889"/>
      <c r="AG953" s="810" t="b">
        <v>0</v>
      </c>
      <c r="AH953" s="780"/>
      <c r="AI953" s="780"/>
      <c r="AJ953" s="780"/>
      <c r="AK953" s="780"/>
      <c r="AL953" s="780"/>
      <c r="AM953" s="780"/>
      <c r="AN953" s="780"/>
      <c r="AO953" s="780"/>
      <c r="AP953" s="780"/>
      <c r="AQ953" s="780"/>
      <c r="AR953" s="780"/>
      <c r="AS953" s="780"/>
      <c r="AT953" s="780"/>
      <c r="AU953" s="780"/>
      <c r="AV953" s="780"/>
      <c r="AW953" s="780"/>
    </row>
    <row r="954">
      <c r="A954" s="941"/>
      <c r="B954" s="941"/>
      <c r="C954" s="995"/>
      <c r="D954" s="995"/>
      <c r="E954" s="995"/>
      <c r="F954" s="946"/>
      <c r="G954" s="946"/>
      <c r="H954" s="946"/>
      <c r="I954" s="947">
        <v>0.00138428</v>
      </c>
      <c r="J954" s="948">
        <v>0.035</v>
      </c>
      <c r="K954" s="949">
        <f t="shared" si="22"/>
        <v>0</v>
      </c>
      <c r="L954" s="950">
        <f t="shared" si="23"/>
        <v>0</v>
      </c>
      <c r="M954" s="948">
        <v>0.0215</v>
      </c>
      <c r="N954" s="951">
        <f t="shared" si="24"/>
        <v>0.00141404202</v>
      </c>
      <c r="O954" s="949">
        <f t="shared" si="25"/>
        <v>15</v>
      </c>
      <c r="P954" s="949">
        <f t="shared" si="80"/>
        <v>0</v>
      </c>
      <c r="Q954" s="952">
        <f t="shared" si="79"/>
        <v>0</v>
      </c>
      <c r="R954" s="952">
        <f t="shared" si="78"/>
        <v>0</v>
      </c>
      <c r="S954" s="953"/>
      <c r="T954" s="949">
        <v>0.06</v>
      </c>
      <c r="U954" s="954"/>
      <c r="V954" s="949"/>
      <c r="W954" s="953"/>
      <c r="X954" s="949">
        <f t="shared" si="7"/>
        <v>0</v>
      </c>
      <c r="Y954" s="955"/>
      <c r="Z954" s="953" t="str">
        <f t="shared" si="8"/>
        <v/>
      </c>
      <c r="AA954" s="949">
        <f t="shared" si="9"/>
        <v>0</v>
      </c>
      <c r="AB954" s="955"/>
      <c r="AC954" s="949" t="str">
        <f t="shared" si="10"/>
        <v/>
      </c>
      <c r="AD954" s="953">
        <f t="shared" si="11"/>
        <v>0</v>
      </c>
      <c r="AE954" s="956"/>
      <c r="AF954" s="889"/>
      <c r="AG954" s="810" t="b">
        <v>0</v>
      </c>
      <c r="AH954" s="780"/>
      <c r="AI954" s="780"/>
      <c r="AJ954" s="780"/>
      <c r="AK954" s="780"/>
      <c r="AL954" s="780"/>
      <c r="AM954" s="780"/>
      <c r="AN954" s="780"/>
      <c r="AO954" s="780"/>
      <c r="AP954" s="780"/>
      <c r="AQ954" s="780"/>
      <c r="AR954" s="780"/>
      <c r="AS954" s="780"/>
      <c r="AT954" s="780"/>
      <c r="AU954" s="780"/>
      <c r="AV954" s="780"/>
      <c r="AW954" s="780"/>
    </row>
    <row r="955">
      <c r="A955" s="941"/>
      <c r="B955" s="941"/>
      <c r="C955" s="995"/>
      <c r="D955" s="944"/>
      <c r="E955" s="944"/>
      <c r="F955" s="946"/>
      <c r="G955" s="946"/>
      <c r="H955" s="946"/>
      <c r="I955" s="947">
        <v>0.00138428</v>
      </c>
      <c r="J955" s="948">
        <v>0.035</v>
      </c>
      <c r="K955" s="949">
        <f t="shared" si="22"/>
        <v>0</v>
      </c>
      <c r="L955" s="950">
        <f t="shared" si="23"/>
        <v>0</v>
      </c>
      <c r="M955" s="948">
        <v>0.0215</v>
      </c>
      <c r="N955" s="951">
        <f t="shared" si="24"/>
        <v>0.00141404202</v>
      </c>
      <c r="O955" s="949">
        <f t="shared" si="25"/>
        <v>15</v>
      </c>
      <c r="P955" s="949">
        <f t="shared" si="80"/>
        <v>0</v>
      </c>
      <c r="Q955" s="952">
        <f t="shared" si="79"/>
        <v>0</v>
      </c>
      <c r="R955" s="952">
        <f t="shared" si="78"/>
        <v>0</v>
      </c>
      <c r="S955" s="953"/>
      <c r="T955" s="949">
        <v>0.06</v>
      </c>
      <c r="U955" s="954"/>
      <c r="V955" s="949"/>
      <c r="W955" s="953"/>
      <c r="X955" s="949">
        <f t="shared" si="7"/>
        <v>0</v>
      </c>
      <c r="Y955" s="955"/>
      <c r="Z955" s="953" t="str">
        <f t="shared" si="8"/>
        <v/>
      </c>
      <c r="AA955" s="949">
        <f t="shared" si="9"/>
        <v>0</v>
      </c>
      <c r="AB955" s="955"/>
      <c r="AC955" s="949" t="str">
        <f t="shared" si="10"/>
        <v/>
      </c>
      <c r="AD955" s="953">
        <f t="shared" si="11"/>
        <v>0</v>
      </c>
      <c r="AE955" s="956"/>
      <c r="AF955" s="889"/>
      <c r="AG955" s="810" t="b">
        <v>0</v>
      </c>
      <c r="AH955" s="780"/>
      <c r="AI955" s="780"/>
      <c r="AJ955" s="780"/>
      <c r="AK955" s="780"/>
      <c r="AL955" s="780"/>
      <c r="AM955" s="780"/>
      <c r="AN955" s="780"/>
      <c r="AO955" s="780"/>
      <c r="AP955" s="780"/>
      <c r="AQ955" s="780"/>
      <c r="AR955" s="780"/>
      <c r="AS955" s="780"/>
      <c r="AT955" s="780"/>
      <c r="AU955" s="780"/>
      <c r="AV955" s="780"/>
      <c r="AW955" s="780"/>
    </row>
    <row r="956">
      <c r="A956" s="941"/>
      <c r="B956" s="941"/>
      <c r="C956" s="995"/>
      <c r="D956" s="995"/>
      <c r="E956" s="995"/>
      <c r="F956" s="946"/>
      <c r="G956" s="946"/>
      <c r="H956" s="946"/>
      <c r="I956" s="947">
        <v>0.00138428</v>
      </c>
      <c r="J956" s="948">
        <v>0.035</v>
      </c>
      <c r="K956" s="949">
        <f t="shared" si="22"/>
        <v>0</v>
      </c>
      <c r="L956" s="950">
        <f t="shared" si="23"/>
        <v>0</v>
      </c>
      <c r="M956" s="948">
        <v>0.0215</v>
      </c>
      <c r="N956" s="951">
        <f t="shared" si="24"/>
        <v>0.00141404202</v>
      </c>
      <c r="O956" s="949">
        <f t="shared" si="25"/>
        <v>15</v>
      </c>
      <c r="P956" s="949">
        <f t="shared" si="80"/>
        <v>0</v>
      </c>
      <c r="Q956" s="952">
        <f t="shared" si="79"/>
        <v>0</v>
      </c>
      <c r="R956" s="952">
        <f t="shared" si="78"/>
        <v>0</v>
      </c>
      <c r="S956" s="953"/>
      <c r="T956" s="949">
        <v>0.06</v>
      </c>
      <c r="U956" s="954"/>
      <c r="V956" s="949"/>
      <c r="W956" s="953"/>
      <c r="X956" s="949">
        <f t="shared" si="7"/>
        <v>0</v>
      </c>
      <c r="Y956" s="955"/>
      <c r="Z956" s="953" t="str">
        <f t="shared" si="8"/>
        <v/>
      </c>
      <c r="AA956" s="949">
        <f t="shared" si="9"/>
        <v>0</v>
      </c>
      <c r="AB956" s="955"/>
      <c r="AC956" s="949" t="str">
        <f t="shared" si="10"/>
        <v/>
      </c>
      <c r="AD956" s="953">
        <f t="shared" si="11"/>
        <v>0</v>
      </c>
      <c r="AE956" s="956"/>
      <c r="AF956" s="889"/>
      <c r="AG956" s="810" t="b">
        <v>0</v>
      </c>
      <c r="AH956" s="780"/>
      <c r="AI956" s="780"/>
      <c r="AJ956" s="780"/>
      <c r="AK956" s="780"/>
      <c r="AL956" s="780"/>
      <c r="AM956" s="780"/>
      <c r="AN956" s="780"/>
      <c r="AO956" s="780"/>
      <c r="AP956" s="780"/>
      <c r="AQ956" s="780"/>
      <c r="AR956" s="780"/>
      <c r="AS956" s="780"/>
      <c r="AT956" s="780"/>
      <c r="AU956" s="780"/>
      <c r="AV956" s="780"/>
      <c r="AW956" s="780"/>
    </row>
    <row r="957">
      <c r="A957" s="941"/>
      <c r="B957" s="941"/>
      <c r="C957" s="995"/>
      <c r="D957" s="944"/>
      <c r="E957" s="944"/>
      <c r="F957" s="946"/>
      <c r="G957" s="946"/>
      <c r="H957" s="946"/>
      <c r="I957" s="947">
        <v>0.00138428</v>
      </c>
      <c r="J957" s="948">
        <v>0.035</v>
      </c>
      <c r="K957" s="949">
        <f t="shared" si="22"/>
        <v>0</v>
      </c>
      <c r="L957" s="950">
        <f t="shared" si="23"/>
        <v>0</v>
      </c>
      <c r="M957" s="948">
        <v>0.0215</v>
      </c>
      <c r="N957" s="951">
        <f t="shared" si="24"/>
        <v>0.00141404202</v>
      </c>
      <c r="O957" s="949">
        <f t="shared" si="25"/>
        <v>15</v>
      </c>
      <c r="P957" s="949">
        <f t="shared" si="80"/>
        <v>0</v>
      </c>
      <c r="Q957" s="952">
        <f t="shared" si="79"/>
        <v>0</v>
      </c>
      <c r="R957" s="952">
        <f t="shared" si="78"/>
        <v>0</v>
      </c>
      <c r="S957" s="953"/>
      <c r="T957" s="949">
        <v>0.06</v>
      </c>
      <c r="U957" s="954"/>
      <c r="V957" s="949"/>
      <c r="W957" s="953"/>
      <c r="X957" s="949">
        <f t="shared" si="7"/>
        <v>0</v>
      </c>
      <c r="Y957" s="955"/>
      <c r="Z957" s="953" t="str">
        <f t="shared" si="8"/>
        <v/>
      </c>
      <c r="AA957" s="949">
        <f t="shared" si="9"/>
        <v>0</v>
      </c>
      <c r="AB957" s="955"/>
      <c r="AC957" s="949" t="str">
        <f t="shared" si="10"/>
        <v/>
      </c>
      <c r="AD957" s="953">
        <f t="shared" si="11"/>
        <v>0</v>
      </c>
      <c r="AE957" s="956"/>
      <c r="AF957" s="889"/>
      <c r="AG957" s="810" t="b">
        <v>0</v>
      </c>
      <c r="AH957" s="780"/>
      <c r="AI957" s="780"/>
      <c r="AJ957" s="780"/>
      <c r="AK957" s="780"/>
      <c r="AL957" s="780"/>
      <c r="AM957" s="780"/>
      <c r="AN957" s="780"/>
      <c r="AO957" s="780"/>
      <c r="AP957" s="780"/>
      <c r="AQ957" s="780"/>
      <c r="AR957" s="780"/>
      <c r="AS957" s="780"/>
      <c r="AT957" s="780"/>
      <c r="AU957" s="780"/>
      <c r="AV957" s="780"/>
      <c r="AW957" s="780"/>
    </row>
    <row r="958">
      <c r="A958" s="941"/>
      <c r="B958" s="941"/>
      <c r="C958" s="995"/>
      <c r="D958" s="995"/>
      <c r="E958" s="995"/>
      <c r="F958" s="946"/>
      <c r="G958" s="946"/>
      <c r="H958" s="946"/>
      <c r="I958" s="947">
        <v>0.00138428</v>
      </c>
      <c r="J958" s="948">
        <v>0.035</v>
      </c>
      <c r="K958" s="949">
        <f t="shared" si="22"/>
        <v>0</v>
      </c>
      <c r="L958" s="950">
        <f t="shared" si="23"/>
        <v>0</v>
      </c>
      <c r="M958" s="948">
        <v>0.0215</v>
      </c>
      <c r="N958" s="951">
        <f t="shared" si="24"/>
        <v>0.00141404202</v>
      </c>
      <c r="O958" s="949">
        <f t="shared" si="25"/>
        <v>15</v>
      </c>
      <c r="P958" s="949">
        <f t="shared" si="80"/>
        <v>0</v>
      </c>
      <c r="Q958" s="952">
        <f t="shared" si="79"/>
        <v>0</v>
      </c>
      <c r="R958" s="952">
        <f t="shared" si="78"/>
        <v>0</v>
      </c>
      <c r="S958" s="953"/>
      <c r="T958" s="949">
        <v>0.06</v>
      </c>
      <c r="U958" s="954"/>
      <c r="V958" s="949"/>
      <c r="W958" s="953"/>
      <c r="X958" s="949">
        <f t="shared" si="7"/>
        <v>0</v>
      </c>
      <c r="Y958" s="955"/>
      <c r="Z958" s="953" t="str">
        <f t="shared" si="8"/>
        <v/>
      </c>
      <c r="AA958" s="949">
        <f t="shared" si="9"/>
        <v>0</v>
      </c>
      <c r="AB958" s="955"/>
      <c r="AC958" s="949" t="str">
        <f t="shared" si="10"/>
        <v/>
      </c>
      <c r="AD958" s="953">
        <f t="shared" si="11"/>
        <v>0</v>
      </c>
      <c r="AE958" s="956"/>
      <c r="AF958" s="889"/>
      <c r="AG958" s="810" t="b">
        <v>0</v>
      </c>
      <c r="AH958" s="780"/>
      <c r="AI958" s="780"/>
      <c r="AJ958" s="780"/>
      <c r="AK958" s="780"/>
      <c r="AL958" s="780"/>
      <c r="AM958" s="780"/>
      <c r="AN958" s="780"/>
      <c r="AO958" s="780"/>
      <c r="AP958" s="780"/>
      <c r="AQ958" s="780"/>
      <c r="AR958" s="780"/>
      <c r="AS958" s="780"/>
      <c r="AT958" s="780"/>
      <c r="AU958" s="780"/>
      <c r="AV958" s="780"/>
      <c r="AW958" s="780"/>
    </row>
    <row r="959">
      <c r="A959" s="941"/>
      <c r="B959" s="941"/>
      <c r="C959" s="995"/>
      <c r="D959" s="944"/>
      <c r="E959" s="944"/>
      <c r="F959" s="946"/>
      <c r="G959" s="946"/>
      <c r="H959" s="946"/>
      <c r="I959" s="947">
        <v>0.00138428</v>
      </c>
      <c r="J959" s="948">
        <v>0.035</v>
      </c>
      <c r="K959" s="949">
        <f t="shared" si="22"/>
        <v>0</v>
      </c>
      <c r="L959" s="950">
        <f t="shared" si="23"/>
        <v>0</v>
      </c>
      <c r="M959" s="948">
        <v>0.0215</v>
      </c>
      <c r="N959" s="951">
        <f t="shared" si="24"/>
        <v>0.00141404202</v>
      </c>
      <c r="O959" s="949">
        <f t="shared" si="25"/>
        <v>15</v>
      </c>
      <c r="P959" s="949">
        <f t="shared" si="80"/>
        <v>0</v>
      </c>
      <c r="Q959" s="952">
        <f t="shared" si="79"/>
        <v>0</v>
      </c>
      <c r="R959" s="952">
        <f t="shared" si="78"/>
        <v>0</v>
      </c>
      <c r="S959" s="953"/>
      <c r="T959" s="949">
        <v>0.06</v>
      </c>
      <c r="U959" s="954"/>
      <c r="V959" s="949"/>
      <c r="W959" s="953"/>
      <c r="X959" s="949">
        <f t="shared" si="7"/>
        <v>0</v>
      </c>
      <c r="Y959" s="955"/>
      <c r="Z959" s="953" t="str">
        <f t="shared" si="8"/>
        <v/>
      </c>
      <c r="AA959" s="949">
        <f t="shared" si="9"/>
        <v>0</v>
      </c>
      <c r="AB959" s="955"/>
      <c r="AC959" s="949" t="str">
        <f t="shared" si="10"/>
        <v/>
      </c>
      <c r="AD959" s="953">
        <f t="shared" si="11"/>
        <v>0</v>
      </c>
      <c r="AE959" s="956"/>
      <c r="AF959" s="889"/>
      <c r="AG959" s="810" t="b">
        <v>0</v>
      </c>
      <c r="AH959" s="780"/>
      <c r="AI959" s="780"/>
      <c r="AJ959" s="780"/>
      <c r="AK959" s="780"/>
      <c r="AL959" s="780"/>
      <c r="AM959" s="780"/>
      <c r="AN959" s="780"/>
      <c r="AO959" s="780"/>
      <c r="AP959" s="780"/>
      <c r="AQ959" s="780"/>
      <c r="AR959" s="780"/>
      <c r="AS959" s="780"/>
      <c r="AT959" s="780"/>
      <c r="AU959" s="780"/>
      <c r="AV959" s="780"/>
      <c r="AW959" s="780"/>
    </row>
    <row r="960">
      <c r="A960" s="941"/>
      <c r="B960" s="941"/>
      <c r="C960" s="995"/>
      <c r="D960" s="995"/>
      <c r="E960" s="995"/>
      <c r="F960" s="946"/>
      <c r="G960" s="946"/>
      <c r="H960" s="946"/>
      <c r="I960" s="947">
        <v>0.00138428</v>
      </c>
      <c r="J960" s="948">
        <v>0.035</v>
      </c>
      <c r="K960" s="949">
        <f t="shared" si="22"/>
        <v>0</v>
      </c>
      <c r="L960" s="950">
        <f t="shared" si="23"/>
        <v>0</v>
      </c>
      <c r="M960" s="948">
        <v>0.0215</v>
      </c>
      <c r="N960" s="951">
        <f t="shared" si="24"/>
        <v>0.00141404202</v>
      </c>
      <c r="O960" s="949">
        <f t="shared" si="25"/>
        <v>15</v>
      </c>
      <c r="P960" s="949">
        <f t="shared" si="80"/>
        <v>0</v>
      </c>
      <c r="Q960" s="952">
        <f t="shared" si="79"/>
        <v>0</v>
      </c>
      <c r="R960" s="952">
        <f t="shared" si="78"/>
        <v>0</v>
      </c>
      <c r="S960" s="953"/>
      <c r="T960" s="949">
        <v>0.06</v>
      </c>
      <c r="U960" s="954"/>
      <c r="V960" s="949"/>
      <c r="W960" s="953"/>
      <c r="X960" s="949">
        <f t="shared" si="7"/>
        <v>0</v>
      </c>
      <c r="Y960" s="955"/>
      <c r="Z960" s="953" t="str">
        <f t="shared" si="8"/>
        <v/>
      </c>
      <c r="AA960" s="949">
        <f t="shared" si="9"/>
        <v>0</v>
      </c>
      <c r="AB960" s="955"/>
      <c r="AC960" s="949" t="str">
        <f t="shared" si="10"/>
        <v/>
      </c>
      <c r="AD960" s="953">
        <f t="shared" si="11"/>
        <v>0</v>
      </c>
      <c r="AE960" s="956"/>
      <c r="AF960" s="889"/>
      <c r="AG960" s="810" t="b">
        <v>0</v>
      </c>
      <c r="AH960" s="780"/>
      <c r="AI960" s="780"/>
      <c r="AJ960" s="780"/>
      <c r="AK960" s="780"/>
      <c r="AL960" s="780"/>
      <c r="AM960" s="780"/>
      <c r="AN960" s="780"/>
      <c r="AO960" s="780"/>
      <c r="AP960" s="780"/>
      <c r="AQ960" s="780"/>
      <c r="AR960" s="780"/>
      <c r="AS960" s="780"/>
      <c r="AT960" s="780"/>
      <c r="AU960" s="780"/>
      <c r="AV960" s="780"/>
      <c r="AW960" s="780"/>
    </row>
    <row r="961">
      <c r="A961" s="941"/>
      <c r="B961" s="941"/>
      <c r="C961" s="995"/>
      <c r="D961" s="944"/>
      <c r="E961" s="944"/>
      <c r="F961" s="946"/>
      <c r="G961" s="946"/>
      <c r="H961" s="946"/>
      <c r="I961" s="947">
        <v>0.00138428</v>
      </c>
      <c r="J961" s="948">
        <v>0.035</v>
      </c>
      <c r="K961" s="949">
        <f t="shared" si="22"/>
        <v>0</v>
      </c>
      <c r="L961" s="950">
        <f t="shared" si="23"/>
        <v>0</v>
      </c>
      <c r="M961" s="948">
        <v>0.0215</v>
      </c>
      <c r="N961" s="951">
        <f t="shared" si="24"/>
        <v>0.00141404202</v>
      </c>
      <c r="O961" s="949">
        <f t="shared" si="25"/>
        <v>15</v>
      </c>
      <c r="P961" s="949">
        <f t="shared" si="80"/>
        <v>0</v>
      </c>
      <c r="Q961" s="952">
        <f t="shared" si="79"/>
        <v>0</v>
      </c>
      <c r="R961" s="952">
        <f t="shared" si="78"/>
        <v>0</v>
      </c>
      <c r="S961" s="953"/>
      <c r="T961" s="949">
        <v>0.06</v>
      </c>
      <c r="U961" s="954"/>
      <c r="V961" s="949"/>
      <c r="W961" s="953"/>
      <c r="X961" s="949">
        <f t="shared" si="7"/>
        <v>0</v>
      </c>
      <c r="Y961" s="955"/>
      <c r="Z961" s="953" t="str">
        <f t="shared" si="8"/>
        <v/>
      </c>
      <c r="AA961" s="949">
        <f t="shared" si="9"/>
        <v>0</v>
      </c>
      <c r="AB961" s="955"/>
      <c r="AC961" s="949" t="str">
        <f t="shared" si="10"/>
        <v/>
      </c>
      <c r="AD961" s="953">
        <f t="shared" si="11"/>
        <v>0</v>
      </c>
      <c r="AE961" s="956"/>
      <c r="AF961" s="889"/>
      <c r="AG961" s="810" t="b">
        <v>0</v>
      </c>
      <c r="AH961" s="780"/>
      <c r="AI961" s="780"/>
      <c r="AJ961" s="780"/>
      <c r="AK961" s="780"/>
      <c r="AL961" s="780"/>
      <c r="AM961" s="780"/>
      <c r="AN961" s="780"/>
      <c r="AO961" s="780"/>
      <c r="AP961" s="780"/>
      <c r="AQ961" s="780"/>
      <c r="AR961" s="780"/>
      <c r="AS961" s="780"/>
      <c r="AT961" s="780"/>
      <c r="AU961" s="780"/>
      <c r="AV961" s="780"/>
      <c r="AW961" s="780"/>
    </row>
    <row r="962">
      <c r="A962" s="941"/>
      <c r="B962" s="941"/>
      <c r="C962" s="995"/>
      <c r="D962" s="995"/>
      <c r="E962" s="995"/>
      <c r="F962" s="946"/>
      <c r="G962" s="946"/>
      <c r="H962" s="946"/>
      <c r="I962" s="947">
        <v>0.00138428</v>
      </c>
      <c r="J962" s="948">
        <v>0.035</v>
      </c>
      <c r="K962" s="949">
        <f t="shared" si="22"/>
        <v>0</v>
      </c>
      <c r="L962" s="950">
        <f t="shared" si="23"/>
        <v>0</v>
      </c>
      <c r="M962" s="948">
        <v>0.0215</v>
      </c>
      <c r="N962" s="951">
        <f t="shared" si="24"/>
        <v>0.00141404202</v>
      </c>
      <c r="O962" s="949">
        <f t="shared" si="25"/>
        <v>15</v>
      </c>
      <c r="P962" s="949">
        <f t="shared" si="80"/>
        <v>0</v>
      </c>
      <c r="Q962" s="952">
        <f t="shared" si="79"/>
        <v>0</v>
      </c>
      <c r="R962" s="952">
        <f t="shared" si="78"/>
        <v>0</v>
      </c>
      <c r="S962" s="953"/>
      <c r="T962" s="949">
        <v>0.06</v>
      </c>
      <c r="U962" s="954"/>
      <c r="V962" s="949"/>
      <c r="W962" s="953"/>
      <c r="X962" s="949">
        <f t="shared" si="7"/>
        <v>0</v>
      </c>
      <c r="Y962" s="955"/>
      <c r="Z962" s="953" t="str">
        <f t="shared" si="8"/>
        <v/>
      </c>
      <c r="AA962" s="949">
        <f t="shared" si="9"/>
        <v>0</v>
      </c>
      <c r="AB962" s="955"/>
      <c r="AC962" s="949" t="str">
        <f t="shared" si="10"/>
        <v/>
      </c>
      <c r="AD962" s="953">
        <f t="shared" si="11"/>
        <v>0</v>
      </c>
      <c r="AE962" s="956"/>
      <c r="AF962" s="889"/>
      <c r="AG962" s="810" t="b">
        <v>0</v>
      </c>
      <c r="AH962" s="780"/>
      <c r="AI962" s="780"/>
      <c r="AJ962" s="780"/>
      <c r="AK962" s="780"/>
      <c r="AL962" s="780"/>
      <c r="AM962" s="780"/>
      <c r="AN962" s="780"/>
      <c r="AO962" s="780"/>
      <c r="AP962" s="780"/>
      <c r="AQ962" s="780"/>
      <c r="AR962" s="780"/>
      <c r="AS962" s="780"/>
      <c r="AT962" s="780"/>
      <c r="AU962" s="780"/>
      <c r="AV962" s="780"/>
      <c r="AW962" s="780"/>
    </row>
    <row r="963">
      <c r="A963" s="1002"/>
      <c r="B963" s="1002"/>
      <c r="C963" s="1003"/>
      <c r="D963" s="1003"/>
      <c r="E963" s="1003"/>
      <c r="F963" s="1004"/>
      <c r="G963" s="1004"/>
      <c r="H963" s="1004"/>
      <c r="I963" s="1005"/>
      <c r="J963" s="1006"/>
      <c r="K963" s="1007"/>
      <c r="L963" s="1008"/>
      <c r="M963" s="1006"/>
      <c r="N963" s="1009"/>
      <c r="O963" s="1007"/>
      <c r="P963" s="1007"/>
      <c r="Q963" s="1010"/>
      <c r="R963" s="1010"/>
      <c r="S963" s="830"/>
      <c r="T963" s="949">
        <v>0.06</v>
      </c>
      <c r="U963" s="954"/>
      <c r="V963" s="949"/>
      <c r="W963" s="953"/>
      <c r="X963" s="949">
        <f t="shared" si="7"/>
        <v>0</v>
      </c>
      <c r="Y963" s="955"/>
      <c r="Z963" s="953" t="str">
        <f t="shared" si="8"/>
        <v/>
      </c>
      <c r="AA963" s="949">
        <f t="shared" si="9"/>
        <v>0</v>
      </c>
      <c r="AB963" s="955"/>
      <c r="AC963" s="949" t="str">
        <f t="shared" si="10"/>
        <v/>
      </c>
      <c r="AD963" s="953">
        <f t="shared" si="11"/>
        <v>0</v>
      </c>
      <c r="AE963" s="1011"/>
      <c r="AF963" s="889"/>
      <c r="AG963" s="810" t="b">
        <v>0</v>
      </c>
      <c r="AH963" s="780"/>
      <c r="AI963" s="780"/>
      <c r="AJ963" s="780"/>
      <c r="AK963" s="780"/>
      <c r="AL963" s="780"/>
      <c r="AM963" s="780"/>
      <c r="AN963" s="780"/>
      <c r="AO963" s="780"/>
      <c r="AP963" s="780"/>
      <c r="AQ963" s="780"/>
      <c r="AR963" s="780"/>
      <c r="AS963" s="780"/>
      <c r="AT963" s="780"/>
      <c r="AU963" s="780"/>
      <c r="AV963" s="780"/>
      <c r="AW963" s="780"/>
    </row>
  </sheetData>
  <autoFilter ref="$A$1:$AW$963"/>
  <mergeCells count="4">
    <mergeCell ref="AI1:AJ1"/>
    <mergeCell ref="AQ1:AR1"/>
    <mergeCell ref="AI2:AJ2"/>
    <mergeCell ref="AL3:AM3"/>
  </mergeCells>
  <conditionalFormatting sqref="A2:AH963">
    <cfRule type="expression" dxfId="0" priority="1">
      <formula>LOWER($AF2)="ok"</formula>
    </cfRule>
  </conditionalFormatting>
  <conditionalFormatting sqref="A2:AH963">
    <cfRule type="expression" dxfId="1" priority="2">
      <formula>LOWER($AF2)="Revisar"</formula>
    </cfRule>
  </conditionalFormatting>
  <conditionalFormatting sqref="A2:AH963">
    <cfRule type="expression" dxfId="1" priority="3">
      <formula>LOWER($AF2)="Revisar"</formula>
    </cfRule>
  </conditionalFormatting>
  <dataValidations>
    <dataValidation type="list" allowBlank="1" showErrorMessage="1" sqref="AF2:AF963">
      <formula1>"Pendente,OK,Revisar"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7.0"/>
    <col customWidth="1" min="3" max="3" width="30.29"/>
    <col customWidth="1" min="4" max="4" width="18.86"/>
    <col customWidth="1" min="5" max="5" width="23.29"/>
  </cols>
  <sheetData>
    <row r="1">
      <c r="A1" s="1012" t="s">
        <v>1</v>
      </c>
      <c r="B1" s="1012" t="s">
        <v>2244</v>
      </c>
      <c r="C1" s="1012" t="s">
        <v>2245</v>
      </c>
      <c r="D1" s="1012" t="s">
        <v>2246</v>
      </c>
      <c r="E1" s="1012" t="s">
        <v>2247</v>
      </c>
    </row>
    <row r="2">
      <c r="A2" s="1013" t="s">
        <v>2248</v>
      </c>
      <c r="B2" s="1014" t="str">
        <f>VLOOKUP($A2,'Precificação por Produto'!A2:AI3,3,FALSE)</f>
        <v>#N/A</v>
      </c>
      <c r="C2" s="1014" t="str">
        <f>VLOOKUP($A2,'Precificação por Produto'!B2:AJ3,4,FALSE)</f>
        <v>#N/A</v>
      </c>
      <c r="D2" s="1014" t="str">
        <f>VLOOKUP($A2,'Precificação por Produto'!C2:AK3,5,FALSE)</f>
        <v>#N/A</v>
      </c>
      <c r="E2" s="1014" t="str">
        <f>VLOOKUP($A2,'Precificação por Produto'!D2:AL3,6,FALSE)</f>
        <v>#N/A</v>
      </c>
    </row>
    <row r="3">
      <c r="A3" s="1014" t="s">
        <v>2248</v>
      </c>
      <c r="B3" s="1014" t="s">
        <v>2249</v>
      </c>
      <c r="C3" s="1014" t="s">
        <v>289</v>
      </c>
      <c r="D3" s="1015">
        <v>120000.0</v>
      </c>
      <c r="E3" s="1015">
        <v>250000.0</v>
      </c>
    </row>
    <row r="4">
      <c r="A4" s="1014" t="s">
        <v>2250</v>
      </c>
      <c r="B4" s="1014" t="s">
        <v>1631</v>
      </c>
      <c r="C4" s="1014" t="s">
        <v>1008</v>
      </c>
      <c r="D4" s="1015">
        <v>180000.0</v>
      </c>
      <c r="E4" s="1015">
        <v>350000.0</v>
      </c>
    </row>
    <row r="5">
      <c r="A5" s="1014" t="s">
        <v>2251</v>
      </c>
      <c r="B5" s="1014" t="s">
        <v>2252</v>
      </c>
      <c r="C5" s="1014" t="s">
        <v>2253</v>
      </c>
      <c r="D5" s="1015">
        <v>148665.0</v>
      </c>
      <c r="E5" s="1015">
        <v>350000.0</v>
      </c>
    </row>
    <row r="6">
      <c r="A6" s="1014" t="s">
        <v>2254</v>
      </c>
      <c r="B6" s="1014" t="s">
        <v>2255</v>
      </c>
      <c r="C6" s="1014" t="s">
        <v>2253</v>
      </c>
      <c r="D6" s="1015">
        <v>148665.0</v>
      </c>
      <c r="E6" s="1015">
        <v>350000.0</v>
      </c>
    </row>
    <row r="7">
      <c r="A7" s="1014" t="s">
        <v>2256</v>
      </c>
      <c r="B7" s="1014" t="s">
        <v>2257</v>
      </c>
      <c r="C7" s="1014" t="s">
        <v>2253</v>
      </c>
      <c r="D7" s="1015">
        <v>148665.0</v>
      </c>
      <c r="E7" s="1015">
        <v>350000.0</v>
      </c>
    </row>
    <row r="8">
      <c r="A8" s="1014" t="s">
        <v>2258</v>
      </c>
      <c r="B8" s="1014" t="s">
        <v>2259</v>
      </c>
      <c r="C8" s="1014" t="s">
        <v>2253</v>
      </c>
      <c r="D8" s="1015">
        <v>148665.0</v>
      </c>
      <c r="E8" s="1015">
        <v>350000.0</v>
      </c>
    </row>
    <row r="9">
      <c r="A9" s="1014" t="s">
        <v>2260</v>
      </c>
      <c r="B9" s="1014" t="s">
        <v>2261</v>
      </c>
      <c r="C9" s="1014" t="s">
        <v>2253</v>
      </c>
      <c r="D9" s="1015">
        <v>148665.0</v>
      </c>
      <c r="E9" s="1015">
        <v>350000.0</v>
      </c>
    </row>
    <row r="10">
      <c r="A10" s="1014" t="s">
        <v>2262</v>
      </c>
      <c r="B10" s="1014" t="s">
        <v>2263</v>
      </c>
      <c r="C10" s="1014" t="s">
        <v>2253</v>
      </c>
      <c r="D10" s="1015">
        <v>148665.0</v>
      </c>
      <c r="E10" s="1015">
        <v>350000.0</v>
      </c>
    </row>
    <row r="11">
      <c r="A11" s="1014" t="s">
        <v>2264</v>
      </c>
      <c r="B11" s="1014" t="s">
        <v>2265</v>
      </c>
      <c r="C11" s="1014" t="s">
        <v>2253</v>
      </c>
      <c r="D11" s="1015">
        <v>148665.0</v>
      </c>
      <c r="E11" s="1015">
        <v>350000.0</v>
      </c>
    </row>
    <row r="12">
      <c r="A12" s="1014" t="s">
        <v>2266</v>
      </c>
      <c r="B12" s="1014" t="s">
        <v>2267</v>
      </c>
      <c r="C12" s="1014" t="s">
        <v>2253</v>
      </c>
      <c r="D12" s="1015">
        <v>148665.0</v>
      </c>
      <c r="E12" s="1015">
        <v>350000.0</v>
      </c>
    </row>
    <row r="13">
      <c r="A13" s="1014" t="s">
        <v>2268</v>
      </c>
      <c r="B13" s="1014" t="s">
        <v>2269</v>
      </c>
      <c r="C13" s="1014" t="s">
        <v>2253</v>
      </c>
      <c r="D13" s="1015">
        <v>148665.0</v>
      </c>
      <c r="E13" s="1015">
        <v>350000.0</v>
      </c>
    </row>
    <row r="14">
      <c r="A14" s="1014" t="s">
        <v>2270</v>
      </c>
      <c r="B14" s="1014" t="s">
        <v>2271</v>
      </c>
      <c r="C14" s="1014" t="s">
        <v>2253</v>
      </c>
      <c r="D14" s="1015">
        <v>148665.0</v>
      </c>
      <c r="E14" s="1015">
        <v>350000.0</v>
      </c>
    </row>
    <row r="15">
      <c r="A15" s="1014" t="s">
        <v>2272</v>
      </c>
      <c r="B15" s="1014" t="s">
        <v>2273</v>
      </c>
      <c r="C15" s="1014" t="s">
        <v>2253</v>
      </c>
      <c r="D15" s="1015">
        <v>148665.0</v>
      </c>
      <c r="E15" s="1015">
        <v>350000.0</v>
      </c>
    </row>
    <row r="16">
      <c r="A16" s="1014" t="s">
        <v>2274</v>
      </c>
      <c r="B16" s="1014" t="s">
        <v>2275</v>
      </c>
      <c r="C16" s="1014" t="s">
        <v>2253</v>
      </c>
      <c r="D16" s="1015">
        <v>148665.0</v>
      </c>
      <c r="E16" s="1015">
        <v>350000.0</v>
      </c>
    </row>
    <row r="17">
      <c r="A17" s="1014" t="s">
        <v>2276</v>
      </c>
      <c r="B17" s="1014" t="s">
        <v>2277</v>
      </c>
      <c r="C17" s="1014" t="s">
        <v>2253</v>
      </c>
      <c r="D17" s="1015">
        <v>148665.0</v>
      </c>
      <c r="E17" s="1015">
        <v>350000.0</v>
      </c>
    </row>
    <row r="18">
      <c r="A18" s="1014" t="s">
        <v>2278</v>
      </c>
      <c r="B18" s="1014" t="s">
        <v>2279</v>
      </c>
      <c r="C18" s="1014" t="s">
        <v>2253</v>
      </c>
      <c r="D18" s="1015">
        <v>148665.0</v>
      </c>
      <c r="E18" s="1015">
        <v>350000.0</v>
      </c>
    </row>
    <row r="19">
      <c r="A19" s="1014" t="s">
        <v>2280</v>
      </c>
      <c r="B19" s="1014" t="s">
        <v>2281</v>
      </c>
      <c r="C19" s="1014" t="s">
        <v>2253</v>
      </c>
      <c r="D19" s="1015">
        <v>148665.0</v>
      </c>
      <c r="E19" s="1015">
        <v>350000.0</v>
      </c>
    </row>
    <row r="20">
      <c r="A20" s="1014" t="s">
        <v>2282</v>
      </c>
      <c r="B20" s="1014" t="s">
        <v>2283</v>
      </c>
      <c r="C20" s="1014" t="s">
        <v>2253</v>
      </c>
      <c r="D20" s="1015">
        <v>148665.0</v>
      </c>
      <c r="E20" s="1015">
        <v>350000.0</v>
      </c>
    </row>
    <row r="21">
      <c r="A21" s="1014" t="s">
        <v>2284</v>
      </c>
      <c r="B21" s="1014" t="s">
        <v>2285</v>
      </c>
      <c r="C21" s="1014" t="s">
        <v>2253</v>
      </c>
      <c r="D21" s="1015">
        <v>148665.0</v>
      </c>
      <c r="E21" s="1015">
        <v>350000.0</v>
      </c>
    </row>
    <row r="22">
      <c r="A22" s="1014" t="s">
        <v>2286</v>
      </c>
      <c r="B22" s="1014" t="s">
        <v>2287</v>
      </c>
      <c r="C22" s="1014" t="s">
        <v>2253</v>
      </c>
      <c r="D22" s="1015">
        <v>148665.0</v>
      </c>
      <c r="E22" s="1015">
        <v>350000.0</v>
      </c>
    </row>
    <row r="23">
      <c r="A23" s="1014" t="s">
        <v>2288</v>
      </c>
      <c r="B23" s="1014" t="s">
        <v>2289</v>
      </c>
      <c r="C23" s="1014" t="s">
        <v>2253</v>
      </c>
      <c r="D23" s="1015">
        <v>148665.0</v>
      </c>
      <c r="E23" s="1015">
        <v>350000.0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4" max="4" width="30.43"/>
    <col customWidth="1" min="5" max="5" width="21.0"/>
    <col customWidth="1" min="6" max="6" width="18.71"/>
    <col customWidth="1" min="7" max="7" width="18.86"/>
  </cols>
  <sheetData>
    <row r="1">
      <c r="A1" s="1016" t="s">
        <v>826</v>
      </c>
      <c r="B1" s="1017"/>
      <c r="C1" s="1016" t="s">
        <v>1</v>
      </c>
      <c r="D1" s="1016" t="s">
        <v>119</v>
      </c>
      <c r="E1" s="1018" t="s">
        <v>2</v>
      </c>
      <c r="F1" s="1019" t="s">
        <v>822</v>
      </c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7"/>
      <c r="W1" s="1020" t="s">
        <v>823</v>
      </c>
      <c r="X1" s="276"/>
      <c r="Y1" s="277"/>
      <c r="Z1" s="1021" t="s">
        <v>824</v>
      </c>
      <c r="AA1" s="276"/>
      <c r="AB1" s="276"/>
      <c r="AC1" s="277"/>
      <c r="AD1" s="1021" t="s">
        <v>825</v>
      </c>
      <c r="AE1" s="276"/>
      <c r="AF1" s="276"/>
      <c r="AG1" s="276"/>
      <c r="AH1" s="277"/>
    </row>
    <row r="2">
      <c r="A2" s="106"/>
      <c r="B2" s="1017"/>
      <c r="C2" s="106"/>
      <c r="D2" s="106"/>
      <c r="E2" s="106"/>
      <c r="F2" s="6" t="s">
        <v>3</v>
      </c>
      <c r="G2" s="5" t="s">
        <v>4</v>
      </c>
      <c r="H2" s="6" t="s">
        <v>827</v>
      </c>
      <c r="I2" s="6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8" t="s">
        <v>11</v>
      </c>
      <c r="P2" s="6" t="s">
        <v>12</v>
      </c>
      <c r="Q2" s="8" t="s">
        <v>13</v>
      </c>
      <c r="R2" s="7" t="s">
        <v>14</v>
      </c>
      <c r="S2" s="8" t="s">
        <v>15</v>
      </c>
      <c r="T2" s="1022" t="s">
        <v>2290</v>
      </c>
      <c r="U2" s="10" t="s">
        <v>17</v>
      </c>
      <c r="V2" s="7" t="s">
        <v>18</v>
      </c>
      <c r="W2" s="11" t="s">
        <v>19</v>
      </c>
      <c r="X2" s="11" t="s">
        <v>20</v>
      </c>
      <c r="Y2" s="11" t="s">
        <v>21</v>
      </c>
      <c r="Z2" s="7" t="s">
        <v>829</v>
      </c>
      <c r="AA2" s="7" t="s">
        <v>830</v>
      </c>
      <c r="AB2" s="7" t="s">
        <v>831</v>
      </c>
      <c r="AC2" s="7" t="s">
        <v>832</v>
      </c>
      <c r="AD2" s="7" t="s">
        <v>2291</v>
      </c>
      <c r="AE2" s="7" t="s">
        <v>834</v>
      </c>
      <c r="AF2" s="7" t="s">
        <v>835</v>
      </c>
      <c r="AG2" s="7" t="s">
        <v>836</v>
      </c>
      <c r="AH2" s="7" t="s">
        <v>837</v>
      </c>
    </row>
    <row r="3">
      <c r="A3" s="216">
        <v>2025.0</v>
      </c>
      <c r="B3" s="216"/>
      <c r="C3" s="216" t="s">
        <v>2292</v>
      </c>
      <c r="D3" s="216" t="s">
        <v>2293</v>
      </c>
      <c r="E3" s="216" t="s">
        <v>289</v>
      </c>
      <c r="F3" s="1023">
        <v>55000.0</v>
      </c>
      <c r="G3" s="1024">
        <f>200000*0.7</f>
        <v>140000</v>
      </c>
      <c r="H3" s="1025">
        <v>1.0</v>
      </c>
      <c r="I3" s="17">
        <f t="shared" ref="I3:I189" si="1">((F3*O3)*(1+J3))*H3</f>
        <v>79.66397588</v>
      </c>
      <c r="J3" s="18">
        <v>0.035</v>
      </c>
      <c r="K3" s="19">
        <f t="shared" ref="K3:K8" si="2">I3*(1-J3)</f>
        <v>76.87573672</v>
      </c>
      <c r="L3" s="20">
        <f t="shared" ref="L3:L8" si="3">I3-K3</f>
        <v>2.788239156</v>
      </c>
      <c r="M3" s="87">
        <v>0.00137</v>
      </c>
      <c r="N3" s="18">
        <v>0.0215</v>
      </c>
      <c r="O3" s="22">
        <f t="shared" ref="O3:O8" si="4">M3*(1+N3)</f>
        <v>0.001399455</v>
      </c>
      <c r="P3" s="19">
        <f t="shared" ref="P3:P8" si="5">(K3*N3)+15</f>
        <v>16.65282834</v>
      </c>
      <c r="Q3" s="19">
        <f t="shared" ref="Q3:Q189" si="6">(K3*O3)+N3</f>
        <v>0.1290841341</v>
      </c>
      <c r="R3" s="17">
        <f t="shared" ref="R3:R228" si="7">((G3*O3)*(1+J3))*(1-T3)</f>
        <v>202.7810295</v>
      </c>
      <c r="S3" s="18">
        <v>0.06</v>
      </c>
      <c r="T3" s="1026"/>
      <c r="U3" s="19">
        <f t="shared" ref="U3:U8" si="8">(R3-I3)*0.2</f>
        <v>24.62341073</v>
      </c>
      <c r="V3" s="24">
        <f t="shared" ref="V3:V213" si="9">R3-(I3+U3)-(R3*S3)</f>
        <v>86.32678113</v>
      </c>
      <c r="W3" s="25">
        <f t="shared" ref="W3:W8" si="10">IFERROR((R3-I3)/I3,"")</f>
        <v>1.545454545</v>
      </c>
      <c r="X3" s="25">
        <f t="shared" ref="X3:X8" si="11">IFERROR((R3-I3)/R3,"")</f>
        <v>0.6071428571</v>
      </c>
      <c r="Y3" s="25" t="str">
        <f>IFERROR(#REF!/R3,"")</f>
        <v/>
      </c>
      <c r="Z3" s="1027"/>
      <c r="AA3" s="1027"/>
      <c r="AB3" s="1027"/>
      <c r="AC3" s="1028"/>
      <c r="AD3" s="99"/>
      <c r="AE3" s="99"/>
      <c r="AF3" s="99"/>
      <c r="AG3" s="1028" t="str">
        <f t="shared" ref="AG3:AG8" si="12">IFERROR(AVERAGE(AD3:AF3),"")</f>
        <v/>
      </c>
      <c r="AH3" s="24">
        <f t="shared" ref="AH3:AH8" si="13">AD3+AE3+AF3</f>
        <v>0</v>
      </c>
    </row>
    <row r="4">
      <c r="A4" s="216">
        <v>2025.0</v>
      </c>
      <c r="B4" s="216"/>
      <c r="C4" s="216" t="s">
        <v>2294</v>
      </c>
      <c r="D4" s="216" t="s">
        <v>2293</v>
      </c>
      <c r="E4" s="220" t="s">
        <v>290</v>
      </c>
      <c r="F4" s="1023">
        <v>145000.0</v>
      </c>
      <c r="G4" s="1024">
        <f>300000*0.7</f>
        <v>210000</v>
      </c>
      <c r="H4" s="1025">
        <v>1.0</v>
      </c>
      <c r="I4" s="17">
        <f t="shared" si="1"/>
        <v>210.0232091</v>
      </c>
      <c r="J4" s="18">
        <v>0.035</v>
      </c>
      <c r="K4" s="19">
        <f t="shared" si="2"/>
        <v>202.6723968</v>
      </c>
      <c r="L4" s="20">
        <f t="shared" si="3"/>
        <v>7.350812319</v>
      </c>
      <c r="M4" s="87">
        <v>0.00137</v>
      </c>
      <c r="N4" s="18">
        <v>0.0215</v>
      </c>
      <c r="O4" s="22">
        <f t="shared" si="4"/>
        <v>0.001399455</v>
      </c>
      <c r="P4" s="19">
        <f t="shared" si="5"/>
        <v>19.35745653</v>
      </c>
      <c r="Q4" s="19">
        <f t="shared" si="6"/>
        <v>0.3051308991</v>
      </c>
      <c r="R4" s="17">
        <f t="shared" si="7"/>
        <v>304.1715443</v>
      </c>
      <c r="S4" s="18">
        <v>0.06</v>
      </c>
      <c r="T4" s="1026"/>
      <c r="U4" s="19">
        <f t="shared" si="8"/>
        <v>18.82966703</v>
      </c>
      <c r="V4" s="24">
        <f t="shared" si="9"/>
        <v>57.06837545</v>
      </c>
      <c r="W4" s="25">
        <f t="shared" si="10"/>
        <v>0.4482758621</v>
      </c>
      <c r="X4" s="25">
        <f t="shared" si="11"/>
        <v>0.3095238095</v>
      </c>
      <c r="Y4" s="25">
        <f t="shared" ref="Y4:Y8" si="14">IFERROR(V3/R4,"")</f>
        <v>0.2838095238</v>
      </c>
      <c r="Z4" s="1027"/>
      <c r="AA4" s="1027"/>
      <c r="AB4" s="1027"/>
      <c r="AC4" s="1028"/>
      <c r="AD4" s="99"/>
      <c r="AE4" s="99"/>
      <c r="AF4" s="99"/>
      <c r="AG4" s="1028" t="str">
        <f t="shared" si="12"/>
        <v/>
      </c>
      <c r="AH4" s="24">
        <f t="shared" si="13"/>
        <v>0</v>
      </c>
    </row>
    <row r="5">
      <c r="A5" s="216">
        <v>2025.0</v>
      </c>
      <c r="B5" s="216"/>
      <c r="C5" s="216" t="s">
        <v>2295</v>
      </c>
      <c r="D5" s="216" t="s">
        <v>2293</v>
      </c>
      <c r="E5" s="220" t="s">
        <v>291</v>
      </c>
      <c r="F5" s="1023">
        <v>170000.0</v>
      </c>
      <c r="G5" s="1024">
        <f>350000*0.7</f>
        <v>245000</v>
      </c>
      <c r="H5" s="1025">
        <v>1.0</v>
      </c>
      <c r="I5" s="17">
        <f t="shared" si="1"/>
        <v>246.2341073</v>
      </c>
      <c r="J5" s="18">
        <v>0.035</v>
      </c>
      <c r="K5" s="19">
        <f t="shared" si="2"/>
        <v>237.6159135</v>
      </c>
      <c r="L5" s="20">
        <f t="shared" si="3"/>
        <v>8.618193754</v>
      </c>
      <c r="M5" s="87">
        <v>0.00137</v>
      </c>
      <c r="N5" s="18">
        <v>0.0215</v>
      </c>
      <c r="O5" s="22">
        <f t="shared" si="4"/>
        <v>0.001399455</v>
      </c>
      <c r="P5" s="19">
        <f t="shared" si="5"/>
        <v>20.10874214</v>
      </c>
      <c r="Q5" s="19">
        <f t="shared" si="6"/>
        <v>0.3540327782</v>
      </c>
      <c r="R5" s="17">
        <f t="shared" si="7"/>
        <v>354.8668016</v>
      </c>
      <c r="S5" s="18">
        <v>0.06</v>
      </c>
      <c r="T5" s="1026"/>
      <c r="U5" s="19">
        <f t="shared" si="8"/>
        <v>21.72653888</v>
      </c>
      <c r="V5" s="24">
        <f t="shared" si="9"/>
        <v>65.6141474</v>
      </c>
      <c r="W5" s="25">
        <f t="shared" si="10"/>
        <v>0.4411764706</v>
      </c>
      <c r="X5" s="25">
        <f t="shared" si="11"/>
        <v>0.306122449</v>
      </c>
      <c r="Y5" s="25">
        <f t="shared" si="14"/>
        <v>0.1608163265</v>
      </c>
      <c r="Z5" s="1027"/>
      <c r="AA5" s="1027"/>
      <c r="AB5" s="1027"/>
      <c r="AC5" s="1028"/>
      <c r="AD5" s="99"/>
      <c r="AE5" s="99"/>
      <c r="AF5" s="99"/>
      <c r="AG5" s="1028" t="str">
        <f t="shared" si="12"/>
        <v/>
      </c>
      <c r="AH5" s="24">
        <f t="shared" si="13"/>
        <v>0</v>
      </c>
    </row>
    <row r="6">
      <c r="A6" s="216">
        <v>2025.0</v>
      </c>
      <c r="B6" s="216"/>
      <c r="C6" s="216" t="s">
        <v>2296</v>
      </c>
      <c r="D6" s="216" t="s">
        <v>2293</v>
      </c>
      <c r="E6" s="220" t="s">
        <v>292</v>
      </c>
      <c r="F6" s="1023">
        <v>200000.0</v>
      </c>
      <c r="G6" s="1024">
        <f>600000*0.7</f>
        <v>420000</v>
      </c>
      <c r="H6" s="1025">
        <v>1.0</v>
      </c>
      <c r="I6" s="17">
        <f t="shared" si="1"/>
        <v>289.687185</v>
      </c>
      <c r="J6" s="18">
        <v>0.035</v>
      </c>
      <c r="K6" s="19">
        <f t="shared" si="2"/>
        <v>279.5481335</v>
      </c>
      <c r="L6" s="20">
        <f t="shared" si="3"/>
        <v>10.13905148</v>
      </c>
      <c r="M6" s="87">
        <v>0.00137</v>
      </c>
      <c r="N6" s="18">
        <v>0.0215</v>
      </c>
      <c r="O6" s="22">
        <f t="shared" si="4"/>
        <v>0.001399455</v>
      </c>
      <c r="P6" s="19">
        <f t="shared" si="5"/>
        <v>21.01028487</v>
      </c>
      <c r="Q6" s="19">
        <f t="shared" si="6"/>
        <v>0.4127150332</v>
      </c>
      <c r="R6" s="17">
        <f t="shared" si="7"/>
        <v>608.3430885</v>
      </c>
      <c r="S6" s="18">
        <v>0.06</v>
      </c>
      <c r="T6" s="1026"/>
      <c r="U6" s="19">
        <f t="shared" si="8"/>
        <v>63.7311807</v>
      </c>
      <c r="V6" s="24">
        <f t="shared" si="9"/>
        <v>218.4241375</v>
      </c>
      <c r="W6" s="25">
        <f t="shared" si="10"/>
        <v>1.1</v>
      </c>
      <c r="X6" s="25">
        <f t="shared" si="11"/>
        <v>0.5238095238</v>
      </c>
      <c r="Y6" s="25">
        <f t="shared" si="14"/>
        <v>0.1078571429</v>
      </c>
      <c r="Z6" s="1027"/>
      <c r="AA6" s="1027"/>
      <c r="AB6" s="1027"/>
      <c r="AC6" s="1028"/>
      <c r="AD6" s="99"/>
      <c r="AE6" s="99"/>
      <c r="AF6" s="99"/>
      <c r="AG6" s="1028" t="str">
        <f t="shared" si="12"/>
        <v/>
      </c>
      <c r="AH6" s="24">
        <f t="shared" si="13"/>
        <v>0</v>
      </c>
    </row>
    <row r="7">
      <c r="A7" s="216">
        <v>2025.0</v>
      </c>
      <c r="B7" s="216"/>
      <c r="C7" s="216" t="s">
        <v>2297</v>
      </c>
      <c r="D7" s="216" t="s">
        <v>2293</v>
      </c>
      <c r="E7" s="221" t="s">
        <v>293</v>
      </c>
      <c r="F7" s="1023">
        <v>260000.0</v>
      </c>
      <c r="G7" s="1023">
        <f>720000*0.7</f>
        <v>504000</v>
      </c>
      <c r="H7" s="1025">
        <v>1.0</v>
      </c>
      <c r="I7" s="17">
        <f t="shared" si="1"/>
        <v>376.5933405</v>
      </c>
      <c r="J7" s="18">
        <v>0.035</v>
      </c>
      <c r="K7" s="19">
        <f t="shared" si="2"/>
        <v>363.4125736</v>
      </c>
      <c r="L7" s="20">
        <f t="shared" si="3"/>
        <v>13.18076692</v>
      </c>
      <c r="M7" s="87">
        <v>0.00137</v>
      </c>
      <c r="N7" s="18">
        <v>0.0215</v>
      </c>
      <c r="O7" s="22">
        <f t="shared" si="4"/>
        <v>0.001399455</v>
      </c>
      <c r="P7" s="19">
        <f t="shared" si="5"/>
        <v>22.81337033</v>
      </c>
      <c r="Q7" s="19">
        <f t="shared" si="6"/>
        <v>0.5300795432</v>
      </c>
      <c r="R7" s="17">
        <f t="shared" si="7"/>
        <v>730.0117062</v>
      </c>
      <c r="S7" s="18">
        <v>0.06</v>
      </c>
      <c r="T7" s="1026"/>
      <c r="U7" s="19">
        <f t="shared" si="8"/>
        <v>70.68367314</v>
      </c>
      <c r="V7" s="24">
        <f t="shared" si="9"/>
        <v>238.9339902</v>
      </c>
      <c r="W7" s="25">
        <f t="shared" si="10"/>
        <v>0.9384615385</v>
      </c>
      <c r="X7" s="25">
        <f t="shared" si="11"/>
        <v>0.4841269841</v>
      </c>
      <c r="Y7" s="25">
        <f t="shared" si="14"/>
        <v>0.2992063492</v>
      </c>
      <c r="Z7" s="1027"/>
      <c r="AA7" s="1027"/>
      <c r="AB7" s="1027"/>
      <c r="AC7" s="1028"/>
      <c r="AD7" s="99"/>
      <c r="AE7" s="99"/>
      <c r="AF7" s="99"/>
      <c r="AG7" s="1028" t="str">
        <f t="shared" si="12"/>
        <v/>
      </c>
      <c r="AH7" s="24">
        <f t="shared" si="13"/>
        <v>0</v>
      </c>
    </row>
    <row r="8">
      <c r="A8" s="216">
        <v>2025.0</v>
      </c>
      <c r="B8" s="216"/>
      <c r="C8" s="216" t="s">
        <v>2298</v>
      </c>
      <c r="D8" s="216" t="s">
        <v>2293</v>
      </c>
      <c r="E8" s="221" t="s">
        <v>294</v>
      </c>
      <c r="F8" s="1023">
        <v>380000.0</v>
      </c>
      <c r="G8" s="1023">
        <f>890000*0.7</f>
        <v>623000</v>
      </c>
      <c r="H8" s="1025">
        <v>1.0</v>
      </c>
      <c r="I8" s="17">
        <f t="shared" si="1"/>
        <v>550.4056515</v>
      </c>
      <c r="J8" s="18">
        <v>0.035</v>
      </c>
      <c r="K8" s="19">
        <f t="shared" si="2"/>
        <v>531.1414537</v>
      </c>
      <c r="L8" s="20">
        <f t="shared" si="3"/>
        <v>19.2641978</v>
      </c>
      <c r="M8" s="87">
        <v>0.00137</v>
      </c>
      <c r="N8" s="18">
        <v>0.0215</v>
      </c>
      <c r="O8" s="22">
        <f t="shared" si="4"/>
        <v>0.001399455</v>
      </c>
      <c r="P8" s="19">
        <f t="shared" si="5"/>
        <v>26.41954125</v>
      </c>
      <c r="Q8" s="19">
        <f t="shared" si="6"/>
        <v>0.7648085631</v>
      </c>
      <c r="R8" s="17">
        <f t="shared" si="7"/>
        <v>902.3755813</v>
      </c>
      <c r="S8" s="18">
        <v>0.06</v>
      </c>
      <c r="T8" s="1026"/>
      <c r="U8" s="19">
        <f t="shared" si="8"/>
        <v>70.39398596</v>
      </c>
      <c r="V8" s="24">
        <f t="shared" si="9"/>
        <v>227.4334089</v>
      </c>
      <c r="W8" s="25">
        <f t="shared" si="10"/>
        <v>0.6394736842</v>
      </c>
      <c r="X8" s="25">
        <f t="shared" si="11"/>
        <v>0.3900481541</v>
      </c>
      <c r="Y8" s="25">
        <f t="shared" si="14"/>
        <v>0.2647833066</v>
      </c>
      <c r="Z8" s="1027"/>
      <c r="AA8" s="1027"/>
      <c r="AB8" s="1027"/>
      <c r="AC8" s="1028"/>
      <c r="AD8" s="99"/>
      <c r="AE8" s="99"/>
      <c r="AF8" s="99"/>
      <c r="AG8" s="1028" t="str">
        <f t="shared" si="12"/>
        <v/>
      </c>
      <c r="AH8" s="24">
        <f t="shared" si="13"/>
        <v>0</v>
      </c>
    </row>
    <row r="9">
      <c r="A9" s="1029"/>
      <c r="B9" s="1029"/>
      <c r="C9" s="1029"/>
      <c r="D9" s="1029"/>
      <c r="E9" s="1030"/>
      <c r="F9" s="1031"/>
      <c r="G9" s="1031"/>
      <c r="H9" s="1025">
        <v>1.0</v>
      </c>
      <c r="I9" s="17">
        <f t="shared" si="1"/>
        <v>0</v>
      </c>
      <c r="J9" s="108"/>
      <c r="K9" s="100"/>
      <c r="L9" s="1032"/>
      <c r="M9" s="87">
        <v>0.00137</v>
      </c>
      <c r="N9" s="108"/>
      <c r="O9" s="1033"/>
      <c r="P9" s="100"/>
      <c r="Q9" s="19">
        <f t="shared" si="6"/>
        <v>0</v>
      </c>
      <c r="R9" s="17">
        <f t="shared" si="7"/>
        <v>0</v>
      </c>
      <c r="S9" s="108"/>
      <c r="T9" s="23"/>
      <c r="U9" s="100"/>
      <c r="V9" s="24">
        <f t="shared" si="9"/>
        <v>0</v>
      </c>
      <c r="W9" s="179"/>
      <c r="X9" s="179"/>
      <c r="Y9" s="179"/>
      <c r="Z9" s="1027"/>
      <c r="AA9" s="1027"/>
      <c r="AB9" s="1027"/>
      <c r="AC9" s="1028"/>
      <c r="AD9" s="99"/>
      <c r="AE9" s="99"/>
      <c r="AF9" s="99"/>
      <c r="AG9" s="1028"/>
      <c r="AH9" s="1028"/>
    </row>
    <row r="10">
      <c r="A10" s="216">
        <v>2025.0</v>
      </c>
      <c r="B10" s="216"/>
      <c r="C10" s="216" t="s">
        <v>2299</v>
      </c>
      <c r="D10" s="216" t="s">
        <v>2300</v>
      </c>
      <c r="E10" s="216" t="s">
        <v>289</v>
      </c>
      <c r="F10" s="1023">
        <v>120000.0</v>
      </c>
      <c r="G10" s="1023">
        <v>200000.0</v>
      </c>
      <c r="H10" s="1025">
        <v>1.0</v>
      </c>
      <c r="I10" s="17">
        <f t="shared" si="1"/>
        <v>173.812311</v>
      </c>
      <c r="J10" s="18">
        <v>0.035</v>
      </c>
      <c r="K10" s="19">
        <f t="shared" ref="K10:K15" si="15">I10*(1-J10)</f>
        <v>167.7288801</v>
      </c>
      <c r="L10" s="20">
        <f t="shared" ref="L10:L15" si="16">I10-K10</f>
        <v>6.083430885</v>
      </c>
      <c r="M10" s="87">
        <v>0.00137</v>
      </c>
      <c r="N10" s="18">
        <v>0.0215</v>
      </c>
      <c r="O10" s="22">
        <f t="shared" ref="O10:O15" si="17">M10*(1+N10)</f>
        <v>0.001399455</v>
      </c>
      <c r="P10" s="19">
        <f t="shared" ref="P10:P15" si="18">(K10*N10)+15</f>
        <v>18.60617092</v>
      </c>
      <c r="Q10" s="19">
        <f t="shared" si="6"/>
        <v>0.2562290199</v>
      </c>
      <c r="R10" s="17">
        <f t="shared" si="7"/>
        <v>289.687185</v>
      </c>
      <c r="S10" s="18">
        <v>0.06</v>
      </c>
      <c r="T10" s="23"/>
      <c r="U10" s="19">
        <f t="shared" ref="U10:U15" si="19">(R10-I10)*0.2</f>
        <v>23.1749748</v>
      </c>
      <c r="V10" s="24">
        <f t="shared" si="9"/>
        <v>75.3186681</v>
      </c>
      <c r="W10" s="25">
        <f t="shared" ref="W10:W15" si="20">IFERROR((R10-I10)/I10,"")</f>
        <v>0.6666666667</v>
      </c>
      <c r="X10" s="25">
        <f t="shared" ref="X10:X15" si="21">IFERROR((R10-I10)/R10,"")</f>
        <v>0.4</v>
      </c>
      <c r="Y10" s="25">
        <f t="shared" ref="Y10:Y15" si="22">IFERROR(V9/R10,"")</f>
        <v>0</v>
      </c>
      <c r="Z10" s="99"/>
      <c r="AA10" s="99"/>
      <c r="AB10" s="99"/>
      <c r="AC10" s="1028"/>
      <c r="AD10" s="99"/>
      <c r="AE10" s="99"/>
      <c r="AF10" s="99"/>
      <c r="AG10" s="1028" t="str">
        <f t="shared" ref="AG10:AG15" si="23">IFERROR(AVERAGE(AD10:AF10),"")</f>
        <v/>
      </c>
      <c r="AH10" s="24">
        <f t="shared" ref="AH10:AH15" si="24">AD10+AE10+AF10</f>
        <v>0</v>
      </c>
    </row>
    <row r="11">
      <c r="A11" s="216">
        <v>2025.0</v>
      </c>
      <c r="B11" s="216"/>
      <c r="C11" s="216" t="s">
        <v>2301</v>
      </c>
      <c r="D11" s="216" t="s">
        <v>2300</v>
      </c>
      <c r="E11" s="220" t="s">
        <v>290</v>
      </c>
      <c r="F11" s="1023">
        <v>240000.0</v>
      </c>
      <c r="G11" s="1023">
        <v>360000.0</v>
      </c>
      <c r="H11" s="1025">
        <v>1.0</v>
      </c>
      <c r="I11" s="17">
        <f t="shared" si="1"/>
        <v>347.624622</v>
      </c>
      <c r="J11" s="18">
        <v>0.035</v>
      </c>
      <c r="K11" s="19">
        <f t="shared" si="15"/>
        <v>335.4577602</v>
      </c>
      <c r="L11" s="20">
        <f t="shared" si="16"/>
        <v>12.16686177</v>
      </c>
      <c r="M11" s="87">
        <v>0.00137</v>
      </c>
      <c r="N11" s="18">
        <v>0.0215</v>
      </c>
      <c r="O11" s="22">
        <f t="shared" si="17"/>
        <v>0.001399455</v>
      </c>
      <c r="P11" s="19">
        <f t="shared" si="18"/>
        <v>22.21234184</v>
      </c>
      <c r="Q11" s="19">
        <f t="shared" si="6"/>
        <v>0.4909580398</v>
      </c>
      <c r="R11" s="17">
        <f t="shared" si="7"/>
        <v>521.436933</v>
      </c>
      <c r="S11" s="18">
        <v>0.06</v>
      </c>
      <c r="T11" s="23"/>
      <c r="U11" s="19">
        <f t="shared" si="19"/>
        <v>34.7624622</v>
      </c>
      <c r="V11" s="24">
        <f t="shared" si="9"/>
        <v>107.7636328</v>
      </c>
      <c r="W11" s="25">
        <f t="shared" si="20"/>
        <v>0.5</v>
      </c>
      <c r="X11" s="25">
        <f t="shared" si="21"/>
        <v>0.3333333333</v>
      </c>
      <c r="Y11" s="25">
        <f t="shared" si="22"/>
        <v>0.1444444444</v>
      </c>
      <c r="Z11" s="99"/>
      <c r="AA11" s="99"/>
      <c r="AB11" s="99"/>
      <c r="AC11" s="1028"/>
      <c r="AD11" s="99"/>
      <c r="AE11" s="99"/>
      <c r="AF11" s="99"/>
      <c r="AG11" s="1028" t="str">
        <f t="shared" si="23"/>
        <v/>
      </c>
      <c r="AH11" s="24">
        <f t="shared" si="24"/>
        <v>0</v>
      </c>
    </row>
    <row r="12">
      <c r="A12" s="216">
        <v>2025.0</v>
      </c>
      <c r="B12" s="216"/>
      <c r="C12" s="216" t="s">
        <v>2302</v>
      </c>
      <c r="D12" s="216" t="s">
        <v>2300</v>
      </c>
      <c r="E12" s="220" t="s">
        <v>291</v>
      </c>
      <c r="F12" s="1023">
        <v>300000.0</v>
      </c>
      <c r="G12" s="1023">
        <v>440000.0</v>
      </c>
      <c r="H12" s="1025">
        <v>1.0</v>
      </c>
      <c r="I12" s="17">
        <f t="shared" si="1"/>
        <v>434.5307775</v>
      </c>
      <c r="J12" s="18">
        <v>0.035</v>
      </c>
      <c r="K12" s="19">
        <f t="shared" si="15"/>
        <v>419.3222003</v>
      </c>
      <c r="L12" s="20">
        <f t="shared" si="16"/>
        <v>15.20857721</v>
      </c>
      <c r="M12" s="87">
        <v>0.00137</v>
      </c>
      <c r="N12" s="18">
        <v>0.0215</v>
      </c>
      <c r="O12" s="22">
        <f t="shared" si="17"/>
        <v>0.001399455</v>
      </c>
      <c r="P12" s="19">
        <f t="shared" si="18"/>
        <v>24.01542731</v>
      </c>
      <c r="Q12" s="19">
        <f t="shared" si="6"/>
        <v>0.6083225498</v>
      </c>
      <c r="R12" s="17">
        <f t="shared" si="7"/>
        <v>637.311807</v>
      </c>
      <c r="S12" s="18">
        <v>0.06</v>
      </c>
      <c r="T12" s="23"/>
      <c r="U12" s="19">
        <f t="shared" si="19"/>
        <v>40.5562059</v>
      </c>
      <c r="V12" s="24">
        <f t="shared" si="9"/>
        <v>123.9861152</v>
      </c>
      <c r="W12" s="25">
        <f t="shared" si="20"/>
        <v>0.4666666667</v>
      </c>
      <c r="X12" s="25">
        <f t="shared" si="21"/>
        <v>0.3181818182</v>
      </c>
      <c r="Y12" s="25">
        <f t="shared" si="22"/>
        <v>0.1690909091</v>
      </c>
      <c r="Z12" s="99"/>
      <c r="AA12" s="99"/>
      <c r="AB12" s="99"/>
      <c r="AC12" s="1028"/>
      <c r="AD12" s="99"/>
      <c r="AE12" s="99"/>
      <c r="AF12" s="99"/>
      <c r="AG12" s="1028" t="str">
        <f t="shared" si="23"/>
        <v/>
      </c>
      <c r="AH12" s="24">
        <f t="shared" si="24"/>
        <v>0</v>
      </c>
    </row>
    <row r="13">
      <c r="A13" s="216">
        <v>2025.0</v>
      </c>
      <c r="B13" s="216"/>
      <c r="C13" s="216" t="s">
        <v>2303</v>
      </c>
      <c r="D13" s="216" t="s">
        <v>2300</v>
      </c>
      <c r="E13" s="220" t="s">
        <v>292</v>
      </c>
      <c r="F13" s="1023">
        <v>360000.0</v>
      </c>
      <c r="G13" s="1023">
        <v>550000.0</v>
      </c>
      <c r="H13" s="1025">
        <v>1.0</v>
      </c>
      <c r="I13" s="17">
        <f t="shared" si="1"/>
        <v>521.436933</v>
      </c>
      <c r="J13" s="18">
        <v>0.035</v>
      </c>
      <c r="K13" s="19">
        <f t="shared" si="15"/>
        <v>503.1866403</v>
      </c>
      <c r="L13" s="20">
        <f t="shared" si="16"/>
        <v>18.25029266</v>
      </c>
      <c r="M13" s="87">
        <v>0.00137</v>
      </c>
      <c r="N13" s="18">
        <v>0.0215</v>
      </c>
      <c r="O13" s="22">
        <f t="shared" si="17"/>
        <v>0.001399455</v>
      </c>
      <c r="P13" s="19">
        <f t="shared" si="18"/>
        <v>25.81851277</v>
      </c>
      <c r="Q13" s="19">
        <f t="shared" si="6"/>
        <v>0.7256870598</v>
      </c>
      <c r="R13" s="17">
        <f t="shared" si="7"/>
        <v>796.6397588</v>
      </c>
      <c r="S13" s="18">
        <v>0.06</v>
      </c>
      <c r="T13" s="23"/>
      <c r="U13" s="19">
        <f t="shared" si="19"/>
        <v>55.04056515</v>
      </c>
      <c r="V13" s="24">
        <f t="shared" si="9"/>
        <v>172.3638751</v>
      </c>
      <c r="W13" s="25">
        <f t="shared" si="20"/>
        <v>0.5277777778</v>
      </c>
      <c r="X13" s="25">
        <f t="shared" si="21"/>
        <v>0.3454545455</v>
      </c>
      <c r="Y13" s="25">
        <f t="shared" si="22"/>
        <v>0.1556363636</v>
      </c>
      <c r="Z13" s="99"/>
      <c r="AA13" s="99"/>
      <c r="AB13" s="99"/>
      <c r="AC13" s="1028"/>
      <c r="AD13" s="99"/>
      <c r="AE13" s="99"/>
      <c r="AF13" s="99"/>
      <c r="AG13" s="1028" t="str">
        <f t="shared" si="23"/>
        <v/>
      </c>
      <c r="AH13" s="24">
        <f t="shared" si="24"/>
        <v>0</v>
      </c>
    </row>
    <row r="14">
      <c r="A14" s="216">
        <v>2025.0</v>
      </c>
      <c r="B14" s="216"/>
      <c r="C14" s="216" t="s">
        <v>2304</v>
      </c>
      <c r="D14" s="216" t="s">
        <v>2300</v>
      </c>
      <c r="E14" s="221" t="s">
        <v>293</v>
      </c>
      <c r="F14" s="1023">
        <v>500000.0</v>
      </c>
      <c r="G14" s="1023">
        <v>840000.0</v>
      </c>
      <c r="H14" s="1025">
        <v>1.0</v>
      </c>
      <c r="I14" s="17">
        <f t="shared" si="1"/>
        <v>724.2179625</v>
      </c>
      <c r="J14" s="18">
        <v>0.035</v>
      </c>
      <c r="K14" s="19">
        <f t="shared" si="15"/>
        <v>698.8703338</v>
      </c>
      <c r="L14" s="20">
        <f t="shared" si="16"/>
        <v>25.34762869</v>
      </c>
      <c r="M14" s="87">
        <v>0.00137</v>
      </c>
      <c r="N14" s="18">
        <v>0.0215</v>
      </c>
      <c r="O14" s="22">
        <f t="shared" si="17"/>
        <v>0.001399455</v>
      </c>
      <c r="P14" s="19">
        <f t="shared" si="18"/>
        <v>30.02571218</v>
      </c>
      <c r="Q14" s="19">
        <f t="shared" si="6"/>
        <v>0.999537583</v>
      </c>
      <c r="R14" s="17">
        <f t="shared" si="7"/>
        <v>1216.686177</v>
      </c>
      <c r="S14" s="18">
        <v>0.06</v>
      </c>
      <c r="T14" s="23"/>
      <c r="U14" s="19">
        <f t="shared" si="19"/>
        <v>98.4936429</v>
      </c>
      <c r="V14" s="24">
        <f t="shared" si="9"/>
        <v>320.973401</v>
      </c>
      <c r="W14" s="25">
        <f t="shared" si="20"/>
        <v>0.68</v>
      </c>
      <c r="X14" s="25">
        <f t="shared" si="21"/>
        <v>0.4047619048</v>
      </c>
      <c r="Y14" s="25">
        <f t="shared" si="22"/>
        <v>0.1416666667</v>
      </c>
      <c r="Z14" s="99"/>
      <c r="AA14" s="99"/>
      <c r="AB14" s="99"/>
      <c r="AC14" s="1028"/>
      <c r="AD14" s="99"/>
      <c r="AE14" s="99"/>
      <c r="AF14" s="99"/>
      <c r="AG14" s="1028" t="str">
        <f t="shared" si="23"/>
        <v/>
      </c>
      <c r="AH14" s="24">
        <f t="shared" si="24"/>
        <v>0</v>
      </c>
    </row>
    <row r="15">
      <c r="A15" s="216">
        <v>2025.0</v>
      </c>
      <c r="B15" s="216"/>
      <c r="C15" s="216" t="s">
        <v>2305</v>
      </c>
      <c r="D15" s="216" t="s">
        <v>2300</v>
      </c>
      <c r="E15" s="221" t="s">
        <v>294</v>
      </c>
      <c r="F15" s="1023">
        <v>600000.0</v>
      </c>
      <c r="G15" s="1023">
        <v>1000000.0</v>
      </c>
      <c r="H15" s="1025">
        <v>1.0</v>
      </c>
      <c r="I15" s="17">
        <f t="shared" si="1"/>
        <v>869.061555</v>
      </c>
      <c r="J15" s="18">
        <v>0.035</v>
      </c>
      <c r="K15" s="19">
        <f t="shared" si="15"/>
        <v>838.6444006</v>
      </c>
      <c r="L15" s="20">
        <f t="shared" si="16"/>
        <v>30.41715443</v>
      </c>
      <c r="M15" s="87">
        <v>0.00137</v>
      </c>
      <c r="N15" s="18">
        <v>0.0215</v>
      </c>
      <c r="O15" s="22">
        <f t="shared" si="17"/>
        <v>0.001399455</v>
      </c>
      <c r="P15" s="19">
        <f t="shared" si="18"/>
        <v>33.03085461</v>
      </c>
      <c r="Q15" s="19">
        <f t="shared" si="6"/>
        <v>1.1951451</v>
      </c>
      <c r="R15" s="17">
        <f t="shared" si="7"/>
        <v>1448.435925</v>
      </c>
      <c r="S15" s="18">
        <v>0.06</v>
      </c>
      <c r="T15" s="23"/>
      <c r="U15" s="19">
        <f t="shared" si="19"/>
        <v>115.874874</v>
      </c>
      <c r="V15" s="24">
        <f t="shared" si="9"/>
        <v>376.5933405</v>
      </c>
      <c r="W15" s="25">
        <f t="shared" si="20"/>
        <v>0.6666666667</v>
      </c>
      <c r="X15" s="25">
        <f t="shared" si="21"/>
        <v>0.4</v>
      </c>
      <c r="Y15" s="25">
        <f t="shared" si="22"/>
        <v>0.2216</v>
      </c>
      <c r="Z15" s="99"/>
      <c r="AA15" s="99"/>
      <c r="AB15" s="99"/>
      <c r="AC15" s="1028"/>
      <c r="AD15" s="99"/>
      <c r="AE15" s="99"/>
      <c r="AF15" s="99"/>
      <c r="AG15" s="1028" t="str">
        <f t="shared" si="23"/>
        <v/>
      </c>
      <c r="AH15" s="24">
        <f t="shared" si="24"/>
        <v>0</v>
      </c>
    </row>
    <row r="16">
      <c r="A16" s="1029"/>
      <c r="B16" s="1029"/>
      <c r="C16" s="1029"/>
      <c r="D16" s="1029"/>
      <c r="E16" s="1034"/>
      <c r="F16" s="1031"/>
      <c r="G16" s="1031"/>
      <c r="H16" s="1025">
        <v>1.0</v>
      </c>
      <c r="I16" s="17">
        <f t="shared" si="1"/>
        <v>0</v>
      </c>
      <c r="J16" s="108"/>
      <c r="K16" s="100"/>
      <c r="L16" s="1032"/>
      <c r="M16" s="87">
        <v>0.00137</v>
      </c>
      <c r="N16" s="108"/>
      <c r="O16" s="1033"/>
      <c r="P16" s="100"/>
      <c r="Q16" s="19">
        <f t="shared" si="6"/>
        <v>0</v>
      </c>
      <c r="R16" s="17">
        <f t="shared" si="7"/>
        <v>0</v>
      </c>
      <c r="S16" s="108"/>
      <c r="T16" s="23"/>
      <c r="U16" s="100"/>
      <c r="V16" s="24">
        <f t="shared" si="9"/>
        <v>0</v>
      </c>
      <c r="W16" s="179"/>
      <c r="X16" s="179"/>
      <c r="Y16" s="179"/>
      <c r="Z16" s="99"/>
      <c r="AA16" s="99"/>
      <c r="AB16" s="99"/>
      <c r="AC16" s="1028"/>
      <c r="AD16" s="99"/>
      <c r="AE16" s="99"/>
      <c r="AF16" s="99"/>
      <c r="AG16" s="1028"/>
      <c r="AH16" s="1028"/>
    </row>
    <row r="17">
      <c r="A17" s="216">
        <v>2025.0</v>
      </c>
      <c r="B17" s="216"/>
      <c r="C17" s="216" t="s">
        <v>2248</v>
      </c>
      <c r="D17" s="216" t="s">
        <v>2249</v>
      </c>
      <c r="E17" s="216" t="s">
        <v>289</v>
      </c>
      <c r="F17" s="1023">
        <v>250000.0</v>
      </c>
      <c r="G17" s="1023">
        <v>330000.0</v>
      </c>
      <c r="H17" s="1025">
        <v>1.0</v>
      </c>
      <c r="I17" s="17">
        <f t="shared" si="1"/>
        <v>362.1089813</v>
      </c>
      <c r="J17" s="18">
        <v>0.035</v>
      </c>
      <c r="K17" s="19">
        <f t="shared" ref="K17:K22" si="25">I17*(1-J17)</f>
        <v>349.4351669</v>
      </c>
      <c r="L17" s="20">
        <f t="shared" ref="L17:L22" si="26">I17-K17</f>
        <v>12.67381434</v>
      </c>
      <c r="M17" s="87">
        <v>0.00137</v>
      </c>
      <c r="N17" s="18">
        <v>0.0215</v>
      </c>
      <c r="O17" s="22">
        <f t="shared" ref="O17:O22" si="27">M17*(1+N17)</f>
        <v>0.001399455</v>
      </c>
      <c r="P17" s="19">
        <f t="shared" ref="P17:P22" si="28">(K17*N17)+15</f>
        <v>22.51285609</v>
      </c>
      <c r="Q17" s="19">
        <f t="shared" si="6"/>
        <v>0.5105187915</v>
      </c>
      <c r="R17" s="17">
        <f t="shared" si="7"/>
        <v>477.9838553</v>
      </c>
      <c r="S17" s="18">
        <v>0.06</v>
      </c>
      <c r="T17" s="23"/>
      <c r="U17" s="19">
        <f t="shared" ref="U17:U22" si="29">(R17-I17)*0.2</f>
        <v>23.1749748</v>
      </c>
      <c r="V17" s="24">
        <f t="shared" si="9"/>
        <v>64.02086789</v>
      </c>
      <c r="W17" s="25">
        <f t="shared" ref="W17:W22" si="30">IFERROR((R17-I17)/I17,"")</f>
        <v>0.32</v>
      </c>
      <c r="X17" s="25">
        <f t="shared" ref="X17:X22" si="31">IFERROR((R17-I17)/R17,"")</f>
        <v>0.2424242424</v>
      </c>
      <c r="Y17" s="25">
        <f t="shared" ref="Y17:Y22" si="32">IFERROR(V16/R17,"")</f>
        <v>0</v>
      </c>
      <c r="Z17" s="99"/>
      <c r="AA17" s="99"/>
      <c r="AB17" s="99"/>
      <c r="AC17" s="1028"/>
      <c r="AD17" s="99"/>
      <c r="AE17" s="99"/>
      <c r="AF17" s="99"/>
      <c r="AG17" s="1028" t="str">
        <f t="shared" ref="AG17:AG22" si="33">IFERROR(AVERAGE(AD17:AF17),"")</f>
        <v/>
      </c>
      <c r="AH17" s="24">
        <f t="shared" ref="AH17:AH22" si="34">AD17+AE17+AF17</f>
        <v>0</v>
      </c>
    </row>
    <row r="18">
      <c r="A18" s="216">
        <v>2025.0</v>
      </c>
      <c r="B18" s="216"/>
      <c r="C18" s="216" t="s">
        <v>2306</v>
      </c>
      <c r="D18" s="216" t="s">
        <v>2249</v>
      </c>
      <c r="E18" s="220" t="s">
        <v>290</v>
      </c>
      <c r="F18" s="1023">
        <v>350000.0</v>
      </c>
      <c r="G18" s="1023">
        <v>480000.0</v>
      </c>
      <c r="H18" s="1025">
        <v>1.0</v>
      </c>
      <c r="I18" s="17">
        <f t="shared" si="1"/>
        <v>506.9525738</v>
      </c>
      <c r="J18" s="18">
        <v>0.035</v>
      </c>
      <c r="K18" s="19">
        <f t="shared" si="25"/>
        <v>489.2092337</v>
      </c>
      <c r="L18" s="20">
        <f t="shared" si="26"/>
        <v>17.74334008</v>
      </c>
      <c r="M18" s="87">
        <v>0.00137</v>
      </c>
      <c r="N18" s="18">
        <v>0.0215</v>
      </c>
      <c r="O18" s="22">
        <f t="shared" si="27"/>
        <v>0.001399455</v>
      </c>
      <c r="P18" s="19">
        <f t="shared" si="28"/>
        <v>25.51799852</v>
      </c>
      <c r="Q18" s="19">
        <f t="shared" si="6"/>
        <v>0.7061263081</v>
      </c>
      <c r="R18" s="17">
        <f t="shared" si="7"/>
        <v>695.249244</v>
      </c>
      <c r="S18" s="18">
        <v>0.06</v>
      </c>
      <c r="T18" s="23"/>
      <c r="U18" s="19">
        <f t="shared" si="29"/>
        <v>37.65933405</v>
      </c>
      <c r="V18" s="24">
        <f t="shared" si="9"/>
        <v>108.9223816</v>
      </c>
      <c r="W18" s="25">
        <f t="shared" si="30"/>
        <v>0.3714285714</v>
      </c>
      <c r="X18" s="25">
        <f t="shared" si="31"/>
        <v>0.2708333333</v>
      </c>
      <c r="Y18" s="25">
        <f t="shared" si="32"/>
        <v>0.09208333333</v>
      </c>
      <c r="Z18" s="99"/>
      <c r="AA18" s="99"/>
      <c r="AB18" s="99"/>
      <c r="AC18" s="1028"/>
      <c r="AD18" s="99"/>
      <c r="AE18" s="99"/>
      <c r="AF18" s="99"/>
      <c r="AG18" s="1028" t="str">
        <f t="shared" si="33"/>
        <v/>
      </c>
      <c r="AH18" s="24">
        <f t="shared" si="34"/>
        <v>0</v>
      </c>
    </row>
    <row r="19">
      <c r="A19" s="216">
        <v>2025.0</v>
      </c>
      <c r="B19" s="216"/>
      <c r="C19" s="216" t="s">
        <v>2307</v>
      </c>
      <c r="D19" s="216" t="s">
        <v>2249</v>
      </c>
      <c r="E19" s="220" t="s">
        <v>291</v>
      </c>
      <c r="F19" s="1023">
        <v>400000.0</v>
      </c>
      <c r="G19" s="1023">
        <v>590000.0</v>
      </c>
      <c r="H19" s="1025">
        <v>1.0</v>
      </c>
      <c r="I19" s="17">
        <f t="shared" si="1"/>
        <v>579.37437</v>
      </c>
      <c r="J19" s="18">
        <v>0.035</v>
      </c>
      <c r="K19" s="19">
        <f t="shared" si="25"/>
        <v>559.0962671</v>
      </c>
      <c r="L19" s="20">
        <f t="shared" si="26"/>
        <v>20.27810295</v>
      </c>
      <c r="M19" s="87">
        <v>0.00137</v>
      </c>
      <c r="N19" s="18">
        <v>0.0215</v>
      </c>
      <c r="O19" s="22">
        <f t="shared" si="27"/>
        <v>0.001399455</v>
      </c>
      <c r="P19" s="19">
        <f t="shared" si="28"/>
        <v>27.02056974</v>
      </c>
      <c r="Q19" s="19">
        <f t="shared" si="6"/>
        <v>0.8039300664</v>
      </c>
      <c r="R19" s="17">
        <f t="shared" si="7"/>
        <v>854.5771958</v>
      </c>
      <c r="S19" s="18">
        <v>0.06</v>
      </c>
      <c r="T19" s="23"/>
      <c r="U19" s="19">
        <f t="shared" si="29"/>
        <v>55.04056515</v>
      </c>
      <c r="V19" s="24">
        <f t="shared" si="9"/>
        <v>168.8876289</v>
      </c>
      <c r="W19" s="25">
        <f t="shared" si="30"/>
        <v>0.475</v>
      </c>
      <c r="X19" s="25">
        <f t="shared" si="31"/>
        <v>0.3220338983</v>
      </c>
      <c r="Y19" s="25">
        <f t="shared" si="32"/>
        <v>0.1274576271</v>
      </c>
      <c r="Z19" s="99"/>
      <c r="AA19" s="99"/>
      <c r="AB19" s="99"/>
      <c r="AC19" s="1028"/>
      <c r="AD19" s="99"/>
      <c r="AE19" s="99"/>
      <c r="AF19" s="99"/>
      <c r="AG19" s="1028" t="str">
        <f t="shared" si="33"/>
        <v/>
      </c>
      <c r="AH19" s="24">
        <f t="shared" si="34"/>
        <v>0</v>
      </c>
    </row>
    <row r="20">
      <c r="A20" s="216">
        <v>2025.0</v>
      </c>
      <c r="B20" s="216"/>
      <c r="C20" s="216" t="s">
        <v>2308</v>
      </c>
      <c r="D20" s="216" t="s">
        <v>2249</v>
      </c>
      <c r="E20" s="220" t="s">
        <v>292</v>
      </c>
      <c r="F20" s="1023">
        <v>500000.0</v>
      </c>
      <c r="G20" s="1023">
        <v>780000.0</v>
      </c>
      <c r="H20" s="1025">
        <v>1.0</v>
      </c>
      <c r="I20" s="17">
        <f t="shared" si="1"/>
        <v>724.2179625</v>
      </c>
      <c r="J20" s="18">
        <v>0.035</v>
      </c>
      <c r="K20" s="19">
        <f t="shared" si="25"/>
        <v>698.8703338</v>
      </c>
      <c r="L20" s="20">
        <f t="shared" si="26"/>
        <v>25.34762869</v>
      </c>
      <c r="M20" s="87">
        <v>0.00137</v>
      </c>
      <c r="N20" s="18">
        <v>0.0215</v>
      </c>
      <c r="O20" s="22">
        <f t="shared" si="27"/>
        <v>0.001399455</v>
      </c>
      <c r="P20" s="19">
        <f t="shared" si="28"/>
        <v>30.02571218</v>
      </c>
      <c r="Q20" s="19">
        <f t="shared" si="6"/>
        <v>0.999537583</v>
      </c>
      <c r="R20" s="17">
        <f t="shared" si="7"/>
        <v>1129.780022</v>
      </c>
      <c r="S20" s="18">
        <v>0.06</v>
      </c>
      <c r="T20" s="23"/>
      <c r="U20" s="19">
        <f t="shared" si="29"/>
        <v>81.1124118</v>
      </c>
      <c r="V20" s="24">
        <f t="shared" si="9"/>
        <v>256.6628459</v>
      </c>
      <c r="W20" s="25">
        <f t="shared" si="30"/>
        <v>0.56</v>
      </c>
      <c r="X20" s="25">
        <f t="shared" si="31"/>
        <v>0.358974359</v>
      </c>
      <c r="Y20" s="25">
        <f t="shared" si="32"/>
        <v>0.1494871795</v>
      </c>
      <c r="Z20" s="99"/>
      <c r="AA20" s="99"/>
      <c r="AB20" s="99"/>
      <c r="AC20" s="1028"/>
      <c r="AD20" s="99"/>
      <c r="AE20" s="99"/>
      <c r="AF20" s="99"/>
      <c r="AG20" s="1028" t="str">
        <f t="shared" si="33"/>
        <v/>
      </c>
      <c r="AH20" s="24">
        <f t="shared" si="34"/>
        <v>0</v>
      </c>
    </row>
    <row r="21">
      <c r="A21" s="216">
        <v>2025.0</v>
      </c>
      <c r="B21" s="216"/>
      <c r="C21" s="216" t="s">
        <v>2309</v>
      </c>
      <c r="D21" s="216" t="s">
        <v>2249</v>
      </c>
      <c r="E21" s="221" t="s">
        <v>293</v>
      </c>
      <c r="F21" s="1023">
        <v>600000.0</v>
      </c>
      <c r="G21" s="1023">
        <v>1100000.0</v>
      </c>
      <c r="H21" s="1025">
        <v>1.0</v>
      </c>
      <c r="I21" s="17">
        <f t="shared" si="1"/>
        <v>869.061555</v>
      </c>
      <c r="J21" s="18">
        <v>0.035</v>
      </c>
      <c r="K21" s="19">
        <f t="shared" si="25"/>
        <v>838.6444006</v>
      </c>
      <c r="L21" s="20">
        <f t="shared" si="26"/>
        <v>30.41715443</v>
      </c>
      <c r="M21" s="87">
        <v>0.00137</v>
      </c>
      <c r="N21" s="18">
        <v>0.0215</v>
      </c>
      <c r="O21" s="22">
        <f t="shared" si="27"/>
        <v>0.001399455</v>
      </c>
      <c r="P21" s="19">
        <f t="shared" si="28"/>
        <v>33.03085461</v>
      </c>
      <c r="Q21" s="19">
        <f t="shared" si="6"/>
        <v>1.1951451</v>
      </c>
      <c r="R21" s="17">
        <f t="shared" si="7"/>
        <v>1593.279518</v>
      </c>
      <c r="S21" s="18">
        <v>0.06</v>
      </c>
      <c r="T21" s="23"/>
      <c r="U21" s="19">
        <f t="shared" si="29"/>
        <v>144.8435925</v>
      </c>
      <c r="V21" s="24">
        <f t="shared" si="9"/>
        <v>483.777599</v>
      </c>
      <c r="W21" s="25">
        <f t="shared" si="30"/>
        <v>0.8333333333</v>
      </c>
      <c r="X21" s="25">
        <f t="shared" si="31"/>
        <v>0.4545454545</v>
      </c>
      <c r="Y21" s="25">
        <f t="shared" si="32"/>
        <v>0.1610909091</v>
      </c>
      <c r="Z21" s="99"/>
      <c r="AA21" s="99"/>
      <c r="AB21" s="99"/>
      <c r="AC21" s="1028"/>
      <c r="AD21" s="99"/>
      <c r="AE21" s="99"/>
      <c r="AF21" s="99"/>
      <c r="AG21" s="1028" t="str">
        <f t="shared" si="33"/>
        <v/>
      </c>
      <c r="AH21" s="24">
        <f t="shared" si="34"/>
        <v>0</v>
      </c>
    </row>
    <row r="22">
      <c r="A22" s="216">
        <v>2025.0</v>
      </c>
      <c r="B22" s="216"/>
      <c r="C22" s="216" t="s">
        <v>2310</v>
      </c>
      <c r="D22" s="216" t="s">
        <v>2249</v>
      </c>
      <c r="E22" s="221" t="s">
        <v>294</v>
      </c>
      <c r="F22" s="1023">
        <v>700000.0</v>
      </c>
      <c r="G22" s="1023">
        <v>1400000.0</v>
      </c>
      <c r="H22" s="1025">
        <v>1.0</v>
      </c>
      <c r="I22" s="17">
        <f t="shared" si="1"/>
        <v>1013.905148</v>
      </c>
      <c r="J22" s="18">
        <v>0.035</v>
      </c>
      <c r="K22" s="19">
        <f t="shared" si="25"/>
        <v>978.4184673</v>
      </c>
      <c r="L22" s="20">
        <f t="shared" si="26"/>
        <v>35.48668016</v>
      </c>
      <c r="M22" s="87">
        <v>0.00137</v>
      </c>
      <c r="N22" s="18">
        <v>0.0215</v>
      </c>
      <c r="O22" s="22">
        <f t="shared" si="27"/>
        <v>0.001399455</v>
      </c>
      <c r="P22" s="19">
        <f t="shared" si="28"/>
        <v>36.03599705</v>
      </c>
      <c r="Q22" s="19">
        <f t="shared" si="6"/>
        <v>1.390752616</v>
      </c>
      <c r="R22" s="17">
        <f t="shared" si="7"/>
        <v>2027.810295</v>
      </c>
      <c r="S22" s="18">
        <v>0.06</v>
      </c>
      <c r="T22" s="23"/>
      <c r="U22" s="19">
        <f t="shared" si="29"/>
        <v>202.7810295</v>
      </c>
      <c r="V22" s="24">
        <f t="shared" si="9"/>
        <v>689.4555003</v>
      </c>
      <c r="W22" s="25">
        <f t="shared" si="30"/>
        <v>1</v>
      </c>
      <c r="X22" s="25">
        <f t="shared" si="31"/>
        <v>0.5</v>
      </c>
      <c r="Y22" s="25">
        <f t="shared" si="32"/>
        <v>0.2385714286</v>
      </c>
      <c r="Z22" s="99"/>
      <c r="AA22" s="99"/>
      <c r="AB22" s="99"/>
      <c r="AC22" s="1028"/>
      <c r="AD22" s="99"/>
      <c r="AE22" s="99"/>
      <c r="AF22" s="99"/>
      <c r="AG22" s="1028" t="str">
        <f t="shared" si="33"/>
        <v/>
      </c>
      <c r="AH22" s="24">
        <f t="shared" si="34"/>
        <v>0</v>
      </c>
    </row>
    <row r="23">
      <c r="A23" s="1029"/>
      <c r="B23" s="1029"/>
      <c r="C23" s="1029"/>
      <c r="D23" s="1029"/>
      <c r="E23" s="1034"/>
      <c r="F23" s="1031"/>
      <c r="G23" s="1031"/>
      <c r="H23" s="1025">
        <v>1.0</v>
      </c>
      <c r="I23" s="17">
        <f t="shared" si="1"/>
        <v>0</v>
      </c>
      <c r="J23" s="108"/>
      <c r="K23" s="100"/>
      <c r="L23" s="1032"/>
      <c r="M23" s="87">
        <v>0.00137</v>
      </c>
      <c r="N23" s="108"/>
      <c r="O23" s="1033"/>
      <c r="P23" s="100"/>
      <c r="Q23" s="19">
        <f t="shared" si="6"/>
        <v>0</v>
      </c>
      <c r="R23" s="17">
        <f t="shared" si="7"/>
        <v>0</v>
      </c>
      <c r="S23" s="108"/>
      <c r="T23" s="23"/>
      <c r="U23" s="100"/>
      <c r="V23" s="24">
        <f t="shared" si="9"/>
        <v>0</v>
      </c>
      <c r="W23" s="179"/>
      <c r="X23" s="179"/>
      <c r="Y23" s="179"/>
      <c r="Z23" s="99"/>
      <c r="AA23" s="99"/>
      <c r="AB23" s="99"/>
      <c r="AC23" s="1028"/>
      <c r="AD23" s="99"/>
      <c r="AE23" s="99"/>
      <c r="AF23" s="99"/>
      <c r="AG23" s="1028"/>
      <c r="AH23" s="1028"/>
    </row>
    <row r="24">
      <c r="A24" s="216">
        <v>2025.0</v>
      </c>
      <c r="B24" s="216"/>
      <c r="C24" s="216" t="s">
        <v>2311</v>
      </c>
      <c r="D24" s="216" t="s">
        <v>2312</v>
      </c>
      <c r="E24" s="216" t="s">
        <v>846</v>
      </c>
      <c r="F24" s="1035">
        <v>560000.0</v>
      </c>
      <c r="G24" s="1023">
        <v>700000.0</v>
      </c>
      <c r="H24" s="1025">
        <v>1.0</v>
      </c>
      <c r="I24" s="17">
        <f t="shared" si="1"/>
        <v>811.124118</v>
      </c>
      <c r="J24" s="18">
        <v>0.035</v>
      </c>
      <c r="K24" s="19">
        <f t="shared" ref="K24:K29" si="35">I24*(1-J24)</f>
        <v>782.7347739</v>
      </c>
      <c r="L24" s="20">
        <f t="shared" ref="L24:L29" si="36">I24-K24</f>
        <v>28.38934413</v>
      </c>
      <c r="M24" s="87">
        <v>0.00137</v>
      </c>
      <c r="N24" s="18">
        <v>0.0215</v>
      </c>
      <c r="O24" s="22">
        <f t="shared" ref="O24:O29" si="37">M24*(1+N24)</f>
        <v>0.001399455</v>
      </c>
      <c r="P24" s="19">
        <f t="shared" ref="P24:P29" si="38">(K24*N24)+15</f>
        <v>31.82879764</v>
      </c>
      <c r="Q24" s="19">
        <f t="shared" si="6"/>
        <v>1.116902093</v>
      </c>
      <c r="R24" s="17">
        <f t="shared" si="7"/>
        <v>1013.905148</v>
      </c>
      <c r="S24" s="18">
        <v>0.06</v>
      </c>
      <c r="T24" s="23"/>
      <c r="U24" s="19">
        <f t="shared" ref="U24:U29" si="39">(R24-I24)*0.2</f>
        <v>40.5562059</v>
      </c>
      <c r="V24" s="24">
        <f t="shared" si="9"/>
        <v>101.3905148</v>
      </c>
      <c r="W24" s="25">
        <f t="shared" ref="W24:W29" si="40">IFERROR((R24-I24)/I24,"")</f>
        <v>0.25</v>
      </c>
      <c r="X24" s="25">
        <f t="shared" ref="X24:X29" si="41">IFERROR((R24-I24)/R24,"")</f>
        <v>0.2</v>
      </c>
      <c r="Y24" s="25">
        <f t="shared" ref="Y24:Y29" si="42">IFERROR(V23/R24,"")</f>
        <v>0</v>
      </c>
      <c r="Z24" s="99"/>
      <c r="AA24" s="99"/>
      <c r="AB24" s="99"/>
      <c r="AC24" s="1028"/>
      <c r="AD24" s="99"/>
      <c r="AE24" s="99"/>
      <c r="AF24" s="99"/>
      <c r="AG24" s="1028" t="str">
        <f t="shared" ref="AG24:AG29" si="43">IFERROR(AVERAGE(AD24:AF24),"")</f>
        <v/>
      </c>
      <c r="AH24" s="24">
        <f t="shared" ref="AH24:AH29" si="44">AD24+AE24+AF24</f>
        <v>0</v>
      </c>
    </row>
    <row r="25">
      <c r="A25" s="216">
        <v>2025.0</v>
      </c>
      <c r="B25" s="216"/>
      <c r="C25" s="216" t="s">
        <v>2313</v>
      </c>
      <c r="D25" s="216" t="s">
        <v>2312</v>
      </c>
      <c r="E25" s="216" t="s">
        <v>1052</v>
      </c>
      <c r="F25" s="1035">
        <v>880000.0</v>
      </c>
      <c r="G25" s="1023">
        <v>1280000.0</v>
      </c>
      <c r="H25" s="1025">
        <v>1.0</v>
      </c>
      <c r="I25" s="17">
        <f t="shared" si="1"/>
        <v>1274.623614</v>
      </c>
      <c r="J25" s="18">
        <v>0.035</v>
      </c>
      <c r="K25" s="19">
        <f t="shared" si="35"/>
        <v>1230.011788</v>
      </c>
      <c r="L25" s="20">
        <f t="shared" si="36"/>
        <v>44.61182649</v>
      </c>
      <c r="M25" s="87">
        <v>0.00137</v>
      </c>
      <c r="N25" s="18">
        <v>0.0215</v>
      </c>
      <c r="O25" s="22">
        <f t="shared" si="37"/>
        <v>0.001399455</v>
      </c>
      <c r="P25" s="19">
        <f t="shared" si="38"/>
        <v>41.44525343</v>
      </c>
      <c r="Q25" s="19">
        <f t="shared" si="6"/>
        <v>1.742846146</v>
      </c>
      <c r="R25" s="17">
        <f t="shared" si="7"/>
        <v>1853.997984</v>
      </c>
      <c r="S25" s="18">
        <v>0.06</v>
      </c>
      <c r="T25" s="23"/>
      <c r="U25" s="19">
        <f t="shared" si="39"/>
        <v>115.874874</v>
      </c>
      <c r="V25" s="24">
        <f t="shared" si="9"/>
        <v>352.259617</v>
      </c>
      <c r="W25" s="25">
        <f t="shared" si="40"/>
        <v>0.4545454545</v>
      </c>
      <c r="X25" s="25">
        <f t="shared" si="41"/>
        <v>0.3125</v>
      </c>
      <c r="Y25" s="25">
        <f t="shared" si="42"/>
        <v>0.0546875</v>
      </c>
      <c r="Z25" s="99"/>
      <c r="AA25" s="99"/>
      <c r="AB25" s="99"/>
      <c r="AC25" s="1028"/>
      <c r="AD25" s="99"/>
      <c r="AE25" s="99"/>
      <c r="AF25" s="99"/>
      <c r="AG25" s="1028" t="str">
        <f t="shared" si="43"/>
        <v/>
      </c>
      <c r="AH25" s="24">
        <f t="shared" si="44"/>
        <v>0</v>
      </c>
    </row>
    <row r="26">
      <c r="A26" s="216">
        <v>2025.0</v>
      </c>
      <c r="B26" s="216"/>
      <c r="C26" s="216" t="s">
        <v>2314</v>
      </c>
      <c r="D26" s="216" t="s">
        <v>2312</v>
      </c>
      <c r="E26" s="216" t="s">
        <v>1054</v>
      </c>
      <c r="F26" s="1035">
        <v>1320000.0</v>
      </c>
      <c r="G26" s="1023">
        <v>1890000.0</v>
      </c>
      <c r="H26" s="1025">
        <v>1.0</v>
      </c>
      <c r="I26" s="17">
        <f t="shared" si="1"/>
        <v>1911.935421</v>
      </c>
      <c r="J26" s="18">
        <v>0.035</v>
      </c>
      <c r="K26" s="19">
        <f t="shared" si="35"/>
        <v>1845.017681</v>
      </c>
      <c r="L26" s="20">
        <f t="shared" si="36"/>
        <v>66.91773974</v>
      </c>
      <c r="M26" s="87">
        <v>0.00137</v>
      </c>
      <c r="N26" s="18">
        <v>0.0215</v>
      </c>
      <c r="O26" s="22">
        <f t="shared" si="37"/>
        <v>0.001399455</v>
      </c>
      <c r="P26" s="19">
        <f t="shared" si="38"/>
        <v>54.66788015</v>
      </c>
      <c r="Q26" s="19">
        <f t="shared" si="6"/>
        <v>2.603519219</v>
      </c>
      <c r="R26" s="17">
        <f t="shared" si="7"/>
        <v>2737.543898</v>
      </c>
      <c r="S26" s="18">
        <v>0.06</v>
      </c>
      <c r="T26" s="23"/>
      <c r="U26" s="19">
        <f t="shared" si="39"/>
        <v>165.1216955</v>
      </c>
      <c r="V26" s="24">
        <f t="shared" si="9"/>
        <v>496.2341479</v>
      </c>
      <c r="W26" s="25">
        <f t="shared" si="40"/>
        <v>0.4318181818</v>
      </c>
      <c r="X26" s="25">
        <f t="shared" si="41"/>
        <v>0.3015873016</v>
      </c>
      <c r="Y26" s="25">
        <f t="shared" si="42"/>
        <v>0.1286772487</v>
      </c>
      <c r="Z26" s="99"/>
      <c r="AA26" s="99"/>
      <c r="AB26" s="99"/>
      <c r="AC26" s="1028"/>
      <c r="AD26" s="99"/>
      <c r="AE26" s="99"/>
      <c r="AF26" s="99"/>
      <c r="AG26" s="1028" t="str">
        <f t="shared" si="43"/>
        <v/>
      </c>
      <c r="AH26" s="24">
        <f t="shared" si="44"/>
        <v>0</v>
      </c>
    </row>
    <row r="27">
      <c r="A27" s="216">
        <v>2025.0</v>
      </c>
      <c r="B27" s="216"/>
      <c r="C27" s="216" t="s">
        <v>2315</v>
      </c>
      <c r="D27" s="216" t="s">
        <v>2312</v>
      </c>
      <c r="E27" s="216" t="s">
        <v>1056</v>
      </c>
      <c r="F27" s="1035">
        <v>1600000.0</v>
      </c>
      <c r="G27" s="1023">
        <v>2300000.0</v>
      </c>
      <c r="H27" s="1025">
        <v>1.0</v>
      </c>
      <c r="I27" s="17">
        <f t="shared" si="1"/>
        <v>2317.49748</v>
      </c>
      <c r="J27" s="18">
        <v>0.035</v>
      </c>
      <c r="K27" s="19">
        <f t="shared" si="35"/>
        <v>2236.385068</v>
      </c>
      <c r="L27" s="20">
        <f t="shared" si="36"/>
        <v>81.1124118</v>
      </c>
      <c r="M27" s="87">
        <v>0.00137</v>
      </c>
      <c r="N27" s="18">
        <v>0.0215</v>
      </c>
      <c r="O27" s="22">
        <f t="shared" si="37"/>
        <v>0.001399455</v>
      </c>
      <c r="P27" s="19">
        <f t="shared" si="38"/>
        <v>63.08227897</v>
      </c>
      <c r="Q27" s="19">
        <f t="shared" si="6"/>
        <v>3.151220266</v>
      </c>
      <c r="R27" s="17">
        <f t="shared" si="7"/>
        <v>3331.402628</v>
      </c>
      <c r="S27" s="18">
        <v>0.06</v>
      </c>
      <c r="T27" s="23"/>
      <c r="U27" s="19">
        <f t="shared" si="39"/>
        <v>202.7810295</v>
      </c>
      <c r="V27" s="24">
        <f t="shared" si="9"/>
        <v>611.2399604</v>
      </c>
      <c r="W27" s="25">
        <f t="shared" si="40"/>
        <v>0.4375</v>
      </c>
      <c r="X27" s="25">
        <f t="shared" si="41"/>
        <v>0.3043478261</v>
      </c>
      <c r="Y27" s="25">
        <f t="shared" si="42"/>
        <v>0.1489565217</v>
      </c>
      <c r="Z27" s="99"/>
      <c r="AA27" s="99"/>
      <c r="AB27" s="99"/>
      <c r="AC27" s="1028"/>
      <c r="AD27" s="99"/>
      <c r="AE27" s="99"/>
      <c r="AF27" s="99"/>
      <c r="AG27" s="1028" t="str">
        <f t="shared" si="43"/>
        <v/>
      </c>
      <c r="AH27" s="24">
        <f t="shared" si="44"/>
        <v>0</v>
      </c>
    </row>
    <row r="28">
      <c r="A28" s="216">
        <v>2025.0</v>
      </c>
      <c r="B28" s="216"/>
      <c r="C28" s="216" t="s">
        <v>2316</v>
      </c>
      <c r="D28" s="216" t="s">
        <v>2312</v>
      </c>
      <c r="E28" s="216" t="s">
        <v>1058</v>
      </c>
      <c r="F28" s="1035">
        <v>1800000.0</v>
      </c>
      <c r="G28" s="1023">
        <v>2600000.0</v>
      </c>
      <c r="H28" s="1025">
        <v>1.0</v>
      </c>
      <c r="I28" s="17">
        <f t="shared" si="1"/>
        <v>2607.184665</v>
      </c>
      <c r="J28" s="18">
        <v>0.035</v>
      </c>
      <c r="K28" s="19">
        <f t="shared" si="35"/>
        <v>2515.933202</v>
      </c>
      <c r="L28" s="20">
        <f t="shared" si="36"/>
        <v>91.25146327</v>
      </c>
      <c r="M28" s="87">
        <v>0.00137</v>
      </c>
      <c r="N28" s="18">
        <v>0.0215</v>
      </c>
      <c r="O28" s="22">
        <f t="shared" si="37"/>
        <v>0.001399455</v>
      </c>
      <c r="P28" s="19">
        <f t="shared" si="38"/>
        <v>69.09256384</v>
      </c>
      <c r="Q28" s="19">
        <f t="shared" si="6"/>
        <v>3.542435299</v>
      </c>
      <c r="R28" s="17">
        <f t="shared" si="7"/>
        <v>3765.933405</v>
      </c>
      <c r="S28" s="18">
        <v>0.06</v>
      </c>
      <c r="T28" s="23"/>
      <c r="U28" s="19">
        <f t="shared" si="39"/>
        <v>231.749748</v>
      </c>
      <c r="V28" s="24">
        <f t="shared" si="9"/>
        <v>701.0429877</v>
      </c>
      <c r="W28" s="25">
        <f t="shared" si="40"/>
        <v>0.4444444444</v>
      </c>
      <c r="X28" s="25">
        <f t="shared" si="41"/>
        <v>0.3076923077</v>
      </c>
      <c r="Y28" s="25">
        <f t="shared" si="42"/>
        <v>0.1623076923</v>
      </c>
      <c r="Z28" s="99"/>
      <c r="AA28" s="99"/>
      <c r="AB28" s="99"/>
      <c r="AC28" s="1028"/>
      <c r="AD28" s="99"/>
      <c r="AE28" s="99"/>
      <c r="AF28" s="99"/>
      <c r="AG28" s="1028" t="str">
        <f t="shared" si="43"/>
        <v/>
      </c>
      <c r="AH28" s="24">
        <f t="shared" si="44"/>
        <v>0</v>
      </c>
    </row>
    <row r="29">
      <c r="A29" s="216">
        <v>2025.0</v>
      </c>
      <c r="B29" s="216"/>
      <c r="C29" s="216" t="s">
        <v>2317</v>
      </c>
      <c r="D29" s="216" t="s">
        <v>2312</v>
      </c>
      <c r="E29" s="216" t="s">
        <v>1060</v>
      </c>
      <c r="F29" s="1035">
        <v>2200000.0</v>
      </c>
      <c r="G29" s="1023">
        <v>3200000.0</v>
      </c>
      <c r="H29" s="1025">
        <v>1.0</v>
      </c>
      <c r="I29" s="17">
        <f t="shared" si="1"/>
        <v>3186.559035</v>
      </c>
      <c r="J29" s="18">
        <v>0.035</v>
      </c>
      <c r="K29" s="19">
        <f t="shared" si="35"/>
        <v>3075.029469</v>
      </c>
      <c r="L29" s="20">
        <f t="shared" si="36"/>
        <v>111.5295662</v>
      </c>
      <c r="M29" s="87">
        <v>0.00137</v>
      </c>
      <c r="N29" s="18">
        <v>0.0215</v>
      </c>
      <c r="O29" s="22">
        <f t="shared" si="37"/>
        <v>0.001399455</v>
      </c>
      <c r="P29" s="19">
        <f t="shared" si="38"/>
        <v>81.11313358</v>
      </c>
      <c r="Q29" s="19">
        <f t="shared" si="6"/>
        <v>4.324865365</v>
      </c>
      <c r="R29" s="17">
        <f t="shared" si="7"/>
        <v>4634.99496</v>
      </c>
      <c r="S29" s="18">
        <v>0.06</v>
      </c>
      <c r="T29" s="23"/>
      <c r="U29" s="19">
        <f t="shared" si="39"/>
        <v>289.687185</v>
      </c>
      <c r="V29" s="24">
        <f t="shared" si="9"/>
        <v>880.6490424</v>
      </c>
      <c r="W29" s="25">
        <f t="shared" si="40"/>
        <v>0.4545454545</v>
      </c>
      <c r="X29" s="25">
        <f t="shared" si="41"/>
        <v>0.3125</v>
      </c>
      <c r="Y29" s="25">
        <f t="shared" si="42"/>
        <v>0.15125</v>
      </c>
      <c r="Z29" s="99"/>
      <c r="AA29" s="99"/>
      <c r="AB29" s="99"/>
      <c r="AC29" s="1028"/>
      <c r="AD29" s="99"/>
      <c r="AE29" s="99"/>
      <c r="AF29" s="99"/>
      <c r="AG29" s="1028" t="str">
        <f t="shared" si="43"/>
        <v/>
      </c>
      <c r="AH29" s="24">
        <f t="shared" si="44"/>
        <v>0</v>
      </c>
    </row>
    <row r="30">
      <c r="A30" s="1029"/>
      <c r="B30" s="1029"/>
      <c r="C30" s="1029"/>
      <c r="D30" s="1029"/>
      <c r="E30" s="1034"/>
      <c r="F30" s="1031"/>
      <c r="G30" s="1031"/>
      <c r="H30" s="1025">
        <v>1.0</v>
      </c>
      <c r="I30" s="17">
        <f t="shared" si="1"/>
        <v>0</v>
      </c>
      <c r="J30" s="108"/>
      <c r="K30" s="100"/>
      <c r="L30" s="1032"/>
      <c r="M30" s="87">
        <v>0.00137</v>
      </c>
      <c r="N30" s="108"/>
      <c r="O30" s="1033"/>
      <c r="P30" s="100"/>
      <c r="Q30" s="19">
        <f t="shared" si="6"/>
        <v>0</v>
      </c>
      <c r="R30" s="17">
        <f t="shared" si="7"/>
        <v>0</v>
      </c>
      <c r="S30" s="108"/>
      <c r="T30" s="23"/>
      <c r="U30" s="100"/>
      <c r="V30" s="24">
        <f t="shared" si="9"/>
        <v>0</v>
      </c>
      <c r="W30" s="179"/>
      <c r="X30" s="179"/>
      <c r="Y30" s="179"/>
      <c r="Z30" s="99"/>
      <c r="AA30" s="99"/>
      <c r="AB30" s="99"/>
      <c r="AC30" s="1028"/>
      <c r="AD30" s="99"/>
      <c r="AE30" s="99"/>
      <c r="AF30" s="99"/>
      <c r="AG30" s="1028"/>
      <c r="AH30" s="1028"/>
    </row>
    <row r="31">
      <c r="A31" s="216">
        <v>2025.0</v>
      </c>
      <c r="B31" s="216"/>
      <c r="C31" s="216" t="s">
        <v>2318</v>
      </c>
      <c r="D31" s="216" t="s">
        <v>2319</v>
      </c>
      <c r="E31" s="216" t="s">
        <v>846</v>
      </c>
      <c r="F31" s="1035">
        <v>350000.0</v>
      </c>
      <c r="G31" s="1023">
        <v>580000.0</v>
      </c>
      <c r="H31" s="1025">
        <v>1.0</v>
      </c>
      <c r="I31" s="17">
        <f t="shared" si="1"/>
        <v>506.9525738</v>
      </c>
      <c r="J31" s="18">
        <v>0.035</v>
      </c>
      <c r="K31" s="19">
        <f t="shared" ref="K31:K36" si="45">I31*(1-J31)</f>
        <v>489.2092337</v>
      </c>
      <c r="L31" s="20">
        <f t="shared" ref="L31:L36" si="46">I31-K31</f>
        <v>17.74334008</v>
      </c>
      <c r="M31" s="87">
        <v>0.00137</v>
      </c>
      <c r="N31" s="18">
        <v>0.0215</v>
      </c>
      <c r="O31" s="22">
        <f t="shared" ref="O31:O36" si="47">M31*(1+N31)</f>
        <v>0.001399455</v>
      </c>
      <c r="P31" s="19">
        <f t="shared" ref="P31:P36" si="48">(K31*N31)+15</f>
        <v>25.51799852</v>
      </c>
      <c r="Q31" s="19">
        <f t="shared" si="6"/>
        <v>0.7061263081</v>
      </c>
      <c r="R31" s="17">
        <f t="shared" si="7"/>
        <v>840.0928365</v>
      </c>
      <c r="S31" s="18">
        <v>0.06</v>
      </c>
      <c r="T31" s="23"/>
      <c r="U31" s="19">
        <f t="shared" ref="U31:U36" si="49">(R31-I31)*0.2</f>
        <v>66.62805255</v>
      </c>
      <c r="V31" s="24">
        <f t="shared" si="9"/>
        <v>216.10664</v>
      </c>
      <c r="W31" s="25">
        <f t="shared" ref="W31:W36" si="50">IFERROR((R31-I31)/I31,"")</f>
        <v>0.6571428571</v>
      </c>
      <c r="X31" s="25">
        <f t="shared" ref="X31:X36" si="51">IFERROR((R31-I31)/R31,"")</f>
        <v>0.3965517241</v>
      </c>
      <c r="Y31" s="25">
        <f t="shared" ref="Y31:Y36" si="52">IFERROR(V30/R31,"")</f>
        <v>0</v>
      </c>
      <c r="Z31" s="99"/>
      <c r="AA31" s="99"/>
      <c r="AB31" s="99"/>
      <c r="AC31" s="1028"/>
      <c r="AD31" s="99"/>
      <c r="AE31" s="99"/>
      <c r="AF31" s="99"/>
      <c r="AG31" s="1028" t="str">
        <f t="shared" ref="AG31:AG36" si="53">IFERROR(AVERAGE(AD31:AF31),"")</f>
        <v/>
      </c>
      <c r="AH31" s="24">
        <f t="shared" ref="AH31:AH36" si="54">AD31+AE31+AF31</f>
        <v>0</v>
      </c>
    </row>
    <row r="32">
      <c r="A32" s="216">
        <v>2025.0</v>
      </c>
      <c r="B32" s="216"/>
      <c r="C32" s="216" t="s">
        <v>2320</v>
      </c>
      <c r="D32" s="216" t="s">
        <v>2319</v>
      </c>
      <c r="E32" s="216" t="s">
        <v>1052</v>
      </c>
      <c r="F32" s="1035">
        <v>500000.0</v>
      </c>
      <c r="G32" s="1023">
        <v>780000.0</v>
      </c>
      <c r="H32" s="1025">
        <v>1.0</v>
      </c>
      <c r="I32" s="17">
        <f t="shared" si="1"/>
        <v>724.2179625</v>
      </c>
      <c r="J32" s="18">
        <v>0.035</v>
      </c>
      <c r="K32" s="19">
        <f t="shared" si="45"/>
        <v>698.8703338</v>
      </c>
      <c r="L32" s="20">
        <f t="shared" si="46"/>
        <v>25.34762869</v>
      </c>
      <c r="M32" s="87">
        <v>0.00137</v>
      </c>
      <c r="N32" s="18">
        <v>0.0215</v>
      </c>
      <c r="O32" s="22">
        <f t="shared" si="47"/>
        <v>0.001399455</v>
      </c>
      <c r="P32" s="19">
        <f t="shared" si="48"/>
        <v>30.02571218</v>
      </c>
      <c r="Q32" s="19">
        <f t="shared" si="6"/>
        <v>0.999537583</v>
      </c>
      <c r="R32" s="17">
        <f t="shared" si="7"/>
        <v>1129.780022</v>
      </c>
      <c r="S32" s="18">
        <v>0.06</v>
      </c>
      <c r="T32" s="23"/>
      <c r="U32" s="19">
        <f t="shared" si="49"/>
        <v>81.1124118</v>
      </c>
      <c r="V32" s="24">
        <f t="shared" si="9"/>
        <v>256.6628459</v>
      </c>
      <c r="W32" s="25">
        <f t="shared" si="50"/>
        <v>0.56</v>
      </c>
      <c r="X32" s="25">
        <f t="shared" si="51"/>
        <v>0.358974359</v>
      </c>
      <c r="Y32" s="25">
        <f t="shared" si="52"/>
        <v>0.1912820513</v>
      </c>
      <c r="Z32" s="99"/>
      <c r="AA32" s="99"/>
      <c r="AB32" s="99"/>
      <c r="AC32" s="1028"/>
      <c r="AD32" s="99"/>
      <c r="AE32" s="99"/>
      <c r="AF32" s="99"/>
      <c r="AG32" s="1028" t="str">
        <f t="shared" si="53"/>
        <v/>
      </c>
      <c r="AH32" s="24">
        <f t="shared" si="54"/>
        <v>0</v>
      </c>
    </row>
    <row r="33">
      <c r="A33" s="216">
        <v>2025.0</v>
      </c>
      <c r="B33" s="216"/>
      <c r="C33" s="216" t="s">
        <v>2321</v>
      </c>
      <c r="D33" s="216" t="s">
        <v>2319</v>
      </c>
      <c r="E33" s="216" t="s">
        <v>1054</v>
      </c>
      <c r="F33" s="1035">
        <v>600000.0</v>
      </c>
      <c r="G33" s="1023">
        <v>900000.0</v>
      </c>
      <c r="H33" s="1025">
        <v>1.0</v>
      </c>
      <c r="I33" s="17">
        <f t="shared" si="1"/>
        <v>869.061555</v>
      </c>
      <c r="J33" s="18">
        <v>0.035</v>
      </c>
      <c r="K33" s="19">
        <f t="shared" si="45"/>
        <v>838.6444006</v>
      </c>
      <c r="L33" s="20">
        <f t="shared" si="46"/>
        <v>30.41715443</v>
      </c>
      <c r="M33" s="87">
        <v>0.00137</v>
      </c>
      <c r="N33" s="18">
        <v>0.0215</v>
      </c>
      <c r="O33" s="22">
        <f t="shared" si="47"/>
        <v>0.001399455</v>
      </c>
      <c r="P33" s="19">
        <f t="shared" si="48"/>
        <v>33.03085461</v>
      </c>
      <c r="Q33" s="19">
        <f t="shared" si="6"/>
        <v>1.1951451</v>
      </c>
      <c r="R33" s="17">
        <f t="shared" si="7"/>
        <v>1303.592333</v>
      </c>
      <c r="S33" s="18">
        <v>0.06</v>
      </c>
      <c r="T33" s="23"/>
      <c r="U33" s="19">
        <f t="shared" si="49"/>
        <v>86.9061555</v>
      </c>
      <c r="V33" s="24">
        <f t="shared" si="9"/>
        <v>269.4090821</v>
      </c>
      <c r="W33" s="25">
        <f t="shared" si="50"/>
        <v>0.5</v>
      </c>
      <c r="X33" s="25">
        <f t="shared" si="51"/>
        <v>0.3333333333</v>
      </c>
      <c r="Y33" s="25">
        <f t="shared" si="52"/>
        <v>0.1968888889</v>
      </c>
      <c r="Z33" s="99"/>
      <c r="AA33" s="99"/>
      <c r="AB33" s="99"/>
      <c r="AC33" s="1028"/>
      <c r="AD33" s="99"/>
      <c r="AE33" s="99"/>
      <c r="AF33" s="99"/>
      <c r="AG33" s="1028" t="str">
        <f t="shared" si="53"/>
        <v/>
      </c>
      <c r="AH33" s="24">
        <f t="shared" si="54"/>
        <v>0</v>
      </c>
    </row>
    <row r="34">
      <c r="A34" s="216">
        <v>2025.0</v>
      </c>
      <c r="B34" s="216"/>
      <c r="C34" s="216" t="s">
        <v>2322</v>
      </c>
      <c r="D34" s="216" t="s">
        <v>2319</v>
      </c>
      <c r="E34" s="216" t="s">
        <v>1056</v>
      </c>
      <c r="F34" s="1035">
        <v>800000.0</v>
      </c>
      <c r="G34" s="1023">
        <v>1200000.0</v>
      </c>
      <c r="H34" s="1025">
        <v>1.0</v>
      </c>
      <c r="I34" s="17">
        <f t="shared" si="1"/>
        <v>1158.74874</v>
      </c>
      <c r="J34" s="18">
        <v>0.035</v>
      </c>
      <c r="K34" s="19">
        <f t="shared" si="45"/>
        <v>1118.192534</v>
      </c>
      <c r="L34" s="20">
        <f t="shared" si="46"/>
        <v>40.5562059</v>
      </c>
      <c r="M34" s="87">
        <v>0.00137</v>
      </c>
      <c r="N34" s="18">
        <v>0.0215</v>
      </c>
      <c r="O34" s="22">
        <f t="shared" si="47"/>
        <v>0.001399455</v>
      </c>
      <c r="P34" s="19">
        <f t="shared" si="48"/>
        <v>39.04113948</v>
      </c>
      <c r="Q34" s="19">
        <f t="shared" si="6"/>
        <v>1.586360133</v>
      </c>
      <c r="R34" s="17">
        <f t="shared" si="7"/>
        <v>1738.12311</v>
      </c>
      <c r="S34" s="18">
        <v>0.06</v>
      </c>
      <c r="T34" s="23"/>
      <c r="U34" s="19">
        <f t="shared" si="49"/>
        <v>115.874874</v>
      </c>
      <c r="V34" s="24">
        <f t="shared" si="9"/>
        <v>359.2121094</v>
      </c>
      <c r="W34" s="25">
        <f t="shared" si="50"/>
        <v>0.5</v>
      </c>
      <c r="X34" s="25">
        <f t="shared" si="51"/>
        <v>0.3333333333</v>
      </c>
      <c r="Y34" s="25">
        <f t="shared" si="52"/>
        <v>0.155</v>
      </c>
      <c r="Z34" s="99"/>
      <c r="AA34" s="99"/>
      <c r="AB34" s="99"/>
      <c r="AC34" s="1028"/>
      <c r="AD34" s="99"/>
      <c r="AE34" s="99"/>
      <c r="AF34" s="99"/>
      <c r="AG34" s="1028" t="str">
        <f t="shared" si="53"/>
        <v/>
      </c>
      <c r="AH34" s="24">
        <f t="shared" si="54"/>
        <v>0</v>
      </c>
    </row>
    <row r="35">
      <c r="A35" s="216">
        <v>2025.0</v>
      </c>
      <c r="B35" s="216"/>
      <c r="C35" s="216" t="s">
        <v>2323</v>
      </c>
      <c r="D35" s="216" t="s">
        <v>2319</v>
      </c>
      <c r="E35" s="216" t="s">
        <v>1058</v>
      </c>
      <c r="F35" s="1035">
        <v>900000.0</v>
      </c>
      <c r="G35" s="1023">
        <v>1500000.0</v>
      </c>
      <c r="H35" s="1025">
        <v>1.0</v>
      </c>
      <c r="I35" s="17">
        <f t="shared" si="1"/>
        <v>1303.592333</v>
      </c>
      <c r="J35" s="18">
        <v>0.035</v>
      </c>
      <c r="K35" s="19">
        <f t="shared" si="45"/>
        <v>1257.966601</v>
      </c>
      <c r="L35" s="20">
        <f t="shared" si="46"/>
        <v>45.62573164</v>
      </c>
      <c r="M35" s="87">
        <v>0.00137</v>
      </c>
      <c r="N35" s="18">
        <v>0.0215</v>
      </c>
      <c r="O35" s="22">
        <f t="shared" si="47"/>
        <v>0.001399455</v>
      </c>
      <c r="P35" s="19">
        <f t="shared" si="48"/>
        <v>42.04628192</v>
      </c>
      <c r="Q35" s="19">
        <f t="shared" si="6"/>
        <v>1.781967649</v>
      </c>
      <c r="R35" s="17">
        <f t="shared" si="7"/>
        <v>2172.653888</v>
      </c>
      <c r="S35" s="18">
        <v>0.06</v>
      </c>
      <c r="T35" s="23"/>
      <c r="U35" s="19">
        <f t="shared" si="49"/>
        <v>173.812311</v>
      </c>
      <c r="V35" s="24">
        <f t="shared" si="9"/>
        <v>564.8900108</v>
      </c>
      <c r="W35" s="25">
        <f t="shared" si="50"/>
        <v>0.6666666667</v>
      </c>
      <c r="X35" s="25">
        <f t="shared" si="51"/>
        <v>0.4</v>
      </c>
      <c r="Y35" s="25">
        <f t="shared" si="52"/>
        <v>0.1653333333</v>
      </c>
      <c r="Z35" s="99"/>
      <c r="AA35" s="99"/>
      <c r="AB35" s="99"/>
      <c r="AC35" s="1028"/>
      <c r="AD35" s="99"/>
      <c r="AE35" s="99"/>
      <c r="AF35" s="99"/>
      <c r="AG35" s="1028" t="str">
        <f t="shared" si="53"/>
        <v/>
      </c>
      <c r="AH35" s="24">
        <f t="shared" si="54"/>
        <v>0</v>
      </c>
    </row>
    <row r="36">
      <c r="A36" s="216">
        <v>2025.0</v>
      </c>
      <c r="B36" s="216"/>
      <c r="C36" s="216" t="s">
        <v>2324</v>
      </c>
      <c r="D36" s="216" t="s">
        <v>2319</v>
      </c>
      <c r="E36" s="216" t="s">
        <v>1060</v>
      </c>
      <c r="F36" s="1035">
        <v>1000000.0</v>
      </c>
      <c r="G36" s="1023">
        <v>2300000.0</v>
      </c>
      <c r="H36" s="1025">
        <v>1.0</v>
      </c>
      <c r="I36" s="17">
        <f t="shared" si="1"/>
        <v>1448.435925</v>
      </c>
      <c r="J36" s="18">
        <v>0.035</v>
      </c>
      <c r="K36" s="19">
        <f t="shared" si="45"/>
        <v>1397.740668</v>
      </c>
      <c r="L36" s="20">
        <f t="shared" si="46"/>
        <v>50.69525738</v>
      </c>
      <c r="M36" s="87">
        <v>0.00137</v>
      </c>
      <c r="N36" s="18">
        <v>0.0215</v>
      </c>
      <c r="O36" s="22">
        <f t="shared" si="47"/>
        <v>0.001399455</v>
      </c>
      <c r="P36" s="19">
        <f t="shared" si="48"/>
        <v>45.05142435</v>
      </c>
      <c r="Q36" s="19">
        <f t="shared" si="6"/>
        <v>1.977575166</v>
      </c>
      <c r="R36" s="17">
        <f t="shared" si="7"/>
        <v>3331.402628</v>
      </c>
      <c r="S36" s="18">
        <v>0.06</v>
      </c>
      <c r="T36" s="23"/>
      <c r="U36" s="19">
        <f t="shared" si="49"/>
        <v>376.5933405</v>
      </c>
      <c r="V36" s="24">
        <f t="shared" si="9"/>
        <v>1306.489204</v>
      </c>
      <c r="W36" s="25">
        <f t="shared" si="50"/>
        <v>1.3</v>
      </c>
      <c r="X36" s="25">
        <f t="shared" si="51"/>
        <v>0.5652173913</v>
      </c>
      <c r="Y36" s="25">
        <f t="shared" si="52"/>
        <v>0.1695652174</v>
      </c>
      <c r="Z36" s="99"/>
      <c r="AA36" s="99"/>
      <c r="AB36" s="99"/>
      <c r="AC36" s="1028"/>
      <c r="AD36" s="99"/>
      <c r="AE36" s="99"/>
      <c r="AF36" s="99"/>
      <c r="AG36" s="1028" t="str">
        <f t="shared" si="53"/>
        <v/>
      </c>
      <c r="AH36" s="24">
        <f t="shared" si="54"/>
        <v>0</v>
      </c>
    </row>
    <row r="37">
      <c r="A37" s="1029"/>
      <c r="B37" s="1029"/>
      <c r="C37" s="1029"/>
      <c r="D37" s="1029"/>
      <c r="E37" s="1034"/>
      <c r="F37" s="1031"/>
      <c r="G37" s="1031"/>
      <c r="H37" s="1025">
        <v>1.0</v>
      </c>
      <c r="I37" s="17">
        <f t="shared" si="1"/>
        <v>0</v>
      </c>
      <c r="J37" s="108"/>
      <c r="K37" s="100"/>
      <c r="L37" s="1032"/>
      <c r="M37" s="87">
        <v>0.00137</v>
      </c>
      <c r="N37" s="108"/>
      <c r="O37" s="1033"/>
      <c r="P37" s="100"/>
      <c r="Q37" s="19">
        <f t="shared" si="6"/>
        <v>0</v>
      </c>
      <c r="R37" s="17">
        <f t="shared" si="7"/>
        <v>0</v>
      </c>
      <c r="S37" s="108"/>
      <c r="T37" s="23"/>
      <c r="U37" s="100"/>
      <c r="V37" s="24">
        <f t="shared" si="9"/>
        <v>0</v>
      </c>
      <c r="W37" s="179"/>
      <c r="X37" s="179"/>
      <c r="Y37" s="179"/>
      <c r="Z37" s="99"/>
      <c r="AA37" s="99"/>
      <c r="AB37" s="99"/>
      <c r="AC37" s="1028"/>
      <c r="AD37" s="99"/>
      <c r="AE37" s="99"/>
      <c r="AF37" s="99"/>
      <c r="AG37" s="1028"/>
      <c r="AH37" s="1028"/>
    </row>
    <row r="38">
      <c r="A38" s="216">
        <v>2025.0</v>
      </c>
      <c r="B38" s="216"/>
      <c r="C38" s="216" t="s">
        <v>2325</v>
      </c>
      <c r="D38" s="216" t="s">
        <v>2326</v>
      </c>
      <c r="E38" s="216" t="s">
        <v>846</v>
      </c>
      <c r="F38" s="1035">
        <v>90000.0</v>
      </c>
      <c r="G38" s="1023">
        <v>170000.0</v>
      </c>
      <c r="H38" s="1025">
        <v>1.0</v>
      </c>
      <c r="I38" s="17">
        <f t="shared" si="1"/>
        <v>130.3592333</v>
      </c>
      <c r="J38" s="18">
        <v>0.035</v>
      </c>
      <c r="K38" s="19">
        <f t="shared" ref="K38:K43" si="55">I38*(1-J38)</f>
        <v>125.7966601</v>
      </c>
      <c r="L38" s="20">
        <f t="shared" ref="L38:L43" si="56">I38-K38</f>
        <v>4.562573164</v>
      </c>
      <c r="M38" s="87">
        <v>0.00137</v>
      </c>
      <c r="N38" s="18">
        <v>0.0215</v>
      </c>
      <c r="O38" s="22">
        <f t="shared" ref="O38:O43" si="57">M38*(1+N38)</f>
        <v>0.001399455</v>
      </c>
      <c r="P38" s="19">
        <f t="shared" ref="P38:P43" si="58">(K38*N38)+15</f>
        <v>17.70462819</v>
      </c>
      <c r="Q38" s="19">
        <f t="shared" si="6"/>
        <v>0.1975467649</v>
      </c>
      <c r="R38" s="17">
        <f t="shared" si="7"/>
        <v>246.2341073</v>
      </c>
      <c r="S38" s="18">
        <v>0.06</v>
      </c>
      <c r="T38" s="23"/>
      <c r="U38" s="19">
        <f t="shared" ref="U38:U43" si="59">(R38-I38)*0.2</f>
        <v>23.1749748</v>
      </c>
      <c r="V38" s="24">
        <f t="shared" si="9"/>
        <v>77.92585277</v>
      </c>
      <c r="W38" s="25">
        <f t="shared" ref="W38:W43" si="60">IFERROR((R38-I38)/I38,"")</f>
        <v>0.8888888889</v>
      </c>
      <c r="X38" s="25">
        <f t="shared" ref="X38:X43" si="61">IFERROR((R38-I38)/R38,"")</f>
        <v>0.4705882353</v>
      </c>
      <c r="Y38" s="25">
        <f t="shared" ref="Y38:Y43" si="62">IFERROR(V37/R38,"")</f>
        <v>0</v>
      </c>
      <c r="Z38" s="99"/>
      <c r="AA38" s="99"/>
      <c r="AB38" s="99"/>
      <c r="AC38" s="1028"/>
      <c r="AD38" s="99"/>
      <c r="AE38" s="99"/>
      <c r="AF38" s="99"/>
      <c r="AG38" s="1028" t="str">
        <f t="shared" ref="AG38:AG43" si="63">IFERROR(AVERAGE(AD38:AF38),"")</f>
        <v/>
      </c>
      <c r="AH38" s="24">
        <f t="shared" ref="AH38:AH43" si="64">AD38+AE38+AF38</f>
        <v>0</v>
      </c>
    </row>
    <row r="39">
      <c r="A39" s="216">
        <v>2025.0</v>
      </c>
      <c r="B39" s="216"/>
      <c r="C39" s="216" t="s">
        <v>2327</v>
      </c>
      <c r="D39" s="216" t="s">
        <v>2326</v>
      </c>
      <c r="E39" s="216" t="s">
        <v>1052</v>
      </c>
      <c r="F39" s="1035">
        <v>180000.0</v>
      </c>
      <c r="G39" s="1023">
        <v>320000.0</v>
      </c>
      <c r="H39" s="1025">
        <v>1.0</v>
      </c>
      <c r="I39" s="17">
        <f t="shared" si="1"/>
        <v>260.7184665</v>
      </c>
      <c r="J39" s="18">
        <v>0.035</v>
      </c>
      <c r="K39" s="19">
        <f t="shared" si="55"/>
        <v>251.5933202</v>
      </c>
      <c r="L39" s="20">
        <f t="shared" si="56"/>
        <v>9.125146328</v>
      </c>
      <c r="M39" s="87">
        <v>0.00137</v>
      </c>
      <c r="N39" s="18">
        <v>0.0215</v>
      </c>
      <c r="O39" s="22">
        <f t="shared" si="57"/>
        <v>0.001399455</v>
      </c>
      <c r="P39" s="19">
        <f t="shared" si="58"/>
        <v>20.40925638</v>
      </c>
      <c r="Q39" s="19">
        <f t="shared" si="6"/>
        <v>0.3735935299</v>
      </c>
      <c r="R39" s="17">
        <f t="shared" si="7"/>
        <v>463.499496</v>
      </c>
      <c r="S39" s="18">
        <v>0.06</v>
      </c>
      <c r="T39" s="23"/>
      <c r="U39" s="19">
        <f t="shared" si="59"/>
        <v>40.5562059</v>
      </c>
      <c r="V39" s="24">
        <f t="shared" si="9"/>
        <v>134.4148538</v>
      </c>
      <c r="W39" s="25">
        <f t="shared" si="60"/>
        <v>0.7777777778</v>
      </c>
      <c r="X39" s="25">
        <f t="shared" si="61"/>
        <v>0.4375</v>
      </c>
      <c r="Y39" s="25">
        <f t="shared" si="62"/>
        <v>0.168125</v>
      </c>
      <c r="Z39" s="99"/>
      <c r="AA39" s="99"/>
      <c r="AB39" s="99"/>
      <c r="AC39" s="1028"/>
      <c r="AD39" s="99"/>
      <c r="AE39" s="99"/>
      <c r="AF39" s="99"/>
      <c r="AG39" s="1028" t="str">
        <f t="shared" si="63"/>
        <v/>
      </c>
      <c r="AH39" s="24">
        <f t="shared" si="64"/>
        <v>0</v>
      </c>
    </row>
    <row r="40">
      <c r="A40" s="216">
        <v>2025.0</v>
      </c>
      <c r="B40" s="216"/>
      <c r="C40" s="216" t="s">
        <v>2328</v>
      </c>
      <c r="D40" s="216" t="s">
        <v>2326</v>
      </c>
      <c r="E40" s="216" t="s">
        <v>1054</v>
      </c>
      <c r="F40" s="1035">
        <v>200000.0</v>
      </c>
      <c r="G40" s="1023">
        <v>350000.0</v>
      </c>
      <c r="H40" s="1025">
        <v>1.0</v>
      </c>
      <c r="I40" s="17">
        <f t="shared" si="1"/>
        <v>289.687185</v>
      </c>
      <c r="J40" s="18">
        <v>0.035</v>
      </c>
      <c r="K40" s="19">
        <f t="shared" si="55"/>
        <v>279.5481335</v>
      </c>
      <c r="L40" s="20">
        <f t="shared" si="56"/>
        <v>10.13905148</v>
      </c>
      <c r="M40" s="87">
        <v>0.00137</v>
      </c>
      <c r="N40" s="18">
        <v>0.0215</v>
      </c>
      <c r="O40" s="22">
        <f t="shared" si="57"/>
        <v>0.001399455</v>
      </c>
      <c r="P40" s="19">
        <f t="shared" si="58"/>
        <v>21.01028487</v>
      </c>
      <c r="Q40" s="19">
        <f t="shared" si="6"/>
        <v>0.4127150332</v>
      </c>
      <c r="R40" s="17">
        <f t="shared" si="7"/>
        <v>506.9525738</v>
      </c>
      <c r="S40" s="18">
        <v>0.06</v>
      </c>
      <c r="T40" s="23"/>
      <c r="U40" s="19">
        <f t="shared" si="59"/>
        <v>43.45307775</v>
      </c>
      <c r="V40" s="24">
        <f t="shared" si="9"/>
        <v>143.3951566</v>
      </c>
      <c r="W40" s="25">
        <f t="shared" si="60"/>
        <v>0.75</v>
      </c>
      <c r="X40" s="25">
        <f t="shared" si="61"/>
        <v>0.4285714286</v>
      </c>
      <c r="Y40" s="25">
        <f t="shared" si="62"/>
        <v>0.2651428571</v>
      </c>
      <c r="Z40" s="99"/>
      <c r="AA40" s="99"/>
      <c r="AB40" s="99"/>
      <c r="AC40" s="1028"/>
      <c r="AD40" s="99"/>
      <c r="AE40" s="99"/>
      <c r="AF40" s="99"/>
      <c r="AG40" s="1028" t="str">
        <f t="shared" si="63"/>
        <v/>
      </c>
      <c r="AH40" s="24">
        <f t="shared" si="64"/>
        <v>0</v>
      </c>
    </row>
    <row r="41">
      <c r="A41" s="216">
        <v>2025.0</v>
      </c>
      <c r="B41" s="216"/>
      <c r="C41" s="216" t="s">
        <v>2329</v>
      </c>
      <c r="D41" s="216" t="s">
        <v>2326</v>
      </c>
      <c r="E41" s="216" t="s">
        <v>1056</v>
      </c>
      <c r="F41" s="1035">
        <v>260000.0</v>
      </c>
      <c r="G41" s="1023">
        <v>550000.0</v>
      </c>
      <c r="H41" s="1025">
        <v>1.0</v>
      </c>
      <c r="I41" s="17">
        <f t="shared" si="1"/>
        <v>376.5933405</v>
      </c>
      <c r="J41" s="18">
        <v>0.035</v>
      </c>
      <c r="K41" s="19">
        <f t="shared" si="55"/>
        <v>363.4125736</v>
      </c>
      <c r="L41" s="20">
        <f t="shared" si="56"/>
        <v>13.18076692</v>
      </c>
      <c r="M41" s="87">
        <v>0.00137</v>
      </c>
      <c r="N41" s="18">
        <v>0.0215</v>
      </c>
      <c r="O41" s="22">
        <f t="shared" si="57"/>
        <v>0.001399455</v>
      </c>
      <c r="P41" s="19">
        <f t="shared" si="58"/>
        <v>22.81337033</v>
      </c>
      <c r="Q41" s="19">
        <f t="shared" si="6"/>
        <v>0.5300795432</v>
      </c>
      <c r="R41" s="17">
        <f t="shared" si="7"/>
        <v>796.6397588</v>
      </c>
      <c r="S41" s="18">
        <v>0.06</v>
      </c>
      <c r="T41" s="23"/>
      <c r="U41" s="19">
        <f t="shared" si="59"/>
        <v>84.00928365</v>
      </c>
      <c r="V41" s="24">
        <f t="shared" si="9"/>
        <v>288.2387491</v>
      </c>
      <c r="W41" s="25">
        <f t="shared" si="60"/>
        <v>1.115384615</v>
      </c>
      <c r="X41" s="25">
        <f t="shared" si="61"/>
        <v>0.5272727273</v>
      </c>
      <c r="Y41" s="25">
        <f t="shared" si="62"/>
        <v>0.18</v>
      </c>
      <c r="Z41" s="99"/>
      <c r="AA41" s="99"/>
      <c r="AB41" s="99"/>
      <c r="AC41" s="1028"/>
      <c r="AD41" s="99"/>
      <c r="AE41" s="99"/>
      <c r="AF41" s="99"/>
      <c r="AG41" s="1028" t="str">
        <f t="shared" si="63"/>
        <v/>
      </c>
      <c r="AH41" s="24">
        <f t="shared" si="64"/>
        <v>0</v>
      </c>
    </row>
    <row r="42">
      <c r="A42" s="216">
        <v>2025.0</v>
      </c>
      <c r="B42" s="216"/>
      <c r="C42" s="216" t="s">
        <v>2330</v>
      </c>
      <c r="D42" s="216" t="s">
        <v>2326</v>
      </c>
      <c r="E42" s="216" t="s">
        <v>1058</v>
      </c>
      <c r="F42" s="1035">
        <v>300000.0</v>
      </c>
      <c r="G42" s="1023">
        <v>750000.0</v>
      </c>
      <c r="H42" s="1025">
        <v>1.0</v>
      </c>
      <c r="I42" s="17">
        <f t="shared" si="1"/>
        <v>434.5307775</v>
      </c>
      <c r="J42" s="18">
        <v>0.035</v>
      </c>
      <c r="K42" s="19">
        <f t="shared" si="55"/>
        <v>419.3222003</v>
      </c>
      <c r="L42" s="20">
        <f t="shared" si="56"/>
        <v>15.20857721</v>
      </c>
      <c r="M42" s="87">
        <v>0.00137</v>
      </c>
      <c r="N42" s="18">
        <v>0.0215</v>
      </c>
      <c r="O42" s="22">
        <f t="shared" si="57"/>
        <v>0.001399455</v>
      </c>
      <c r="P42" s="19">
        <f t="shared" si="58"/>
        <v>24.01542731</v>
      </c>
      <c r="Q42" s="19">
        <f t="shared" si="6"/>
        <v>0.6083225498</v>
      </c>
      <c r="R42" s="17">
        <f t="shared" si="7"/>
        <v>1086.326944</v>
      </c>
      <c r="S42" s="18">
        <v>0.06</v>
      </c>
      <c r="T42" s="23"/>
      <c r="U42" s="19">
        <f t="shared" si="59"/>
        <v>130.3592333</v>
      </c>
      <c r="V42" s="24">
        <f t="shared" si="9"/>
        <v>456.2573164</v>
      </c>
      <c r="W42" s="25">
        <f t="shared" si="60"/>
        <v>1.5</v>
      </c>
      <c r="X42" s="25">
        <f t="shared" si="61"/>
        <v>0.6</v>
      </c>
      <c r="Y42" s="25">
        <f t="shared" si="62"/>
        <v>0.2653333333</v>
      </c>
      <c r="Z42" s="99"/>
      <c r="AA42" s="99"/>
      <c r="AB42" s="99"/>
      <c r="AC42" s="1028"/>
      <c r="AD42" s="99"/>
      <c r="AE42" s="99"/>
      <c r="AF42" s="99"/>
      <c r="AG42" s="1028" t="str">
        <f t="shared" si="63"/>
        <v/>
      </c>
      <c r="AH42" s="24">
        <f t="shared" si="64"/>
        <v>0</v>
      </c>
    </row>
    <row r="43">
      <c r="A43" s="216">
        <v>2025.0</v>
      </c>
      <c r="B43" s="216"/>
      <c r="C43" s="216" t="s">
        <v>2331</v>
      </c>
      <c r="D43" s="216" t="s">
        <v>2326</v>
      </c>
      <c r="E43" s="216" t="s">
        <v>1060</v>
      </c>
      <c r="F43" s="1035">
        <v>450000.0</v>
      </c>
      <c r="G43" s="1023">
        <v>950000.0</v>
      </c>
      <c r="H43" s="1025">
        <v>1.0</v>
      </c>
      <c r="I43" s="17">
        <f t="shared" si="1"/>
        <v>651.7961663</v>
      </c>
      <c r="J43" s="18">
        <v>0.035</v>
      </c>
      <c r="K43" s="19">
        <f t="shared" si="55"/>
        <v>628.9833004</v>
      </c>
      <c r="L43" s="20">
        <f t="shared" si="56"/>
        <v>22.81286582</v>
      </c>
      <c r="M43" s="87">
        <v>0.00137</v>
      </c>
      <c r="N43" s="18">
        <v>0.0215</v>
      </c>
      <c r="O43" s="22">
        <f t="shared" si="57"/>
        <v>0.001399455</v>
      </c>
      <c r="P43" s="19">
        <f t="shared" si="58"/>
        <v>28.52314096</v>
      </c>
      <c r="Q43" s="19">
        <f t="shared" si="6"/>
        <v>0.9017338247</v>
      </c>
      <c r="R43" s="17">
        <f t="shared" si="7"/>
        <v>1376.014129</v>
      </c>
      <c r="S43" s="18">
        <v>0.06</v>
      </c>
      <c r="T43" s="23"/>
      <c r="U43" s="19">
        <f t="shared" si="59"/>
        <v>144.8435925</v>
      </c>
      <c r="V43" s="24">
        <f t="shared" si="9"/>
        <v>496.8135223</v>
      </c>
      <c r="W43" s="25">
        <f t="shared" si="60"/>
        <v>1.111111111</v>
      </c>
      <c r="X43" s="25">
        <f t="shared" si="61"/>
        <v>0.5263157895</v>
      </c>
      <c r="Y43" s="25">
        <f t="shared" si="62"/>
        <v>0.3315789474</v>
      </c>
      <c r="Z43" s="99"/>
      <c r="AA43" s="99"/>
      <c r="AB43" s="99"/>
      <c r="AC43" s="1028"/>
      <c r="AD43" s="99"/>
      <c r="AE43" s="99"/>
      <c r="AF43" s="99"/>
      <c r="AG43" s="1028" t="str">
        <f t="shared" si="63"/>
        <v/>
      </c>
      <c r="AH43" s="24">
        <f t="shared" si="64"/>
        <v>0</v>
      </c>
    </row>
    <row r="44">
      <c r="A44" s="1029"/>
      <c r="B44" s="1029"/>
      <c r="C44" s="1029"/>
      <c r="D44" s="1029"/>
      <c r="E44" s="1034"/>
      <c r="F44" s="1031"/>
      <c r="G44" s="1031"/>
      <c r="H44" s="1025">
        <v>1.0</v>
      </c>
      <c r="I44" s="17">
        <f t="shared" si="1"/>
        <v>0</v>
      </c>
      <c r="J44" s="108"/>
      <c r="K44" s="100"/>
      <c r="L44" s="1032"/>
      <c r="M44" s="87">
        <v>0.00137</v>
      </c>
      <c r="N44" s="108"/>
      <c r="O44" s="1033"/>
      <c r="P44" s="100"/>
      <c r="Q44" s="19">
        <f t="shared" si="6"/>
        <v>0</v>
      </c>
      <c r="R44" s="17">
        <f t="shared" si="7"/>
        <v>0</v>
      </c>
      <c r="S44" s="108"/>
      <c r="T44" s="23"/>
      <c r="U44" s="100"/>
      <c r="V44" s="24">
        <f t="shared" si="9"/>
        <v>0</v>
      </c>
      <c r="W44" s="179"/>
      <c r="X44" s="179"/>
      <c r="Y44" s="179"/>
      <c r="Z44" s="99"/>
      <c r="AA44" s="99"/>
      <c r="AB44" s="99"/>
      <c r="AC44" s="1028"/>
      <c r="AD44" s="99"/>
      <c r="AE44" s="99"/>
      <c r="AF44" s="99"/>
      <c r="AG44" s="1028"/>
      <c r="AH44" s="1028"/>
    </row>
    <row r="45">
      <c r="A45" s="216">
        <v>2026.0</v>
      </c>
      <c r="B45" s="216"/>
      <c r="C45" s="216" t="s">
        <v>2332</v>
      </c>
      <c r="D45" s="216" t="s">
        <v>2333</v>
      </c>
      <c r="E45" s="216" t="s">
        <v>964</v>
      </c>
      <c r="F45" s="1023">
        <v>375000.0</v>
      </c>
      <c r="G45" s="1023">
        <v>570000.0</v>
      </c>
      <c r="H45" s="1025">
        <v>1.0</v>
      </c>
      <c r="I45" s="17">
        <f t="shared" si="1"/>
        <v>543.1634719</v>
      </c>
      <c r="J45" s="18">
        <v>0.035</v>
      </c>
      <c r="K45" s="19">
        <f t="shared" ref="K45:K189" si="65">I45*(1-J45)</f>
        <v>524.1527504</v>
      </c>
      <c r="L45" s="20">
        <f t="shared" ref="L45:L189" si="66">I45-K45</f>
        <v>19.01072152</v>
      </c>
      <c r="M45" s="87">
        <v>0.00137</v>
      </c>
      <c r="N45" s="18">
        <v>0.0215</v>
      </c>
      <c r="O45" s="22">
        <f t="shared" ref="O45:O189" si="67">M45*(1+N45)</f>
        <v>0.001399455</v>
      </c>
      <c r="P45" s="19">
        <f t="shared" ref="P45:P189" si="68">(K45*N45)+15</f>
        <v>26.26928413</v>
      </c>
      <c r="Q45" s="19">
        <f t="shared" si="6"/>
        <v>0.7550281873</v>
      </c>
      <c r="R45" s="17">
        <f t="shared" si="7"/>
        <v>825.6084773</v>
      </c>
      <c r="S45" s="18">
        <v>0.06</v>
      </c>
      <c r="T45" s="23"/>
      <c r="U45" s="19">
        <f t="shared" ref="U45:U189" si="69">(R45-I45)*0.2</f>
        <v>56.48900108</v>
      </c>
      <c r="V45" s="24">
        <f t="shared" si="9"/>
        <v>176.4194957</v>
      </c>
      <c r="W45" s="25">
        <f t="shared" ref="W45:W189" si="70">IFERROR((R45-I45)/I45,"")</f>
        <v>0.52</v>
      </c>
      <c r="X45" s="25">
        <f t="shared" ref="X45:X189" si="71">IFERROR((R45-I45)/R45,"")</f>
        <v>0.3421052632</v>
      </c>
      <c r="Y45" s="25">
        <f t="shared" ref="Y45:Y189" si="72">IFERROR(V44/R45,"")</f>
        <v>0</v>
      </c>
      <c r="Z45" s="99"/>
      <c r="AA45" s="99"/>
      <c r="AB45" s="99"/>
      <c r="AC45" s="1028"/>
      <c r="AD45" s="99"/>
      <c r="AE45" s="99"/>
      <c r="AF45" s="99"/>
      <c r="AG45" s="1028" t="str">
        <f t="shared" ref="AG45:AG189" si="73">IFERROR(AVERAGE(AD45:AF45),"")</f>
        <v/>
      </c>
      <c r="AH45" s="24">
        <f t="shared" ref="AH45:AH189" si="74">AD45+AE45+AF45</f>
        <v>0</v>
      </c>
    </row>
    <row r="46">
      <c r="A46" s="216">
        <v>2026.0</v>
      </c>
      <c r="B46" s="216"/>
      <c r="C46" s="216" t="s">
        <v>2334</v>
      </c>
      <c r="D46" s="216" t="s">
        <v>2333</v>
      </c>
      <c r="E46" s="216" t="s">
        <v>966</v>
      </c>
      <c r="F46" s="1023">
        <v>175000.0</v>
      </c>
      <c r="G46" s="1023">
        <v>400000.0</v>
      </c>
      <c r="H46" s="1025">
        <v>1.0</v>
      </c>
      <c r="I46" s="17">
        <f t="shared" si="1"/>
        <v>253.4762869</v>
      </c>
      <c r="J46" s="18">
        <v>0.035</v>
      </c>
      <c r="K46" s="19">
        <f t="shared" si="65"/>
        <v>244.6046168</v>
      </c>
      <c r="L46" s="20">
        <f t="shared" si="66"/>
        <v>8.871670041</v>
      </c>
      <c r="M46" s="87">
        <v>0.00137</v>
      </c>
      <c r="N46" s="18">
        <v>0.0215</v>
      </c>
      <c r="O46" s="22">
        <f t="shared" si="67"/>
        <v>0.001399455</v>
      </c>
      <c r="P46" s="19">
        <f t="shared" si="68"/>
        <v>20.25899926</v>
      </c>
      <c r="Q46" s="19">
        <f t="shared" si="6"/>
        <v>0.3638131541</v>
      </c>
      <c r="R46" s="17">
        <f t="shared" si="7"/>
        <v>579.37437</v>
      </c>
      <c r="S46" s="18">
        <v>0.06</v>
      </c>
      <c r="T46" s="23"/>
      <c r="U46" s="19">
        <f t="shared" si="69"/>
        <v>65.17961663</v>
      </c>
      <c r="V46" s="24">
        <f t="shared" si="9"/>
        <v>225.9560043</v>
      </c>
      <c r="W46" s="25">
        <f t="shared" si="70"/>
        <v>1.285714286</v>
      </c>
      <c r="X46" s="25">
        <f t="shared" si="71"/>
        <v>0.5625</v>
      </c>
      <c r="Y46" s="25">
        <f t="shared" si="72"/>
        <v>0.3045</v>
      </c>
      <c r="Z46" s="99"/>
      <c r="AA46" s="99"/>
      <c r="AB46" s="99"/>
      <c r="AC46" s="1028"/>
      <c r="AD46" s="99"/>
      <c r="AE46" s="99"/>
      <c r="AF46" s="99"/>
      <c r="AG46" s="1028" t="str">
        <f t="shared" si="73"/>
        <v/>
      </c>
      <c r="AH46" s="24">
        <f t="shared" si="74"/>
        <v>0</v>
      </c>
    </row>
    <row r="47">
      <c r="A47" s="1036">
        <v>45839.0</v>
      </c>
      <c r="B47" s="216"/>
      <c r="C47" s="216" t="s">
        <v>2335</v>
      </c>
      <c r="D47" s="216" t="s">
        <v>975</v>
      </c>
      <c r="E47" s="1034"/>
      <c r="F47" s="1023">
        <v>240000.0</v>
      </c>
      <c r="G47" s="1023">
        <v>350000.0</v>
      </c>
      <c r="H47" s="1025">
        <v>1.0</v>
      </c>
      <c r="I47" s="17">
        <f t="shared" si="1"/>
        <v>347.624622</v>
      </c>
      <c r="J47" s="18">
        <v>0.035</v>
      </c>
      <c r="K47" s="19">
        <f t="shared" si="65"/>
        <v>335.4577602</v>
      </c>
      <c r="L47" s="20">
        <f t="shared" si="66"/>
        <v>12.16686177</v>
      </c>
      <c r="M47" s="87">
        <v>0.00137</v>
      </c>
      <c r="N47" s="18">
        <v>0.0215</v>
      </c>
      <c r="O47" s="22">
        <f t="shared" si="67"/>
        <v>0.001399455</v>
      </c>
      <c r="P47" s="19">
        <f t="shared" si="68"/>
        <v>22.21234184</v>
      </c>
      <c r="Q47" s="19">
        <f t="shared" si="6"/>
        <v>0.4909580398</v>
      </c>
      <c r="R47" s="17">
        <f t="shared" si="7"/>
        <v>506.9525738</v>
      </c>
      <c r="S47" s="18">
        <v>0.06</v>
      </c>
      <c r="T47" s="23"/>
      <c r="U47" s="19">
        <f t="shared" si="69"/>
        <v>31.86559035</v>
      </c>
      <c r="V47" s="24">
        <f t="shared" si="9"/>
        <v>97.04520698</v>
      </c>
      <c r="W47" s="25">
        <f t="shared" si="70"/>
        <v>0.4583333333</v>
      </c>
      <c r="X47" s="25">
        <f t="shared" si="71"/>
        <v>0.3142857143</v>
      </c>
      <c r="Y47" s="25">
        <f t="shared" si="72"/>
        <v>0.4457142857</v>
      </c>
      <c r="Z47" s="99"/>
      <c r="AA47" s="99"/>
      <c r="AB47" s="99"/>
      <c r="AC47" s="1028"/>
      <c r="AD47" s="99"/>
      <c r="AE47" s="99"/>
      <c r="AF47" s="99"/>
      <c r="AG47" s="1028" t="str">
        <f t="shared" si="73"/>
        <v/>
      </c>
      <c r="AH47" s="24">
        <f t="shared" si="74"/>
        <v>0</v>
      </c>
    </row>
    <row r="48">
      <c r="A48" s="1034"/>
      <c r="B48" s="1029"/>
      <c r="C48" s="1029"/>
      <c r="D48" s="1029"/>
      <c r="E48" s="1034"/>
      <c r="F48" s="1031"/>
      <c r="G48" s="1031"/>
      <c r="H48" s="1025">
        <v>1.0</v>
      </c>
      <c r="I48" s="17">
        <f t="shared" si="1"/>
        <v>0</v>
      </c>
      <c r="J48" s="18">
        <v>0.035</v>
      </c>
      <c r="K48" s="19">
        <f t="shared" si="65"/>
        <v>0</v>
      </c>
      <c r="L48" s="20">
        <f t="shared" si="66"/>
        <v>0</v>
      </c>
      <c r="M48" s="87">
        <v>0.00137</v>
      </c>
      <c r="N48" s="18">
        <v>0.0215</v>
      </c>
      <c r="O48" s="22">
        <f t="shared" si="67"/>
        <v>0.001399455</v>
      </c>
      <c r="P48" s="19">
        <f t="shared" si="68"/>
        <v>15</v>
      </c>
      <c r="Q48" s="19">
        <f t="shared" si="6"/>
        <v>0.0215</v>
      </c>
      <c r="R48" s="17">
        <f t="shared" si="7"/>
        <v>0</v>
      </c>
      <c r="S48" s="18">
        <v>0.06</v>
      </c>
      <c r="T48" s="23"/>
      <c r="U48" s="19">
        <f t="shared" si="69"/>
        <v>0</v>
      </c>
      <c r="V48" s="24">
        <f t="shared" si="9"/>
        <v>0</v>
      </c>
      <c r="W48" s="179" t="str">
        <f t="shared" si="70"/>
        <v/>
      </c>
      <c r="X48" s="179" t="str">
        <f t="shared" si="71"/>
        <v/>
      </c>
      <c r="Y48" s="179" t="str">
        <f t="shared" si="72"/>
        <v/>
      </c>
      <c r="Z48" s="99"/>
      <c r="AA48" s="99"/>
      <c r="AB48" s="99"/>
      <c r="AC48" s="1028"/>
      <c r="AD48" s="99"/>
      <c r="AE48" s="99"/>
      <c r="AF48" s="99"/>
      <c r="AG48" s="1028" t="str">
        <f t="shared" si="73"/>
        <v/>
      </c>
      <c r="AH48" s="24">
        <f t="shared" si="74"/>
        <v>0</v>
      </c>
    </row>
    <row r="49">
      <c r="A49" s="1036">
        <v>45901.0</v>
      </c>
      <c r="B49" s="216"/>
      <c r="C49" s="216" t="s">
        <v>2336</v>
      </c>
      <c r="D49" s="216" t="s">
        <v>231</v>
      </c>
      <c r="E49" s="216" t="s">
        <v>964</v>
      </c>
      <c r="F49" s="1023">
        <v>350000.0</v>
      </c>
      <c r="G49" s="1023">
        <v>520000.0</v>
      </c>
      <c r="H49" s="1025">
        <v>1.0</v>
      </c>
      <c r="I49" s="17">
        <f t="shared" si="1"/>
        <v>506.9525738</v>
      </c>
      <c r="J49" s="18">
        <v>0.035</v>
      </c>
      <c r="K49" s="19">
        <f t="shared" si="65"/>
        <v>489.2092337</v>
      </c>
      <c r="L49" s="20">
        <f t="shared" si="66"/>
        <v>17.74334008</v>
      </c>
      <c r="M49" s="87">
        <v>0.00137</v>
      </c>
      <c r="N49" s="18">
        <v>0.0215</v>
      </c>
      <c r="O49" s="22">
        <f t="shared" si="67"/>
        <v>0.001399455</v>
      </c>
      <c r="P49" s="19">
        <f t="shared" si="68"/>
        <v>25.51799852</v>
      </c>
      <c r="Q49" s="19">
        <f t="shared" si="6"/>
        <v>0.7061263081</v>
      </c>
      <c r="R49" s="17">
        <f t="shared" si="7"/>
        <v>753.186681</v>
      </c>
      <c r="S49" s="18">
        <v>0.06</v>
      </c>
      <c r="T49" s="23"/>
      <c r="U49" s="19">
        <f t="shared" si="69"/>
        <v>49.24682145</v>
      </c>
      <c r="V49" s="24">
        <f t="shared" si="9"/>
        <v>151.7960849</v>
      </c>
      <c r="W49" s="25">
        <f t="shared" si="70"/>
        <v>0.4857142857</v>
      </c>
      <c r="X49" s="25">
        <f t="shared" si="71"/>
        <v>0.3269230769</v>
      </c>
      <c r="Y49" s="25">
        <f t="shared" si="72"/>
        <v>0</v>
      </c>
      <c r="Z49" s="99"/>
      <c r="AA49" s="99"/>
      <c r="AB49" s="99"/>
      <c r="AC49" s="1028"/>
      <c r="AD49" s="99"/>
      <c r="AE49" s="99"/>
      <c r="AF49" s="99"/>
      <c r="AG49" s="1028" t="str">
        <f t="shared" si="73"/>
        <v/>
      </c>
      <c r="AH49" s="24">
        <f t="shared" si="74"/>
        <v>0</v>
      </c>
    </row>
    <row r="50">
      <c r="A50" s="1036">
        <v>45901.0</v>
      </c>
      <c r="B50" s="216"/>
      <c r="C50" s="216" t="s">
        <v>2337</v>
      </c>
      <c r="D50" s="216" t="s">
        <v>231</v>
      </c>
      <c r="E50" s="216" t="s">
        <v>966</v>
      </c>
      <c r="F50" s="1023">
        <v>340000.0</v>
      </c>
      <c r="G50" s="1023">
        <v>450000.0</v>
      </c>
      <c r="H50" s="1025">
        <v>1.0</v>
      </c>
      <c r="I50" s="17">
        <f t="shared" si="1"/>
        <v>492.4682145</v>
      </c>
      <c r="J50" s="18">
        <v>0.035</v>
      </c>
      <c r="K50" s="19">
        <f t="shared" si="65"/>
        <v>475.231827</v>
      </c>
      <c r="L50" s="20">
        <f t="shared" si="66"/>
        <v>17.23638751</v>
      </c>
      <c r="M50" s="87">
        <v>0.00137</v>
      </c>
      <c r="N50" s="18">
        <v>0.0215</v>
      </c>
      <c r="O50" s="22">
        <f t="shared" si="67"/>
        <v>0.001399455</v>
      </c>
      <c r="P50" s="19">
        <f t="shared" si="68"/>
        <v>25.21748428</v>
      </c>
      <c r="Q50" s="19">
        <f t="shared" si="6"/>
        <v>0.6865655564</v>
      </c>
      <c r="R50" s="17">
        <f t="shared" si="7"/>
        <v>651.7961663</v>
      </c>
      <c r="S50" s="18">
        <v>0.06</v>
      </c>
      <c r="T50" s="23"/>
      <c r="U50" s="19">
        <f t="shared" si="69"/>
        <v>31.86559035</v>
      </c>
      <c r="V50" s="24">
        <f t="shared" si="9"/>
        <v>88.35459143</v>
      </c>
      <c r="W50" s="25">
        <f t="shared" si="70"/>
        <v>0.3235294118</v>
      </c>
      <c r="X50" s="25">
        <f t="shared" si="71"/>
        <v>0.2444444444</v>
      </c>
      <c r="Y50" s="25">
        <f t="shared" si="72"/>
        <v>0.2328888889</v>
      </c>
      <c r="Z50" s="99"/>
      <c r="AA50" s="99"/>
      <c r="AB50" s="99"/>
      <c r="AC50" s="1028"/>
      <c r="AD50" s="99"/>
      <c r="AE50" s="99"/>
      <c r="AF50" s="99"/>
      <c r="AG50" s="1028" t="str">
        <f t="shared" si="73"/>
        <v/>
      </c>
      <c r="AH50" s="24">
        <f t="shared" si="74"/>
        <v>0</v>
      </c>
    </row>
    <row r="51">
      <c r="A51" s="1036">
        <v>45901.0</v>
      </c>
      <c r="B51" s="216"/>
      <c r="C51" s="216" t="s">
        <v>2338</v>
      </c>
      <c r="D51" s="216" t="s">
        <v>1005</v>
      </c>
      <c r="E51" s="1034"/>
      <c r="F51" s="1023">
        <v>209000.0</v>
      </c>
      <c r="G51" s="1023">
        <v>250000.0</v>
      </c>
      <c r="H51" s="1025">
        <v>1.0</v>
      </c>
      <c r="I51" s="17">
        <f t="shared" si="1"/>
        <v>302.7231083</v>
      </c>
      <c r="J51" s="18">
        <v>0.035</v>
      </c>
      <c r="K51" s="19">
        <f t="shared" si="65"/>
        <v>292.1277995</v>
      </c>
      <c r="L51" s="20">
        <f t="shared" si="66"/>
        <v>10.59530879</v>
      </c>
      <c r="M51" s="87">
        <v>0.00137</v>
      </c>
      <c r="N51" s="18">
        <v>0.0215</v>
      </c>
      <c r="O51" s="22">
        <f t="shared" si="67"/>
        <v>0.001399455</v>
      </c>
      <c r="P51" s="19">
        <f t="shared" si="68"/>
        <v>21.28074769</v>
      </c>
      <c r="Q51" s="19">
        <f t="shared" si="6"/>
        <v>0.4303197097</v>
      </c>
      <c r="R51" s="17">
        <f t="shared" si="7"/>
        <v>362.1089813</v>
      </c>
      <c r="S51" s="18">
        <v>0.06</v>
      </c>
      <c r="T51" s="23"/>
      <c r="U51" s="19">
        <f t="shared" si="69"/>
        <v>11.87717459</v>
      </c>
      <c r="V51" s="24">
        <f t="shared" si="9"/>
        <v>25.78215947</v>
      </c>
      <c r="W51" s="25">
        <f t="shared" si="70"/>
        <v>0.1961722488</v>
      </c>
      <c r="X51" s="25">
        <f t="shared" si="71"/>
        <v>0.164</v>
      </c>
      <c r="Y51" s="25">
        <f t="shared" si="72"/>
        <v>0.244</v>
      </c>
      <c r="Z51" s="99"/>
      <c r="AA51" s="99"/>
      <c r="AB51" s="99"/>
      <c r="AC51" s="1028"/>
      <c r="AD51" s="99"/>
      <c r="AE51" s="99"/>
      <c r="AF51" s="99"/>
      <c r="AG51" s="1028" t="str">
        <f t="shared" si="73"/>
        <v/>
      </c>
      <c r="AH51" s="24">
        <f t="shared" si="74"/>
        <v>0</v>
      </c>
    </row>
    <row r="52">
      <c r="A52" s="1034"/>
      <c r="B52" s="1029"/>
      <c r="C52" s="1029"/>
      <c r="D52" s="1029"/>
      <c r="E52" s="1034"/>
      <c r="F52" s="1031"/>
      <c r="G52" s="1031"/>
      <c r="H52" s="1025">
        <v>1.0</v>
      </c>
      <c r="I52" s="17">
        <f t="shared" si="1"/>
        <v>0</v>
      </c>
      <c r="J52" s="18">
        <v>0.035</v>
      </c>
      <c r="K52" s="19">
        <f t="shared" si="65"/>
        <v>0</v>
      </c>
      <c r="L52" s="20">
        <f t="shared" si="66"/>
        <v>0</v>
      </c>
      <c r="M52" s="87">
        <v>0.00137</v>
      </c>
      <c r="N52" s="18">
        <v>0.0215</v>
      </c>
      <c r="O52" s="22">
        <f t="shared" si="67"/>
        <v>0.001399455</v>
      </c>
      <c r="P52" s="19">
        <f t="shared" si="68"/>
        <v>15</v>
      </c>
      <c r="Q52" s="19">
        <f t="shared" si="6"/>
        <v>0.0215</v>
      </c>
      <c r="R52" s="17">
        <f t="shared" si="7"/>
        <v>0</v>
      </c>
      <c r="S52" s="18">
        <v>0.06</v>
      </c>
      <c r="T52" s="23"/>
      <c r="U52" s="19">
        <f t="shared" si="69"/>
        <v>0</v>
      </c>
      <c r="V52" s="24">
        <f t="shared" si="9"/>
        <v>0</v>
      </c>
      <c r="W52" s="179" t="str">
        <f t="shared" si="70"/>
        <v/>
      </c>
      <c r="X52" s="179" t="str">
        <f t="shared" si="71"/>
        <v/>
      </c>
      <c r="Y52" s="179" t="str">
        <f t="shared" si="72"/>
        <v/>
      </c>
      <c r="Z52" s="99"/>
      <c r="AA52" s="99"/>
      <c r="AB52" s="99"/>
      <c r="AC52" s="1028"/>
      <c r="AD52" s="99"/>
      <c r="AE52" s="99"/>
      <c r="AF52" s="99"/>
      <c r="AG52" s="1028" t="str">
        <f t="shared" si="73"/>
        <v/>
      </c>
      <c r="AH52" s="24">
        <f t="shared" si="74"/>
        <v>0</v>
      </c>
    </row>
    <row r="53">
      <c r="A53" s="216">
        <v>2026.0</v>
      </c>
      <c r="B53" s="216"/>
      <c r="C53" s="216" t="s">
        <v>2339</v>
      </c>
      <c r="D53" s="216" t="s">
        <v>2340</v>
      </c>
      <c r="E53" s="216" t="s">
        <v>1022</v>
      </c>
      <c r="F53" s="1023">
        <v>310000.0</v>
      </c>
      <c r="G53" s="1023">
        <v>450000.0</v>
      </c>
      <c r="H53" s="1025">
        <v>1.0</v>
      </c>
      <c r="I53" s="17">
        <f t="shared" si="1"/>
        <v>449.0151368</v>
      </c>
      <c r="J53" s="18">
        <v>0.035</v>
      </c>
      <c r="K53" s="19">
        <f t="shared" si="65"/>
        <v>433.299607</v>
      </c>
      <c r="L53" s="20">
        <f t="shared" si="66"/>
        <v>15.71552979</v>
      </c>
      <c r="M53" s="87">
        <v>0.00137</v>
      </c>
      <c r="N53" s="18">
        <v>0.0215</v>
      </c>
      <c r="O53" s="22">
        <f t="shared" si="67"/>
        <v>0.001399455</v>
      </c>
      <c r="P53" s="19">
        <f t="shared" si="68"/>
        <v>24.31594155</v>
      </c>
      <c r="Q53" s="19">
        <f t="shared" si="6"/>
        <v>0.6278833015</v>
      </c>
      <c r="R53" s="17">
        <f t="shared" si="7"/>
        <v>651.7961663</v>
      </c>
      <c r="S53" s="18">
        <v>0.06</v>
      </c>
      <c r="T53" s="23"/>
      <c r="U53" s="19">
        <f t="shared" si="69"/>
        <v>40.5562059</v>
      </c>
      <c r="V53" s="24">
        <f t="shared" si="9"/>
        <v>123.1170536</v>
      </c>
      <c r="W53" s="25">
        <f t="shared" si="70"/>
        <v>0.4516129032</v>
      </c>
      <c r="X53" s="25">
        <f t="shared" si="71"/>
        <v>0.3111111111</v>
      </c>
      <c r="Y53" s="25">
        <f t="shared" si="72"/>
        <v>0</v>
      </c>
      <c r="Z53" s="99"/>
      <c r="AA53" s="99"/>
      <c r="AB53" s="99"/>
      <c r="AC53" s="1028"/>
      <c r="AD53" s="99"/>
      <c r="AE53" s="99"/>
      <c r="AF53" s="99"/>
      <c r="AG53" s="1028" t="str">
        <f t="shared" si="73"/>
        <v/>
      </c>
      <c r="AH53" s="24">
        <f t="shared" si="74"/>
        <v>0</v>
      </c>
    </row>
    <row r="54">
      <c r="A54" s="216">
        <v>2026.0</v>
      </c>
      <c r="B54" s="216"/>
      <c r="C54" s="216" t="s">
        <v>2341</v>
      </c>
      <c r="D54" s="216" t="s">
        <v>1448</v>
      </c>
      <c r="E54" s="216" t="s">
        <v>1010</v>
      </c>
      <c r="F54" s="1023">
        <v>450000.0</v>
      </c>
      <c r="G54" s="1023">
        <v>600000.0</v>
      </c>
      <c r="H54" s="1025">
        <v>1.0</v>
      </c>
      <c r="I54" s="17">
        <f t="shared" si="1"/>
        <v>651.7961663</v>
      </c>
      <c r="J54" s="18">
        <v>0.035</v>
      </c>
      <c r="K54" s="19">
        <f t="shared" si="65"/>
        <v>628.9833004</v>
      </c>
      <c r="L54" s="20">
        <f t="shared" si="66"/>
        <v>22.81286582</v>
      </c>
      <c r="M54" s="87">
        <v>0.00137</v>
      </c>
      <c r="N54" s="18">
        <v>0.0215</v>
      </c>
      <c r="O54" s="22">
        <f t="shared" si="67"/>
        <v>0.001399455</v>
      </c>
      <c r="P54" s="19">
        <f t="shared" si="68"/>
        <v>28.52314096</v>
      </c>
      <c r="Q54" s="19">
        <f t="shared" si="6"/>
        <v>0.9017338247</v>
      </c>
      <c r="R54" s="17">
        <f t="shared" si="7"/>
        <v>869.061555</v>
      </c>
      <c r="S54" s="18">
        <v>0.06</v>
      </c>
      <c r="T54" s="23"/>
      <c r="U54" s="19">
        <f t="shared" si="69"/>
        <v>43.45307775</v>
      </c>
      <c r="V54" s="24">
        <f t="shared" si="9"/>
        <v>121.6686177</v>
      </c>
      <c r="W54" s="25">
        <f t="shared" si="70"/>
        <v>0.3333333333</v>
      </c>
      <c r="X54" s="25">
        <f t="shared" si="71"/>
        <v>0.25</v>
      </c>
      <c r="Y54" s="25">
        <f t="shared" si="72"/>
        <v>0.1416666667</v>
      </c>
      <c r="Z54" s="99"/>
      <c r="AA54" s="99"/>
      <c r="AB54" s="99"/>
      <c r="AC54" s="1028"/>
      <c r="AD54" s="99"/>
      <c r="AE54" s="99"/>
      <c r="AF54" s="99"/>
      <c r="AG54" s="1028" t="str">
        <f t="shared" si="73"/>
        <v/>
      </c>
      <c r="AH54" s="24">
        <f t="shared" si="74"/>
        <v>0</v>
      </c>
    </row>
    <row r="55">
      <c r="A55" s="1029"/>
      <c r="B55" s="1029"/>
      <c r="C55" s="1029"/>
      <c r="D55" s="1029"/>
      <c r="E55" s="1034"/>
      <c r="F55" s="1031"/>
      <c r="G55" s="1031"/>
      <c r="H55" s="1025">
        <v>1.0</v>
      </c>
      <c r="I55" s="17">
        <f t="shared" si="1"/>
        <v>0</v>
      </c>
      <c r="J55" s="18">
        <v>0.035</v>
      </c>
      <c r="K55" s="19">
        <f t="shared" si="65"/>
        <v>0</v>
      </c>
      <c r="L55" s="20">
        <f t="shared" si="66"/>
        <v>0</v>
      </c>
      <c r="M55" s="87">
        <v>0.00137</v>
      </c>
      <c r="N55" s="18">
        <v>0.0215</v>
      </c>
      <c r="O55" s="22">
        <f t="shared" si="67"/>
        <v>0.001399455</v>
      </c>
      <c r="P55" s="19">
        <f t="shared" si="68"/>
        <v>15</v>
      </c>
      <c r="Q55" s="19">
        <f t="shared" si="6"/>
        <v>0.0215</v>
      </c>
      <c r="R55" s="17">
        <f t="shared" si="7"/>
        <v>0</v>
      </c>
      <c r="S55" s="18">
        <v>0.06</v>
      </c>
      <c r="T55" s="23"/>
      <c r="U55" s="19">
        <f t="shared" si="69"/>
        <v>0</v>
      </c>
      <c r="V55" s="24">
        <f t="shared" si="9"/>
        <v>0</v>
      </c>
      <c r="W55" s="179" t="str">
        <f t="shared" si="70"/>
        <v/>
      </c>
      <c r="X55" s="179" t="str">
        <f t="shared" si="71"/>
        <v/>
      </c>
      <c r="Y55" s="179" t="str">
        <f t="shared" si="72"/>
        <v/>
      </c>
      <c r="Z55" s="99"/>
      <c r="AA55" s="99"/>
      <c r="AB55" s="99"/>
      <c r="AC55" s="1028"/>
      <c r="AD55" s="99"/>
      <c r="AE55" s="99"/>
      <c r="AF55" s="99"/>
      <c r="AG55" s="1028" t="str">
        <f t="shared" si="73"/>
        <v/>
      </c>
      <c r="AH55" s="24">
        <f t="shared" si="74"/>
        <v>0</v>
      </c>
    </row>
    <row r="56">
      <c r="A56" s="216">
        <v>2026.0</v>
      </c>
      <c r="B56" s="216"/>
      <c r="C56" s="216" t="s">
        <v>2250</v>
      </c>
      <c r="D56" s="216" t="s">
        <v>1631</v>
      </c>
      <c r="E56" s="216" t="s">
        <v>1008</v>
      </c>
      <c r="F56" s="1023">
        <v>280000.0</v>
      </c>
      <c r="G56" s="1023">
        <v>450000.0</v>
      </c>
      <c r="H56" s="1025">
        <v>1.0</v>
      </c>
      <c r="I56" s="17">
        <f t="shared" si="1"/>
        <v>405.562059</v>
      </c>
      <c r="J56" s="18">
        <v>0.035</v>
      </c>
      <c r="K56" s="19">
        <f t="shared" si="65"/>
        <v>391.3673869</v>
      </c>
      <c r="L56" s="20">
        <f t="shared" si="66"/>
        <v>14.19467207</v>
      </c>
      <c r="M56" s="87">
        <v>0.00137</v>
      </c>
      <c r="N56" s="18">
        <v>0.0215</v>
      </c>
      <c r="O56" s="22">
        <f t="shared" si="67"/>
        <v>0.001399455</v>
      </c>
      <c r="P56" s="19">
        <f t="shared" si="68"/>
        <v>23.41439882</v>
      </c>
      <c r="Q56" s="19">
        <f t="shared" si="6"/>
        <v>0.5692010465</v>
      </c>
      <c r="R56" s="17">
        <f t="shared" si="7"/>
        <v>651.7961663</v>
      </c>
      <c r="S56" s="18">
        <v>0.06</v>
      </c>
      <c r="T56" s="23"/>
      <c r="U56" s="19">
        <f t="shared" si="69"/>
        <v>49.24682145</v>
      </c>
      <c r="V56" s="24">
        <f t="shared" si="9"/>
        <v>157.8795158</v>
      </c>
      <c r="W56" s="25">
        <f t="shared" si="70"/>
        <v>0.6071428571</v>
      </c>
      <c r="X56" s="25">
        <f t="shared" si="71"/>
        <v>0.3777777778</v>
      </c>
      <c r="Y56" s="25">
        <f t="shared" si="72"/>
        <v>0</v>
      </c>
      <c r="Z56" s="99"/>
      <c r="AA56" s="99"/>
      <c r="AB56" s="99"/>
      <c r="AC56" s="1028"/>
      <c r="AD56" s="99"/>
      <c r="AE56" s="99"/>
      <c r="AF56" s="99"/>
      <c r="AG56" s="1028" t="str">
        <f t="shared" si="73"/>
        <v/>
      </c>
      <c r="AH56" s="24">
        <f t="shared" si="74"/>
        <v>0</v>
      </c>
    </row>
    <row r="57">
      <c r="A57" s="216">
        <v>2026.0</v>
      </c>
      <c r="B57" s="216"/>
      <c r="C57" s="216" t="s">
        <v>2342</v>
      </c>
      <c r="D57" s="216" t="s">
        <v>1631</v>
      </c>
      <c r="E57" s="216" t="s">
        <v>1010</v>
      </c>
      <c r="F57" s="1023">
        <v>370000.0</v>
      </c>
      <c r="G57" s="1023">
        <v>500000.0</v>
      </c>
      <c r="H57" s="1025">
        <v>1.0</v>
      </c>
      <c r="I57" s="17">
        <f t="shared" si="1"/>
        <v>535.9212923</v>
      </c>
      <c r="J57" s="18">
        <v>0.035</v>
      </c>
      <c r="K57" s="19">
        <f t="shared" si="65"/>
        <v>517.164047</v>
      </c>
      <c r="L57" s="20">
        <f t="shared" si="66"/>
        <v>18.75724523</v>
      </c>
      <c r="M57" s="87">
        <v>0.00137</v>
      </c>
      <c r="N57" s="18">
        <v>0.0215</v>
      </c>
      <c r="O57" s="22">
        <f t="shared" si="67"/>
        <v>0.001399455</v>
      </c>
      <c r="P57" s="19">
        <f t="shared" si="68"/>
        <v>26.11902701</v>
      </c>
      <c r="Q57" s="19">
        <f t="shared" si="6"/>
        <v>0.7452478114</v>
      </c>
      <c r="R57" s="17">
        <f t="shared" si="7"/>
        <v>724.2179625</v>
      </c>
      <c r="S57" s="18">
        <v>0.06</v>
      </c>
      <c r="T57" s="23"/>
      <c r="U57" s="19">
        <f t="shared" si="69"/>
        <v>37.65933405</v>
      </c>
      <c r="V57" s="24">
        <f t="shared" si="9"/>
        <v>107.1842585</v>
      </c>
      <c r="W57" s="25">
        <f t="shared" si="70"/>
        <v>0.3513513514</v>
      </c>
      <c r="X57" s="25">
        <f t="shared" si="71"/>
        <v>0.26</v>
      </c>
      <c r="Y57" s="25">
        <f t="shared" si="72"/>
        <v>0.218</v>
      </c>
      <c r="Z57" s="99"/>
      <c r="AA57" s="99"/>
      <c r="AB57" s="99"/>
      <c r="AC57" s="1028"/>
      <c r="AD57" s="99"/>
      <c r="AE57" s="99"/>
      <c r="AF57" s="99"/>
      <c r="AG57" s="1028" t="str">
        <f t="shared" si="73"/>
        <v/>
      </c>
      <c r="AH57" s="24">
        <f t="shared" si="74"/>
        <v>0</v>
      </c>
    </row>
    <row r="58">
      <c r="A58" s="216">
        <v>2026.0</v>
      </c>
      <c r="B58" s="216"/>
      <c r="C58" s="216" t="s">
        <v>2343</v>
      </c>
      <c r="D58" s="216" t="s">
        <v>1680</v>
      </c>
      <c r="E58" s="1034"/>
      <c r="F58" s="1023">
        <v>270000.0</v>
      </c>
      <c r="G58" s="1023">
        <v>450000.0</v>
      </c>
      <c r="H58" s="1025">
        <v>1.0</v>
      </c>
      <c r="I58" s="17">
        <f t="shared" si="1"/>
        <v>391.0776998</v>
      </c>
      <c r="J58" s="18">
        <v>0.035</v>
      </c>
      <c r="K58" s="19">
        <f t="shared" si="65"/>
        <v>377.3899803</v>
      </c>
      <c r="L58" s="20">
        <f t="shared" si="66"/>
        <v>13.68771949</v>
      </c>
      <c r="M58" s="87">
        <v>0.00137</v>
      </c>
      <c r="N58" s="18">
        <v>0.0215</v>
      </c>
      <c r="O58" s="22">
        <f t="shared" si="67"/>
        <v>0.001399455</v>
      </c>
      <c r="P58" s="19">
        <f t="shared" si="68"/>
        <v>23.11388458</v>
      </c>
      <c r="Q58" s="19">
        <f t="shared" si="6"/>
        <v>0.5496402948</v>
      </c>
      <c r="R58" s="17">
        <f t="shared" si="7"/>
        <v>651.7961663</v>
      </c>
      <c r="S58" s="18">
        <v>0.06</v>
      </c>
      <c r="T58" s="23"/>
      <c r="U58" s="19">
        <f t="shared" si="69"/>
        <v>52.1436933</v>
      </c>
      <c r="V58" s="24">
        <f t="shared" si="9"/>
        <v>169.4670032</v>
      </c>
      <c r="W58" s="25">
        <f t="shared" si="70"/>
        <v>0.6666666667</v>
      </c>
      <c r="X58" s="25">
        <f t="shared" si="71"/>
        <v>0.4</v>
      </c>
      <c r="Y58" s="25">
        <f t="shared" si="72"/>
        <v>0.1644444444</v>
      </c>
      <c r="Z58" s="99"/>
      <c r="AA58" s="99"/>
      <c r="AB58" s="99"/>
      <c r="AC58" s="1028"/>
      <c r="AD58" s="99"/>
      <c r="AE58" s="99"/>
      <c r="AF58" s="99"/>
      <c r="AG58" s="1028" t="str">
        <f t="shared" si="73"/>
        <v/>
      </c>
      <c r="AH58" s="24">
        <f t="shared" si="74"/>
        <v>0</v>
      </c>
    </row>
    <row r="59">
      <c r="A59" s="216">
        <v>2026.0</v>
      </c>
      <c r="B59" s="216"/>
      <c r="C59" s="216" t="s">
        <v>2344</v>
      </c>
      <c r="D59" s="216" t="s">
        <v>1978</v>
      </c>
      <c r="E59" s="1034"/>
      <c r="F59" s="1023">
        <v>330000.0</v>
      </c>
      <c r="G59" s="1023">
        <v>450000.0</v>
      </c>
      <c r="H59" s="1025">
        <v>1.0</v>
      </c>
      <c r="I59" s="17">
        <f t="shared" si="1"/>
        <v>477.9838553</v>
      </c>
      <c r="J59" s="18">
        <v>0.035</v>
      </c>
      <c r="K59" s="19">
        <f t="shared" si="65"/>
        <v>461.2544203</v>
      </c>
      <c r="L59" s="20">
        <f t="shared" si="66"/>
        <v>16.72943493</v>
      </c>
      <c r="M59" s="87">
        <v>0.00137</v>
      </c>
      <c r="N59" s="18">
        <v>0.0215</v>
      </c>
      <c r="O59" s="22">
        <f t="shared" si="67"/>
        <v>0.001399455</v>
      </c>
      <c r="P59" s="19">
        <f t="shared" si="68"/>
        <v>24.91697004</v>
      </c>
      <c r="Q59" s="19">
        <f t="shared" si="6"/>
        <v>0.6670048048</v>
      </c>
      <c r="R59" s="17">
        <f t="shared" si="7"/>
        <v>651.7961663</v>
      </c>
      <c r="S59" s="18">
        <v>0.06</v>
      </c>
      <c r="T59" s="23"/>
      <c r="U59" s="19">
        <f t="shared" si="69"/>
        <v>34.7624622</v>
      </c>
      <c r="V59" s="24">
        <f t="shared" si="9"/>
        <v>99.94207883</v>
      </c>
      <c r="W59" s="25">
        <f t="shared" si="70"/>
        <v>0.3636363636</v>
      </c>
      <c r="X59" s="25">
        <f t="shared" si="71"/>
        <v>0.2666666667</v>
      </c>
      <c r="Y59" s="25">
        <f t="shared" si="72"/>
        <v>0.26</v>
      </c>
      <c r="Z59" s="99"/>
      <c r="AA59" s="99"/>
      <c r="AB59" s="99"/>
      <c r="AC59" s="1028"/>
      <c r="AD59" s="99"/>
      <c r="AE59" s="99"/>
      <c r="AF59" s="99"/>
      <c r="AG59" s="1028" t="str">
        <f t="shared" si="73"/>
        <v/>
      </c>
      <c r="AH59" s="24">
        <f t="shared" si="74"/>
        <v>0</v>
      </c>
    </row>
    <row r="60">
      <c r="A60" s="1034"/>
      <c r="B60" s="1029"/>
      <c r="C60" s="1029"/>
      <c r="D60" s="1029"/>
      <c r="E60" s="1034"/>
      <c r="F60" s="1031"/>
      <c r="G60" s="1031"/>
      <c r="H60" s="1025">
        <v>1.0</v>
      </c>
      <c r="I60" s="17">
        <f t="shared" si="1"/>
        <v>0</v>
      </c>
      <c r="J60" s="18">
        <v>0.035</v>
      </c>
      <c r="K60" s="19">
        <f t="shared" si="65"/>
        <v>0</v>
      </c>
      <c r="L60" s="20">
        <f t="shared" si="66"/>
        <v>0</v>
      </c>
      <c r="M60" s="87">
        <v>0.00137</v>
      </c>
      <c r="N60" s="18">
        <v>0.0215</v>
      </c>
      <c r="O60" s="22">
        <f t="shared" si="67"/>
        <v>0.001399455</v>
      </c>
      <c r="P60" s="19">
        <f t="shared" si="68"/>
        <v>15</v>
      </c>
      <c r="Q60" s="19">
        <f t="shared" si="6"/>
        <v>0.0215</v>
      </c>
      <c r="R60" s="17">
        <f t="shared" si="7"/>
        <v>0</v>
      </c>
      <c r="S60" s="18">
        <v>0.06</v>
      </c>
      <c r="T60" s="23"/>
      <c r="U60" s="19">
        <f t="shared" si="69"/>
        <v>0</v>
      </c>
      <c r="V60" s="24">
        <f t="shared" si="9"/>
        <v>0</v>
      </c>
      <c r="W60" s="179" t="str">
        <f t="shared" si="70"/>
        <v/>
      </c>
      <c r="X60" s="179" t="str">
        <f t="shared" si="71"/>
        <v/>
      </c>
      <c r="Y60" s="179" t="str">
        <f t="shared" si="72"/>
        <v/>
      </c>
      <c r="Z60" s="99"/>
      <c r="AA60" s="99"/>
      <c r="AB60" s="99"/>
      <c r="AC60" s="1028"/>
      <c r="AD60" s="99"/>
      <c r="AE60" s="99"/>
      <c r="AF60" s="99"/>
      <c r="AG60" s="1028" t="str">
        <f t="shared" si="73"/>
        <v/>
      </c>
      <c r="AH60" s="24">
        <f t="shared" si="74"/>
        <v>0</v>
      </c>
    </row>
    <row r="61">
      <c r="A61" s="216">
        <v>2026.0</v>
      </c>
      <c r="B61" s="216"/>
      <c r="C61" s="216" t="s">
        <v>2345</v>
      </c>
      <c r="D61" s="216" t="s">
        <v>2346</v>
      </c>
      <c r="E61" s="216" t="s">
        <v>964</v>
      </c>
      <c r="F61" s="1023">
        <v>350000.0</v>
      </c>
      <c r="G61" s="1023">
        <v>490000.0</v>
      </c>
      <c r="H61" s="1025">
        <v>1.0</v>
      </c>
      <c r="I61" s="17">
        <f t="shared" si="1"/>
        <v>506.9525738</v>
      </c>
      <c r="J61" s="18">
        <v>0.035</v>
      </c>
      <c r="K61" s="19">
        <f t="shared" si="65"/>
        <v>489.2092337</v>
      </c>
      <c r="L61" s="20">
        <f t="shared" si="66"/>
        <v>17.74334008</v>
      </c>
      <c r="M61" s="87">
        <v>0.00137</v>
      </c>
      <c r="N61" s="18">
        <v>0.0215</v>
      </c>
      <c r="O61" s="22">
        <f t="shared" si="67"/>
        <v>0.001399455</v>
      </c>
      <c r="P61" s="19">
        <f t="shared" si="68"/>
        <v>25.51799852</v>
      </c>
      <c r="Q61" s="19">
        <f t="shared" si="6"/>
        <v>0.7061263081</v>
      </c>
      <c r="R61" s="17">
        <f t="shared" si="7"/>
        <v>709.7336033</v>
      </c>
      <c r="S61" s="18">
        <v>0.06</v>
      </c>
      <c r="T61" s="23"/>
      <c r="U61" s="19">
        <f t="shared" si="69"/>
        <v>40.5562059</v>
      </c>
      <c r="V61" s="24">
        <f t="shared" si="9"/>
        <v>119.6408074</v>
      </c>
      <c r="W61" s="25">
        <f t="shared" si="70"/>
        <v>0.4</v>
      </c>
      <c r="X61" s="25">
        <f t="shared" si="71"/>
        <v>0.2857142857</v>
      </c>
      <c r="Y61" s="25">
        <f t="shared" si="72"/>
        <v>0</v>
      </c>
      <c r="Z61" s="99"/>
      <c r="AA61" s="99"/>
      <c r="AB61" s="99"/>
      <c r="AC61" s="1028"/>
      <c r="AD61" s="99"/>
      <c r="AE61" s="99"/>
      <c r="AF61" s="99"/>
      <c r="AG61" s="1028" t="str">
        <f t="shared" si="73"/>
        <v/>
      </c>
      <c r="AH61" s="24">
        <f t="shared" si="74"/>
        <v>0</v>
      </c>
    </row>
    <row r="62">
      <c r="A62" s="216">
        <v>2026.0</v>
      </c>
      <c r="B62" s="216"/>
      <c r="C62" s="216" t="s">
        <v>2347</v>
      </c>
      <c r="D62" s="216" t="s">
        <v>2346</v>
      </c>
      <c r="E62" s="216" t="s">
        <v>966</v>
      </c>
      <c r="F62" s="1023">
        <v>230000.0</v>
      </c>
      <c r="G62" s="1023">
        <v>370000.0</v>
      </c>
      <c r="H62" s="1025">
        <v>1.0</v>
      </c>
      <c r="I62" s="17">
        <f t="shared" si="1"/>
        <v>333.1402628</v>
      </c>
      <c r="J62" s="18">
        <v>0.035</v>
      </c>
      <c r="K62" s="19">
        <f t="shared" si="65"/>
        <v>321.4803536</v>
      </c>
      <c r="L62" s="20">
        <f t="shared" si="66"/>
        <v>11.6599092</v>
      </c>
      <c r="M62" s="87">
        <v>0.00137</v>
      </c>
      <c r="N62" s="18">
        <v>0.0215</v>
      </c>
      <c r="O62" s="22">
        <f t="shared" si="67"/>
        <v>0.001399455</v>
      </c>
      <c r="P62" s="19">
        <f t="shared" si="68"/>
        <v>21.9118276</v>
      </c>
      <c r="Q62" s="19">
        <f t="shared" si="6"/>
        <v>0.4713972882</v>
      </c>
      <c r="R62" s="17">
        <f t="shared" si="7"/>
        <v>535.9212923</v>
      </c>
      <c r="S62" s="18">
        <v>0.06</v>
      </c>
      <c r="T62" s="23"/>
      <c r="U62" s="19">
        <f t="shared" si="69"/>
        <v>40.5562059</v>
      </c>
      <c r="V62" s="24">
        <f t="shared" si="9"/>
        <v>130.0695461</v>
      </c>
      <c r="W62" s="25">
        <f t="shared" si="70"/>
        <v>0.6086956522</v>
      </c>
      <c r="X62" s="25">
        <f t="shared" si="71"/>
        <v>0.3783783784</v>
      </c>
      <c r="Y62" s="25">
        <f t="shared" si="72"/>
        <v>0.2232432432</v>
      </c>
      <c r="Z62" s="99"/>
      <c r="AA62" s="99"/>
      <c r="AB62" s="99"/>
      <c r="AC62" s="1028"/>
      <c r="AD62" s="99"/>
      <c r="AE62" s="99"/>
      <c r="AF62" s="99"/>
      <c r="AG62" s="1028" t="str">
        <f t="shared" si="73"/>
        <v/>
      </c>
      <c r="AH62" s="24">
        <f t="shared" si="74"/>
        <v>0</v>
      </c>
    </row>
    <row r="63">
      <c r="A63" s="216">
        <v>2026.0</v>
      </c>
      <c r="B63" s="216"/>
      <c r="C63" s="216" t="s">
        <v>2348</v>
      </c>
      <c r="D63" s="216" t="s">
        <v>1003</v>
      </c>
      <c r="E63" s="1034"/>
      <c r="F63" s="1023">
        <v>60000.0</v>
      </c>
      <c r="G63" s="1023">
        <v>150000.0</v>
      </c>
      <c r="H63" s="1025">
        <v>1.0</v>
      </c>
      <c r="I63" s="17">
        <f t="shared" si="1"/>
        <v>86.9061555</v>
      </c>
      <c r="J63" s="18">
        <v>0.035</v>
      </c>
      <c r="K63" s="19">
        <f t="shared" si="65"/>
        <v>83.86444006</v>
      </c>
      <c r="L63" s="20">
        <f t="shared" si="66"/>
        <v>3.041715443</v>
      </c>
      <c r="M63" s="87">
        <v>0.00137</v>
      </c>
      <c r="N63" s="18">
        <v>0.0215</v>
      </c>
      <c r="O63" s="22">
        <f t="shared" si="67"/>
        <v>0.001399455</v>
      </c>
      <c r="P63" s="19">
        <f t="shared" si="68"/>
        <v>16.80308546</v>
      </c>
      <c r="Q63" s="19">
        <f t="shared" si="6"/>
        <v>0.13886451</v>
      </c>
      <c r="R63" s="17">
        <f t="shared" si="7"/>
        <v>217.2653888</v>
      </c>
      <c r="S63" s="18">
        <v>0.06</v>
      </c>
      <c r="T63" s="23"/>
      <c r="U63" s="19">
        <f t="shared" si="69"/>
        <v>26.07184665</v>
      </c>
      <c r="V63" s="24">
        <f t="shared" si="9"/>
        <v>91.25146328</v>
      </c>
      <c r="W63" s="25">
        <f t="shared" si="70"/>
        <v>1.5</v>
      </c>
      <c r="X63" s="25">
        <f t="shared" si="71"/>
        <v>0.6</v>
      </c>
      <c r="Y63" s="25">
        <f t="shared" si="72"/>
        <v>0.5986666667</v>
      </c>
      <c r="Z63" s="99"/>
      <c r="AA63" s="99"/>
      <c r="AB63" s="99"/>
      <c r="AC63" s="1028"/>
      <c r="AD63" s="99"/>
      <c r="AE63" s="99"/>
      <c r="AF63" s="99"/>
      <c r="AG63" s="1028" t="str">
        <f t="shared" si="73"/>
        <v/>
      </c>
      <c r="AH63" s="24">
        <f t="shared" si="74"/>
        <v>0</v>
      </c>
    </row>
    <row r="64">
      <c r="A64" s="1034"/>
      <c r="B64" s="1029"/>
      <c r="C64" s="1029"/>
      <c r="D64" s="1029"/>
      <c r="E64" s="1034"/>
      <c r="F64" s="1031"/>
      <c r="G64" s="1031"/>
      <c r="H64" s="1025">
        <v>1.0</v>
      </c>
      <c r="I64" s="17">
        <f t="shared" si="1"/>
        <v>0</v>
      </c>
      <c r="J64" s="18">
        <v>0.035</v>
      </c>
      <c r="K64" s="19">
        <f t="shared" si="65"/>
        <v>0</v>
      </c>
      <c r="L64" s="20">
        <f t="shared" si="66"/>
        <v>0</v>
      </c>
      <c r="M64" s="87">
        <v>0.00137</v>
      </c>
      <c r="N64" s="18">
        <v>0.0215</v>
      </c>
      <c r="O64" s="22">
        <f t="shared" si="67"/>
        <v>0.001399455</v>
      </c>
      <c r="P64" s="19">
        <f t="shared" si="68"/>
        <v>15</v>
      </c>
      <c r="Q64" s="19">
        <f t="shared" si="6"/>
        <v>0.0215</v>
      </c>
      <c r="R64" s="17">
        <f t="shared" si="7"/>
        <v>0</v>
      </c>
      <c r="S64" s="18">
        <v>0.06</v>
      </c>
      <c r="T64" s="23"/>
      <c r="U64" s="19">
        <f t="shared" si="69"/>
        <v>0</v>
      </c>
      <c r="V64" s="24">
        <f t="shared" si="9"/>
        <v>0</v>
      </c>
      <c r="W64" s="179" t="str">
        <f t="shared" si="70"/>
        <v/>
      </c>
      <c r="X64" s="179" t="str">
        <f t="shared" si="71"/>
        <v/>
      </c>
      <c r="Y64" s="179" t="str">
        <f t="shared" si="72"/>
        <v/>
      </c>
      <c r="Z64" s="99"/>
      <c r="AA64" s="99"/>
      <c r="AB64" s="99"/>
      <c r="AC64" s="1028"/>
      <c r="AD64" s="99"/>
      <c r="AE64" s="99"/>
      <c r="AF64" s="99"/>
      <c r="AG64" s="1028" t="str">
        <f t="shared" si="73"/>
        <v/>
      </c>
      <c r="AH64" s="24">
        <f t="shared" si="74"/>
        <v>0</v>
      </c>
    </row>
    <row r="65">
      <c r="A65" s="216">
        <v>2026.0</v>
      </c>
      <c r="B65" s="216"/>
      <c r="C65" s="216" t="s">
        <v>2349</v>
      </c>
      <c r="D65" s="216" t="s">
        <v>2350</v>
      </c>
      <c r="E65" s="216" t="s">
        <v>964</v>
      </c>
      <c r="F65" s="1023">
        <v>280000.0</v>
      </c>
      <c r="G65" s="1023">
        <v>450000.0</v>
      </c>
      <c r="H65" s="1025">
        <v>1.0</v>
      </c>
      <c r="I65" s="17">
        <f t="shared" si="1"/>
        <v>405.562059</v>
      </c>
      <c r="J65" s="18">
        <v>0.035</v>
      </c>
      <c r="K65" s="19">
        <f t="shared" si="65"/>
        <v>391.3673869</v>
      </c>
      <c r="L65" s="20">
        <f t="shared" si="66"/>
        <v>14.19467207</v>
      </c>
      <c r="M65" s="87">
        <v>0.00137</v>
      </c>
      <c r="N65" s="18">
        <v>0.0215</v>
      </c>
      <c r="O65" s="22">
        <f t="shared" si="67"/>
        <v>0.001399455</v>
      </c>
      <c r="P65" s="19">
        <f t="shared" si="68"/>
        <v>23.41439882</v>
      </c>
      <c r="Q65" s="19">
        <f t="shared" si="6"/>
        <v>0.5692010465</v>
      </c>
      <c r="R65" s="17">
        <f t="shared" si="7"/>
        <v>651.7961663</v>
      </c>
      <c r="S65" s="18">
        <v>0.06</v>
      </c>
      <c r="T65" s="23"/>
      <c r="U65" s="19">
        <f t="shared" si="69"/>
        <v>49.24682145</v>
      </c>
      <c r="V65" s="24">
        <f t="shared" si="9"/>
        <v>157.8795158</v>
      </c>
      <c r="W65" s="25">
        <f t="shared" si="70"/>
        <v>0.6071428571</v>
      </c>
      <c r="X65" s="25">
        <f t="shared" si="71"/>
        <v>0.3777777778</v>
      </c>
      <c r="Y65" s="25">
        <f t="shared" si="72"/>
        <v>0</v>
      </c>
      <c r="Z65" s="99"/>
      <c r="AA65" s="99"/>
      <c r="AB65" s="99"/>
      <c r="AC65" s="1028"/>
      <c r="AD65" s="99"/>
      <c r="AE65" s="99"/>
      <c r="AF65" s="99"/>
      <c r="AG65" s="1028" t="str">
        <f t="shared" si="73"/>
        <v/>
      </c>
      <c r="AH65" s="24">
        <f t="shared" si="74"/>
        <v>0</v>
      </c>
    </row>
    <row r="66">
      <c r="A66" s="216">
        <v>2026.0</v>
      </c>
      <c r="B66" s="216"/>
      <c r="C66" s="216" t="s">
        <v>2351</v>
      </c>
      <c r="D66" s="216" t="s">
        <v>2350</v>
      </c>
      <c r="E66" s="216" t="s">
        <v>966</v>
      </c>
      <c r="F66" s="1023">
        <v>240000.0</v>
      </c>
      <c r="G66" s="1023">
        <v>340000.0</v>
      </c>
      <c r="H66" s="1025">
        <v>1.0</v>
      </c>
      <c r="I66" s="17">
        <f t="shared" si="1"/>
        <v>347.624622</v>
      </c>
      <c r="J66" s="18">
        <v>0.035</v>
      </c>
      <c r="K66" s="19">
        <f t="shared" si="65"/>
        <v>335.4577602</v>
      </c>
      <c r="L66" s="20">
        <f t="shared" si="66"/>
        <v>12.16686177</v>
      </c>
      <c r="M66" s="87">
        <v>0.00137</v>
      </c>
      <c r="N66" s="18">
        <v>0.0215</v>
      </c>
      <c r="O66" s="22">
        <f t="shared" si="67"/>
        <v>0.001399455</v>
      </c>
      <c r="P66" s="19">
        <f t="shared" si="68"/>
        <v>22.21234184</v>
      </c>
      <c r="Q66" s="19">
        <f t="shared" si="6"/>
        <v>0.4909580398</v>
      </c>
      <c r="R66" s="17">
        <f t="shared" si="7"/>
        <v>492.4682145</v>
      </c>
      <c r="S66" s="18">
        <v>0.06</v>
      </c>
      <c r="T66" s="23"/>
      <c r="U66" s="19">
        <f t="shared" si="69"/>
        <v>28.9687185</v>
      </c>
      <c r="V66" s="24">
        <f t="shared" si="9"/>
        <v>86.32678113</v>
      </c>
      <c r="W66" s="25">
        <f t="shared" si="70"/>
        <v>0.4166666667</v>
      </c>
      <c r="X66" s="25">
        <f t="shared" si="71"/>
        <v>0.2941176471</v>
      </c>
      <c r="Y66" s="25">
        <f t="shared" si="72"/>
        <v>0.3205882353</v>
      </c>
      <c r="Z66" s="99"/>
      <c r="AA66" s="99"/>
      <c r="AB66" s="99"/>
      <c r="AC66" s="1028"/>
      <c r="AD66" s="99"/>
      <c r="AE66" s="99"/>
      <c r="AF66" s="99"/>
      <c r="AG66" s="1028" t="str">
        <f t="shared" si="73"/>
        <v/>
      </c>
      <c r="AH66" s="24">
        <f t="shared" si="74"/>
        <v>0</v>
      </c>
    </row>
    <row r="67">
      <c r="A67" s="1029"/>
      <c r="B67" s="1029"/>
      <c r="C67" s="1029"/>
      <c r="D67" s="1029"/>
      <c r="E67" s="1034"/>
      <c r="F67" s="1031"/>
      <c r="G67" s="1031"/>
      <c r="H67" s="1025">
        <v>1.0</v>
      </c>
      <c r="I67" s="17">
        <f t="shared" si="1"/>
        <v>0</v>
      </c>
      <c r="J67" s="18">
        <v>0.035</v>
      </c>
      <c r="K67" s="19">
        <f t="shared" si="65"/>
        <v>0</v>
      </c>
      <c r="L67" s="20">
        <f t="shared" si="66"/>
        <v>0</v>
      </c>
      <c r="M67" s="87">
        <v>0.00137</v>
      </c>
      <c r="N67" s="18">
        <v>0.0215</v>
      </c>
      <c r="O67" s="22">
        <f t="shared" si="67"/>
        <v>0.001399455</v>
      </c>
      <c r="P67" s="19">
        <f t="shared" si="68"/>
        <v>15</v>
      </c>
      <c r="Q67" s="19">
        <f t="shared" si="6"/>
        <v>0.0215</v>
      </c>
      <c r="R67" s="17">
        <f t="shared" si="7"/>
        <v>0</v>
      </c>
      <c r="S67" s="18">
        <v>0.06</v>
      </c>
      <c r="T67" s="23"/>
      <c r="U67" s="19">
        <f t="shared" si="69"/>
        <v>0</v>
      </c>
      <c r="V67" s="24">
        <f t="shared" si="9"/>
        <v>0</v>
      </c>
      <c r="W67" s="179" t="str">
        <f t="shared" si="70"/>
        <v/>
      </c>
      <c r="X67" s="179" t="str">
        <f t="shared" si="71"/>
        <v/>
      </c>
      <c r="Y67" s="179" t="str">
        <f t="shared" si="72"/>
        <v/>
      </c>
      <c r="Z67" s="99"/>
      <c r="AA67" s="99"/>
      <c r="AB67" s="99"/>
      <c r="AC67" s="1028"/>
      <c r="AD67" s="99"/>
      <c r="AE67" s="99"/>
      <c r="AF67" s="99"/>
      <c r="AG67" s="1028" t="str">
        <f t="shared" si="73"/>
        <v/>
      </c>
      <c r="AH67" s="24">
        <f t="shared" si="74"/>
        <v>0</v>
      </c>
    </row>
    <row r="68">
      <c r="A68" s="216">
        <v>2026.0</v>
      </c>
      <c r="B68" s="216"/>
      <c r="C68" s="216" t="s">
        <v>2352</v>
      </c>
      <c r="D68" s="216" t="s">
        <v>1495</v>
      </c>
      <c r="E68" s="216" t="s">
        <v>964</v>
      </c>
      <c r="F68" s="1023">
        <v>300000.0</v>
      </c>
      <c r="G68" s="1023">
        <v>450000.0</v>
      </c>
      <c r="H68" s="1025">
        <v>1.0</v>
      </c>
      <c r="I68" s="17">
        <f t="shared" si="1"/>
        <v>434.5307775</v>
      </c>
      <c r="J68" s="18">
        <v>0.035</v>
      </c>
      <c r="K68" s="19">
        <f t="shared" si="65"/>
        <v>419.3222003</v>
      </c>
      <c r="L68" s="20">
        <f t="shared" si="66"/>
        <v>15.20857721</v>
      </c>
      <c r="M68" s="87">
        <v>0.00137</v>
      </c>
      <c r="N68" s="18">
        <v>0.0215</v>
      </c>
      <c r="O68" s="22">
        <f t="shared" si="67"/>
        <v>0.001399455</v>
      </c>
      <c r="P68" s="19">
        <f t="shared" si="68"/>
        <v>24.01542731</v>
      </c>
      <c r="Q68" s="19">
        <f t="shared" si="6"/>
        <v>0.6083225498</v>
      </c>
      <c r="R68" s="17">
        <f t="shared" si="7"/>
        <v>651.7961663</v>
      </c>
      <c r="S68" s="18">
        <v>0.06</v>
      </c>
      <c r="T68" s="23"/>
      <c r="U68" s="19">
        <f t="shared" si="69"/>
        <v>43.45307775</v>
      </c>
      <c r="V68" s="24">
        <f t="shared" si="9"/>
        <v>134.704541</v>
      </c>
      <c r="W68" s="25">
        <f t="shared" si="70"/>
        <v>0.5</v>
      </c>
      <c r="X68" s="25">
        <f t="shared" si="71"/>
        <v>0.3333333333</v>
      </c>
      <c r="Y68" s="25">
        <f t="shared" si="72"/>
        <v>0</v>
      </c>
      <c r="Z68" s="99"/>
      <c r="AA68" s="99"/>
      <c r="AB68" s="99"/>
      <c r="AC68" s="1028"/>
      <c r="AD68" s="99"/>
      <c r="AE68" s="99"/>
      <c r="AF68" s="99"/>
      <c r="AG68" s="1028" t="str">
        <f t="shared" si="73"/>
        <v/>
      </c>
      <c r="AH68" s="24">
        <f t="shared" si="74"/>
        <v>0</v>
      </c>
    </row>
    <row r="69">
      <c r="A69" s="216">
        <v>2026.0</v>
      </c>
      <c r="B69" s="216"/>
      <c r="C69" s="216" t="s">
        <v>2353</v>
      </c>
      <c r="D69" s="216" t="s">
        <v>1495</v>
      </c>
      <c r="E69" s="216" t="s">
        <v>966</v>
      </c>
      <c r="F69" s="1023">
        <v>200000.0</v>
      </c>
      <c r="G69" s="1023">
        <v>370000.0</v>
      </c>
      <c r="H69" s="1025">
        <v>1.0</v>
      </c>
      <c r="I69" s="17">
        <f t="shared" si="1"/>
        <v>289.687185</v>
      </c>
      <c r="J69" s="18">
        <v>0.035</v>
      </c>
      <c r="K69" s="19">
        <f t="shared" si="65"/>
        <v>279.5481335</v>
      </c>
      <c r="L69" s="20">
        <f t="shared" si="66"/>
        <v>10.13905148</v>
      </c>
      <c r="M69" s="87">
        <v>0.00137</v>
      </c>
      <c r="N69" s="18">
        <v>0.0215</v>
      </c>
      <c r="O69" s="22">
        <f t="shared" si="67"/>
        <v>0.001399455</v>
      </c>
      <c r="P69" s="19">
        <f t="shared" si="68"/>
        <v>21.01028487</v>
      </c>
      <c r="Q69" s="19">
        <f t="shared" si="6"/>
        <v>0.4127150332</v>
      </c>
      <c r="R69" s="17">
        <f t="shared" si="7"/>
        <v>535.9212923</v>
      </c>
      <c r="S69" s="18">
        <v>0.06</v>
      </c>
      <c r="T69" s="23"/>
      <c r="U69" s="19">
        <f t="shared" si="69"/>
        <v>49.24682145</v>
      </c>
      <c r="V69" s="24">
        <f t="shared" si="9"/>
        <v>164.8320083</v>
      </c>
      <c r="W69" s="25">
        <f t="shared" si="70"/>
        <v>0.85</v>
      </c>
      <c r="X69" s="25">
        <f t="shared" si="71"/>
        <v>0.4594594595</v>
      </c>
      <c r="Y69" s="25">
        <f t="shared" si="72"/>
        <v>0.2513513514</v>
      </c>
      <c r="Z69" s="99"/>
      <c r="AA69" s="99"/>
      <c r="AB69" s="99"/>
      <c r="AC69" s="1028"/>
      <c r="AD69" s="99"/>
      <c r="AE69" s="99"/>
      <c r="AF69" s="99"/>
      <c r="AG69" s="1028" t="str">
        <f t="shared" si="73"/>
        <v/>
      </c>
      <c r="AH69" s="24">
        <f t="shared" si="74"/>
        <v>0</v>
      </c>
    </row>
    <row r="70">
      <c r="A70" s="1029"/>
      <c r="B70" s="1029"/>
      <c r="C70" s="1029"/>
      <c r="D70" s="1029"/>
      <c r="E70" s="1034"/>
      <c r="F70" s="1031"/>
      <c r="G70" s="1031"/>
      <c r="H70" s="1025">
        <v>1.0</v>
      </c>
      <c r="I70" s="17">
        <f t="shared" si="1"/>
        <v>0</v>
      </c>
      <c r="J70" s="18">
        <v>0.035</v>
      </c>
      <c r="K70" s="19">
        <f t="shared" si="65"/>
        <v>0</v>
      </c>
      <c r="L70" s="20">
        <f t="shared" si="66"/>
        <v>0</v>
      </c>
      <c r="M70" s="87">
        <v>0.00137</v>
      </c>
      <c r="N70" s="18">
        <v>0.0215</v>
      </c>
      <c r="O70" s="22">
        <f t="shared" si="67"/>
        <v>0.001399455</v>
      </c>
      <c r="P70" s="19">
        <f t="shared" si="68"/>
        <v>15</v>
      </c>
      <c r="Q70" s="19">
        <f t="shared" si="6"/>
        <v>0.0215</v>
      </c>
      <c r="R70" s="17">
        <f t="shared" si="7"/>
        <v>0</v>
      </c>
      <c r="S70" s="18">
        <v>0.06</v>
      </c>
      <c r="T70" s="23"/>
      <c r="U70" s="19">
        <f t="shared" si="69"/>
        <v>0</v>
      </c>
      <c r="V70" s="24">
        <f t="shared" si="9"/>
        <v>0</v>
      </c>
      <c r="W70" s="179" t="str">
        <f t="shared" si="70"/>
        <v/>
      </c>
      <c r="X70" s="179" t="str">
        <f t="shared" si="71"/>
        <v/>
      </c>
      <c r="Y70" s="179" t="str">
        <f t="shared" si="72"/>
        <v/>
      </c>
      <c r="Z70" s="99"/>
      <c r="AA70" s="99"/>
      <c r="AB70" s="99"/>
      <c r="AC70" s="1028"/>
      <c r="AD70" s="99"/>
      <c r="AE70" s="99"/>
      <c r="AF70" s="99"/>
      <c r="AG70" s="1028" t="str">
        <f t="shared" si="73"/>
        <v/>
      </c>
      <c r="AH70" s="24">
        <f t="shared" si="74"/>
        <v>0</v>
      </c>
    </row>
    <row r="71">
      <c r="A71" s="216">
        <v>2026.0</v>
      </c>
      <c r="B71" s="216"/>
      <c r="C71" s="216" t="s">
        <v>2354</v>
      </c>
      <c r="D71" s="216" t="s">
        <v>97</v>
      </c>
      <c r="E71" s="216" t="s">
        <v>964</v>
      </c>
      <c r="F71" s="1023">
        <v>130000.0</v>
      </c>
      <c r="G71" s="1023">
        <v>250000.0</v>
      </c>
      <c r="H71" s="1025">
        <v>1.0</v>
      </c>
      <c r="I71" s="17">
        <f t="shared" si="1"/>
        <v>188.2966703</v>
      </c>
      <c r="J71" s="18">
        <v>0.035</v>
      </c>
      <c r="K71" s="19">
        <f t="shared" si="65"/>
        <v>181.7062868</v>
      </c>
      <c r="L71" s="20">
        <f t="shared" si="66"/>
        <v>6.590383459</v>
      </c>
      <c r="M71" s="87">
        <v>0.00137</v>
      </c>
      <c r="N71" s="18">
        <v>0.0215</v>
      </c>
      <c r="O71" s="22">
        <f t="shared" si="67"/>
        <v>0.001399455</v>
      </c>
      <c r="P71" s="19">
        <f t="shared" si="68"/>
        <v>18.90668517</v>
      </c>
      <c r="Q71" s="19">
        <f t="shared" si="6"/>
        <v>0.2757897716</v>
      </c>
      <c r="R71" s="17">
        <f t="shared" si="7"/>
        <v>362.1089813</v>
      </c>
      <c r="S71" s="18">
        <v>0.06</v>
      </c>
      <c r="T71" s="23"/>
      <c r="U71" s="19">
        <f t="shared" si="69"/>
        <v>34.7624622</v>
      </c>
      <c r="V71" s="24">
        <f t="shared" si="9"/>
        <v>117.3233099</v>
      </c>
      <c r="W71" s="25">
        <f t="shared" si="70"/>
        <v>0.9230769231</v>
      </c>
      <c r="X71" s="25">
        <f t="shared" si="71"/>
        <v>0.48</v>
      </c>
      <c r="Y71" s="25">
        <f t="shared" si="72"/>
        <v>0</v>
      </c>
      <c r="Z71" s="99"/>
      <c r="AA71" s="99"/>
      <c r="AB71" s="99"/>
      <c r="AC71" s="1028"/>
      <c r="AD71" s="99"/>
      <c r="AE71" s="99"/>
      <c r="AF71" s="99"/>
      <c r="AG71" s="1028" t="str">
        <f t="shared" si="73"/>
        <v/>
      </c>
      <c r="AH71" s="24">
        <f t="shared" si="74"/>
        <v>0</v>
      </c>
    </row>
    <row r="72">
      <c r="A72" s="216">
        <v>2026.0</v>
      </c>
      <c r="B72" s="216"/>
      <c r="C72" s="216" t="s">
        <v>2355</v>
      </c>
      <c r="D72" s="216" t="s">
        <v>97</v>
      </c>
      <c r="E72" s="216" t="s">
        <v>966</v>
      </c>
      <c r="F72" s="1023">
        <v>65000.0</v>
      </c>
      <c r="G72" s="1023" t="s">
        <v>1001</v>
      </c>
      <c r="H72" s="1025">
        <v>1.0</v>
      </c>
      <c r="I72" s="17">
        <f t="shared" si="1"/>
        <v>94.14833513</v>
      </c>
      <c r="J72" s="18">
        <v>0.035</v>
      </c>
      <c r="K72" s="19">
        <f t="shared" si="65"/>
        <v>90.8531434</v>
      </c>
      <c r="L72" s="20">
        <f t="shared" si="66"/>
        <v>3.295191729</v>
      </c>
      <c r="M72" s="87">
        <v>0.00137</v>
      </c>
      <c r="N72" s="18">
        <v>0.0215</v>
      </c>
      <c r="O72" s="22">
        <f t="shared" si="67"/>
        <v>0.001399455</v>
      </c>
      <c r="P72" s="19">
        <f t="shared" si="68"/>
        <v>16.95334258</v>
      </c>
      <c r="Q72" s="19">
        <f t="shared" si="6"/>
        <v>0.1486448858</v>
      </c>
      <c r="R72" s="17" t="str">
        <f t="shared" si="7"/>
        <v>#VALUE!</v>
      </c>
      <c r="S72" s="18">
        <v>0.06</v>
      </c>
      <c r="T72" s="23"/>
      <c r="U72" s="19" t="str">
        <f t="shared" si="69"/>
        <v>#VALUE!</v>
      </c>
      <c r="V72" s="24" t="str">
        <f t="shared" si="9"/>
        <v>#VALUE!</v>
      </c>
      <c r="W72" s="25" t="str">
        <f t="shared" si="70"/>
        <v/>
      </c>
      <c r="X72" s="25" t="str">
        <f t="shared" si="71"/>
        <v/>
      </c>
      <c r="Y72" s="25" t="str">
        <f t="shared" si="72"/>
        <v/>
      </c>
      <c r="Z72" s="99"/>
      <c r="AA72" s="99"/>
      <c r="AB72" s="99"/>
      <c r="AC72" s="1028"/>
      <c r="AD72" s="99"/>
      <c r="AE72" s="99"/>
      <c r="AF72" s="99"/>
      <c r="AG72" s="1028" t="str">
        <f t="shared" si="73"/>
        <v/>
      </c>
      <c r="AH72" s="24">
        <f t="shared" si="74"/>
        <v>0</v>
      </c>
    </row>
    <row r="73">
      <c r="A73" s="1029"/>
      <c r="B73" s="1029"/>
      <c r="C73" s="1029"/>
      <c r="D73" s="1029"/>
      <c r="E73" s="1034"/>
      <c r="F73" s="1031"/>
      <c r="G73" s="1031"/>
      <c r="H73" s="1025">
        <v>1.0</v>
      </c>
      <c r="I73" s="17">
        <f t="shared" si="1"/>
        <v>0</v>
      </c>
      <c r="J73" s="18">
        <v>0.035</v>
      </c>
      <c r="K73" s="19">
        <f t="shared" si="65"/>
        <v>0</v>
      </c>
      <c r="L73" s="20">
        <f t="shared" si="66"/>
        <v>0</v>
      </c>
      <c r="M73" s="87">
        <v>0.00137</v>
      </c>
      <c r="N73" s="18">
        <v>0.0215</v>
      </c>
      <c r="O73" s="22">
        <f t="shared" si="67"/>
        <v>0.001399455</v>
      </c>
      <c r="P73" s="19">
        <f t="shared" si="68"/>
        <v>15</v>
      </c>
      <c r="Q73" s="19">
        <f t="shared" si="6"/>
        <v>0.0215</v>
      </c>
      <c r="R73" s="17">
        <f t="shared" si="7"/>
        <v>0</v>
      </c>
      <c r="S73" s="18">
        <v>0.06</v>
      </c>
      <c r="T73" s="23"/>
      <c r="U73" s="19">
        <f t="shared" si="69"/>
        <v>0</v>
      </c>
      <c r="V73" s="24">
        <f t="shared" si="9"/>
        <v>0</v>
      </c>
      <c r="W73" s="179" t="str">
        <f t="shared" si="70"/>
        <v/>
      </c>
      <c r="X73" s="179" t="str">
        <f t="shared" si="71"/>
        <v/>
      </c>
      <c r="Y73" s="179" t="str">
        <f t="shared" si="72"/>
        <v/>
      </c>
      <c r="Z73" s="99"/>
      <c r="AA73" s="99"/>
      <c r="AB73" s="99"/>
      <c r="AC73" s="1028"/>
      <c r="AD73" s="99"/>
      <c r="AE73" s="99"/>
      <c r="AF73" s="99"/>
      <c r="AG73" s="1028" t="str">
        <f t="shared" si="73"/>
        <v/>
      </c>
      <c r="AH73" s="24">
        <f t="shared" si="74"/>
        <v>0</v>
      </c>
    </row>
    <row r="74">
      <c r="A74" s="216">
        <v>2026.0</v>
      </c>
      <c r="B74" s="216"/>
      <c r="C74" s="216" t="s">
        <v>2356</v>
      </c>
      <c r="D74" s="216" t="s">
        <v>1453</v>
      </c>
      <c r="E74" s="216" t="s">
        <v>964</v>
      </c>
      <c r="F74" s="1023">
        <v>370000.0</v>
      </c>
      <c r="G74" s="1023">
        <v>550000.0</v>
      </c>
      <c r="H74" s="1025">
        <v>1.0</v>
      </c>
      <c r="I74" s="17">
        <f t="shared" si="1"/>
        <v>535.9212923</v>
      </c>
      <c r="J74" s="18">
        <v>0.035</v>
      </c>
      <c r="K74" s="19">
        <f t="shared" si="65"/>
        <v>517.164047</v>
      </c>
      <c r="L74" s="20">
        <f t="shared" si="66"/>
        <v>18.75724523</v>
      </c>
      <c r="M74" s="87">
        <v>0.00137</v>
      </c>
      <c r="N74" s="18">
        <v>0.0215</v>
      </c>
      <c r="O74" s="22">
        <f t="shared" si="67"/>
        <v>0.001399455</v>
      </c>
      <c r="P74" s="19">
        <f t="shared" si="68"/>
        <v>26.11902701</v>
      </c>
      <c r="Q74" s="19">
        <f t="shared" si="6"/>
        <v>0.7452478114</v>
      </c>
      <c r="R74" s="17">
        <f t="shared" si="7"/>
        <v>796.6397588</v>
      </c>
      <c r="S74" s="18">
        <v>0.06</v>
      </c>
      <c r="T74" s="23"/>
      <c r="U74" s="19">
        <f t="shared" si="69"/>
        <v>52.1436933</v>
      </c>
      <c r="V74" s="24">
        <f t="shared" si="9"/>
        <v>160.7763877</v>
      </c>
      <c r="W74" s="25">
        <f t="shared" si="70"/>
        <v>0.4864864865</v>
      </c>
      <c r="X74" s="25">
        <f t="shared" si="71"/>
        <v>0.3272727273</v>
      </c>
      <c r="Y74" s="25">
        <f t="shared" si="72"/>
        <v>0</v>
      </c>
      <c r="Z74" s="99"/>
      <c r="AA74" s="99"/>
      <c r="AB74" s="99"/>
      <c r="AC74" s="1028"/>
      <c r="AD74" s="99"/>
      <c r="AE74" s="99"/>
      <c r="AF74" s="99"/>
      <c r="AG74" s="1028" t="str">
        <f t="shared" si="73"/>
        <v/>
      </c>
      <c r="AH74" s="24">
        <f t="shared" si="74"/>
        <v>0</v>
      </c>
    </row>
    <row r="75">
      <c r="A75" s="216">
        <v>2026.0</v>
      </c>
      <c r="B75" s="216"/>
      <c r="C75" s="216" t="s">
        <v>2357</v>
      </c>
      <c r="D75" s="216" t="s">
        <v>1453</v>
      </c>
      <c r="E75" s="216" t="s">
        <v>966</v>
      </c>
      <c r="F75" s="1023">
        <v>300000.0</v>
      </c>
      <c r="G75" s="1023">
        <v>420000.0</v>
      </c>
      <c r="H75" s="1025">
        <v>1.0</v>
      </c>
      <c r="I75" s="17">
        <f t="shared" si="1"/>
        <v>434.5307775</v>
      </c>
      <c r="J75" s="18">
        <v>0.035</v>
      </c>
      <c r="K75" s="19">
        <f t="shared" si="65"/>
        <v>419.3222003</v>
      </c>
      <c r="L75" s="20">
        <f t="shared" si="66"/>
        <v>15.20857721</v>
      </c>
      <c r="M75" s="87">
        <v>0.00137</v>
      </c>
      <c r="N75" s="18">
        <v>0.0215</v>
      </c>
      <c r="O75" s="22">
        <f t="shared" si="67"/>
        <v>0.001399455</v>
      </c>
      <c r="P75" s="19">
        <f t="shared" si="68"/>
        <v>24.01542731</v>
      </c>
      <c r="Q75" s="19">
        <f t="shared" si="6"/>
        <v>0.6083225498</v>
      </c>
      <c r="R75" s="17">
        <f t="shared" si="7"/>
        <v>608.3430885</v>
      </c>
      <c r="S75" s="18">
        <v>0.06</v>
      </c>
      <c r="T75" s="23"/>
      <c r="U75" s="19">
        <f t="shared" si="69"/>
        <v>34.7624622</v>
      </c>
      <c r="V75" s="24">
        <f t="shared" si="9"/>
        <v>102.5492635</v>
      </c>
      <c r="W75" s="25">
        <f t="shared" si="70"/>
        <v>0.4</v>
      </c>
      <c r="X75" s="25">
        <f t="shared" si="71"/>
        <v>0.2857142857</v>
      </c>
      <c r="Y75" s="25">
        <f t="shared" si="72"/>
        <v>0.2642857143</v>
      </c>
      <c r="Z75" s="99"/>
      <c r="AA75" s="99"/>
      <c r="AB75" s="99"/>
      <c r="AC75" s="1028"/>
      <c r="AD75" s="99"/>
      <c r="AE75" s="99"/>
      <c r="AF75" s="99"/>
      <c r="AG75" s="1028" t="str">
        <f t="shared" si="73"/>
        <v/>
      </c>
      <c r="AH75" s="24">
        <f t="shared" si="74"/>
        <v>0</v>
      </c>
    </row>
    <row r="76">
      <c r="A76" s="1029"/>
      <c r="B76" s="1029"/>
      <c r="C76" s="1029"/>
      <c r="D76" s="1029"/>
      <c r="E76" s="1034"/>
      <c r="F76" s="1031"/>
      <c r="G76" s="1031"/>
      <c r="H76" s="1025">
        <v>1.0</v>
      </c>
      <c r="I76" s="17">
        <f t="shared" si="1"/>
        <v>0</v>
      </c>
      <c r="J76" s="18">
        <v>0.035</v>
      </c>
      <c r="K76" s="19">
        <f t="shared" si="65"/>
        <v>0</v>
      </c>
      <c r="L76" s="20">
        <f t="shared" si="66"/>
        <v>0</v>
      </c>
      <c r="M76" s="87">
        <v>0.00137</v>
      </c>
      <c r="N76" s="18">
        <v>0.0215</v>
      </c>
      <c r="O76" s="22">
        <f t="shared" si="67"/>
        <v>0.001399455</v>
      </c>
      <c r="P76" s="19">
        <f t="shared" si="68"/>
        <v>15</v>
      </c>
      <c r="Q76" s="19">
        <f t="shared" si="6"/>
        <v>0.0215</v>
      </c>
      <c r="R76" s="17">
        <f t="shared" si="7"/>
        <v>0</v>
      </c>
      <c r="S76" s="18">
        <v>0.06</v>
      </c>
      <c r="T76" s="23"/>
      <c r="U76" s="19">
        <f t="shared" si="69"/>
        <v>0</v>
      </c>
      <c r="V76" s="24">
        <f t="shared" si="9"/>
        <v>0</v>
      </c>
      <c r="W76" s="179" t="str">
        <f t="shared" si="70"/>
        <v/>
      </c>
      <c r="X76" s="179" t="str">
        <f t="shared" si="71"/>
        <v/>
      </c>
      <c r="Y76" s="179" t="str">
        <f t="shared" si="72"/>
        <v/>
      </c>
      <c r="Z76" s="99"/>
      <c r="AA76" s="99"/>
      <c r="AB76" s="99"/>
      <c r="AC76" s="1028"/>
      <c r="AD76" s="99"/>
      <c r="AE76" s="99"/>
      <c r="AF76" s="99"/>
      <c r="AG76" s="1028" t="str">
        <f t="shared" si="73"/>
        <v/>
      </c>
      <c r="AH76" s="24">
        <f t="shared" si="74"/>
        <v>0</v>
      </c>
    </row>
    <row r="77">
      <c r="A77" s="216">
        <v>2026.0</v>
      </c>
      <c r="B77" s="216"/>
      <c r="C77" s="216" t="s">
        <v>2358</v>
      </c>
      <c r="D77" s="216" t="s">
        <v>2359</v>
      </c>
      <c r="E77" s="216" t="s">
        <v>964</v>
      </c>
      <c r="F77" s="1023">
        <v>294958.0</v>
      </c>
      <c r="G77" s="1023">
        <v>510000.0</v>
      </c>
      <c r="H77" s="1025">
        <v>1.0</v>
      </c>
      <c r="I77" s="17">
        <f t="shared" si="1"/>
        <v>427.2277636</v>
      </c>
      <c r="J77" s="18">
        <v>0.035</v>
      </c>
      <c r="K77" s="19">
        <f t="shared" si="65"/>
        <v>412.2747918</v>
      </c>
      <c r="L77" s="20">
        <f t="shared" si="66"/>
        <v>14.95297172</v>
      </c>
      <c r="M77" s="87">
        <v>0.00137</v>
      </c>
      <c r="N77" s="18">
        <v>0.0215</v>
      </c>
      <c r="O77" s="22">
        <f t="shared" si="67"/>
        <v>0.001399455</v>
      </c>
      <c r="P77" s="19">
        <f t="shared" si="68"/>
        <v>23.86390802</v>
      </c>
      <c r="Q77" s="19">
        <f t="shared" si="6"/>
        <v>0.5984600188</v>
      </c>
      <c r="R77" s="17">
        <f t="shared" si="7"/>
        <v>738.7023218</v>
      </c>
      <c r="S77" s="18">
        <v>0.06</v>
      </c>
      <c r="T77" s="23"/>
      <c r="U77" s="19">
        <f t="shared" si="69"/>
        <v>62.29491164</v>
      </c>
      <c r="V77" s="24">
        <f t="shared" si="9"/>
        <v>204.8575072</v>
      </c>
      <c r="W77" s="25">
        <f t="shared" si="70"/>
        <v>0.7290597305</v>
      </c>
      <c r="X77" s="25">
        <f t="shared" si="71"/>
        <v>0.4216509804</v>
      </c>
      <c r="Y77" s="25">
        <f t="shared" si="72"/>
        <v>0</v>
      </c>
      <c r="Z77" s="99"/>
      <c r="AA77" s="99"/>
      <c r="AB77" s="99"/>
      <c r="AC77" s="1028"/>
      <c r="AD77" s="99"/>
      <c r="AE77" s="99"/>
      <c r="AF77" s="99"/>
      <c r="AG77" s="1028" t="str">
        <f t="shared" si="73"/>
        <v/>
      </c>
      <c r="AH77" s="24">
        <f t="shared" si="74"/>
        <v>0</v>
      </c>
    </row>
    <row r="78">
      <c r="A78" s="216">
        <v>2026.0</v>
      </c>
      <c r="B78" s="216"/>
      <c r="C78" s="216" t="s">
        <v>2360</v>
      </c>
      <c r="D78" s="216" t="s">
        <v>2359</v>
      </c>
      <c r="E78" s="216" t="s">
        <v>966</v>
      </c>
      <c r="F78" s="1023">
        <v>135294.0</v>
      </c>
      <c r="G78" s="1023">
        <v>450000.0</v>
      </c>
      <c r="H78" s="1025">
        <v>1.0</v>
      </c>
      <c r="I78" s="17">
        <f t="shared" si="1"/>
        <v>195.96469</v>
      </c>
      <c r="J78" s="18">
        <v>0.035</v>
      </c>
      <c r="K78" s="19">
        <f t="shared" si="65"/>
        <v>189.1059259</v>
      </c>
      <c r="L78" s="20">
        <f t="shared" si="66"/>
        <v>6.858764151</v>
      </c>
      <c r="M78" s="87">
        <v>0.00137</v>
      </c>
      <c r="N78" s="18">
        <v>0.0215</v>
      </c>
      <c r="O78" s="22">
        <f t="shared" si="67"/>
        <v>0.001399455</v>
      </c>
      <c r="P78" s="19">
        <f t="shared" si="68"/>
        <v>19.06577741</v>
      </c>
      <c r="Q78" s="19">
        <f t="shared" si="6"/>
        <v>0.2861452335</v>
      </c>
      <c r="R78" s="17">
        <f t="shared" si="7"/>
        <v>651.7961663</v>
      </c>
      <c r="S78" s="18">
        <v>0.06</v>
      </c>
      <c r="T78" s="23"/>
      <c r="U78" s="19">
        <f t="shared" si="69"/>
        <v>91.16629524</v>
      </c>
      <c r="V78" s="24">
        <f t="shared" si="9"/>
        <v>325.557411</v>
      </c>
      <c r="W78" s="25">
        <f t="shared" si="70"/>
        <v>2.326089849</v>
      </c>
      <c r="X78" s="25">
        <f t="shared" si="71"/>
        <v>0.6993466667</v>
      </c>
      <c r="Y78" s="25">
        <f t="shared" si="72"/>
        <v>0.3142968889</v>
      </c>
      <c r="Z78" s="99"/>
      <c r="AA78" s="99"/>
      <c r="AB78" s="99"/>
      <c r="AC78" s="1028"/>
      <c r="AD78" s="99"/>
      <c r="AE78" s="99"/>
      <c r="AF78" s="99"/>
      <c r="AG78" s="1028" t="str">
        <f t="shared" si="73"/>
        <v/>
      </c>
      <c r="AH78" s="24">
        <f t="shared" si="74"/>
        <v>0</v>
      </c>
    </row>
    <row r="79">
      <c r="A79" s="216">
        <v>2026.0</v>
      </c>
      <c r="B79" s="216"/>
      <c r="C79" s="216" t="s">
        <v>2361</v>
      </c>
      <c r="D79" s="216" t="s">
        <v>2362</v>
      </c>
      <c r="E79" s="216" t="s">
        <v>964</v>
      </c>
      <c r="F79" s="1024">
        <v>230000.0</v>
      </c>
      <c r="G79" s="1024">
        <v>118000.0</v>
      </c>
      <c r="H79" s="1025">
        <v>1.0</v>
      </c>
      <c r="I79" s="17">
        <f t="shared" si="1"/>
        <v>333.1402628</v>
      </c>
      <c r="J79" s="18">
        <v>0.035</v>
      </c>
      <c r="K79" s="19">
        <f t="shared" si="65"/>
        <v>321.4803536</v>
      </c>
      <c r="L79" s="20">
        <f t="shared" si="66"/>
        <v>11.6599092</v>
      </c>
      <c r="M79" s="87">
        <v>0.00137</v>
      </c>
      <c r="N79" s="18">
        <v>0.0215</v>
      </c>
      <c r="O79" s="22">
        <f t="shared" si="67"/>
        <v>0.001399455</v>
      </c>
      <c r="P79" s="19">
        <f t="shared" si="68"/>
        <v>21.9118276</v>
      </c>
      <c r="Q79" s="19">
        <f t="shared" si="6"/>
        <v>0.4713972882</v>
      </c>
      <c r="R79" s="17">
        <f t="shared" si="7"/>
        <v>170.9154392</v>
      </c>
      <c r="S79" s="18">
        <v>0.06</v>
      </c>
      <c r="T79" s="23"/>
      <c r="U79" s="19">
        <f t="shared" si="69"/>
        <v>-32.44496472</v>
      </c>
      <c r="V79" s="24">
        <f t="shared" si="9"/>
        <v>-140.0347852</v>
      </c>
      <c r="W79" s="179">
        <f t="shared" si="70"/>
        <v>-0.4869565217</v>
      </c>
      <c r="X79" s="179">
        <f t="shared" si="71"/>
        <v>-0.9491525424</v>
      </c>
      <c r="Y79" s="179">
        <f t="shared" si="72"/>
        <v>1.904786441</v>
      </c>
      <c r="Z79" s="99"/>
      <c r="AA79" s="99"/>
      <c r="AB79" s="99"/>
      <c r="AC79" s="1028"/>
      <c r="AD79" s="99"/>
      <c r="AE79" s="99"/>
      <c r="AF79" s="99"/>
      <c r="AG79" s="1028" t="str">
        <f t="shared" si="73"/>
        <v/>
      </c>
      <c r="AH79" s="24">
        <f t="shared" si="74"/>
        <v>0</v>
      </c>
    </row>
    <row r="80">
      <c r="A80" s="216">
        <v>2026.0</v>
      </c>
      <c r="B80" s="216"/>
      <c r="C80" s="216" t="s">
        <v>2363</v>
      </c>
      <c r="D80" s="216" t="s">
        <v>2362</v>
      </c>
      <c r="E80" s="216" t="s">
        <v>966</v>
      </c>
      <c r="F80" s="1023" t="s">
        <v>1001</v>
      </c>
      <c r="G80" s="1023" t="s">
        <v>1001</v>
      </c>
      <c r="H80" s="1025">
        <v>1.0</v>
      </c>
      <c r="I80" s="17" t="str">
        <f t="shared" si="1"/>
        <v>#VALUE!</v>
      </c>
      <c r="J80" s="18">
        <v>0.035</v>
      </c>
      <c r="K80" s="19" t="str">
        <f t="shared" si="65"/>
        <v>#VALUE!</v>
      </c>
      <c r="L80" s="20" t="str">
        <f t="shared" si="66"/>
        <v>#VALUE!</v>
      </c>
      <c r="M80" s="87">
        <v>0.00137</v>
      </c>
      <c r="N80" s="18">
        <v>0.0215</v>
      </c>
      <c r="O80" s="22">
        <f t="shared" si="67"/>
        <v>0.001399455</v>
      </c>
      <c r="P80" s="19" t="str">
        <f t="shared" si="68"/>
        <v>#VALUE!</v>
      </c>
      <c r="Q80" s="19" t="str">
        <f t="shared" si="6"/>
        <v>#VALUE!</v>
      </c>
      <c r="R80" s="17" t="str">
        <f t="shared" si="7"/>
        <v>#VALUE!</v>
      </c>
      <c r="S80" s="18">
        <v>0.06</v>
      </c>
      <c r="T80" s="23"/>
      <c r="U80" s="19" t="str">
        <f t="shared" si="69"/>
        <v>#VALUE!</v>
      </c>
      <c r="V80" s="24" t="str">
        <f t="shared" si="9"/>
        <v>#VALUE!</v>
      </c>
      <c r="W80" s="179" t="str">
        <f t="shared" si="70"/>
        <v/>
      </c>
      <c r="X80" s="179" t="str">
        <f t="shared" si="71"/>
        <v/>
      </c>
      <c r="Y80" s="179" t="str">
        <f t="shared" si="72"/>
        <v/>
      </c>
      <c r="Z80" s="99"/>
      <c r="AA80" s="99"/>
      <c r="AB80" s="99"/>
      <c r="AC80" s="1028"/>
      <c r="AD80" s="99"/>
      <c r="AE80" s="99"/>
      <c r="AF80" s="99"/>
      <c r="AG80" s="1028" t="str">
        <f t="shared" si="73"/>
        <v/>
      </c>
      <c r="AH80" s="24">
        <f t="shared" si="74"/>
        <v>0</v>
      </c>
    </row>
    <row r="81">
      <c r="A81" s="1029"/>
      <c r="B81" s="1029"/>
      <c r="C81" s="1029"/>
      <c r="D81" s="1029"/>
      <c r="E81" s="1034"/>
      <c r="F81" s="1031"/>
      <c r="G81" s="1031"/>
      <c r="H81" s="1025">
        <v>1.0</v>
      </c>
      <c r="I81" s="17">
        <f t="shared" si="1"/>
        <v>0</v>
      </c>
      <c r="J81" s="18">
        <v>0.035</v>
      </c>
      <c r="K81" s="19">
        <f t="shared" si="65"/>
        <v>0</v>
      </c>
      <c r="L81" s="20">
        <f t="shared" si="66"/>
        <v>0</v>
      </c>
      <c r="M81" s="87">
        <v>0.00137</v>
      </c>
      <c r="N81" s="18">
        <v>0.0215</v>
      </c>
      <c r="O81" s="22">
        <f t="shared" si="67"/>
        <v>0.001399455</v>
      </c>
      <c r="P81" s="19">
        <f t="shared" si="68"/>
        <v>15</v>
      </c>
      <c r="Q81" s="19">
        <f t="shared" si="6"/>
        <v>0.0215</v>
      </c>
      <c r="R81" s="17">
        <f t="shared" si="7"/>
        <v>0</v>
      </c>
      <c r="S81" s="18">
        <v>0.06</v>
      </c>
      <c r="T81" s="23"/>
      <c r="U81" s="19">
        <f t="shared" si="69"/>
        <v>0</v>
      </c>
      <c r="V81" s="24">
        <f t="shared" si="9"/>
        <v>0</v>
      </c>
      <c r="W81" s="179" t="str">
        <f t="shared" si="70"/>
        <v/>
      </c>
      <c r="X81" s="179" t="str">
        <f t="shared" si="71"/>
        <v/>
      </c>
      <c r="Y81" s="179" t="str">
        <f t="shared" si="72"/>
        <v/>
      </c>
      <c r="Z81" s="99"/>
      <c r="AA81" s="99"/>
      <c r="AB81" s="99"/>
      <c r="AC81" s="1028"/>
      <c r="AD81" s="99"/>
      <c r="AE81" s="99"/>
      <c r="AF81" s="99"/>
      <c r="AG81" s="1028" t="str">
        <f t="shared" si="73"/>
        <v/>
      </c>
      <c r="AH81" s="24">
        <f t="shared" si="74"/>
        <v>0</v>
      </c>
    </row>
    <row r="82">
      <c r="A82" s="216">
        <v>2026.0</v>
      </c>
      <c r="B82" s="216"/>
      <c r="C82" s="216" t="s">
        <v>2364</v>
      </c>
      <c r="D82" s="216" t="s">
        <v>91</v>
      </c>
      <c r="E82" s="216" t="s">
        <v>964</v>
      </c>
      <c r="F82" s="1023">
        <v>330000.0</v>
      </c>
      <c r="G82" s="1023">
        <v>510000.0</v>
      </c>
      <c r="H82" s="1025">
        <v>1.0</v>
      </c>
      <c r="I82" s="17">
        <f t="shared" si="1"/>
        <v>477.9838553</v>
      </c>
      <c r="J82" s="18">
        <v>0.035</v>
      </c>
      <c r="K82" s="19">
        <f t="shared" si="65"/>
        <v>461.2544203</v>
      </c>
      <c r="L82" s="20">
        <f t="shared" si="66"/>
        <v>16.72943493</v>
      </c>
      <c r="M82" s="87">
        <v>0.00137</v>
      </c>
      <c r="N82" s="18">
        <v>0.0215</v>
      </c>
      <c r="O82" s="22">
        <f t="shared" si="67"/>
        <v>0.001399455</v>
      </c>
      <c r="P82" s="19">
        <f t="shared" si="68"/>
        <v>24.91697004</v>
      </c>
      <c r="Q82" s="19">
        <f t="shared" si="6"/>
        <v>0.6670048048</v>
      </c>
      <c r="R82" s="17">
        <f t="shared" si="7"/>
        <v>738.7023218</v>
      </c>
      <c r="S82" s="18">
        <v>0.06</v>
      </c>
      <c r="T82" s="23"/>
      <c r="U82" s="19">
        <f t="shared" si="69"/>
        <v>52.1436933</v>
      </c>
      <c r="V82" s="24">
        <f t="shared" si="9"/>
        <v>164.2526339</v>
      </c>
      <c r="W82" s="25">
        <f t="shared" si="70"/>
        <v>0.5454545455</v>
      </c>
      <c r="X82" s="25">
        <f t="shared" si="71"/>
        <v>0.3529411765</v>
      </c>
      <c r="Y82" s="25">
        <f t="shared" si="72"/>
        <v>0</v>
      </c>
      <c r="Z82" s="99"/>
      <c r="AA82" s="99"/>
      <c r="AB82" s="99"/>
      <c r="AC82" s="1028"/>
      <c r="AD82" s="99"/>
      <c r="AE82" s="99"/>
      <c r="AF82" s="99"/>
      <c r="AG82" s="1028" t="str">
        <f t="shared" si="73"/>
        <v/>
      </c>
      <c r="AH82" s="24">
        <f t="shared" si="74"/>
        <v>0</v>
      </c>
    </row>
    <row r="83">
      <c r="A83" s="216">
        <v>2026.0</v>
      </c>
      <c r="B83" s="216"/>
      <c r="C83" s="216" t="s">
        <v>2365</v>
      </c>
      <c r="D83" s="216" t="s">
        <v>91</v>
      </c>
      <c r="E83" s="216" t="s">
        <v>966</v>
      </c>
      <c r="F83" s="1023">
        <v>250000.0</v>
      </c>
      <c r="G83" s="1023">
        <v>380000.0</v>
      </c>
      <c r="H83" s="1025">
        <v>1.0</v>
      </c>
      <c r="I83" s="17">
        <f t="shared" si="1"/>
        <v>362.1089813</v>
      </c>
      <c r="J83" s="18">
        <v>0.035</v>
      </c>
      <c r="K83" s="19">
        <f t="shared" si="65"/>
        <v>349.4351669</v>
      </c>
      <c r="L83" s="20">
        <f t="shared" si="66"/>
        <v>12.67381434</v>
      </c>
      <c r="M83" s="87">
        <v>0.00137</v>
      </c>
      <c r="N83" s="18">
        <v>0.0215</v>
      </c>
      <c r="O83" s="22">
        <f t="shared" si="67"/>
        <v>0.001399455</v>
      </c>
      <c r="P83" s="19">
        <f t="shared" si="68"/>
        <v>22.51285609</v>
      </c>
      <c r="Q83" s="19">
        <f t="shared" si="6"/>
        <v>0.5105187915</v>
      </c>
      <c r="R83" s="17">
        <f t="shared" si="7"/>
        <v>550.4056515</v>
      </c>
      <c r="S83" s="18">
        <v>0.06</v>
      </c>
      <c r="T83" s="23"/>
      <c r="U83" s="19">
        <f t="shared" si="69"/>
        <v>37.65933405</v>
      </c>
      <c r="V83" s="24">
        <f t="shared" si="9"/>
        <v>117.6129971</v>
      </c>
      <c r="W83" s="25">
        <f t="shared" si="70"/>
        <v>0.52</v>
      </c>
      <c r="X83" s="25">
        <f t="shared" si="71"/>
        <v>0.3421052632</v>
      </c>
      <c r="Y83" s="25">
        <f t="shared" si="72"/>
        <v>0.2984210526</v>
      </c>
      <c r="Z83" s="99"/>
      <c r="AA83" s="99"/>
      <c r="AB83" s="99"/>
      <c r="AC83" s="1028"/>
      <c r="AD83" s="99"/>
      <c r="AE83" s="99"/>
      <c r="AF83" s="99"/>
      <c r="AG83" s="1028" t="str">
        <f t="shared" si="73"/>
        <v/>
      </c>
      <c r="AH83" s="24">
        <f t="shared" si="74"/>
        <v>0</v>
      </c>
    </row>
    <row r="84">
      <c r="A84" s="1029"/>
      <c r="B84" s="1029"/>
      <c r="C84" s="1029"/>
      <c r="D84" s="1029"/>
      <c r="E84" s="1034"/>
      <c r="F84" s="1031"/>
      <c r="G84" s="1031"/>
      <c r="H84" s="1025">
        <v>1.0</v>
      </c>
      <c r="I84" s="17">
        <f t="shared" si="1"/>
        <v>0</v>
      </c>
      <c r="J84" s="18">
        <v>0.035</v>
      </c>
      <c r="K84" s="19">
        <f t="shared" si="65"/>
        <v>0</v>
      </c>
      <c r="L84" s="20">
        <f t="shared" si="66"/>
        <v>0</v>
      </c>
      <c r="M84" s="87">
        <v>0.00137</v>
      </c>
      <c r="N84" s="18">
        <v>0.0215</v>
      </c>
      <c r="O84" s="22">
        <f t="shared" si="67"/>
        <v>0.001399455</v>
      </c>
      <c r="P84" s="19">
        <f t="shared" si="68"/>
        <v>15</v>
      </c>
      <c r="Q84" s="19">
        <f t="shared" si="6"/>
        <v>0.0215</v>
      </c>
      <c r="R84" s="17">
        <f t="shared" si="7"/>
        <v>0</v>
      </c>
      <c r="S84" s="18">
        <v>0.06</v>
      </c>
      <c r="T84" s="23"/>
      <c r="U84" s="19">
        <f t="shared" si="69"/>
        <v>0</v>
      </c>
      <c r="V84" s="24">
        <f t="shared" si="9"/>
        <v>0</v>
      </c>
      <c r="W84" s="179" t="str">
        <f t="shared" si="70"/>
        <v/>
      </c>
      <c r="X84" s="179" t="str">
        <f t="shared" si="71"/>
        <v/>
      </c>
      <c r="Y84" s="179" t="str">
        <f t="shared" si="72"/>
        <v/>
      </c>
      <c r="Z84" s="99"/>
      <c r="AA84" s="99"/>
      <c r="AB84" s="99"/>
      <c r="AC84" s="1028"/>
      <c r="AD84" s="99"/>
      <c r="AE84" s="99"/>
      <c r="AF84" s="99"/>
      <c r="AG84" s="1028" t="str">
        <f t="shared" si="73"/>
        <v/>
      </c>
      <c r="AH84" s="24">
        <f t="shared" si="74"/>
        <v>0</v>
      </c>
    </row>
    <row r="85">
      <c r="A85" s="216">
        <v>2026.0</v>
      </c>
      <c r="B85" s="216"/>
      <c r="C85" s="216" t="s">
        <v>2366</v>
      </c>
      <c r="D85" s="216" t="s">
        <v>922</v>
      </c>
      <c r="E85" s="1034"/>
      <c r="F85" s="1023">
        <v>185000.0</v>
      </c>
      <c r="G85" s="1023">
        <v>320000.0</v>
      </c>
      <c r="H85" s="1025">
        <v>1.0</v>
      </c>
      <c r="I85" s="17">
        <f t="shared" si="1"/>
        <v>267.9606461</v>
      </c>
      <c r="J85" s="18">
        <v>0.035</v>
      </c>
      <c r="K85" s="19">
        <f t="shared" si="65"/>
        <v>258.5820235</v>
      </c>
      <c r="L85" s="20">
        <f t="shared" si="66"/>
        <v>9.378622614</v>
      </c>
      <c r="M85" s="87">
        <v>0.00137</v>
      </c>
      <c r="N85" s="18">
        <v>0.0215</v>
      </c>
      <c r="O85" s="22">
        <f t="shared" si="67"/>
        <v>0.001399455</v>
      </c>
      <c r="P85" s="19">
        <f t="shared" si="68"/>
        <v>20.55951351</v>
      </c>
      <c r="Q85" s="19">
        <f t="shared" si="6"/>
        <v>0.3833739057</v>
      </c>
      <c r="R85" s="17">
        <f t="shared" si="7"/>
        <v>463.499496</v>
      </c>
      <c r="S85" s="18">
        <v>0.06</v>
      </c>
      <c r="T85" s="23"/>
      <c r="U85" s="19">
        <f t="shared" si="69"/>
        <v>39.10776998</v>
      </c>
      <c r="V85" s="24">
        <f t="shared" si="9"/>
        <v>128.6211101</v>
      </c>
      <c r="W85" s="25">
        <f t="shared" si="70"/>
        <v>0.7297297297</v>
      </c>
      <c r="X85" s="25">
        <f t="shared" si="71"/>
        <v>0.421875</v>
      </c>
      <c r="Y85" s="25">
        <f t="shared" si="72"/>
        <v>0</v>
      </c>
      <c r="Z85" s="99"/>
      <c r="AA85" s="99"/>
      <c r="AB85" s="99"/>
      <c r="AC85" s="1028"/>
      <c r="AD85" s="99"/>
      <c r="AE85" s="99"/>
      <c r="AF85" s="99"/>
      <c r="AG85" s="1028" t="str">
        <f t="shared" si="73"/>
        <v/>
      </c>
      <c r="AH85" s="24">
        <f t="shared" si="74"/>
        <v>0</v>
      </c>
    </row>
    <row r="86">
      <c r="A86" s="1037">
        <v>45748.0</v>
      </c>
      <c r="B86" s="216"/>
      <c r="C86" s="216" t="s">
        <v>2367</v>
      </c>
      <c r="D86" s="216" t="s">
        <v>973</v>
      </c>
      <c r="E86" s="1034"/>
      <c r="F86" s="1023">
        <v>150000.0</v>
      </c>
      <c r="G86" s="1023">
        <v>320000.0</v>
      </c>
      <c r="H86" s="1025">
        <v>1.0</v>
      </c>
      <c r="I86" s="17">
        <f t="shared" si="1"/>
        <v>217.2653888</v>
      </c>
      <c r="J86" s="18">
        <v>0.035</v>
      </c>
      <c r="K86" s="19">
        <f t="shared" si="65"/>
        <v>209.6611001</v>
      </c>
      <c r="L86" s="20">
        <f t="shared" si="66"/>
        <v>7.604288606</v>
      </c>
      <c r="M86" s="87">
        <v>0.00137</v>
      </c>
      <c r="N86" s="18">
        <v>0.0215</v>
      </c>
      <c r="O86" s="22">
        <f t="shared" si="67"/>
        <v>0.001399455</v>
      </c>
      <c r="P86" s="19">
        <f t="shared" si="68"/>
        <v>19.50771365</v>
      </c>
      <c r="Q86" s="19">
        <f t="shared" si="6"/>
        <v>0.3149112749</v>
      </c>
      <c r="R86" s="17">
        <f t="shared" si="7"/>
        <v>463.499496</v>
      </c>
      <c r="S86" s="18">
        <v>0.06</v>
      </c>
      <c r="T86" s="23"/>
      <c r="U86" s="19">
        <f t="shared" si="69"/>
        <v>49.24682145</v>
      </c>
      <c r="V86" s="24">
        <f t="shared" si="9"/>
        <v>169.177316</v>
      </c>
      <c r="W86" s="25">
        <f t="shared" si="70"/>
        <v>1.133333333</v>
      </c>
      <c r="X86" s="25">
        <f t="shared" si="71"/>
        <v>0.53125</v>
      </c>
      <c r="Y86" s="25">
        <f t="shared" si="72"/>
        <v>0.2775</v>
      </c>
      <c r="Z86" s="99"/>
      <c r="AA86" s="99"/>
      <c r="AB86" s="99"/>
      <c r="AC86" s="1028"/>
      <c r="AD86" s="99"/>
      <c r="AE86" s="99"/>
      <c r="AF86" s="99"/>
      <c r="AG86" s="1028" t="str">
        <f t="shared" si="73"/>
        <v/>
      </c>
      <c r="AH86" s="24">
        <f t="shared" si="74"/>
        <v>0</v>
      </c>
    </row>
    <row r="87">
      <c r="A87" s="1037">
        <v>45748.0</v>
      </c>
      <c r="B87" s="216"/>
      <c r="C87" s="216" t="s">
        <v>2368</v>
      </c>
      <c r="D87" s="216" t="s">
        <v>971</v>
      </c>
      <c r="E87" s="1034"/>
      <c r="F87" s="1023">
        <v>150000.0</v>
      </c>
      <c r="G87" s="1023">
        <v>320000.0</v>
      </c>
      <c r="H87" s="1025">
        <v>1.0</v>
      </c>
      <c r="I87" s="17">
        <f t="shared" si="1"/>
        <v>217.2653888</v>
      </c>
      <c r="J87" s="18">
        <v>0.035</v>
      </c>
      <c r="K87" s="19">
        <f t="shared" si="65"/>
        <v>209.6611001</v>
      </c>
      <c r="L87" s="20">
        <f t="shared" si="66"/>
        <v>7.604288606</v>
      </c>
      <c r="M87" s="87">
        <v>0.00137</v>
      </c>
      <c r="N87" s="18">
        <v>0.0215</v>
      </c>
      <c r="O87" s="22">
        <f t="shared" si="67"/>
        <v>0.001399455</v>
      </c>
      <c r="P87" s="19">
        <f t="shared" si="68"/>
        <v>19.50771365</v>
      </c>
      <c r="Q87" s="19">
        <f t="shared" si="6"/>
        <v>0.3149112749</v>
      </c>
      <c r="R87" s="17">
        <f t="shared" si="7"/>
        <v>463.499496</v>
      </c>
      <c r="S87" s="18">
        <v>0.06</v>
      </c>
      <c r="T87" s="23"/>
      <c r="U87" s="19">
        <f t="shared" si="69"/>
        <v>49.24682145</v>
      </c>
      <c r="V87" s="24">
        <f t="shared" si="9"/>
        <v>169.177316</v>
      </c>
      <c r="W87" s="25">
        <f t="shared" si="70"/>
        <v>1.133333333</v>
      </c>
      <c r="X87" s="25">
        <f t="shared" si="71"/>
        <v>0.53125</v>
      </c>
      <c r="Y87" s="25">
        <f t="shared" si="72"/>
        <v>0.365</v>
      </c>
      <c r="Z87" s="99"/>
      <c r="AA87" s="99"/>
      <c r="AB87" s="99"/>
      <c r="AC87" s="1028"/>
      <c r="AD87" s="99"/>
      <c r="AE87" s="99"/>
      <c r="AF87" s="99"/>
      <c r="AG87" s="1028" t="str">
        <f t="shared" si="73"/>
        <v/>
      </c>
      <c r="AH87" s="24">
        <f t="shared" si="74"/>
        <v>0</v>
      </c>
    </row>
    <row r="88">
      <c r="A88" s="216">
        <v>2026.0</v>
      </c>
      <c r="B88" s="216"/>
      <c r="C88" s="216" t="s">
        <v>2369</v>
      </c>
      <c r="D88" s="216" t="s">
        <v>2370</v>
      </c>
      <c r="E88" s="216" t="s">
        <v>964</v>
      </c>
      <c r="F88" s="1023">
        <v>230000.0</v>
      </c>
      <c r="G88" s="1023">
        <v>390000.0</v>
      </c>
      <c r="H88" s="1025">
        <v>1.0</v>
      </c>
      <c r="I88" s="17">
        <f t="shared" si="1"/>
        <v>333.1402628</v>
      </c>
      <c r="J88" s="18">
        <v>0.035</v>
      </c>
      <c r="K88" s="19">
        <f t="shared" si="65"/>
        <v>321.4803536</v>
      </c>
      <c r="L88" s="20">
        <f t="shared" si="66"/>
        <v>11.6599092</v>
      </c>
      <c r="M88" s="87">
        <v>0.00137</v>
      </c>
      <c r="N88" s="18">
        <v>0.0215</v>
      </c>
      <c r="O88" s="22">
        <f t="shared" si="67"/>
        <v>0.001399455</v>
      </c>
      <c r="P88" s="19">
        <f t="shared" si="68"/>
        <v>21.9118276</v>
      </c>
      <c r="Q88" s="19">
        <f t="shared" si="6"/>
        <v>0.4713972882</v>
      </c>
      <c r="R88" s="17">
        <f t="shared" si="7"/>
        <v>564.8900108</v>
      </c>
      <c r="S88" s="18">
        <v>0.06</v>
      </c>
      <c r="T88" s="23"/>
      <c r="U88" s="19">
        <f t="shared" si="69"/>
        <v>46.3499496</v>
      </c>
      <c r="V88" s="24">
        <f t="shared" si="9"/>
        <v>151.5063978</v>
      </c>
      <c r="W88" s="25">
        <f t="shared" si="70"/>
        <v>0.6956521739</v>
      </c>
      <c r="X88" s="25">
        <f t="shared" si="71"/>
        <v>0.4102564103</v>
      </c>
      <c r="Y88" s="25">
        <f t="shared" si="72"/>
        <v>0.2994871795</v>
      </c>
      <c r="Z88" s="99"/>
      <c r="AA88" s="99"/>
      <c r="AB88" s="99"/>
      <c r="AC88" s="1028"/>
      <c r="AD88" s="99"/>
      <c r="AE88" s="99"/>
      <c r="AF88" s="99"/>
      <c r="AG88" s="1028" t="str">
        <f t="shared" si="73"/>
        <v/>
      </c>
      <c r="AH88" s="24">
        <f t="shared" si="74"/>
        <v>0</v>
      </c>
    </row>
    <row r="89">
      <c r="A89" s="216">
        <v>2026.0</v>
      </c>
      <c r="B89" s="216"/>
      <c r="C89" s="216" t="s">
        <v>2371</v>
      </c>
      <c r="D89" s="216" t="s">
        <v>2370</v>
      </c>
      <c r="E89" s="216" t="s">
        <v>966</v>
      </c>
      <c r="F89" s="1023">
        <v>230000.0</v>
      </c>
      <c r="G89" s="1023">
        <v>300000.0</v>
      </c>
      <c r="H89" s="1025">
        <v>1.0</v>
      </c>
      <c r="I89" s="17">
        <f t="shared" si="1"/>
        <v>333.1402628</v>
      </c>
      <c r="J89" s="18">
        <v>0.035</v>
      </c>
      <c r="K89" s="19">
        <f t="shared" si="65"/>
        <v>321.4803536</v>
      </c>
      <c r="L89" s="20">
        <f t="shared" si="66"/>
        <v>11.6599092</v>
      </c>
      <c r="M89" s="87">
        <v>0.00137</v>
      </c>
      <c r="N89" s="18">
        <v>0.0215</v>
      </c>
      <c r="O89" s="22">
        <f t="shared" si="67"/>
        <v>0.001399455</v>
      </c>
      <c r="P89" s="19">
        <f t="shared" si="68"/>
        <v>21.9118276</v>
      </c>
      <c r="Q89" s="19">
        <f t="shared" si="6"/>
        <v>0.4713972882</v>
      </c>
      <c r="R89" s="17">
        <f t="shared" si="7"/>
        <v>434.5307775</v>
      </c>
      <c r="S89" s="18">
        <v>0.06</v>
      </c>
      <c r="T89" s="23"/>
      <c r="U89" s="19">
        <f t="shared" si="69"/>
        <v>20.27810295</v>
      </c>
      <c r="V89" s="24">
        <f t="shared" si="9"/>
        <v>55.04056515</v>
      </c>
      <c r="W89" s="25">
        <f t="shared" si="70"/>
        <v>0.3043478261</v>
      </c>
      <c r="X89" s="25">
        <f t="shared" si="71"/>
        <v>0.2333333333</v>
      </c>
      <c r="Y89" s="25">
        <f t="shared" si="72"/>
        <v>0.3486666667</v>
      </c>
      <c r="Z89" s="99"/>
      <c r="AA89" s="99"/>
      <c r="AB89" s="99"/>
      <c r="AC89" s="1028"/>
      <c r="AD89" s="99"/>
      <c r="AE89" s="99"/>
      <c r="AF89" s="99"/>
      <c r="AG89" s="1028" t="str">
        <f t="shared" si="73"/>
        <v/>
      </c>
      <c r="AH89" s="24">
        <f t="shared" si="74"/>
        <v>0</v>
      </c>
    </row>
    <row r="90">
      <c r="A90" s="1029"/>
      <c r="B90" s="1029"/>
      <c r="C90" s="1029"/>
      <c r="D90" s="1029"/>
      <c r="E90" s="1034"/>
      <c r="F90" s="1031"/>
      <c r="G90" s="1031"/>
      <c r="H90" s="1025">
        <v>1.0</v>
      </c>
      <c r="I90" s="17">
        <f t="shared" si="1"/>
        <v>0</v>
      </c>
      <c r="J90" s="18">
        <v>0.035</v>
      </c>
      <c r="K90" s="19">
        <f t="shared" si="65"/>
        <v>0</v>
      </c>
      <c r="L90" s="20">
        <f t="shared" si="66"/>
        <v>0</v>
      </c>
      <c r="M90" s="87">
        <v>0.00137</v>
      </c>
      <c r="N90" s="18">
        <v>0.0215</v>
      </c>
      <c r="O90" s="22">
        <f t="shared" si="67"/>
        <v>0.001399455</v>
      </c>
      <c r="P90" s="19">
        <f t="shared" si="68"/>
        <v>15</v>
      </c>
      <c r="Q90" s="19">
        <f t="shared" si="6"/>
        <v>0.0215</v>
      </c>
      <c r="R90" s="17">
        <f t="shared" si="7"/>
        <v>0</v>
      </c>
      <c r="S90" s="18">
        <v>0.06</v>
      </c>
      <c r="T90" s="23"/>
      <c r="U90" s="19">
        <f t="shared" si="69"/>
        <v>0</v>
      </c>
      <c r="V90" s="24">
        <f t="shared" si="9"/>
        <v>0</v>
      </c>
      <c r="W90" s="179" t="str">
        <f t="shared" si="70"/>
        <v/>
      </c>
      <c r="X90" s="179" t="str">
        <f t="shared" si="71"/>
        <v/>
      </c>
      <c r="Y90" s="179" t="str">
        <f t="shared" si="72"/>
        <v/>
      </c>
      <c r="Z90" s="99"/>
      <c r="AA90" s="99"/>
      <c r="AB90" s="99"/>
      <c r="AC90" s="1028"/>
      <c r="AD90" s="99"/>
      <c r="AE90" s="99"/>
      <c r="AF90" s="99"/>
      <c r="AG90" s="1028" t="str">
        <f t="shared" si="73"/>
        <v/>
      </c>
      <c r="AH90" s="24">
        <f t="shared" si="74"/>
        <v>0</v>
      </c>
    </row>
    <row r="91">
      <c r="A91" s="216">
        <v>2026.0</v>
      </c>
      <c r="B91" s="216"/>
      <c r="C91" s="216" t="s">
        <v>2372</v>
      </c>
      <c r="D91" s="216" t="s">
        <v>139</v>
      </c>
      <c r="E91" s="216" t="s">
        <v>964</v>
      </c>
      <c r="F91" s="1023">
        <v>309000.0</v>
      </c>
      <c r="G91" s="1023">
        <v>450000.0</v>
      </c>
      <c r="H91" s="1025">
        <v>1.0</v>
      </c>
      <c r="I91" s="17">
        <f t="shared" si="1"/>
        <v>447.5667008</v>
      </c>
      <c r="J91" s="18">
        <v>0.035</v>
      </c>
      <c r="K91" s="19">
        <f t="shared" si="65"/>
        <v>431.9018663</v>
      </c>
      <c r="L91" s="20">
        <f t="shared" si="66"/>
        <v>15.66483453</v>
      </c>
      <c r="M91" s="87">
        <v>0.00137</v>
      </c>
      <c r="N91" s="18">
        <v>0.0215</v>
      </c>
      <c r="O91" s="22">
        <f t="shared" si="67"/>
        <v>0.001399455</v>
      </c>
      <c r="P91" s="19">
        <f t="shared" si="68"/>
        <v>24.28589013</v>
      </c>
      <c r="Q91" s="19">
        <f t="shared" si="6"/>
        <v>0.6259272263</v>
      </c>
      <c r="R91" s="17">
        <f t="shared" si="7"/>
        <v>651.7961663</v>
      </c>
      <c r="S91" s="18">
        <v>0.06</v>
      </c>
      <c r="T91" s="23"/>
      <c r="U91" s="19">
        <f t="shared" si="69"/>
        <v>40.84589309</v>
      </c>
      <c r="V91" s="24">
        <f t="shared" si="9"/>
        <v>124.2758024</v>
      </c>
      <c r="W91" s="25">
        <f t="shared" si="70"/>
        <v>0.4563106796</v>
      </c>
      <c r="X91" s="25">
        <f t="shared" si="71"/>
        <v>0.3133333333</v>
      </c>
      <c r="Y91" s="25">
        <f t="shared" si="72"/>
        <v>0</v>
      </c>
      <c r="Z91" s="99"/>
      <c r="AA91" s="99"/>
      <c r="AB91" s="99"/>
      <c r="AC91" s="1028"/>
      <c r="AD91" s="99"/>
      <c r="AE91" s="99"/>
      <c r="AF91" s="99"/>
      <c r="AG91" s="1028" t="str">
        <f t="shared" si="73"/>
        <v/>
      </c>
      <c r="AH91" s="24">
        <f t="shared" si="74"/>
        <v>0</v>
      </c>
    </row>
    <row r="92">
      <c r="A92" s="216">
        <v>2026.0</v>
      </c>
      <c r="B92" s="216"/>
      <c r="C92" s="216" t="s">
        <v>2373</v>
      </c>
      <c r="D92" s="216" t="s">
        <v>139</v>
      </c>
      <c r="E92" s="216" t="s">
        <v>966</v>
      </c>
      <c r="F92" s="1023">
        <v>273000.0</v>
      </c>
      <c r="G92" s="1023">
        <v>390000.0</v>
      </c>
      <c r="H92" s="1025">
        <v>1.0</v>
      </c>
      <c r="I92" s="17">
        <f t="shared" si="1"/>
        <v>395.4230075</v>
      </c>
      <c r="J92" s="18">
        <v>0.035</v>
      </c>
      <c r="K92" s="19">
        <f t="shared" si="65"/>
        <v>381.5832023</v>
      </c>
      <c r="L92" s="20">
        <f t="shared" si="66"/>
        <v>13.83980526</v>
      </c>
      <c r="M92" s="87">
        <v>0.00137</v>
      </c>
      <c r="N92" s="18">
        <v>0.0215</v>
      </c>
      <c r="O92" s="22">
        <f t="shared" si="67"/>
        <v>0.001399455</v>
      </c>
      <c r="P92" s="19">
        <f t="shared" si="68"/>
        <v>23.20403885</v>
      </c>
      <c r="Q92" s="19">
        <f t="shared" si="6"/>
        <v>0.5555085203</v>
      </c>
      <c r="R92" s="17">
        <f t="shared" si="7"/>
        <v>564.8900108</v>
      </c>
      <c r="S92" s="18">
        <v>0.06</v>
      </c>
      <c r="T92" s="23"/>
      <c r="U92" s="19">
        <f t="shared" si="69"/>
        <v>33.89340065</v>
      </c>
      <c r="V92" s="24">
        <f t="shared" si="9"/>
        <v>101.6802019</v>
      </c>
      <c r="W92" s="25">
        <f t="shared" si="70"/>
        <v>0.4285714286</v>
      </c>
      <c r="X92" s="25">
        <f t="shared" si="71"/>
        <v>0.3</v>
      </c>
      <c r="Y92" s="25">
        <f t="shared" si="72"/>
        <v>0.22</v>
      </c>
      <c r="Z92" s="99"/>
      <c r="AA92" s="99"/>
      <c r="AB92" s="99"/>
      <c r="AC92" s="1028"/>
      <c r="AD92" s="99"/>
      <c r="AE92" s="99"/>
      <c r="AF92" s="99"/>
      <c r="AG92" s="1028" t="str">
        <f t="shared" si="73"/>
        <v/>
      </c>
      <c r="AH92" s="24">
        <f t="shared" si="74"/>
        <v>0</v>
      </c>
    </row>
    <row r="93">
      <c r="A93" s="1029"/>
      <c r="B93" s="1029"/>
      <c r="C93" s="1029"/>
      <c r="D93" s="1029"/>
      <c r="E93" s="1034"/>
      <c r="F93" s="1031"/>
      <c r="G93" s="1031"/>
      <c r="H93" s="1025">
        <v>1.0</v>
      </c>
      <c r="I93" s="17">
        <f t="shared" si="1"/>
        <v>0</v>
      </c>
      <c r="J93" s="18">
        <v>0.035</v>
      </c>
      <c r="K93" s="19">
        <f t="shared" si="65"/>
        <v>0</v>
      </c>
      <c r="L93" s="20">
        <f t="shared" si="66"/>
        <v>0</v>
      </c>
      <c r="M93" s="87">
        <v>0.00137</v>
      </c>
      <c r="N93" s="18">
        <v>0.0215</v>
      </c>
      <c r="O93" s="22">
        <f t="shared" si="67"/>
        <v>0.001399455</v>
      </c>
      <c r="P93" s="19">
        <f t="shared" si="68"/>
        <v>15</v>
      </c>
      <c r="Q93" s="19">
        <f t="shared" si="6"/>
        <v>0.0215</v>
      </c>
      <c r="R93" s="17">
        <f t="shared" si="7"/>
        <v>0</v>
      </c>
      <c r="S93" s="18">
        <v>0.06</v>
      </c>
      <c r="T93" s="23"/>
      <c r="U93" s="19">
        <f t="shared" si="69"/>
        <v>0</v>
      </c>
      <c r="V93" s="24">
        <f t="shared" si="9"/>
        <v>0</v>
      </c>
      <c r="W93" s="179" t="str">
        <f t="shared" si="70"/>
        <v/>
      </c>
      <c r="X93" s="179" t="str">
        <f t="shared" si="71"/>
        <v/>
      </c>
      <c r="Y93" s="179" t="str">
        <f t="shared" si="72"/>
        <v/>
      </c>
      <c r="Z93" s="99"/>
      <c r="AA93" s="99"/>
      <c r="AB93" s="99"/>
      <c r="AC93" s="1028"/>
      <c r="AD93" s="99"/>
      <c r="AE93" s="99"/>
      <c r="AF93" s="99"/>
      <c r="AG93" s="1028" t="str">
        <f t="shared" si="73"/>
        <v/>
      </c>
      <c r="AH93" s="24">
        <f t="shared" si="74"/>
        <v>0</v>
      </c>
    </row>
    <row r="94">
      <c r="A94" s="216">
        <v>2026.0</v>
      </c>
      <c r="B94" s="216"/>
      <c r="C94" s="216" t="s">
        <v>2374</v>
      </c>
      <c r="D94" s="216" t="s">
        <v>1746</v>
      </c>
      <c r="E94" s="1034"/>
      <c r="F94" s="1023">
        <v>740000.0</v>
      </c>
      <c r="G94" s="1023">
        <v>870000.0</v>
      </c>
      <c r="H94" s="1025">
        <v>1.0</v>
      </c>
      <c r="I94" s="17">
        <f t="shared" si="1"/>
        <v>1071.842585</v>
      </c>
      <c r="J94" s="18">
        <v>0.035</v>
      </c>
      <c r="K94" s="19">
        <f t="shared" si="65"/>
        <v>1034.328094</v>
      </c>
      <c r="L94" s="20">
        <f t="shared" si="66"/>
        <v>37.51449046</v>
      </c>
      <c r="M94" s="87">
        <v>0.00137</v>
      </c>
      <c r="N94" s="18">
        <v>0.0215</v>
      </c>
      <c r="O94" s="22">
        <f t="shared" si="67"/>
        <v>0.001399455</v>
      </c>
      <c r="P94" s="19">
        <f t="shared" si="68"/>
        <v>37.23805402</v>
      </c>
      <c r="Q94" s="19">
        <f t="shared" si="6"/>
        <v>1.468995623</v>
      </c>
      <c r="R94" s="17">
        <f t="shared" si="7"/>
        <v>1260.139255</v>
      </c>
      <c r="S94" s="18">
        <v>0.06</v>
      </c>
      <c r="T94" s="23"/>
      <c r="U94" s="19">
        <f t="shared" si="69"/>
        <v>37.65933405</v>
      </c>
      <c r="V94" s="24">
        <f t="shared" si="9"/>
        <v>75.02898091</v>
      </c>
      <c r="W94" s="25">
        <f t="shared" si="70"/>
        <v>0.1756756757</v>
      </c>
      <c r="X94" s="25">
        <f t="shared" si="71"/>
        <v>0.1494252874</v>
      </c>
      <c r="Y94" s="25">
        <f t="shared" si="72"/>
        <v>0</v>
      </c>
      <c r="Z94" s="99"/>
      <c r="AA94" s="99"/>
      <c r="AB94" s="99"/>
      <c r="AC94" s="1028"/>
      <c r="AD94" s="99"/>
      <c r="AE94" s="99"/>
      <c r="AF94" s="99"/>
      <c r="AG94" s="1028" t="str">
        <f t="shared" si="73"/>
        <v/>
      </c>
      <c r="AH94" s="24">
        <f t="shared" si="74"/>
        <v>0</v>
      </c>
    </row>
    <row r="95">
      <c r="A95" s="216">
        <v>2026.0</v>
      </c>
      <c r="B95" s="216"/>
      <c r="C95" s="216" t="s">
        <v>2375</v>
      </c>
      <c r="D95" s="216" t="s">
        <v>2376</v>
      </c>
      <c r="E95" s="1034"/>
      <c r="F95" s="1023">
        <v>540000.0</v>
      </c>
      <c r="G95" s="1023" t="s">
        <v>1001</v>
      </c>
      <c r="H95" s="1025">
        <v>1.0</v>
      </c>
      <c r="I95" s="17">
        <f t="shared" si="1"/>
        <v>782.1553995</v>
      </c>
      <c r="J95" s="18">
        <v>0.035</v>
      </c>
      <c r="K95" s="19">
        <f t="shared" si="65"/>
        <v>754.7799605</v>
      </c>
      <c r="L95" s="20">
        <f t="shared" si="66"/>
        <v>27.37543898</v>
      </c>
      <c r="M95" s="87">
        <v>0.00137</v>
      </c>
      <c r="N95" s="18">
        <v>0.0215</v>
      </c>
      <c r="O95" s="22">
        <f t="shared" si="67"/>
        <v>0.001399455</v>
      </c>
      <c r="P95" s="19">
        <f t="shared" si="68"/>
        <v>31.22776915</v>
      </c>
      <c r="Q95" s="19">
        <f t="shared" si="6"/>
        <v>1.07778059</v>
      </c>
      <c r="R95" s="17" t="str">
        <f t="shared" si="7"/>
        <v>#VALUE!</v>
      </c>
      <c r="S95" s="18">
        <v>0.06</v>
      </c>
      <c r="T95" s="23"/>
      <c r="U95" s="19" t="str">
        <f t="shared" si="69"/>
        <v>#VALUE!</v>
      </c>
      <c r="V95" s="24" t="str">
        <f t="shared" si="9"/>
        <v>#VALUE!</v>
      </c>
      <c r="W95" s="25" t="str">
        <f t="shared" si="70"/>
        <v/>
      </c>
      <c r="X95" s="25" t="str">
        <f t="shared" si="71"/>
        <v/>
      </c>
      <c r="Y95" s="25" t="str">
        <f t="shared" si="72"/>
        <v/>
      </c>
      <c r="Z95" s="99"/>
      <c r="AA95" s="99"/>
      <c r="AB95" s="99"/>
      <c r="AC95" s="1028"/>
      <c r="AD95" s="99"/>
      <c r="AE95" s="99"/>
      <c r="AF95" s="99"/>
      <c r="AG95" s="1028" t="str">
        <f t="shared" si="73"/>
        <v/>
      </c>
      <c r="AH95" s="24">
        <f t="shared" si="74"/>
        <v>0</v>
      </c>
    </row>
    <row r="96">
      <c r="A96" s="1034"/>
      <c r="B96" s="1029"/>
      <c r="C96" s="1029"/>
      <c r="D96" s="1029"/>
      <c r="E96" s="1034"/>
      <c r="F96" s="1031"/>
      <c r="G96" s="1031"/>
      <c r="H96" s="1025">
        <v>1.0</v>
      </c>
      <c r="I96" s="17">
        <f t="shared" si="1"/>
        <v>0</v>
      </c>
      <c r="J96" s="18">
        <v>0.035</v>
      </c>
      <c r="K96" s="19">
        <f t="shared" si="65"/>
        <v>0</v>
      </c>
      <c r="L96" s="20">
        <f t="shared" si="66"/>
        <v>0</v>
      </c>
      <c r="M96" s="87">
        <v>0.00137</v>
      </c>
      <c r="N96" s="18">
        <v>0.0215</v>
      </c>
      <c r="O96" s="22">
        <f t="shared" si="67"/>
        <v>0.001399455</v>
      </c>
      <c r="P96" s="19">
        <f t="shared" si="68"/>
        <v>15</v>
      </c>
      <c r="Q96" s="19">
        <f t="shared" si="6"/>
        <v>0.0215</v>
      </c>
      <c r="R96" s="17">
        <f t="shared" si="7"/>
        <v>0</v>
      </c>
      <c r="S96" s="18">
        <v>0.06</v>
      </c>
      <c r="T96" s="23"/>
      <c r="U96" s="19">
        <f t="shared" si="69"/>
        <v>0</v>
      </c>
      <c r="V96" s="24">
        <f t="shared" si="9"/>
        <v>0</v>
      </c>
      <c r="W96" s="179" t="str">
        <f t="shared" si="70"/>
        <v/>
      </c>
      <c r="X96" s="179" t="str">
        <f t="shared" si="71"/>
        <v/>
      </c>
      <c r="Y96" s="179" t="str">
        <f t="shared" si="72"/>
        <v/>
      </c>
      <c r="Z96" s="99"/>
      <c r="AA96" s="99"/>
      <c r="AB96" s="99"/>
      <c r="AC96" s="1028"/>
      <c r="AD96" s="99"/>
      <c r="AE96" s="99"/>
      <c r="AF96" s="99"/>
      <c r="AG96" s="1028" t="str">
        <f t="shared" si="73"/>
        <v/>
      </c>
      <c r="AH96" s="24">
        <f t="shared" si="74"/>
        <v>0</v>
      </c>
    </row>
    <row r="97">
      <c r="A97" s="216">
        <v>2026.0</v>
      </c>
      <c r="B97" s="216"/>
      <c r="C97" s="216" t="s">
        <v>2377</v>
      </c>
      <c r="D97" s="216" t="s">
        <v>2252</v>
      </c>
      <c r="E97" s="1034"/>
      <c r="F97" s="1023">
        <v>148665.0</v>
      </c>
      <c r="G97" s="1023">
        <v>350000.0</v>
      </c>
      <c r="H97" s="1025">
        <v>1.0</v>
      </c>
      <c r="I97" s="17">
        <f t="shared" si="1"/>
        <v>215.3317268</v>
      </c>
      <c r="J97" s="18">
        <v>0.035</v>
      </c>
      <c r="K97" s="19">
        <f t="shared" si="65"/>
        <v>207.7951164</v>
      </c>
      <c r="L97" s="20">
        <f t="shared" si="66"/>
        <v>7.536610438</v>
      </c>
      <c r="M97" s="87">
        <v>0.00137</v>
      </c>
      <c r="N97" s="18">
        <v>0.0215</v>
      </c>
      <c r="O97" s="22">
        <f t="shared" si="67"/>
        <v>0.001399455</v>
      </c>
      <c r="P97" s="19">
        <f t="shared" si="68"/>
        <v>19.467595</v>
      </c>
      <c r="Q97" s="19">
        <f t="shared" si="6"/>
        <v>0.3122999146</v>
      </c>
      <c r="R97" s="17">
        <f t="shared" si="7"/>
        <v>506.9525738</v>
      </c>
      <c r="S97" s="18">
        <v>0.06</v>
      </c>
      <c r="T97" s="23"/>
      <c r="U97" s="19">
        <f t="shared" si="69"/>
        <v>58.32416939</v>
      </c>
      <c r="V97" s="24">
        <f t="shared" si="9"/>
        <v>202.8795231</v>
      </c>
      <c r="W97" s="25">
        <f t="shared" si="70"/>
        <v>1.354286483</v>
      </c>
      <c r="X97" s="25">
        <f t="shared" si="71"/>
        <v>0.5752428571</v>
      </c>
      <c r="Y97" s="25">
        <f t="shared" si="72"/>
        <v>0</v>
      </c>
      <c r="Z97" s="99"/>
      <c r="AA97" s="99"/>
      <c r="AB97" s="99"/>
      <c r="AC97" s="1028"/>
      <c r="AD97" s="99"/>
      <c r="AE97" s="99"/>
      <c r="AF97" s="99"/>
      <c r="AG97" s="1028" t="str">
        <f t="shared" si="73"/>
        <v/>
      </c>
      <c r="AH97" s="24">
        <f t="shared" si="74"/>
        <v>0</v>
      </c>
    </row>
    <row r="98">
      <c r="A98" s="216">
        <v>2026.0</v>
      </c>
      <c r="B98" s="216"/>
      <c r="C98" s="216" t="s">
        <v>2378</v>
      </c>
      <c r="D98" s="216" t="s">
        <v>2379</v>
      </c>
      <c r="E98" s="1034"/>
      <c r="F98" s="1023">
        <v>148665.0</v>
      </c>
      <c r="G98" s="1023">
        <v>250000.0</v>
      </c>
      <c r="H98" s="1025">
        <v>1.0</v>
      </c>
      <c r="I98" s="17">
        <f t="shared" si="1"/>
        <v>215.3317268</v>
      </c>
      <c r="J98" s="18">
        <v>0.035</v>
      </c>
      <c r="K98" s="19">
        <f t="shared" si="65"/>
        <v>207.7951164</v>
      </c>
      <c r="L98" s="20">
        <f t="shared" si="66"/>
        <v>7.536610438</v>
      </c>
      <c r="M98" s="87">
        <v>0.00137</v>
      </c>
      <c r="N98" s="18">
        <v>0.0215</v>
      </c>
      <c r="O98" s="22">
        <f t="shared" si="67"/>
        <v>0.001399455</v>
      </c>
      <c r="P98" s="19">
        <f t="shared" si="68"/>
        <v>19.467595</v>
      </c>
      <c r="Q98" s="19">
        <f t="shared" si="6"/>
        <v>0.3122999146</v>
      </c>
      <c r="R98" s="17">
        <f t="shared" si="7"/>
        <v>362.1089813</v>
      </c>
      <c r="S98" s="18">
        <v>0.06</v>
      </c>
      <c r="T98" s="23"/>
      <c r="U98" s="19">
        <f t="shared" si="69"/>
        <v>29.35545089</v>
      </c>
      <c r="V98" s="24">
        <f t="shared" si="9"/>
        <v>95.69526469</v>
      </c>
      <c r="W98" s="25">
        <f t="shared" si="70"/>
        <v>0.6816332022</v>
      </c>
      <c r="X98" s="25">
        <f t="shared" si="71"/>
        <v>0.40534</v>
      </c>
      <c r="Y98" s="25">
        <f t="shared" si="72"/>
        <v>0.560272</v>
      </c>
      <c r="Z98" s="99"/>
      <c r="AA98" s="99"/>
      <c r="AB98" s="99"/>
      <c r="AC98" s="1028"/>
      <c r="AD98" s="99"/>
      <c r="AE98" s="99"/>
      <c r="AF98" s="99"/>
      <c r="AG98" s="1028" t="str">
        <f t="shared" si="73"/>
        <v/>
      </c>
      <c r="AH98" s="24">
        <f t="shared" si="74"/>
        <v>0</v>
      </c>
    </row>
    <row r="99">
      <c r="A99" s="216">
        <v>2026.0</v>
      </c>
      <c r="B99" s="216"/>
      <c r="C99" s="216" t="s">
        <v>2380</v>
      </c>
      <c r="D99" s="216" t="s">
        <v>2381</v>
      </c>
      <c r="E99" s="1034"/>
      <c r="F99" s="1023">
        <v>242165.0</v>
      </c>
      <c r="G99" s="1023">
        <v>350000.0</v>
      </c>
      <c r="H99" s="1025">
        <v>1.0</v>
      </c>
      <c r="I99" s="17">
        <f t="shared" si="1"/>
        <v>350.7604858</v>
      </c>
      <c r="J99" s="18">
        <v>0.035</v>
      </c>
      <c r="K99" s="19">
        <f t="shared" si="65"/>
        <v>338.4838688</v>
      </c>
      <c r="L99" s="20">
        <f t="shared" si="66"/>
        <v>12.276617</v>
      </c>
      <c r="M99" s="87">
        <v>0.00137</v>
      </c>
      <c r="N99" s="18">
        <v>0.0215</v>
      </c>
      <c r="O99" s="22">
        <f t="shared" si="67"/>
        <v>0.001399455</v>
      </c>
      <c r="P99" s="19">
        <f t="shared" si="68"/>
        <v>22.27740318</v>
      </c>
      <c r="Q99" s="19">
        <f t="shared" si="6"/>
        <v>0.4951929426</v>
      </c>
      <c r="R99" s="17">
        <f t="shared" si="7"/>
        <v>506.9525738</v>
      </c>
      <c r="S99" s="18">
        <v>0.06</v>
      </c>
      <c r="T99" s="23"/>
      <c r="U99" s="19">
        <f t="shared" si="69"/>
        <v>31.23841759</v>
      </c>
      <c r="V99" s="24">
        <f t="shared" si="9"/>
        <v>94.53651595</v>
      </c>
      <c r="W99" s="25">
        <f t="shared" si="70"/>
        <v>0.4452955629</v>
      </c>
      <c r="X99" s="25">
        <f t="shared" si="71"/>
        <v>0.3081</v>
      </c>
      <c r="Y99" s="25">
        <f t="shared" si="72"/>
        <v>0.1887657143</v>
      </c>
      <c r="Z99" s="99"/>
      <c r="AA99" s="99"/>
      <c r="AB99" s="99"/>
      <c r="AC99" s="1028"/>
      <c r="AD99" s="99"/>
      <c r="AE99" s="99"/>
      <c r="AF99" s="99"/>
      <c r="AG99" s="1028" t="str">
        <f t="shared" si="73"/>
        <v/>
      </c>
      <c r="AH99" s="24">
        <f t="shared" si="74"/>
        <v>0</v>
      </c>
    </row>
    <row r="100">
      <c r="A100" s="216">
        <v>2026.0</v>
      </c>
      <c r="B100" s="216"/>
      <c r="C100" s="216" t="s">
        <v>2382</v>
      </c>
      <c r="D100" s="216" t="s">
        <v>2383</v>
      </c>
      <c r="E100" s="1034"/>
      <c r="F100" s="1023">
        <v>165000.0</v>
      </c>
      <c r="G100" s="1023">
        <v>250000.0</v>
      </c>
      <c r="H100" s="1025">
        <v>1.0</v>
      </c>
      <c r="I100" s="17">
        <f t="shared" si="1"/>
        <v>238.9919276</v>
      </c>
      <c r="J100" s="18">
        <v>0.035</v>
      </c>
      <c r="K100" s="19">
        <f t="shared" si="65"/>
        <v>230.6272102</v>
      </c>
      <c r="L100" s="20">
        <f t="shared" si="66"/>
        <v>8.364717467</v>
      </c>
      <c r="M100" s="87">
        <v>0.00137</v>
      </c>
      <c r="N100" s="18">
        <v>0.0215</v>
      </c>
      <c r="O100" s="22">
        <f t="shared" si="67"/>
        <v>0.001399455</v>
      </c>
      <c r="P100" s="19">
        <f t="shared" si="68"/>
        <v>19.95848502</v>
      </c>
      <c r="Q100" s="19">
        <f t="shared" si="6"/>
        <v>0.3442524024</v>
      </c>
      <c r="R100" s="17">
        <f t="shared" si="7"/>
        <v>362.1089813</v>
      </c>
      <c r="S100" s="18">
        <v>0.06</v>
      </c>
      <c r="T100" s="23"/>
      <c r="U100" s="19">
        <f t="shared" si="69"/>
        <v>24.62341073</v>
      </c>
      <c r="V100" s="24">
        <f t="shared" si="9"/>
        <v>76.76710403</v>
      </c>
      <c r="W100" s="25">
        <f t="shared" si="70"/>
        <v>0.5151515152</v>
      </c>
      <c r="X100" s="25">
        <f t="shared" si="71"/>
        <v>0.34</v>
      </c>
      <c r="Y100" s="25">
        <f t="shared" si="72"/>
        <v>0.261072</v>
      </c>
      <c r="Z100" s="99"/>
      <c r="AA100" s="99"/>
      <c r="AB100" s="99"/>
      <c r="AC100" s="1028"/>
      <c r="AD100" s="99"/>
      <c r="AE100" s="99"/>
      <c r="AF100" s="99"/>
      <c r="AG100" s="1028" t="str">
        <f t="shared" si="73"/>
        <v/>
      </c>
      <c r="AH100" s="24">
        <f t="shared" si="74"/>
        <v>0</v>
      </c>
    </row>
    <row r="101">
      <c r="A101" s="216">
        <v>2026.0</v>
      </c>
      <c r="B101" s="216"/>
      <c r="C101" s="216" t="s">
        <v>2384</v>
      </c>
      <c r="D101" s="216" t="s">
        <v>2385</v>
      </c>
      <c r="E101" s="1034"/>
      <c r="F101" s="1023">
        <v>200000.0</v>
      </c>
      <c r="G101" s="1023">
        <v>300000.0</v>
      </c>
      <c r="H101" s="1025">
        <v>1.0</v>
      </c>
      <c r="I101" s="17">
        <f t="shared" si="1"/>
        <v>289.687185</v>
      </c>
      <c r="J101" s="18">
        <v>0.035</v>
      </c>
      <c r="K101" s="19">
        <f t="shared" si="65"/>
        <v>279.5481335</v>
      </c>
      <c r="L101" s="20">
        <f t="shared" si="66"/>
        <v>10.13905148</v>
      </c>
      <c r="M101" s="87">
        <v>0.00137</v>
      </c>
      <c r="N101" s="18">
        <v>0.0215</v>
      </c>
      <c r="O101" s="22">
        <f t="shared" si="67"/>
        <v>0.001399455</v>
      </c>
      <c r="P101" s="19">
        <f t="shared" si="68"/>
        <v>21.01028487</v>
      </c>
      <c r="Q101" s="19">
        <f t="shared" si="6"/>
        <v>0.4127150332</v>
      </c>
      <c r="R101" s="17">
        <f t="shared" si="7"/>
        <v>434.5307775</v>
      </c>
      <c r="S101" s="18">
        <v>0.06</v>
      </c>
      <c r="T101" s="23"/>
      <c r="U101" s="19">
        <f t="shared" si="69"/>
        <v>28.9687185</v>
      </c>
      <c r="V101" s="24">
        <f t="shared" si="9"/>
        <v>89.80302735</v>
      </c>
      <c r="W101" s="25">
        <f t="shared" si="70"/>
        <v>0.5</v>
      </c>
      <c r="X101" s="25">
        <f t="shared" si="71"/>
        <v>0.3333333333</v>
      </c>
      <c r="Y101" s="25">
        <f t="shared" si="72"/>
        <v>0.1766666667</v>
      </c>
      <c r="Z101" s="99"/>
      <c r="AA101" s="99"/>
      <c r="AB101" s="99"/>
      <c r="AC101" s="1028"/>
      <c r="AD101" s="99"/>
      <c r="AE101" s="99"/>
      <c r="AF101" s="99"/>
      <c r="AG101" s="1028" t="str">
        <f t="shared" si="73"/>
        <v/>
      </c>
      <c r="AH101" s="24">
        <f t="shared" si="74"/>
        <v>0</v>
      </c>
    </row>
    <row r="102">
      <c r="A102" s="1034"/>
      <c r="B102" s="1029"/>
      <c r="C102" s="1029"/>
      <c r="D102" s="1029"/>
      <c r="E102" s="1034"/>
      <c r="F102" s="1031"/>
      <c r="G102" s="1031"/>
      <c r="H102" s="1025">
        <v>1.0</v>
      </c>
      <c r="I102" s="17">
        <f t="shared" si="1"/>
        <v>0</v>
      </c>
      <c r="J102" s="18">
        <v>0.035</v>
      </c>
      <c r="K102" s="19">
        <f t="shared" si="65"/>
        <v>0</v>
      </c>
      <c r="L102" s="20">
        <f t="shared" si="66"/>
        <v>0</v>
      </c>
      <c r="M102" s="87">
        <v>0.00137</v>
      </c>
      <c r="N102" s="18">
        <v>0.0215</v>
      </c>
      <c r="O102" s="22">
        <f t="shared" si="67"/>
        <v>0.001399455</v>
      </c>
      <c r="P102" s="19">
        <f t="shared" si="68"/>
        <v>15</v>
      </c>
      <c r="Q102" s="19">
        <f t="shared" si="6"/>
        <v>0.0215</v>
      </c>
      <c r="R102" s="17">
        <f t="shared" si="7"/>
        <v>0</v>
      </c>
      <c r="S102" s="18">
        <v>0.06</v>
      </c>
      <c r="T102" s="23"/>
      <c r="U102" s="19">
        <f t="shared" si="69"/>
        <v>0</v>
      </c>
      <c r="V102" s="24">
        <f t="shared" si="9"/>
        <v>0</v>
      </c>
      <c r="W102" s="179" t="str">
        <f t="shared" si="70"/>
        <v/>
      </c>
      <c r="X102" s="179" t="str">
        <f t="shared" si="71"/>
        <v/>
      </c>
      <c r="Y102" s="179" t="str">
        <f t="shared" si="72"/>
        <v/>
      </c>
      <c r="Z102" s="99"/>
      <c r="AA102" s="99"/>
      <c r="AB102" s="99"/>
      <c r="AC102" s="1028"/>
      <c r="AD102" s="99"/>
      <c r="AE102" s="99"/>
      <c r="AF102" s="99"/>
      <c r="AG102" s="1028" t="str">
        <f t="shared" si="73"/>
        <v/>
      </c>
      <c r="AH102" s="24">
        <f t="shared" si="74"/>
        <v>0</v>
      </c>
    </row>
    <row r="103">
      <c r="A103" s="216">
        <v>2026.0</v>
      </c>
      <c r="B103" s="216"/>
      <c r="C103" s="216" t="s">
        <v>2386</v>
      </c>
      <c r="D103" s="216" t="s">
        <v>106</v>
      </c>
      <c r="E103" s="216">
        <v>1.0</v>
      </c>
      <c r="F103" s="1038">
        <f>300000+36000+30000+10000</f>
        <v>376000</v>
      </c>
      <c r="G103" s="1038">
        <f>F103*1.3</f>
        <v>488800</v>
      </c>
      <c r="H103" s="1025">
        <v>1.0</v>
      </c>
      <c r="I103" s="17">
        <f t="shared" si="1"/>
        <v>544.6119078</v>
      </c>
      <c r="J103" s="18">
        <v>0.035</v>
      </c>
      <c r="K103" s="19">
        <f t="shared" si="65"/>
        <v>525.550491</v>
      </c>
      <c r="L103" s="20">
        <f t="shared" si="66"/>
        <v>19.06141677</v>
      </c>
      <c r="M103" s="87">
        <v>0.00137</v>
      </c>
      <c r="N103" s="18">
        <v>0.0215</v>
      </c>
      <c r="O103" s="22">
        <f t="shared" si="67"/>
        <v>0.001399455</v>
      </c>
      <c r="P103" s="19">
        <f t="shared" si="68"/>
        <v>26.29933556</v>
      </c>
      <c r="Q103" s="19">
        <f t="shared" si="6"/>
        <v>0.7569842624</v>
      </c>
      <c r="R103" s="17">
        <f t="shared" si="7"/>
        <v>707.9954801</v>
      </c>
      <c r="S103" s="18">
        <v>0.06</v>
      </c>
      <c r="T103" s="23"/>
      <c r="U103" s="19">
        <f t="shared" si="69"/>
        <v>32.67671447</v>
      </c>
      <c r="V103" s="24">
        <f t="shared" si="9"/>
        <v>88.22712906</v>
      </c>
      <c r="W103" s="179">
        <f t="shared" si="70"/>
        <v>0.3</v>
      </c>
      <c r="X103" s="179">
        <f t="shared" si="71"/>
        <v>0.2307692308</v>
      </c>
      <c r="Y103" s="179">
        <f t="shared" si="72"/>
        <v>0</v>
      </c>
      <c r="Z103" s="99"/>
      <c r="AA103" s="99"/>
      <c r="AB103" s="99"/>
      <c r="AC103" s="1028"/>
      <c r="AD103" s="99"/>
      <c r="AE103" s="99"/>
      <c r="AF103" s="99"/>
      <c r="AG103" s="1028" t="str">
        <f t="shared" si="73"/>
        <v/>
      </c>
      <c r="AH103" s="24">
        <f t="shared" si="74"/>
        <v>0</v>
      </c>
    </row>
    <row r="104">
      <c r="A104" s="216">
        <v>2026.0</v>
      </c>
      <c r="B104" s="216"/>
      <c r="C104" s="216" t="s">
        <v>2387</v>
      </c>
      <c r="D104" s="216" t="s">
        <v>2388</v>
      </c>
      <c r="E104" s="216">
        <v>2.0</v>
      </c>
      <c r="F104" s="1038">
        <f>300000+(36000*2)+30000+(10000*2)</f>
        <v>422000</v>
      </c>
      <c r="G104" s="1038">
        <f t="shared" ref="G104:G105" si="75">F104*1.5</f>
        <v>633000</v>
      </c>
      <c r="H104" s="1025">
        <v>1.0</v>
      </c>
      <c r="I104" s="17">
        <f t="shared" si="1"/>
        <v>611.2399604</v>
      </c>
      <c r="J104" s="18">
        <v>0.035</v>
      </c>
      <c r="K104" s="19">
        <f t="shared" si="65"/>
        <v>589.8465617</v>
      </c>
      <c r="L104" s="20">
        <f t="shared" si="66"/>
        <v>21.39339861</v>
      </c>
      <c r="M104" s="87">
        <v>0.00137</v>
      </c>
      <c r="N104" s="18">
        <v>0.0215</v>
      </c>
      <c r="O104" s="22">
        <f t="shared" si="67"/>
        <v>0.001399455</v>
      </c>
      <c r="P104" s="19">
        <f t="shared" si="68"/>
        <v>27.68170108</v>
      </c>
      <c r="Q104" s="19">
        <f t="shared" si="6"/>
        <v>0.8469637201</v>
      </c>
      <c r="R104" s="17">
        <f t="shared" si="7"/>
        <v>916.8599405</v>
      </c>
      <c r="S104" s="18">
        <v>0.06</v>
      </c>
      <c r="T104" s="23"/>
      <c r="U104" s="19">
        <f t="shared" si="69"/>
        <v>61.12399604</v>
      </c>
      <c r="V104" s="24">
        <f t="shared" si="9"/>
        <v>189.4843877</v>
      </c>
      <c r="W104" s="179">
        <f t="shared" si="70"/>
        <v>0.5</v>
      </c>
      <c r="X104" s="179">
        <f t="shared" si="71"/>
        <v>0.3333333333</v>
      </c>
      <c r="Y104" s="179">
        <f t="shared" si="72"/>
        <v>0.09622748815</v>
      </c>
      <c r="Z104" s="99"/>
      <c r="AA104" s="99"/>
      <c r="AB104" s="99"/>
      <c r="AC104" s="1028"/>
      <c r="AD104" s="99"/>
      <c r="AE104" s="99"/>
      <c r="AF104" s="99"/>
      <c r="AG104" s="1028" t="str">
        <f t="shared" si="73"/>
        <v/>
      </c>
      <c r="AH104" s="24">
        <f t="shared" si="74"/>
        <v>0</v>
      </c>
    </row>
    <row r="105">
      <c r="A105" s="216">
        <v>2026.0</v>
      </c>
      <c r="B105" s="216"/>
      <c r="C105" s="216" t="s">
        <v>2389</v>
      </c>
      <c r="D105" s="216" t="s">
        <v>108</v>
      </c>
      <c r="E105" s="216">
        <v>3.0</v>
      </c>
      <c r="F105" s="1038">
        <f>400000+(36000*3)+30000+(10000*3)</f>
        <v>568000</v>
      </c>
      <c r="G105" s="1038">
        <f t="shared" si="75"/>
        <v>852000</v>
      </c>
      <c r="H105" s="1025">
        <v>1.0</v>
      </c>
      <c r="I105" s="17">
        <f t="shared" si="1"/>
        <v>822.7116054</v>
      </c>
      <c r="J105" s="18">
        <v>0.035</v>
      </c>
      <c r="K105" s="19">
        <f t="shared" si="65"/>
        <v>793.9166992</v>
      </c>
      <c r="L105" s="20">
        <f t="shared" si="66"/>
        <v>28.79490619</v>
      </c>
      <c r="M105" s="87">
        <v>0.00137</v>
      </c>
      <c r="N105" s="18">
        <v>0.0215</v>
      </c>
      <c r="O105" s="22">
        <f t="shared" si="67"/>
        <v>0.001399455</v>
      </c>
      <c r="P105" s="19">
        <f t="shared" si="68"/>
        <v>32.06920903</v>
      </c>
      <c r="Q105" s="19">
        <f t="shared" si="6"/>
        <v>1.132550694</v>
      </c>
      <c r="R105" s="17">
        <f t="shared" si="7"/>
        <v>1234.067408</v>
      </c>
      <c r="S105" s="18">
        <v>0.06</v>
      </c>
      <c r="T105" s="23"/>
      <c r="U105" s="19">
        <f t="shared" si="69"/>
        <v>82.27116054</v>
      </c>
      <c r="V105" s="24">
        <f t="shared" si="9"/>
        <v>255.0405977</v>
      </c>
      <c r="W105" s="179">
        <f t="shared" si="70"/>
        <v>0.5</v>
      </c>
      <c r="X105" s="179">
        <f t="shared" si="71"/>
        <v>0.3333333333</v>
      </c>
      <c r="Y105" s="179">
        <f t="shared" si="72"/>
        <v>0.1535446009</v>
      </c>
      <c r="Z105" s="99"/>
      <c r="AA105" s="99"/>
      <c r="AB105" s="99"/>
      <c r="AC105" s="1028"/>
      <c r="AD105" s="99"/>
      <c r="AE105" s="99"/>
      <c r="AF105" s="99"/>
      <c r="AG105" s="1028" t="str">
        <f t="shared" si="73"/>
        <v/>
      </c>
      <c r="AH105" s="24">
        <f t="shared" si="74"/>
        <v>0</v>
      </c>
    </row>
    <row r="106">
      <c r="A106" s="216">
        <v>2026.0</v>
      </c>
      <c r="B106" s="216"/>
      <c r="C106" s="216" t="s">
        <v>2390</v>
      </c>
      <c r="D106" s="216" t="s">
        <v>109</v>
      </c>
      <c r="E106" s="216">
        <v>4.0</v>
      </c>
      <c r="F106" s="1038">
        <f>600000+(36000*4)+240000+(10000*4)</f>
        <v>1024000</v>
      </c>
      <c r="G106" s="1038">
        <f t="shared" ref="G106:G107" si="76">F106*1.3</f>
        <v>1331200</v>
      </c>
      <c r="H106" s="1025">
        <v>1.0</v>
      </c>
      <c r="I106" s="17">
        <f t="shared" si="1"/>
        <v>1483.198387</v>
      </c>
      <c r="J106" s="18">
        <v>0.035</v>
      </c>
      <c r="K106" s="19">
        <f t="shared" si="65"/>
        <v>1431.286444</v>
      </c>
      <c r="L106" s="20">
        <f t="shared" si="66"/>
        <v>51.91194355</v>
      </c>
      <c r="M106" s="87">
        <v>0.00137</v>
      </c>
      <c r="N106" s="18">
        <v>0.0215</v>
      </c>
      <c r="O106" s="22">
        <f t="shared" si="67"/>
        <v>0.001399455</v>
      </c>
      <c r="P106" s="19">
        <f t="shared" si="68"/>
        <v>45.77265854</v>
      </c>
      <c r="Q106" s="19">
        <f t="shared" si="6"/>
        <v>2.02452097</v>
      </c>
      <c r="R106" s="17">
        <f t="shared" si="7"/>
        <v>1928.157903</v>
      </c>
      <c r="S106" s="18">
        <v>0.06</v>
      </c>
      <c r="T106" s="23"/>
      <c r="U106" s="19">
        <f t="shared" si="69"/>
        <v>88.99190323</v>
      </c>
      <c r="V106" s="24">
        <f t="shared" si="9"/>
        <v>240.2781387</v>
      </c>
      <c r="W106" s="179">
        <f t="shared" si="70"/>
        <v>0.3</v>
      </c>
      <c r="X106" s="179">
        <f t="shared" si="71"/>
        <v>0.2307692308</v>
      </c>
      <c r="Y106" s="179">
        <f t="shared" si="72"/>
        <v>0.1322716346</v>
      </c>
      <c r="Z106" s="99"/>
      <c r="AA106" s="99"/>
      <c r="AB106" s="99"/>
      <c r="AC106" s="1028"/>
      <c r="AD106" s="99"/>
      <c r="AE106" s="99"/>
      <c r="AF106" s="99"/>
      <c r="AG106" s="1028" t="str">
        <f t="shared" si="73"/>
        <v/>
      </c>
      <c r="AH106" s="24">
        <f t="shared" si="74"/>
        <v>0</v>
      </c>
    </row>
    <row r="107">
      <c r="A107" s="216">
        <v>2026.0</v>
      </c>
      <c r="B107" s="216"/>
      <c r="C107" s="216" t="s">
        <v>2391</v>
      </c>
      <c r="D107" s="216" t="s">
        <v>110</v>
      </c>
      <c r="E107" s="216">
        <v>5.0</v>
      </c>
      <c r="F107" s="1038">
        <f>600000+(36000*5)+350000+(10000*5)</f>
        <v>1180000</v>
      </c>
      <c r="G107" s="1038">
        <f t="shared" si="76"/>
        <v>1534000</v>
      </c>
      <c r="H107" s="1025">
        <v>1.0</v>
      </c>
      <c r="I107" s="17">
        <f t="shared" si="1"/>
        <v>1709.154392</v>
      </c>
      <c r="J107" s="18">
        <v>0.035</v>
      </c>
      <c r="K107" s="19">
        <f t="shared" si="65"/>
        <v>1649.333988</v>
      </c>
      <c r="L107" s="20">
        <f t="shared" si="66"/>
        <v>59.8204037</v>
      </c>
      <c r="M107" s="87">
        <v>0.00137</v>
      </c>
      <c r="N107" s="18">
        <v>0.0215</v>
      </c>
      <c r="O107" s="22">
        <f t="shared" si="67"/>
        <v>0.001399455</v>
      </c>
      <c r="P107" s="19">
        <f t="shared" si="68"/>
        <v>50.46068074</v>
      </c>
      <c r="Q107" s="19">
        <f t="shared" si="6"/>
        <v>2.329668696</v>
      </c>
      <c r="R107" s="17">
        <f t="shared" si="7"/>
        <v>2221.900709</v>
      </c>
      <c r="S107" s="18">
        <v>0.06</v>
      </c>
      <c r="T107" s="23"/>
      <c r="U107" s="19">
        <f t="shared" si="69"/>
        <v>102.5492635</v>
      </c>
      <c r="V107" s="24">
        <f t="shared" si="9"/>
        <v>276.8830114</v>
      </c>
      <c r="W107" s="179">
        <f t="shared" si="70"/>
        <v>0.3</v>
      </c>
      <c r="X107" s="179">
        <f t="shared" si="71"/>
        <v>0.2307692308</v>
      </c>
      <c r="Y107" s="179">
        <f t="shared" si="72"/>
        <v>0.1081408083</v>
      </c>
      <c r="Z107" s="99"/>
      <c r="AA107" s="99"/>
      <c r="AB107" s="99"/>
      <c r="AC107" s="1028"/>
      <c r="AD107" s="99"/>
      <c r="AE107" s="99"/>
      <c r="AF107" s="99"/>
      <c r="AG107" s="1028" t="str">
        <f t="shared" si="73"/>
        <v/>
      </c>
      <c r="AH107" s="24">
        <f t="shared" si="74"/>
        <v>0</v>
      </c>
    </row>
    <row r="108">
      <c r="A108" s="216">
        <v>2026.0</v>
      </c>
      <c r="B108" s="216"/>
      <c r="C108" s="216" t="s">
        <v>2392</v>
      </c>
      <c r="D108" s="216" t="s">
        <v>111</v>
      </c>
      <c r="E108" s="216">
        <v>6.0</v>
      </c>
      <c r="F108" s="1038">
        <f>600000+(36000*6)+350000+(10000*6)</f>
        <v>1226000</v>
      </c>
      <c r="G108" s="1038">
        <f>F108*1.5</f>
        <v>1839000</v>
      </c>
      <c r="H108" s="1025">
        <v>1.0</v>
      </c>
      <c r="I108" s="17">
        <f t="shared" si="1"/>
        <v>1775.782444</v>
      </c>
      <c r="J108" s="18">
        <v>0.035</v>
      </c>
      <c r="K108" s="19">
        <f t="shared" si="65"/>
        <v>1713.630059</v>
      </c>
      <c r="L108" s="20">
        <f t="shared" si="66"/>
        <v>62.15238554</v>
      </c>
      <c r="M108" s="87">
        <v>0.00137</v>
      </c>
      <c r="N108" s="18">
        <v>0.0215</v>
      </c>
      <c r="O108" s="22">
        <f t="shared" si="67"/>
        <v>0.001399455</v>
      </c>
      <c r="P108" s="19">
        <f t="shared" si="68"/>
        <v>51.84304626</v>
      </c>
      <c r="Q108" s="19">
        <f t="shared" si="6"/>
        <v>2.419648154</v>
      </c>
      <c r="R108" s="17">
        <f t="shared" si="7"/>
        <v>2663.673666</v>
      </c>
      <c r="S108" s="18">
        <v>0.06</v>
      </c>
      <c r="T108" s="23"/>
      <c r="U108" s="19">
        <f t="shared" si="69"/>
        <v>177.5782444</v>
      </c>
      <c r="V108" s="24">
        <f t="shared" si="9"/>
        <v>550.4925577</v>
      </c>
      <c r="W108" s="179">
        <f t="shared" si="70"/>
        <v>0.5</v>
      </c>
      <c r="X108" s="179">
        <f t="shared" si="71"/>
        <v>0.3333333333</v>
      </c>
      <c r="Y108" s="179">
        <f t="shared" si="72"/>
        <v>0.1039477977</v>
      </c>
      <c r="Z108" s="99"/>
      <c r="AA108" s="99"/>
      <c r="AB108" s="99"/>
      <c r="AC108" s="1028"/>
      <c r="AD108" s="99"/>
      <c r="AE108" s="99"/>
      <c r="AF108" s="99"/>
      <c r="AG108" s="1028" t="str">
        <f t="shared" si="73"/>
        <v/>
      </c>
      <c r="AH108" s="24">
        <f t="shared" si="74"/>
        <v>0</v>
      </c>
    </row>
    <row r="109">
      <c r="A109" s="216">
        <v>2026.0</v>
      </c>
      <c r="B109" s="216"/>
      <c r="C109" s="216" t="s">
        <v>2393</v>
      </c>
      <c r="D109" s="216" t="s">
        <v>112</v>
      </c>
      <c r="E109" s="216">
        <v>7.0</v>
      </c>
      <c r="F109" s="1038">
        <f>600000+(36000*7)+350000+(10000*7)</f>
        <v>1272000</v>
      </c>
      <c r="G109" s="1038">
        <f t="shared" ref="G109:G111" si="77">F109*1.51</f>
        <v>1920720</v>
      </c>
      <c r="H109" s="1025">
        <v>1.0</v>
      </c>
      <c r="I109" s="17">
        <f t="shared" si="1"/>
        <v>1842.410497</v>
      </c>
      <c r="J109" s="18">
        <v>0.035</v>
      </c>
      <c r="K109" s="19">
        <f t="shared" si="65"/>
        <v>1777.926129</v>
      </c>
      <c r="L109" s="20">
        <f t="shared" si="66"/>
        <v>64.48436738</v>
      </c>
      <c r="M109" s="87">
        <v>0.00137</v>
      </c>
      <c r="N109" s="18">
        <v>0.0215</v>
      </c>
      <c r="O109" s="22">
        <f t="shared" si="67"/>
        <v>0.001399455</v>
      </c>
      <c r="P109" s="19">
        <f t="shared" si="68"/>
        <v>53.22541178</v>
      </c>
      <c r="Q109" s="19">
        <f t="shared" si="6"/>
        <v>2.509627611</v>
      </c>
      <c r="R109" s="17">
        <f t="shared" si="7"/>
        <v>2782.03985</v>
      </c>
      <c r="S109" s="18">
        <v>0.06</v>
      </c>
      <c r="T109" s="23"/>
      <c r="U109" s="19">
        <f t="shared" si="69"/>
        <v>187.9258707</v>
      </c>
      <c r="V109" s="24">
        <f t="shared" si="9"/>
        <v>584.7810916</v>
      </c>
      <c r="W109" s="179">
        <f t="shared" si="70"/>
        <v>0.51</v>
      </c>
      <c r="X109" s="179">
        <f t="shared" si="71"/>
        <v>0.3377483444</v>
      </c>
      <c r="Y109" s="179">
        <f t="shared" si="72"/>
        <v>0.197873714</v>
      </c>
      <c r="Z109" s="99"/>
      <c r="AA109" s="99"/>
      <c r="AB109" s="99"/>
      <c r="AC109" s="1028"/>
      <c r="AD109" s="99"/>
      <c r="AE109" s="99"/>
      <c r="AF109" s="99"/>
      <c r="AG109" s="1028" t="str">
        <f t="shared" si="73"/>
        <v/>
      </c>
      <c r="AH109" s="24">
        <f t="shared" si="74"/>
        <v>0</v>
      </c>
    </row>
    <row r="110">
      <c r="A110" s="216">
        <v>2026.0</v>
      </c>
      <c r="B110" s="216"/>
      <c r="C110" s="216" t="s">
        <v>2394</v>
      </c>
      <c r="D110" s="216" t="s">
        <v>113</v>
      </c>
      <c r="E110" s="216">
        <v>8.0</v>
      </c>
      <c r="F110" s="1038">
        <f>600000+(36000*8)+400000+(10000*8)</f>
        <v>1368000</v>
      </c>
      <c r="G110" s="1038">
        <f t="shared" si="77"/>
        <v>2065680</v>
      </c>
      <c r="H110" s="1025">
        <v>1.0</v>
      </c>
      <c r="I110" s="17">
        <f t="shared" si="1"/>
        <v>1981.460345</v>
      </c>
      <c r="J110" s="18">
        <v>0.035</v>
      </c>
      <c r="K110" s="19">
        <f t="shared" si="65"/>
        <v>1912.109233</v>
      </c>
      <c r="L110" s="20">
        <f t="shared" si="66"/>
        <v>69.35111209</v>
      </c>
      <c r="M110" s="87">
        <v>0.00137</v>
      </c>
      <c r="N110" s="18">
        <v>0.0215</v>
      </c>
      <c r="O110" s="22">
        <f t="shared" si="67"/>
        <v>0.001399455</v>
      </c>
      <c r="P110" s="19">
        <f t="shared" si="68"/>
        <v>56.11034852</v>
      </c>
      <c r="Q110" s="19">
        <f t="shared" si="6"/>
        <v>2.697410827</v>
      </c>
      <c r="R110" s="17">
        <f t="shared" si="7"/>
        <v>2992.005122</v>
      </c>
      <c r="S110" s="18">
        <v>0.06</v>
      </c>
      <c r="T110" s="23"/>
      <c r="U110" s="19">
        <f t="shared" si="69"/>
        <v>202.1089552</v>
      </c>
      <c r="V110" s="24">
        <f t="shared" si="9"/>
        <v>628.9155136</v>
      </c>
      <c r="W110" s="179">
        <f t="shared" si="70"/>
        <v>0.51</v>
      </c>
      <c r="X110" s="179">
        <f t="shared" si="71"/>
        <v>0.3377483444</v>
      </c>
      <c r="Y110" s="179">
        <f t="shared" si="72"/>
        <v>0.1954478913</v>
      </c>
      <c r="Z110" s="99"/>
      <c r="AA110" s="99"/>
      <c r="AB110" s="99"/>
      <c r="AC110" s="1028"/>
      <c r="AD110" s="99"/>
      <c r="AE110" s="99"/>
      <c r="AF110" s="99"/>
      <c r="AG110" s="1028" t="str">
        <f t="shared" si="73"/>
        <v/>
      </c>
      <c r="AH110" s="24">
        <f t="shared" si="74"/>
        <v>0</v>
      </c>
    </row>
    <row r="111">
      <c r="A111" s="216">
        <v>2026.0</v>
      </c>
      <c r="B111" s="216"/>
      <c r="C111" s="216" t="s">
        <v>2395</v>
      </c>
      <c r="D111" s="216" t="s">
        <v>114</v>
      </c>
      <c r="E111" s="216">
        <v>9.0</v>
      </c>
      <c r="F111" s="1038">
        <f>600000+(36000*9)+400000+(10000*9)</f>
        <v>1414000</v>
      </c>
      <c r="G111" s="1038">
        <f t="shared" si="77"/>
        <v>2135140</v>
      </c>
      <c r="H111" s="1025">
        <v>1.0</v>
      </c>
      <c r="I111" s="17">
        <f t="shared" si="1"/>
        <v>2048.088398</v>
      </c>
      <c r="J111" s="18">
        <v>0.035</v>
      </c>
      <c r="K111" s="19">
        <f t="shared" si="65"/>
        <v>1976.405304</v>
      </c>
      <c r="L111" s="20">
        <f t="shared" si="66"/>
        <v>71.68309393</v>
      </c>
      <c r="M111" s="87">
        <v>0.00137</v>
      </c>
      <c r="N111" s="18">
        <v>0.0215</v>
      </c>
      <c r="O111" s="22">
        <f t="shared" si="67"/>
        <v>0.001399455</v>
      </c>
      <c r="P111" s="19">
        <f t="shared" si="68"/>
        <v>57.49271404</v>
      </c>
      <c r="Q111" s="19">
        <f t="shared" si="6"/>
        <v>2.787390285</v>
      </c>
      <c r="R111" s="17">
        <f t="shared" si="7"/>
        <v>3092.613481</v>
      </c>
      <c r="S111" s="18">
        <v>0.06</v>
      </c>
      <c r="T111" s="23"/>
      <c r="U111" s="19">
        <f t="shared" si="69"/>
        <v>208.9050166</v>
      </c>
      <c r="V111" s="24">
        <f t="shared" si="9"/>
        <v>650.0632575</v>
      </c>
      <c r="W111" s="179">
        <f t="shared" si="70"/>
        <v>0.51</v>
      </c>
      <c r="X111" s="179">
        <f t="shared" si="71"/>
        <v>0.3377483444</v>
      </c>
      <c r="Y111" s="179">
        <f t="shared" si="72"/>
        <v>0.2033605291</v>
      </c>
      <c r="Z111" s="99"/>
      <c r="AA111" s="99"/>
      <c r="AB111" s="99"/>
      <c r="AC111" s="1028"/>
      <c r="AD111" s="99"/>
      <c r="AE111" s="99"/>
      <c r="AF111" s="99"/>
      <c r="AG111" s="1028" t="str">
        <f t="shared" si="73"/>
        <v/>
      </c>
      <c r="AH111" s="24">
        <f t="shared" si="74"/>
        <v>0</v>
      </c>
    </row>
    <row r="112">
      <c r="A112" s="216">
        <v>2026.0</v>
      </c>
      <c r="B112" s="216"/>
      <c r="C112" s="216" t="s">
        <v>2396</v>
      </c>
      <c r="D112" s="216" t="s">
        <v>115</v>
      </c>
      <c r="E112" s="216">
        <v>10.0</v>
      </c>
      <c r="F112" s="1038">
        <f>600000+(36000*10)+400000+(10000*10)</f>
        <v>1460000</v>
      </c>
      <c r="G112" s="1038">
        <f t="shared" ref="G112:G114" si="78">F112*1.75</f>
        <v>2555000</v>
      </c>
      <c r="H112" s="1025">
        <v>1.0</v>
      </c>
      <c r="I112" s="17">
        <f t="shared" si="1"/>
        <v>2114.716451</v>
      </c>
      <c r="J112" s="18">
        <v>0.035</v>
      </c>
      <c r="K112" s="19">
        <f t="shared" si="65"/>
        <v>2040.701375</v>
      </c>
      <c r="L112" s="20">
        <f t="shared" si="66"/>
        <v>74.01507577</v>
      </c>
      <c r="M112" s="87">
        <v>0.00137</v>
      </c>
      <c r="N112" s="18">
        <v>0.0215</v>
      </c>
      <c r="O112" s="22">
        <f t="shared" si="67"/>
        <v>0.001399455</v>
      </c>
      <c r="P112" s="19">
        <f t="shared" si="68"/>
        <v>58.87507956</v>
      </c>
      <c r="Q112" s="19">
        <f t="shared" si="6"/>
        <v>2.877369742</v>
      </c>
      <c r="R112" s="17">
        <f t="shared" si="7"/>
        <v>3700.753788</v>
      </c>
      <c r="S112" s="18">
        <v>0.06</v>
      </c>
      <c r="T112" s="23"/>
      <c r="U112" s="19">
        <f t="shared" si="69"/>
        <v>317.2074676</v>
      </c>
      <c r="V112" s="24">
        <f t="shared" si="9"/>
        <v>1046.784643</v>
      </c>
      <c r="W112" s="179">
        <f t="shared" si="70"/>
        <v>0.75</v>
      </c>
      <c r="X112" s="179">
        <f t="shared" si="71"/>
        <v>0.4285714286</v>
      </c>
      <c r="Y112" s="179">
        <f t="shared" si="72"/>
        <v>0.1756569863</v>
      </c>
      <c r="Z112" s="99"/>
      <c r="AA112" s="99"/>
      <c r="AB112" s="99"/>
      <c r="AC112" s="1028"/>
      <c r="AD112" s="99"/>
      <c r="AE112" s="99"/>
      <c r="AF112" s="99"/>
      <c r="AG112" s="1028" t="str">
        <f t="shared" si="73"/>
        <v/>
      </c>
      <c r="AH112" s="24">
        <f t="shared" si="74"/>
        <v>0</v>
      </c>
    </row>
    <row r="113">
      <c r="A113" s="216">
        <v>2026.0</v>
      </c>
      <c r="B113" s="216"/>
      <c r="C113" s="216" t="s">
        <v>2397</v>
      </c>
      <c r="D113" s="216" t="s">
        <v>116</v>
      </c>
      <c r="E113" s="216">
        <v>11.0</v>
      </c>
      <c r="F113" s="1038">
        <f>900000+(36000*11)+400000+(10000*11)</f>
        <v>1806000</v>
      </c>
      <c r="G113" s="1038">
        <f t="shared" si="78"/>
        <v>3160500</v>
      </c>
      <c r="H113" s="1025">
        <v>1.0</v>
      </c>
      <c r="I113" s="17">
        <f t="shared" si="1"/>
        <v>2615.875281</v>
      </c>
      <c r="J113" s="18">
        <v>0.035</v>
      </c>
      <c r="K113" s="19">
        <f t="shared" si="65"/>
        <v>2524.319646</v>
      </c>
      <c r="L113" s="20">
        <f t="shared" si="66"/>
        <v>91.55563482</v>
      </c>
      <c r="M113" s="87">
        <v>0.00137</v>
      </c>
      <c r="N113" s="18">
        <v>0.0215</v>
      </c>
      <c r="O113" s="22">
        <f t="shared" si="67"/>
        <v>0.001399455</v>
      </c>
      <c r="P113" s="19">
        <f t="shared" si="68"/>
        <v>69.27287238</v>
      </c>
      <c r="Q113" s="19">
        <f t="shared" si="6"/>
        <v>3.55417175</v>
      </c>
      <c r="R113" s="17">
        <f t="shared" si="7"/>
        <v>4577.781741</v>
      </c>
      <c r="S113" s="18">
        <v>0.06</v>
      </c>
      <c r="T113" s="23"/>
      <c r="U113" s="19">
        <f t="shared" si="69"/>
        <v>392.3812921</v>
      </c>
      <c r="V113" s="24">
        <f t="shared" si="9"/>
        <v>1294.858264</v>
      </c>
      <c r="W113" s="179">
        <f t="shared" si="70"/>
        <v>0.75</v>
      </c>
      <c r="X113" s="179">
        <f t="shared" si="71"/>
        <v>0.4285714286</v>
      </c>
      <c r="Y113" s="179">
        <f t="shared" si="72"/>
        <v>0.2286663503</v>
      </c>
      <c r="Z113" s="99"/>
      <c r="AA113" s="99"/>
      <c r="AB113" s="99"/>
      <c r="AC113" s="1028"/>
      <c r="AD113" s="99"/>
      <c r="AE113" s="99"/>
      <c r="AF113" s="99"/>
      <c r="AG113" s="1028" t="str">
        <f t="shared" si="73"/>
        <v/>
      </c>
      <c r="AH113" s="24">
        <f t="shared" si="74"/>
        <v>0</v>
      </c>
    </row>
    <row r="114">
      <c r="A114" s="216">
        <v>2026.0</v>
      </c>
      <c r="B114" s="216"/>
      <c r="C114" s="216" t="s">
        <v>2398</v>
      </c>
      <c r="D114" s="216" t="s">
        <v>117</v>
      </c>
      <c r="E114" s="216">
        <v>12.0</v>
      </c>
      <c r="F114" s="1038">
        <f>900000+(36000*12)+400000+(10000*12)</f>
        <v>1852000</v>
      </c>
      <c r="G114" s="1038">
        <f t="shared" si="78"/>
        <v>3241000</v>
      </c>
      <c r="H114" s="1025">
        <v>1.0</v>
      </c>
      <c r="I114" s="17">
        <f t="shared" si="1"/>
        <v>2682.503333</v>
      </c>
      <c r="J114" s="18">
        <v>0.035</v>
      </c>
      <c r="K114" s="19">
        <f t="shared" si="65"/>
        <v>2588.615716</v>
      </c>
      <c r="L114" s="20">
        <f t="shared" si="66"/>
        <v>93.88761666</v>
      </c>
      <c r="M114" s="87">
        <v>0.00137</v>
      </c>
      <c r="N114" s="18">
        <v>0.0215</v>
      </c>
      <c r="O114" s="22">
        <f t="shared" si="67"/>
        <v>0.001399455</v>
      </c>
      <c r="P114" s="19">
        <f t="shared" si="68"/>
        <v>70.6552379</v>
      </c>
      <c r="Q114" s="19">
        <f t="shared" si="6"/>
        <v>3.644151207</v>
      </c>
      <c r="R114" s="17">
        <f t="shared" si="7"/>
        <v>4694.380833</v>
      </c>
      <c r="S114" s="18">
        <v>0.06</v>
      </c>
      <c r="T114" s="23"/>
      <c r="U114" s="19">
        <f t="shared" si="69"/>
        <v>402.3755</v>
      </c>
      <c r="V114" s="24">
        <f t="shared" si="9"/>
        <v>1327.83915</v>
      </c>
      <c r="W114" s="179">
        <f t="shared" si="70"/>
        <v>0.75</v>
      </c>
      <c r="X114" s="179">
        <f t="shared" si="71"/>
        <v>0.4285714286</v>
      </c>
      <c r="Y114" s="179">
        <f t="shared" si="72"/>
        <v>0.2758315335</v>
      </c>
      <c r="Z114" s="99"/>
      <c r="AA114" s="99"/>
      <c r="AB114" s="99"/>
      <c r="AC114" s="1028"/>
      <c r="AD114" s="99"/>
      <c r="AE114" s="99"/>
      <c r="AF114" s="99"/>
      <c r="AG114" s="1028" t="str">
        <f t="shared" si="73"/>
        <v/>
      </c>
      <c r="AH114" s="24">
        <f t="shared" si="74"/>
        <v>0</v>
      </c>
    </row>
    <row r="115">
      <c r="A115" s="1039"/>
      <c r="B115" s="1039"/>
      <c r="C115" s="1039"/>
      <c r="D115" s="1040" t="s">
        <v>2399</v>
      </c>
      <c r="E115" s="1041"/>
      <c r="F115" s="1031"/>
      <c r="G115" s="1031"/>
      <c r="H115" s="1025">
        <v>1.0</v>
      </c>
      <c r="I115" s="17">
        <f t="shared" si="1"/>
        <v>0</v>
      </c>
      <c r="J115" s="18">
        <v>0.035</v>
      </c>
      <c r="K115" s="19">
        <f t="shared" si="65"/>
        <v>0</v>
      </c>
      <c r="L115" s="20">
        <f t="shared" si="66"/>
        <v>0</v>
      </c>
      <c r="M115" s="87">
        <v>0.00137</v>
      </c>
      <c r="N115" s="18">
        <v>0.0215</v>
      </c>
      <c r="O115" s="22">
        <f t="shared" si="67"/>
        <v>0.001399455</v>
      </c>
      <c r="P115" s="19">
        <f t="shared" si="68"/>
        <v>15</v>
      </c>
      <c r="Q115" s="19">
        <f t="shared" si="6"/>
        <v>0.0215</v>
      </c>
      <c r="R115" s="17">
        <f t="shared" si="7"/>
        <v>0</v>
      </c>
      <c r="S115" s="18">
        <v>0.06</v>
      </c>
      <c r="T115" s="23"/>
      <c r="U115" s="19">
        <f t="shared" si="69"/>
        <v>0</v>
      </c>
      <c r="V115" s="24">
        <f t="shared" si="9"/>
        <v>0</v>
      </c>
      <c r="W115" s="179" t="str">
        <f t="shared" si="70"/>
        <v/>
      </c>
      <c r="X115" s="179" t="str">
        <f t="shared" si="71"/>
        <v/>
      </c>
      <c r="Y115" s="179" t="str">
        <f t="shared" si="72"/>
        <v/>
      </c>
      <c r="Z115" s="99"/>
      <c r="AA115" s="99"/>
      <c r="AB115" s="99"/>
      <c r="AC115" s="1028"/>
      <c r="AD115" s="99"/>
      <c r="AE115" s="99"/>
      <c r="AF115" s="99"/>
      <c r="AG115" s="1028" t="str">
        <f t="shared" si="73"/>
        <v/>
      </c>
      <c r="AH115" s="24">
        <f t="shared" si="74"/>
        <v>0</v>
      </c>
    </row>
    <row r="116">
      <c r="A116" s="1042">
        <v>2025.0</v>
      </c>
      <c r="B116" s="1042"/>
      <c r="C116" s="1042" t="s">
        <v>2400</v>
      </c>
      <c r="D116" s="1043" t="s">
        <v>2401</v>
      </c>
      <c r="E116" s="250" t="s">
        <v>897</v>
      </c>
      <c r="F116" s="1044">
        <f t="shared" ref="F116:F117" si="79">(368000*0.8)+(100000/H116)</f>
        <v>394400</v>
      </c>
      <c r="G116" s="1044">
        <v>700000.0</v>
      </c>
      <c r="H116" s="1025">
        <v>1.0</v>
      </c>
      <c r="I116" s="17">
        <f t="shared" si="1"/>
        <v>571.2631288</v>
      </c>
      <c r="J116" s="18">
        <v>0.035</v>
      </c>
      <c r="K116" s="19">
        <f t="shared" si="65"/>
        <v>551.2689193</v>
      </c>
      <c r="L116" s="20">
        <f t="shared" si="66"/>
        <v>19.99420951</v>
      </c>
      <c r="M116" s="87">
        <v>0.00137</v>
      </c>
      <c r="N116" s="18">
        <v>0.0215</v>
      </c>
      <c r="O116" s="22">
        <f t="shared" si="67"/>
        <v>0.001399455</v>
      </c>
      <c r="P116" s="19">
        <f t="shared" si="68"/>
        <v>26.85228177</v>
      </c>
      <c r="Q116" s="19">
        <f t="shared" si="6"/>
        <v>0.7929760455</v>
      </c>
      <c r="R116" s="17">
        <f t="shared" si="7"/>
        <v>1013.905148</v>
      </c>
      <c r="S116" s="18">
        <v>0.06</v>
      </c>
      <c r="T116" s="23"/>
      <c r="U116" s="19">
        <f t="shared" si="69"/>
        <v>88.52840374</v>
      </c>
      <c r="V116" s="24">
        <f t="shared" si="9"/>
        <v>293.2793061</v>
      </c>
      <c r="W116" s="179">
        <f t="shared" si="70"/>
        <v>0.7748478702</v>
      </c>
      <c r="X116" s="179">
        <f t="shared" si="71"/>
        <v>0.4365714286</v>
      </c>
      <c r="Y116" s="179">
        <f t="shared" si="72"/>
        <v>0</v>
      </c>
      <c r="Z116" s="99"/>
      <c r="AA116" s="99"/>
      <c r="AB116" s="99"/>
      <c r="AC116" s="1028"/>
      <c r="AD116" s="99"/>
      <c r="AE116" s="99"/>
      <c r="AF116" s="99"/>
      <c r="AG116" s="1028" t="str">
        <f t="shared" si="73"/>
        <v/>
      </c>
      <c r="AH116" s="24">
        <f t="shared" si="74"/>
        <v>0</v>
      </c>
    </row>
    <row r="117">
      <c r="A117" s="1042">
        <v>2025.0</v>
      </c>
      <c r="B117" s="1042"/>
      <c r="C117" s="1042" t="s">
        <v>2402</v>
      </c>
      <c r="D117" s="1043" t="s">
        <v>2401</v>
      </c>
      <c r="E117" s="250" t="s">
        <v>891</v>
      </c>
      <c r="F117" s="1044">
        <f t="shared" si="79"/>
        <v>344400</v>
      </c>
      <c r="G117" s="1044">
        <v>700000.0</v>
      </c>
      <c r="H117" s="1045">
        <v>2.0</v>
      </c>
      <c r="I117" s="17">
        <f t="shared" si="1"/>
        <v>997.6826651</v>
      </c>
      <c r="J117" s="18">
        <v>0.035</v>
      </c>
      <c r="K117" s="19">
        <f t="shared" si="65"/>
        <v>962.7637719</v>
      </c>
      <c r="L117" s="20">
        <f t="shared" si="66"/>
        <v>34.91889328</v>
      </c>
      <c r="M117" s="87">
        <v>0.00137</v>
      </c>
      <c r="N117" s="18">
        <v>0.0215</v>
      </c>
      <c r="O117" s="22">
        <f t="shared" si="67"/>
        <v>0.001399455</v>
      </c>
      <c r="P117" s="19">
        <f t="shared" si="68"/>
        <v>35.69942109</v>
      </c>
      <c r="Q117" s="19">
        <f t="shared" si="6"/>
        <v>1.368844574</v>
      </c>
      <c r="R117" s="17">
        <f t="shared" si="7"/>
        <v>1013.905148</v>
      </c>
      <c r="S117" s="18">
        <v>0.06</v>
      </c>
      <c r="T117" s="23"/>
      <c r="U117" s="19">
        <f t="shared" si="69"/>
        <v>3.244496472</v>
      </c>
      <c r="V117" s="24">
        <f t="shared" si="9"/>
        <v>-47.85632296</v>
      </c>
      <c r="W117" s="179">
        <f t="shared" si="70"/>
        <v>0.0162601626</v>
      </c>
      <c r="X117" s="179">
        <f t="shared" si="71"/>
        <v>0.016</v>
      </c>
      <c r="Y117" s="179">
        <f t="shared" si="72"/>
        <v>0.2892571429</v>
      </c>
      <c r="Z117" s="99"/>
      <c r="AA117" s="99"/>
      <c r="AB117" s="99"/>
      <c r="AC117" s="1028"/>
      <c r="AD117" s="99"/>
      <c r="AE117" s="99"/>
      <c r="AF117" s="99"/>
      <c r="AG117" s="1028" t="str">
        <f t="shared" si="73"/>
        <v/>
      </c>
      <c r="AH117" s="24">
        <f t="shared" si="74"/>
        <v>0</v>
      </c>
    </row>
    <row r="118">
      <c r="A118" s="1042">
        <v>2025.0</v>
      </c>
      <c r="B118" s="1042"/>
      <c r="C118" s="1042" t="s">
        <v>2403</v>
      </c>
      <c r="D118" s="1043" t="s">
        <v>2401</v>
      </c>
      <c r="E118" s="250" t="s">
        <v>893</v>
      </c>
      <c r="F118" s="1044">
        <f>((368000*0.8)+(100000/H118))</f>
        <v>327733.3333</v>
      </c>
      <c r="G118" s="1044">
        <v>435000.0</v>
      </c>
      <c r="H118" s="1045">
        <v>3.0</v>
      </c>
      <c r="I118" s="17">
        <f t="shared" si="1"/>
        <v>1424.102201</v>
      </c>
      <c r="J118" s="18">
        <v>0.035</v>
      </c>
      <c r="K118" s="19">
        <f t="shared" si="65"/>
        <v>1374.258624</v>
      </c>
      <c r="L118" s="20">
        <f t="shared" si="66"/>
        <v>49.84357705</v>
      </c>
      <c r="M118" s="87">
        <v>0.00137</v>
      </c>
      <c r="N118" s="18">
        <v>0.0215</v>
      </c>
      <c r="O118" s="22">
        <f t="shared" si="67"/>
        <v>0.001399455</v>
      </c>
      <c r="P118" s="19">
        <f t="shared" si="68"/>
        <v>44.54656042</v>
      </c>
      <c r="Q118" s="19">
        <f t="shared" si="6"/>
        <v>1.944713103</v>
      </c>
      <c r="R118" s="17">
        <f t="shared" si="7"/>
        <v>630.0696274</v>
      </c>
      <c r="S118" s="18">
        <v>0.06</v>
      </c>
      <c r="T118" s="23"/>
      <c r="U118" s="19">
        <f t="shared" si="69"/>
        <v>-158.8065148</v>
      </c>
      <c r="V118" s="24">
        <f t="shared" si="9"/>
        <v>-673.0302369</v>
      </c>
      <c r="W118" s="179">
        <f t="shared" si="70"/>
        <v>-0.5575671277</v>
      </c>
      <c r="X118" s="179">
        <f t="shared" si="71"/>
        <v>-1.260229885</v>
      </c>
      <c r="Y118" s="179">
        <f t="shared" si="72"/>
        <v>-0.07595402299</v>
      </c>
      <c r="Z118" s="99"/>
      <c r="AA118" s="99"/>
      <c r="AB118" s="99"/>
      <c r="AC118" s="1028"/>
      <c r="AD118" s="99"/>
      <c r="AE118" s="99"/>
      <c r="AF118" s="99"/>
      <c r="AG118" s="1028" t="str">
        <f t="shared" si="73"/>
        <v/>
      </c>
      <c r="AH118" s="24">
        <f t="shared" si="74"/>
        <v>0</v>
      </c>
    </row>
    <row r="119">
      <c r="A119" s="1042">
        <v>2025.0</v>
      </c>
      <c r="B119" s="1042"/>
      <c r="C119" s="1042" t="s">
        <v>2404</v>
      </c>
      <c r="D119" s="1043" t="s">
        <v>2401</v>
      </c>
      <c r="E119" s="250" t="s">
        <v>895</v>
      </c>
      <c r="F119" s="1044">
        <f t="shared" ref="F119:F149" si="80">(368000*0.8)+(100000/H119)</f>
        <v>319400</v>
      </c>
      <c r="G119" s="1044">
        <v>453000.0</v>
      </c>
      <c r="H119" s="1045">
        <v>4.0</v>
      </c>
      <c r="I119" s="17">
        <f t="shared" si="1"/>
        <v>1850.521738</v>
      </c>
      <c r="J119" s="18">
        <v>0.035</v>
      </c>
      <c r="K119" s="19">
        <f t="shared" si="65"/>
        <v>1785.753477</v>
      </c>
      <c r="L119" s="20">
        <f t="shared" si="66"/>
        <v>64.76826082</v>
      </c>
      <c r="M119" s="87">
        <v>0.00137</v>
      </c>
      <c r="N119" s="18">
        <v>0.0215</v>
      </c>
      <c r="O119" s="22">
        <f t="shared" si="67"/>
        <v>0.001399455</v>
      </c>
      <c r="P119" s="19">
        <f t="shared" si="68"/>
        <v>53.39369975</v>
      </c>
      <c r="Q119" s="19">
        <f t="shared" si="6"/>
        <v>2.520581632</v>
      </c>
      <c r="R119" s="17">
        <f t="shared" si="7"/>
        <v>656.141474</v>
      </c>
      <c r="S119" s="18">
        <v>0.06</v>
      </c>
      <c r="T119" s="23"/>
      <c r="U119" s="19">
        <f t="shared" si="69"/>
        <v>-238.8760528</v>
      </c>
      <c r="V119" s="24">
        <f t="shared" si="9"/>
        <v>-994.8726994</v>
      </c>
      <c r="W119" s="179">
        <f t="shared" si="70"/>
        <v>-0.6454289292</v>
      </c>
      <c r="X119" s="179">
        <f t="shared" si="71"/>
        <v>-1.820309051</v>
      </c>
      <c r="Y119" s="179">
        <f t="shared" si="72"/>
        <v>-1.025739514</v>
      </c>
      <c r="Z119" s="99"/>
      <c r="AA119" s="99"/>
      <c r="AB119" s="99"/>
      <c r="AC119" s="1028"/>
      <c r="AD119" s="99"/>
      <c r="AE119" s="99"/>
      <c r="AF119" s="99"/>
      <c r="AG119" s="1028" t="str">
        <f t="shared" si="73"/>
        <v/>
      </c>
      <c r="AH119" s="24">
        <f t="shared" si="74"/>
        <v>0</v>
      </c>
    </row>
    <row r="120">
      <c r="A120" s="1042">
        <v>2025.0</v>
      </c>
      <c r="B120" s="1042"/>
      <c r="C120" s="1042" t="s">
        <v>2405</v>
      </c>
      <c r="D120" s="1043" t="s">
        <v>2406</v>
      </c>
      <c r="E120" s="250" t="s">
        <v>897</v>
      </c>
      <c r="F120" s="1044">
        <f t="shared" si="80"/>
        <v>394400</v>
      </c>
      <c r="G120" s="1044">
        <v>1150000.0</v>
      </c>
      <c r="H120" s="1025">
        <v>1.0</v>
      </c>
      <c r="I120" s="17">
        <f t="shared" si="1"/>
        <v>571.2631288</v>
      </c>
      <c r="J120" s="18">
        <v>0.035</v>
      </c>
      <c r="K120" s="19">
        <f t="shared" si="65"/>
        <v>551.2689193</v>
      </c>
      <c r="L120" s="20">
        <f t="shared" si="66"/>
        <v>19.99420951</v>
      </c>
      <c r="M120" s="87">
        <v>0.00137</v>
      </c>
      <c r="N120" s="18">
        <v>0.0215</v>
      </c>
      <c r="O120" s="22">
        <f t="shared" si="67"/>
        <v>0.001399455</v>
      </c>
      <c r="P120" s="19">
        <f t="shared" si="68"/>
        <v>26.85228177</v>
      </c>
      <c r="Q120" s="19">
        <f t="shared" si="6"/>
        <v>0.7929760455</v>
      </c>
      <c r="R120" s="17">
        <f t="shared" si="7"/>
        <v>1665.701314</v>
      </c>
      <c r="S120" s="18">
        <v>0.06</v>
      </c>
      <c r="T120" s="23"/>
      <c r="U120" s="19">
        <f t="shared" si="69"/>
        <v>218.887637</v>
      </c>
      <c r="V120" s="24">
        <f t="shared" si="9"/>
        <v>775.6084691</v>
      </c>
      <c r="W120" s="179">
        <f t="shared" si="70"/>
        <v>1.915821501</v>
      </c>
      <c r="X120" s="179">
        <f t="shared" si="71"/>
        <v>0.6570434783</v>
      </c>
      <c r="Y120" s="179">
        <f t="shared" si="72"/>
        <v>-0.5972695652</v>
      </c>
      <c r="Z120" s="99"/>
      <c r="AA120" s="99"/>
      <c r="AB120" s="99"/>
      <c r="AC120" s="1028"/>
      <c r="AD120" s="99"/>
      <c r="AE120" s="99"/>
      <c r="AF120" s="99"/>
      <c r="AG120" s="1028" t="str">
        <f t="shared" si="73"/>
        <v/>
      </c>
      <c r="AH120" s="24">
        <f t="shared" si="74"/>
        <v>0</v>
      </c>
    </row>
    <row r="121">
      <c r="A121" s="1042">
        <v>2025.0</v>
      </c>
      <c r="B121" s="1042"/>
      <c r="C121" s="1042" t="s">
        <v>2407</v>
      </c>
      <c r="D121" s="1043" t="s">
        <v>2406</v>
      </c>
      <c r="E121" s="250" t="s">
        <v>891</v>
      </c>
      <c r="F121" s="1044">
        <f t="shared" si="80"/>
        <v>344400</v>
      </c>
      <c r="G121" s="1044">
        <v>680000.0</v>
      </c>
      <c r="H121" s="1045">
        <v>2.0</v>
      </c>
      <c r="I121" s="17">
        <f t="shared" si="1"/>
        <v>997.6826651</v>
      </c>
      <c r="J121" s="18">
        <v>0.035</v>
      </c>
      <c r="K121" s="19">
        <f t="shared" si="65"/>
        <v>962.7637719</v>
      </c>
      <c r="L121" s="20">
        <f t="shared" si="66"/>
        <v>34.91889328</v>
      </c>
      <c r="M121" s="87">
        <v>0.00137</v>
      </c>
      <c r="N121" s="18">
        <v>0.0215</v>
      </c>
      <c r="O121" s="22">
        <f t="shared" si="67"/>
        <v>0.001399455</v>
      </c>
      <c r="P121" s="19">
        <f t="shared" si="68"/>
        <v>35.69942109</v>
      </c>
      <c r="Q121" s="19">
        <f t="shared" si="6"/>
        <v>1.368844574</v>
      </c>
      <c r="R121" s="17">
        <f t="shared" si="7"/>
        <v>984.936429</v>
      </c>
      <c r="S121" s="18">
        <v>0.06</v>
      </c>
      <c r="T121" s="23"/>
      <c r="U121" s="19">
        <f t="shared" si="69"/>
        <v>-2.549247228</v>
      </c>
      <c r="V121" s="24">
        <f t="shared" si="9"/>
        <v>-69.29317465</v>
      </c>
      <c r="W121" s="179">
        <f t="shared" si="70"/>
        <v>-0.01277584204</v>
      </c>
      <c r="X121" s="179">
        <f t="shared" si="71"/>
        <v>-0.01294117647</v>
      </c>
      <c r="Y121" s="179">
        <f t="shared" si="72"/>
        <v>0.7874705882</v>
      </c>
      <c r="Z121" s="99"/>
      <c r="AA121" s="99"/>
      <c r="AB121" s="99"/>
      <c r="AC121" s="1028"/>
      <c r="AD121" s="99"/>
      <c r="AE121" s="99"/>
      <c r="AF121" s="99"/>
      <c r="AG121" s="1028" t="str">
        <f t="shared" si="73"/>
        <v/>
      </c>
      <c r="AH121" s="24">
        <f t="shared" si="74"/>
        <v>0</v>
      </c>
    </row>
    <row r="122">
      <c r="A122" s="1042">
        <v>2025.0</v>
      </c>
      <c r="B122" s="1042"/>
      <c r="C122" s="1042" t="s">
        <v>2408</v>
      </c>
      <c r="D122" s="1043" t="s">
        <v>2406</v>
      </c>
      <c r="E122" s="250" t="s">
        <v>893</v>
      </c>
      <c r="F122" s="1044">
        <f t="shared" si="80"/>
        <v>327733.3333</v>
      </c>
      <c r="G122" s="1044">
        <v>625000.0</v>
      </c>
      <c r="H122" s="1045">
        <v>3.0</v>
      </c>
      <c r="I122" s="17">
        <f t="shared" si="1"/>
        <v>1424.102201</v>
      </c>
      <c r="J122" s="18">
        <v>0.035</v>
      </c>
      <c r="K122" s="19">
        <f t="shared" si="65"/>
        <v>1374.258624</v>
      </c>
      <c r="L122" s="20">
        <f t="shared" si="66"/>
        <v>49.84357705</v>
      </c>
      <c r="M122" s="87">
        <v>0.00137</v>
      </c>
      <c r="N122" s="18">
        <v>0.0215</v>
      </c>
      <c r="O122" s="22">
        <f t="shared" si="67"/>
        <v>0.001399455</v>
      </c>
      <c r="P122" s="19">
        <f t="shared" si="68"/>
        <v>44.54656042</v>
      </c>
      <c r="Q122" s="19">
        <f t="shared" si="6"/>
        <v>1.944713103</v>
      </c>
      <c r="R122" s="17">
        <f t="shared" si="7"/>
        <v>905.2724531</v>
      </c>
      <c r="S122" s="18">
        <v>0.06</v>
      </c>
      <c r="T122" s="23"/>
      <c r="U122" s="19">
        <f t="shared" si="69"/>
        <v>-103.7659497</v>
      </c>
      <c r="V122" s="24">
        <f t="shared" si="9"/>
        <v>-469.3801459</v>
      </c>
      <c r="W122" s="179">
        <f t="shared" si="70"/>
        <v>-0.3643205858</v>
      </c>
      <c r="X122" s="179">
        <f t="shared" si="71"/>
        <v>-0.57312</v>
      </c>
      <c r="Y122" s="179">
        <f t="shared" si="72"/>
        <v>-0.076544</v>
      </c>
      <c r="Z122" s="99"/>
      <c r="AA122" s="99"/>
      <c r="AB122" s="99"/>
      <c r="AC122" s="1028"/>
      <c r="AD122" s="99"/>
      <c r="AE122" s="99"/>
      <c r="AF122" s="99"/>
      <c r="AG122" s="1028" t="str">
        <f t="shared" si="73"/>
        <v/>
      </c>
      <c r="AH122" s="24">
        <f t="shared" si="74"/>
        <v>0</v>
      </c>
    </row>
    <row r="123">
      <c r="A123" s="1042">
        <v>2025.0</v>
      </c>
      <c r="B123" s="1042"/>
      <c r="C123" s="1042" t="s">
        <v>2409</v>
      </c>
      <c r="D123" s="1043" t="s">
        <v>2406</v>
      </c>
      <c r="E123" s="250" t="s">
        <v>895</v>
      </c>
      <c r="F123" s="1044">
        <f t="shared" si="80"/>
        <v>319400</v>
      </c>
      <c r="G123" s="1044">
        <v>510000.0</v>
      </c>
      <c r="H123" s="1045">
        <v>4.0</v>
      </c>
      <c r="I123" s="17">
        <f t="shared" si="1"/>
        <v>1850.521738</v>
      </c>
      <c r="J123" s="18">
        <v>0.035</v>
      </c>
      <c r="K123" s="19">
        <f t="shared" si="65"/>
        <v>1785.753477</v>
      </c>
      <c r="L123" s="20">
        <f t="shared" si="66"/>
        <v>64.76826082</v>
      </c>
      <c r="M123" s="87">
        <v>0.00137</v>
      </c>
      <c r="N123" s="18">
        <v>0.0215</v>
      </c>
      <c r="O123" s="22">
        <f t="shared" si="67"/>
        <v>0.001399455</v>
      </c>
      <c r="P123" s="19">
        <f t="shared" si="68"/>
        <v>53.39369975</v>
      </c>
      <c r="Q123" s="19">
        <f t="shared" si="6"/>
        <v>2.520581632</v>
      </c>
      <c r="R123" s="17">
        <f t="shared" si="7"/>
        <v>738.7023218</v>
      </c>
      <c r="S123" s="18">
        <v>0.06</v>
      </c>
      <c r="T123" s="23"/>
      <c r="U123" s="19">
        <f t="shared" si="69"/>
        <v>-222.3638832</v>
      </c>
      <c r="V123" s="24">
        <f t="shared" si="9"/>
        <v>-933.7776721</v>
      </c>
      <c r="W123" s="179">
        <f t="shared" si="70"/>
        <v>-0.6008140263</v>
      </c>
      <c r="X123" s="179">
        <f t="shared" si="71"/>
        <v>-1.505098039</v>
      </c>
      <c r="Y123" s="179">
        <f t="shared" si="72"/>
        <v>-0.6354117647</v>
      </c>
      <c r="Z123" s="99"/>
      <c r="AA123" s="99"/>
      <c r="AB123" s="99"/>
      <c r="AC123" s="1028"/>
      <c r="AD123" s="99"/>
      <c r="AE123" s="99"/>
      <c r="AF123" s="99"/>
      <c r="AG123" s="1028" t="str">
        <f t="shared" si="73"/>
        <v/>
      </c>
      <c r="AH123" s="24">
        <f t="shared" si="74"/>
        <v>0</v>
      </c>
    </row>
    <row r="124">
      <c r="A124" s="1042">
        <v>2025.0</v>
      </c>
      <c r="B124" s="1042"/>
      <c r="C124" s="1042" t="s">
        <v>2410</v>
      </c>
      <c r="D124" s="1043" t="s">
        <v>2406</v>
      </c>
      <c r="E124" s="250" t="s">
        <v>904</v>
      </c>
      <c r="F124" s="1044">
        <f t="shared" si="80"/>
        <v>314400</v>
      </c>
      <c r="G124" s="1044">
        <v>460000.0</v>
      </c>
      <c r="H124" s="1045">
        <v>5.0</v>
      </c>
      <c r="I124" s="17">
        <f t="shared" si="1"/>
        <v>2276.941274</v>
      </c>
      <c r="J124" s="18">
        <v>0.035</v>
      </c>
      <c r="K124" s="19">
        <f t="shared" si="65"/>
        <v>2197.24833</v>
      </c>
      <c r="L124" s="20">
        <f t="shared" si="66"/>
        <v>79.69294459</v>
      </c>
      <c r="M124" s="87">
        <v>0.00137</v>
      </c>
      <c r="N124" s="18">
        <v>0.0215</v>
      </c>
      <c r="O124" s="22">
        <f t="shared" si="67"/>
        <v>0.001399455</v>
      </c>
      <c r="P124" s="19">
        <f t="shared" si="68"/>
        <v>62.24083908</v>
      </c>
      <c r="Q124" s="19">
        <f t="shared" si="6"/>
        <v>3.096450161</v>
      </c>
      <c r="R124" s="17">
        <f t="shared" si="7"/>
        <v>666.2805255</v>
      </c>
      <c r="S124" s="18">
        <v>0.06</v>
      </c>
      <c r="T124" s="23"/>
      <c r="U124" s="19">
        <f t="shared" si="69"/>
        <v>-322.1321497</v>
      </c>
      <c r="V124" s="24">
        <f t="shared" si="9"/>
        <v>-1328.50543</v>
      </c>
      <c r="W124" s="179">
        <f t="shared" si="70"/>
        <v>-0.7073791349</v>
      </c>
      <c r="X124" s="179">
        <f t="shared" si="71"/>
        <v>-2.417391304</v>
      </c>
      <c r="Y124" s="179">
        <f t="shared" si="72"/>
        <v>-1.401478261</v>
      </c>
      <c r="Z124" s="99"/>
      <c r="AA124" s="99"/>
      <c r="AB124" s="99"/>
      <c r="AC124" s="1028"/>
      <c r="AD124" s="99"/>
      <c r="AE124" s="99"/>
      <c r="AF124" s="99"/>
      <c r="AG124" s="1028" t="str">
        <f t="shared" si="73"/>
        <v/>
      </c>
      <c r="AH124" s="24">
        <f t="shared" si="74"/>
        <v>0</v>
      </c>
    </row>
    <row r="125">
      <c r="A125" s="1042">
        <v>2025.0</v>
      </c>
      <c r="B125" s="1042"/>
      <c r="C125" s="1042" t="s">
        <v>2411</v>
      </c>
      <c r="D125" s="1043" t="s">
        <v>2412</v>
      </c>
      <c r="E125" s="250" t="s">
        <v>897</v>
      </c>
      <c r="F125" s="1044">
        <f t="shared" si="80"/>
        <v>394400</v>
      </c>
      <c r="G125" s="1044">
        <v>800000.0</v>
      </c>
      <c r="H125" s="1025">
        <v>1.0</v>
      </c>
      <c r="I125" s="17">
        <f t="shared" si="1"/>
        <v>571.2631288</v>
      </c>
      <c r="J125" s="18">
        <v>0.035</v>
      </c>
      <c r="K125" s="19">
        <f t="shared" si="65"/>
        <v>551.2689193</v>
      </c>
      <c r="L125" s="20">
        <f t="shared" si="66"/>
        <v>19.99420951</v>
      </c>
      <c r="M125" s="87">
        <v>0.00137</v>
      </c>
      <c r="N125" s="18">
        <v>0.0215</v>
      </c>
      <c r="O125" s="22">
        <f t="shared" si="67"/>
        <v>0.001399455</v>
      </c>
      <c r="P125" s="19">
        <f t="shared" si="68"/>
        <v>26.85228177</v>
      </c>
      <c r="Q125" s="19">
        <f t="shared" si="6"/>
        <v>0.7929760455</v>
      </c>
      <c r="R125" s="17">
        <f t="shared" si="7"/>
        <v>1158.74874</v>
      </c>
      <c r="S125" s="18">
        <v>0.06</v>
      </c>
      <c r="T125" s="23"/>
      <c r="U125" s="19">
        <f t="shared" si="69"/>
        <v>117.4971222</v>
      </c>
      <c r="V125" s="24">
        <f t="shared" si="9"/>
        <v>400.4635645</v>
      </c>
      <c r="W125" s="179">
        <f t="shared" si="70"/>
        <v>1.028397566</v>
      </c>
      <c r="X125" s="179">
        <f t="shared" si="71"/>
        <v>0.507</v>
      </c>
      <c r="Y125" s="179">
        <f t="shared" si="72"/>
        <v>-1.1465</v>
      </c>
      <c r="Z125" s="99"/>
      <c r="AA125" s="99"/>
      <c r="AB125" s="99"/>
      <c r="AC125" s="1028"/>
      <c r="AD125" s="99"/>
      <c r="AE125" s="99"/>
      <c r="AF125" s="99"/>
      <c r="AG125" s="1028" t="str">
        <f t="shared" si="73"/>
        <v/>
      </c>
      <c r="AH125" s="24">
        <f t="shared" si="74"/>
        <v>0</v>
      </c>
    </row>
    <row r="126">
      <c r="A126" s="1042">
        <v>2025.0</v>
      </c>
      <c r="B126" s="1042"/>
      <c r="C126" s="1042" t="s">
        <v>2413</v>
      </c>
      <c r="D126" s="1043" t="s">
        <v>2412</v>
      </c>
      <c r="E126" s="250" t="s">
        <v>891</v>
      </c>
      <c r="F126" s="1044">
        <f t="shared" si="80"/>
        <v>344400</v>
      </c>
      <c r="G126" s="1044">
        <v>475000.0</v>
      </c>
      <c r="H126" s="1045">
        <v>2.0</v>
      </c>
      <c r="I126" s="17">
        <f t="shared" si="1"/>
        <v>997.6826651</v>
      </c>
      <c r="J126" s="18">
        <v>0.035</v>
      </c>
      <c r="K126" s="19">
        <f t="shared" si="65"/>
        <v>962.7637719</v>
      </c>
      <c r="L126" s="20">
        <f t="shared" si="66"/>
        <v>34.91889328</v>
      </c>
      <c r="M126" s="87">
        <v>0.00137</v>
      </c>
      <c r="N126" s="18">
        <v>0.0215</v>
      </c>
      <c r="O126" s="22">
        <f t="shared" si="67"/>
        <v>0.001399455</v>
      </c>
      <c r="P126" s="19">
        <f t="shared" si="68"/>
        <v>35.69942109</v>
      </c>
      <c r="Q126" s="19">
        <f t="shared" si="6"/>
        <v>1.368844574</v>
      </c>
      <c r="R126" s="17">
        <f t="shared" si="7"/>
        <v>688.0070644</v>
      </c>
      <c r="S126" s="18">
        <v>0.06</v>
      </c>
      <c r="T126" s="23"/>
      <c r="U126" s="19">
        <f t="shared" si="69"/>
        <v>-61.93512015</v>
      </c>
      <c r="V126" s="24">
        <f t="shared" si="9"/>
        <v>-289.0209045</v>
      </c>
      <c r="W126" s="179">
        <f t="shared" si="70"/>
        <v>-0.3103948897</v>
      </c>
      <c r="X126" s="179">
        <f t="shared" si="71"/>
        <v>-0.4501052632</v>
      </c>
      <c r="Y126" s="179">
        <f t="shared" si="72"/>
        <v>0.5820631579</v>
      </c>
      <c r="Z126" s="99"/>
      <c r="AA126" s="99"/>
      <c r="AB126" s="99"/>
      <c r="AC126" s="1028"/>
      <c r="AD126" s="99"/>
      <c r="AE126" s="99"/>
      <c r="AF126" s="99"/>
      <c r="AG126" s="1028" t="str">
        <f t="shared" si="73"/>
        <v/>
      </c>
      <c r="AH126" s="24">
        <f t="shared" si="74"/>
        <v>0</v>
      </c>
    </row>
    <row r="127">
      <c r="A127" s="1042">
        <v>2025.0</v>
      </c>
      <c r="B127" s="1042"/>
      <c r="C127" s="1042" t="s">
        <v>2414</v>
      </c>
      <c r="D127" s="1043" t="s">
        <v>2412</v>
      </c>
      <c r="E127" s="250" t="s">
        <v>893</v>
      </c>
      <c r="F127" s="1044">
        <f t="shared" si="80"/>
        <v>327733.3333</v>
      </c>
      <c r="G127" s="1044">
        <v>444000.0</v>
      </c>
      <c r="H127" s="1045">
        <v>3.0</v>
      </c>
      <c r="I127" s="17">
        <f t="shared" si="1"/>
        <v>1424.102201</v>
      </c>
      <c r="J127" s="18">
        <v>0.035</v>
      </c>
      <c r="K127" s="19">
        <f t="shared" si="65"/>
        <v>1374.258624</v>
      </c>
      <c r="L127" s="20">
        <f t="shared" si="66"/>
        <v>49.84357705</v>
      </c>
      <c r="M127" s="87">
        <v>0.00137</v>
      </c>
      <c r="N127" s="18">
        <v>0.0215</v>
      </c>
      <c r="O127" s="22">
        <f t="shared" si="67"/>
        <v>0.001399455</v>
      </c>
      <c r="P127" s="19">
        <f t="shared" si="68"/>
        <v>44.54656042</v>
      </c>
      <c r="Q127" s="19">
        <f t="shared" si="6"/>
        <v>1.944713103</v>
      </c>
      <c r="R127" s="17">
        <f t="shared" si="7"/>
        <v>643.1055507</v>
      </c>
      <c r="S127" s="18">
        <v>0.06</v>
      </c>
      <c r="T127" s="23"/>
      <c r="U127" s="19">
        <f t="shared" si="69"/>
        <v>-156.1993302</v>
      </c>
      <c r="V127" s="24">
        <f t="shared" si="9"/>
        <v>-663.3836537</v>
      </c>
      <c r="W127" s="179">
        <f t="shared" si="70"/>
        <v>-0.5484133442</v>
      </c>
      <c r="X127" s="179">
        <f t="shared" si="71"/>
        <v>-1.214414414</v>
      </c>
      <c r="Y127" s="179">
        <f t="shared" si="72"/>
        <v>-0.4494144144</v>
      </c>
      <c r="Z127" s="99"/>
      <c r="AA127" s="99"/>
      <c r="AB127" s="99"/>
      <c r="AC127" s="1028"/>
      <c r="AD127" s="99"/>
      <c r="AE127" s="99"/>
      <c r="AF127" s="99"/>
      <c r="AG127" s="1028" t="str">
        <f t="shared" si="73"/>
        <v/>
      </c>
      <c r="AH127" s="24">
        <f t="shared" si="74"/>
        <v>0</v>
      </c>
    </row>
    <row r="128">
      <c r="A128" s="1042">
        <v>2025.0</v>
      </c>
      <c r="B128" s="1042"/>
      <c r="C128" s="1042" t="s">
        <v>2415</v>
      </c>
      <c r="D128" s="1043" t="s">
        <v>2412</v>
      </c>
      <c r="E128" s="250" t="s">
        <v>895</v>
      </c>
      <c r="F128" s="1044">
        <f t="shared" si="80"/>
        <v>319400</v>
      </c>
      <c r="G128" s="1044">
        <v>395000.0</v>
      </c>
      <c r="H128" s="1045">
        <v>4.0</v>
      </c>
      <c r="I128" s="17">
        <f t="shared" si="1"/>
        <v>1850.521738</v>
      </c>
      <c r="J128" s="18">
        <v>0.035</v>
      </c>
      <c r="K128" s="19">
        <f t="shared" si="65"/>
        <v>1785.753477</v>
      </c>
      <c r="L128" s="20">
        <f t="shared" si="66"/>
        <v>64.76826082</v>
      </c>
      <c r="M128" s="87">
        <v>0.00137</v>
      </c>
      <c r="N128" s="18">
        <v>0.0215</v>
      </c>
      <c r="O128" s="22">
        <f t="shared" si="67"/>
        <v>0.001399455</v>
      </c>
      <c r="P128" s="19">
        <f t="shared" si="68"/>
        <v>53.39369975</v>
      </c>
      <c r="Q128" s="19">
        <f t="shared" si="6"/>
        <v>2.520581632</v>
      </c>
      <c r="R128" s="17">
        <f t="shared" si="7"/>
        <v>572.1321904</v>
      </c>
      <c r="S128" s="18">
        <v>0.06</v>
      </c>
      <c r="T128" s="23"/>
      <c r="U128" s="19">
        <f t="shared" si="69"/>
        <v>-255.6779095</v>
      </c>
      <c r="V128" s="24">
        <f t="shared" si="9"/>
        <v>-1057.039569</v>
      </c>
      <c r="W128" s="179">
        <f t="shared" si="70"/>
        <v>-0.6908265498</v>
      </c>
      <c r="X128" s="179">
        <f t="shared" si="71"/>
        <v>-2.23443038</v>
      </c>
      <c r="Y128" s="179">
        <f t="shared" si="72"/>
        <v>-1.159493671</v>
      </c>
      <c r="Z128" s="99"/>
      <c r="AA128" s="99"/>
      <c r="AB128" s="99"/>
      <c r="AC128" s="1028"/>
      <c r="AD128" s="99"/>
      <c r="AE128" s="99"/>
      <c r="AF128" s="99"/>
      <c r="AG128" s="1028" t="str">
        <f t="shared" si="73"/>
        <v/>
      </c>
      <c r="AH128" s="24">
        <f t="shared" si="74"/>
        <v>0</v>
      </c>
    </row>
    <row r="129">
      <c r="A129" s="1042">
        <v>2025.0</v>
      </c>
      <c r="B129" s="1042"/>
      <c r="C129" s="1042" t="s">
        <v>2416</v>
      </c>
      <c r="D129" s="1043" t="s">
        <v>2417</v>
      </c>
      <c r="E129" s="250" t="s">
        <v>897</v>
      </c>
      <c r="F129" s="1044">
        <f t="shared" si="80"/>
        <v>394400</v>
      </c>
      <c r="G129" s="1044">
        <v>1130000.0</v>
      </c>
      <c r="H129" s="1025">
        <v>1.0</v>
      </c>
      <c r="I129" s="17">
        <f t="shared" si="1"/>
        <v>571.2631288</v>
      </c>
      <c r="J129" s="18">
        <v>0.035</v>
      </c>
      <c r="K129" s="19">
        <f t="shared" si="65"/>
        <v>551.2689193</v>
      </c>
      <c r="L129" s="20">
        <f t="shared" si="66"/>
        <v>19.99420951</v>
      </c>
      <c r="M129" s="87">
        <v>0.00137</v>
      </c>
      <c r="N129" s="18">
        <v>0.0215</v>
      </c>
      <c r="O129" s="22">
        <f t="shared" si="67"/>
        <v>0.001399455</v>
      </c>
      <c r="P129" s="19">
        <f t="shared" si="68"/>
        <v>26.85228177</v>
      </c>
      <c r="Q129" s="19">
        <f t="shared" si="6"/>
        <v>0.7929760455</v>
      </c>
      <c r="R129" s="17">
        <f t="shared" si="7"/>
        <v>1636.732595</v>
      </c>
      <c r="S129" s="18">
        <v>0.06</v>
      </c>
      <c r="T129" s="23"/>
      <c r="U129" s="19">
        <f t="shared" si="69"/>
        <v>213.0938933</v>
      </c>
      <c r="V129" s="24">
        <f t="shared" si="9"/>
        <v>754.1716174</v>
      </c>
      <c r="W129" s="179">
        <f t="shared" si="70"/>
        <v>1.865111562</v>
      </c>
      <c r="X129" s="179">
        <f t="shared" si="71"/>
        <v>0.6509734513</v>
      </c>
      <c r="Y129" s="179">
        <f t="shared" si="72"/>
        <v>-0.6458230088</v>
      </c>
      <c r="Z129" s="99"/>
      <c r="AA129" s="99"/>
      <c r="AB129" s="99"/>
      <c r="AC129" s="1028"/>
      <c r="AD129" s="99"/>
      <c r="AE129" s="99"/>
      <c r="AF129" s="99"/>
      <c r="AG129" s="1028" t="str">
        <f t="shared" si="73"/>
        <v/>
      </c>
      <c r="AH129" s="24">
        <f t="shared" si="74"/>
        <v>0</v>
      </c>
    </row>
    <row r="130">
      <c r="A130" s="1042">
        <v>2025.0</v>
      </c>
      <c r="B130" s="1042"/>
      <c r="C130" s="1042" t="s">
        <v>2418</v>
      </c>
      <c r="D130" s="1043" t="s">
        <v>2417</v>
      </c>
      <c r="E130" s="250" t="s">
        <v>891</v>
      </c>
      <c r="F130" s="1044">
        <f t="shared" si="80"/>
        <v>344400</v>
      </c>
      <c r="G130" s="1044">
        <v>690000.0</v>
      </c>
      <c r="H130" s="1045">
        <v>2.0</v>
      </c>
      <c r="I130" s="17">
        <f t="shared" si="1"/>
        <v>997.6826651</v>
      </c>
      <c r="J130" s="18">
        <v>0.035</v>
      </c>
      <c r="K130" s="19">
        <f t="shared" si="65"/>
        <v>962.7637719</v>
      </c>
      <c r="L130" s="20">
        <f t="shared" si="66"/>
        <v>34.91889328</v>
      </c>
      <c r="M130" s="87">
        <v>0.00137</v>
      </c>
      <c r="N130" s="18">
        <v>0.0215</v>
      </c>
      <c r="O130" s="22">
        <f t="shared" si="67"/>
        <v>0.001399455</v>
      </c>
      <c r="P130" s="19">
        <f t="shared" si="68"/>
        <v>35.69942109</v>
      </c>
      <c r="Q130" s="19">
        <f t="shared" si="6"/>
        <v>1.368844574</v>
      </c>
      <c r="R130" s="17">
        <f t="shared" si="7"/>
        <v>999.4207883</v>
      </c>
      <c r="S130" s="18">
        <v>0.06</v>
      </c>
      <c r="T130" s="23"/>
      <c r="U130" s="19">
        <f t="shared" si="69"/>
        <v>0.347624622</v>
      </c>
      <c r="V130" s="24">
        <f t="shared" si="9"/>
        <v>-58.57474881</v>
      </c>
      <c r="W130" s="179">
        <f t="shared" si="70"/>
        <v>0.001742160279</v>
      </c>
      <c r="X130" s="179">
        <f t="shared" si="71"/>
        <v>0.001739130435</v>
      </c>
      <c r="Y130" s="179">
        <f t="shared" si="72"/>
        <v>0.7546086957</v>
      </c>
      <c r="Z130" s="99"/>
      <c r="AA130" s="99"/>
      <c r="AB130" s="99"/>
      <c r="AC130" s="1028"/>
      <c r="AD130" s="99"/>
      <c r="AE130" s="99"/>
      <c r="AF130" s="99"/>
      <c r="AG130" s="1028" t="str">
        <f t="shared" si="73"/>
        <v/>
      </c>
      <c r="AH130" s="24">
        <f t="shared" si="74"/>
        <v>0</v>
      </c>
    </row>
    <row r="131">
      <c r="A131" s="1042">
        <v>2025.0</v>
      </c>
      <c r="B131" s="1042"/>
      <c r="C131" s="1042" t="s">
        <v>2419</v>
      </c>
      <c r="D131" s="1043" t="s">
        <v>2417</v>
      </c>
      <c r="E131" s="250" t="s">
        <v>893</v>
      </c>
      <c r="F131" s="1044">
        <f t="shared" si="80"/>
        <v>327733.3333</v>
      </c>
      <c r="G131" s="1044">
        <v>660000.0</v>
      </c>
      <c r="H131" s="1045">
        <v>3.0</v>
      </c>
      <c r="I131" s="17">
        <f t="shared" si="1"/>
        <v>1424.102201</v>
      </c>
      <c r="J131" s="18">
        <v>0.035</v>
      </c>
      <c r="K131" s="19">
        <f t="shared" si="65"/>
        <v>1374.258624</v>
      </c>
      <c r="L131" s="20">
        <f t="shared" si="66"/>
        <v>49.84357705</v>
      </c>
      <c r="M131" s="87">
        <v>0.00137</v>
      </c>
      <c r="N131" s="18">
        <v>0.0215</v>
      </c>
      <c r="O131" s="22">
        <f t="shared" si="67"/>
        <v>0.001399455</v>
      </c>
      <c r="P131" s="19">
        <f t="shared" si="68"/>
        <v>44.54656042</v>
      </c>
      <c r="Q131" s="19">
        <f t="shared" si="6"/>
        <v>1.944713103</v>
      </c>
      <c r="R131" s="17">
        <f t="shared" si="7"/>
        <v>955.9677105</v>
      </c>
      <c r="S131" s="18">
        <v>0.06</v>
      </c>
      <c r="T131" s="23"/>
      <c r="U131" s="19">
        <f t="shared" si="69"/>
        <v>-93.62689819</v>
      </c>
      <c r="V131" s="24">
        <f t="shared" si="9"/>
        <v>-431.8656554</v>
      </c>
      <c r="W131" s="179">
        <f t="shared" si="70"/>
        <v>-0.3287225386</v>
      </c>
      <c r="X131" s="179">
        <f t="shared" si="71"/>
        <v>-0.4896969697</v>
      </c>
      <c r="Y131" s="179">
        <f t="shared" si="72"/>
        <v>-0.06127272727</v>
      </c>
      <c r="Z131" s="99"/>
      <c r="AA131" s="99"/>
      <c r="AB131" s="99"/>
      <c r="AC131" s="1028"/>
      <c r="AD131" s="99"/>
      <c r="AE131" s="99"/>
      <c r="AF131" s="99"/>
      <c r="AG131" s="1028" t="str">
        <f t="shared" si="73"/>
        <v/>
      </c>
      <c r="AH131" s="24">
        <f t="shared" si="74"/>
        <v>0</v>
      </c>
    </row>
    <row r="132">
      <c r="A132" s="1042">
        <v>2025.0</v>
      </c>
      <c r="B132" s="1042"/>
      <c r="C132" s="1042" t="s">
        <v>2420</v>
      </c>
      <c r="D132" s="1043" t="s">
        <v>2417</v>
      </c>
      <c r="E132" s="250" t="s">
        <v>895</v>
      </c>
      <c r="F132" s="1044">
        <f t="shared" si="80"/>
        <v>319400</v>
      </c>
      <c r="G132" s="1044">
        <v>550000.0</v>
      </c>
      <c r="H132" s="1045">
        <v>4.0</v>
      </c>
      <c r="I132" s="17">
        <f t="shared" si="1"/>
        <v>1850.521738</v>
      </c>
      <c r="J132" s="18">
        <v>0.035</v>
      </c>
      <c r="K132" s="19">
        <f t="shared" si="65"/>
        <v>1785.753477</v>
      </c>
      <c r="L132" s="20">
        <f t="shared" si="66"/>
        <v>64.76826082</v>
      </c>
      <c r="M132" s="87">
        <v>0.00137</v>
      </c>
      <c r="N132" s="18">
        <v>0.0215</v>
      </c>
      <c r="O132" s="22">
        <f t="shared" si="67"/>
        <v>0.001399455</v>
      </c>
      <c r="P132" s="19">
        <f t="shared" si="68"/>
        <v>53.39369975</v>
      </c>
      <c r="Q132" s="19">
        <f t="shared" si="6"/>
        <v>2.520581632</v>
      </c>
      <c r="R132" s="17">
        <f t="shared" si="7"/>
        <v>796.6397588</v>
      </c>
      <c r="S132" s="18">
        <v>0.06</v>
      </c>
      <c r="T132" s="23"/>
      <c r="U132" s="19">
        <f t="shared" si="69"/>
        <v>-210.7763958</v>
      </c>
      <c r="V132" s="24">
        <f t="shared" si="9"/>
        <v>-890.9039687</v>
      </c>
      <c r="W132" s="179">
        <f t="shared" si="70"/>
        <v>-0.5695053225</v>
      </c>
      <c r="X132" s="179">
        <f t="shared" si="71"/>
        <v>-1.322909091</v>
      </c>
      <c r="Y132" s="179">
        <f t="shared" si="72"/>
        <v>-0.5421090909</v>
      </c>
      <c r="Z132" s="99"/>
      <c r="AA132" s="99"/>
      <c r="AB132" s="99"/>
      <c r="AC132" s="1028"/>
      <c r="AD132" s="99"/>
      <c r="AE132" s="99"/>
      <c r="AF132" s="99"/>
      <c r="AG132" s="1028" t="str">
        <f t="shared" si="73"/>
        <v/>
      </c>
      <c r="AH132" s="24">
        <f t="shared" si="74"/>
        <v>0</v>
      </c>
    </row>
    <row r="133">
      <c r="A133" s="1042">
        <v>2025.0</v>
      </c>
      <c r="B133" s="1042"/>
      <c r="C133" s="1042" t="s">
        <v>2421</v>
      </c>
      <c r="D133" s="1043" t="s">
        <v>2422</v>
      </c>
      <c r="E133" s="250" t="s">
        <v>897</v>
      </c>
      <c r="F133" s="1044">
        <f t="shared" si="80"/>
        <v>394400</v>
      </c>
      <c r="G133" s="1044">
        <v>900000.0</v>
      </c>
      <c r="H133" s="1025">
        <v>1.0</v>
      </c>
      <c r="I133" s="17">
        <f t="shared" si="1"/>
        <v>571.2631288</v>
      </c>
      <c r="J133" s="18">
        <v>0.035</v>
      </c>
      <c r="K133" s="19">
        <f t="shared" si="65"/>
        <v>551.2689193</v>
      </c>
      <c r="L133" s="20">
        <f t="shared" si="66"/>
        <v>19.99420951</v>
      </c>
      <c r="M133" s="87">
        <v>0.00137</v>
      </c>
      <c r="N133" s="18">
        <v>0.0215</v>
      </c>
      <c r="O133" s="22">
        <f t="shared" si="67"/>
        <v>0.001399455</v>
      </c>
      <c r="P133" s="19">
        <f t="shared" si="68"/>
        <v>26.85228177</v>
      </c>
      <c r="Q133" s="19">
        <f t="shared" si="6"/>
        <v>0.7929760455</v>
      </c>
      <c r="R133" s="17">
        <f t="shared" si="7"/>
        <v>1303.592333</v>
      </c>
      <c r="S133" s="18">
        <v>0.06</v>
      </c>
      <c r="T133" s="23"/>
      <c r="U133" s="19">
        <f t="shared" si="69"/>
        <v>146.4658407</v>
      </c>
      <c r="V133" s="24">
        <f t="shared" si="9"/>
        <v>507.647823</v>
      </c>
      <c r="W133" s="179">
        <f t="shared" si="70"/>
        <v>1.281947262</v>
      </c>
      <c r="X133" s="179">
        <f t="shared" si="71"/>
        <v>0.5617777778</v>
      </c>
      <c r="Y133" s="179">
        <f t="shared" si="72"/>
        <v>-0.6834222222</v>
      </c>
      <c r="Z133" s="99"/>
      <c r="AA133" s="99"/>
      <c r="AB133" s="99"/>
      <c r="AC133" s="1028"/>
      <c r="AD133" s="99"/>
      <c r="AE133" s="99"/>
      <c r="AF133" s="99"/>
      <c r="AG133" s="1028" t="str">
        <f t="shared" si="73"/>
        <v/>
      </c>
      <c r="AH133" s="24">
        <f t="shared" si="74"/>
        <v>0</v>
      </c>
    </row>
    <row r="134">
      <c r="A134" s="1042">
        <v>2025.0</v>
      </c>
      <c r="B134" s="1042"/>
      <c r="C134" s="1042" t="s">
        <v>2423</v>
      </c>
      <c r="D134" s="1043" t="s">
        <v>2422</v>
      </c>
      <c r="E134" s="250" t="s">
        <v>891</v>
      </c>
      <c r="F134" s="1044">
        <f t="shared" si="80"/>
        <v>344400</v>
      </c>
      <c r="G134" s="1044">
        <v>600000.0</v>
      </c>
      <c r="H134" s="1045">
        <v>2.0</v>
      </c>
      <c r="I134" s="17">
        <f t="shared" si="1"/>
        <v>997.6826651</v>
      </c>
      <c r="J134" s="18">
        <v>0.035</v>
      </c>
      <c r="K134" s="19">
        <f t="shared" si="65"/>
        <v>962.7637719</v>
      </c>
      <c r="L134" s="20">
        <f t="shared" si="66"/>
        <v>34.91889328</v>
      </c>
      <c r="M134" s="87">
        <v>0.00137</v>
      </c>
      <c r="N134" s="18">
        <v>0.0215</v>
      </c>
      <c r="O134" s="22">
        <f t="shared" si="67"/>
        <v>0.001399455</v>
      </c>
      <c r="P134" s="19">
        <f t="shared" si="68"/>
        <v>35.69942109</v>
      </c>
      <c r="Q134" s="19">
        <f t="shared" si="6"/>
        <v>1.368844574</v>
      </c>
      <c r="R134" s="17">
        <f t="shared" si="7"/>
        <v>869.061555</v>
      </c>
      <c r="S134" s="18">
        <v>0.06</v>
      </c>
      <c r="T134" s="23"/>
      <c r="U134" s="19">
        <f t="shared" si="69"/>
        <v>-25.72422203</v>
      </c>
      <c r="V134" s="24">
        <f t="shared" si="9"/>
        <v>-155.0405814</v>
      </c>
      <c r="W134" s="179">
        <f t="shared" si="70"/>
        <v>-0.1289198606</v>
      </c>
      <c r="X134" s="179">
        <f t="shared" si="71"/>
        <v>-0.148</v>
      </c>
      <c r="Y134" s="179">
        <f t="shared" si="72"/>
        <v>0.5841333333</v>
      </c>
      <c r="Z134" s="99"/>
      <c r="AA134" s="99"/>
      <c r="AB134" s="99"/>
      <c r="AC134" s="1028"/>
      <c r="AD134" s="99"/>
      <c r="AE134" s="99"/>
      <c r="AF134" s="99"/>
      <c r="AG134" s="1028" t="str">
        <f t="shared" si="73"/>
        <v/>
      </c>
      <c r="AH134" s="24">
        <f t="shared" si="74"/>
        <v>0</v>
      </c>
    </row>
    <row r="135">
      <c r="A135" s="1042">
        <v>2025.0</v>
      </c>
      <c r="B135" s="1042"/>
      <c r="C135" s="1042" t="s">
        <v>2424</v>
      </c>
      <c r="D135" s="1043" t="s">
        <v>2422</v>
      </c>
      <c r="E135" s="250" t="s">
        <v>893</v>
      </c>
      <c r="F135" s="1044">
        <f t="shared" si="80"/>
        <v>327733.3333</v>
      </c>
      <c r="G135" s="1044">
        <v>595000.0</v>
      </c>
      <c r="H135" s="1045">
        <v>3.0</v>
      </c>
      <c r="I135" s="17">
        <f t="shared" si="1"/>
        <v>1424.102201</v>
      </c>
      <c r="J135" s="18">
        <v>0.035</v>
      </c>
      <c r="K135" s="19">
        <f t="shared" si="65"/>
        <v>1374.258624</v>
      </c>
      <c r="L135" s="20">
        <f t="shared" si="66"/>
        <v>49.84357705</v>
      </c>
      <c r="M135" s="87">
        <v>0.00137</v>
      </c>
      <c r="N135" s="18">
        <v>0.0215</v>
      </c>
      <c r="O135" s="22">
        <f t="shared" si="67"/>
        <v>0.001399455</v>
      </c>
      <c r="P135" s="19">
        <f t="shared" si="68"/>
        <v>44.54656042</v>
      </c>
      <c r="Q135" s="19">
        <f t="shared" si="6"/>
        <v>1.944713103</v>
      </c>
      <c r="R135" s="17">
        <f t="shared" si="7"/>
        <v>861.8193754</v>
      </c>
      <c r="S135" s="18">
        <v>0.06</v>
      </c>
      <c r="T135" s="23"/>
      <c r="U135" s="19">
        <f t="shared" si="69"/>
        <v>-112.4565652</v>
      </c>
      <c r="V135" s="24">
        <f t="shared" si="9"/>
        <v>-501.5354234</v>
      </c>
      <c r="W135" s="179">
        <f t="shared" si="70"/>
        <v>-0.3948331977</v>
      </c>
      <c r="X135" s="179">
        <f t="shared" si="71"/>
        <v>-0.6524369748</v>
      </c>
      <c r="Y135" s="179">
        <f t="shared" si="72"/>
        <v>-0.1798991597</v>
      </c>
      <c r="Z135" s="99"/>
      <c r="AA135" s="99"/>
      <c r="AB135" s="99"/>
      <c r="AC135" s="1028"/>
      <c r="AD135" s="99"/>
      <c r="AE135" s="99"/>
      <c r="AF135" s="99"/>
      <c r="AG135" s="1028" t="str">
        <f t="shared" si="73"/>
        <v/>
      </c>
      <c r="AH135" s="24">
        <f t="shared" si="74"/>
        <v>0</v>
      </c>
    </row>
    <row r="136">
      <c r="A136" s="1042">
        <v>2025.0</v>
      </c>
      <c r="B136" s="1042"/>
      <c r="C136" s="1042" t="s">
        <v>2425</v>
      </c>
      <c r="D136" s="1043" t="s">
        <v>2422</v>
      </c>
      <c r="E136" s="250" t="s">
        <v>895</v>
      </c>
      <c r="F136" s="1044">
        <f t="shared" si="80"/>
        <v>319400</v>
      </c>
      <c r="G136" s="1044">
        <v>585000.0</v>
      </c>
      <c r="H136" s="1045">
        <v>4.0</v>
      </c>
      <c r="I136" s="17">
        <f t="shared" si="1"/>
        <v>1850.521738</v>
      </c>
      <c r="J136" s="18">
        <v>0.035</v>
      </c>
      <c r="K136" s="19">
        <f t="shared" si="65"/>
        <v>1785.753477</v>
      </c>
      <c r="L136" s="20">
        <f t="shared" si="66"/>
        <v>64.76826082</v>
      </c>
      <c r="M136" s="87">
        <v>0.00137</v>
      </c>
      <c r="N136" s="18">
        <v>0.0215</v>
      </c>
      <c r="O136" s="22">
        <f t="shared" si="67"/>
        <v>0.001399455</v>
      </c>
      <c r="P136" s="19">
        <f t="shared" si="68"/>
        <v>53.39369975</v>
      </c>
      <c r="Q136" s="19">
        <f t="shared" si="6"/>
        <v>2.520581632</v>
      </c>
      <c r="R136" s="17">
        <f t="shared" si="7"/>
        <v>847.3350161</v>
      </c>
      <c r="S136" s="18">
        <v>0.06</v>
      </c>
      <c r="T136" s="23"/>
      <c r="U136" s="19">
        <f t="shared" si="69"/>
        <v>-200.6373443</v>
      </c>
      <c r="V136" s="24">
        <f t="shared" si="9"/>
        <v>-853.3894783</v>
      </c>
      <c r="W136" s="179">
        <f t="shared" si="70"/>
        <v>-0.5421102066</v>
      </c>
      <c r="X136" s="179">
        <f t="shared" si="71"/>
        <v>-1.183931624</v>
      </c>
      <c r="Y136" s="179">
        <f t="shared" si="72"/>
        <v>-0.5918974359</v>
      </c>
      <c r="Z136" s="99"/>
      <c r="AA136" s="99"/>
      <c r="AB136" s="99"/>
      <c r="AC136" s="1028"/>
      <c r="AD136" s="99"/>
      <c r="AE136" s="99"/>
      <c r="AF136" s="99"/>
      <c r="AG136" s="1028" t="str">
        <f t="shared" si="73"/>
        <v/>
      </c>
      <c r="AH136" s="24">
        <f t="shared" si="74"/>
        <v>0</v>
      </c>
    </row>
    <row r="137">
      <c r="A137" s="1042">
        <v>2025.0</v>
      </c>
      <c r="B137" s="1042"/>
      <c r="C137" s="1042" t="s">
        <v>2426</v>
      </c>
      <c r="D137" s="1043" t="s">
        <v>2427</v>
      </c>
      <c r="E137" s="250" t="s">
        <v>897</v>
      </c>
      <c r="F137" s="1044">
        <f t="shared" si="80"/>
        <v>394400</v>
      </c>
      <c r="G137" s="1044">
        <v>1300000.0</v>
      </c>
      <c r="H137" s="1025">
        <v>1.0</v>
      </c>
      <c r="I137" s="17">
        <f t="shared" si="1"/>
        <v>571.2631288</v>
      </c>
      <c r="J137" s="18">
        <v>0.035</v>
      </c>
      <c r="K137" s="19">
        <f t="shared" si="65"/>
        <v>551.2689193</v>
      </c>
      <c r="L137" s="20">
        <f t="shared" si="66"/>
        <v>19.99420951</v>
      </c>
      <c r="M137" s="87">
        <v>0.00137</v>
      </c>
      <c r="N137" s="18">
        <v>0.0215</v>
      </c>
      <c r="O137" s="22">
        <f t="shared" si="67"/>
        <v>0.001399455</v>
      </c>
      <c r="P137" s="19">
        <f t="shared" si="68"/>
        <v>26.85228177</v>
      </c>
      <c r="Q137" s="19">
        <f t="shared" si="6"/>
        <v>0.7929760455</v>
      </c>
      <c r="R137" s="17">
        <f t="shared" si="7"/>
        <v>1882.966703</v>
      </c>
      <c r="S137" s="18">
        <v>0.06</v>
      </c>
      <c r="T137" s="23"/>
      <c r="U137" s="19">
        <f t="shared" si="69"/>
        <v>262.3407147</v>
      </c>
      <c r="V137" s="24">
        <f t="shared" si="9"/>
        <v>936.3848568</v>
      </c>
      <c r="W137" s="179">
        <f t="shared" si="70"/>
        <v>2.296146045</v>
      </c>
      <c r="X137" s="179">
        <f t="shared" si="71"/>
        <v>0.6966153846</v>
      </c>
      <c r="Y137" s="179">
        <f t="shared" si="72"/>
        <v>-0.4532153846</v>
      </c>
      <c r="Z137" s="99"/>
      <c r="AA137" s="99"/>
      <c r="AB137" s="99"/>
      <c r="AC137" s="1028"/>
      <c r="AD137" s="99"/>
      <c r="AE137" s="99"/>
      <c r="AF137" s="99"/>
      <c r="AG137" s="1028" t="str">
        <f t="shared" si="73"/>
        <v/>
      </c>
      <c r="AH137" s="24">
        <f t="shared" si="74"/>
        <v>0</v>
      </c>
    </row>
    <row r="138">
      <c r="A138" s="1042">
        <v>2025.0</v>
      </c>
      <c r="B138" s="1042"/>
      <c r="C138" s="1042" t="s">
        <v>2428</v>
      </c>
      <c r="D138" s="1043" t="s">
        <v>2427</v>
      </c>
      <c r="E138" s="250" t="s">
        <v>891</v>
      </c>
      <c r="F138" s="1044">
        <f t="shared" si="80"/>
        <v>344400</v>
      </c>
      <c r="G138" s="1044">
        <v>800000.0</v>
      </c>
      <c r="H138" s="1045">
        <v>2.0</v>
      </c>
      <c r="I138" s="17">
        <f t="shared" si="1"/>
        <v>997.6826651</v>
      </c>
      <c r="J138" s="18">
        <v>0.035</v>
      </c>
      <c r="K138" s="19">
        <f t="shared" si="65"/>
        <v>962.7637719</v>
      </c>
      <c r="L138" s="20">
        <f t="shared" si="66"/>
        <v>34.91889328</v>
      </c>
      <c r="M138" s="87">
        <v>0.00137</v>
      </c>
      <c r="N138" s="18">
        <v>0.0215</v>
      </c>
      <c r="O138" s="22">
        <f t="shared" si="67"/>
        <v>0.001399455</v>
      </c>
      <c r="P138" s="19">
        <f t="shared" si="68"/>
        <v>35.69942109</v>
      </c>
      <c r="Q138" s="19">
        <f t="shared" si="6"/>
        <v>1.368844574</v>
      </c>
      <c r="R138" s="17">
        <f t="shared" si="7"/>
        <v>1158.74874</v>
      </c>
      <c r="S138" s="18">
        <v>0.06</v>
      </c>
      <c r="T138" s="23"/>
      <c r="U138" s="19">
        <f t="shared" si="69"/>
        <v>32.21321497</v>
      </c>
      <c r="V138" s="24">
        <f t="shared" si="9"/>
        <v>59.32793549</v>
      </c>
      <c r="W138" s="179">
        <f t="shared" si="70"/>
        <v>0.1614401858</v>
      </c>
      <c r="X138" s="179">
        <f t="shared" si="71"/>
        <v>0.139</v>
      </c>
      <c r="Y138" s="179">
        <f t="shared" si="72"/>
        <v>0.8081</v>
      </c>
      <c r="Z138" s="99"/>
      <c r="AA138" s="99"/>
      <c r="AB138" s="99"/>
      <c r="AC138" s="1028"/>
      <c r="AD138" s="99"/>
      <c r="AE138" s="99"/>
      <c r="AF138" s="99"/>
      <c r="AG138" s="1028" t="str">
        <f t="shared" si="73"/>
        <v/>
      </c>
      <c r="AH138" s="24">
        <f t="shared" si="74"/>
        <v>0</v>
      </c>
    </row>
    <row r="139">
      <c r="A139" s="1042">
        <v>2025.0</v>
      </c>
      <c r="B139" s="1042"/>
      <c r="C139" s="1042" t="s">
        <v>2429</v>
      </c>
      <c r="D139" s="1043" t="s">
        <v>2427</v>
      </c>
      <c r="E139" s="250" t="s">
        <v>893</v>
      </c>
      <c r="F139" s="1044">
        <f t="shared" si="80"/>
        <v>327733.3333</v>
      </c>
      <c r="G139" s="1044">
        <v>735000.0</v>
      </c>
      <c r="H139" s="1045">
        <v>3.0</v>
      </c>
      <c r="I139" s="17">
        <f t="shared" si="1"/>
        <v>1424.102201</v>
      </c>
      <c r="J139" s="18">
        <v>0.035</v>
      </c>
      <c r="K139" s="19">
        <f t="shared" si="65"/>
        <v>1374.258624</v>
      </c>
      <c r="L139" s="20">
        <f t="shared" si="66"/>
        <v>49.84357705</v>
      </c>
      <c r="M139" s="87">
        <v>0.00137</v>
      </c>
      <c r="N139" s="18">
        <v>0.0215</v>
      </c>
      <c r="O139" s="22">
        <f t="shared" si="67"/>
        <v>0.001399455</v>
      </c>
      <c r="P139" s="19">
        <f t="shared" si="68"/>
        <v>44.54656042</v>
      </c>
      <c r="Q139" s="19">
        <f t="shared" si="6"/>
        <v>1.944713103</v>
      </c>
      <c r="R139" s="17">
        <f t="shared" si="7"/>
        <v>1064.600405</v>
      </c>
      <c r="S139" s="18">
        <v>0.06</v>
      </c>
      <c r="T139" s="23"/>
      <c r="U139" s="19">
        <f t="shared" si="69"/>
        <v>-71.90035932</v>
      </c>
      <c r="V139" s="24">
        <f t="shared" si="9"/>
        <v>-351.4774616</v>
      </c>
      <c r="W139" s="179">
        <f t="shared" si="70"/>
        <v>-0.252441009</v>
      </c>
      <c r="X139" s="179">
        <f t="shared" si="71"/>
        <v>-0.3376870748</v>
      </c>
      <c r="Y139" s="179">
        <f t="shared" si="72"/>
        <v>0.05572789116</v>
      </c>
      <c r="Z139" s="99"/>
      <c r="AA139" s="99"/>
      <c r="AB139" s="99"/>
      <c r="AC139" s="1028"/>
      <c r="AD139" s="99"/>
      <c r="AE139" s="99"/>
      <c r="AF139" s="99"/>
      <c r="AG139" s="1028" t="str">
        <f t="shared" si="73"/>
        <v/>
      </c>
      <c r="AH139" s="24">
        <f t="shared" si="74"/>
        <v>0</v>
      </c>
    </row>
    <row r="140">
      <c r="A140" s="1042">
        <v>2025.0</v>
      </c>
      <c r="B140" s="1042"/>
      <c r="C140" s="1042" t="s">
        <v>2430</v>
      </c>
      <c r="D140" s="1043" t="s">
        <v>2427</v>
      </c>
      <c r="E140" s="250" t="s">
        <v>895</v>
      </c>
      <c r="F140" s="1044">
        <f t="shared" si="80"/>
        <v>319400</v>
      </c>
      <c r="G140" s="1044">
        <v>610000.0</v>
      </c>
      <c r="H140" s="1045">
        <v>4.0</v>
      </c>
      <c r="I140" s="17">
        <f t="shared" si="1"/>
        <v>1850.521738</v>
      </c>
      <c r="J140" s="18">
        <v>0.035</v>
      </c>
      <c r="K140" s="19">
        <f t="shared" si="65"/>
        <v>1785.753477</v>
      </c>
      <c r="L140" s="20">
        <f t="shared" si="66"/>
        <v>64.76826082</v>
      </c>
      <c r="M140" s="87">
        <v>0.00137</v>
      </c>
      <c r="N140" s="18">
        <v>0.0215</v>
      </c>
      <c r="O140" s="22">
        <f t="shared" si="67"/>
        <v>0.001399455</v>
      </c>
      <c r="P140" s="19">
        <f t="shared" si="68"/>
        <v>53.39369975</v>
      </c>
      <c r="Q140" s="19">
        <f t="shared" si="6"/>
        <v>2.520581632</v>
      </c>
      <c r="R140" s="17">
        <f t="shared" si="7"/>
        <v>883.5459143</v>
      </c>
      <c r="S140" s="18">
        <v>0.06</v>
      </c>
      <c r="T140" s="23"/>
      <c r="U140" s="19">
        <f t="shared" si="69"/>
        <v>-193.3951647</v>
      </c>
      <c r="V140" s="24">
        <f t="shared" si="9"/>
        <v>-826.5934137</v>
      </c>
      <c r="W140" s="179">
        <f t="shared" si="70"/>
        <v>-0.5225422668</v>
      </c>
      <c r="X140" s="179">
        <f t="shared" si="71"/>
        <v>-1.09442623</v>
      </c>
      <c r="Y140" s="179">
        <f t="shared" si="72"/>
        <v>-0.3978032787</v>
      </c>
      <c r="Z140" s="99"/>
      <c r="AA140" s="99"/>
      <c r="AB140" s="99"/>
      <c r="AC140" s="1028"/>
      <c r="AD140" s="99"/>
      <c r="AE140" s="99"/>
      <c r="AF140" s="99"/>
      <c r="AG140" s="1028" t="str">
        <f t="shared" si="73"/>
        <v/>
      </c>
      <c r="AH140" s="24">
        <f t="shared" si="74"/>
        <v>0</v>
      </c>
    </row>
    <row r="141">
      <c r="A141" s="1042">
        <v>2025.0</v>
      </c>
      <c r="B141" s="1042"/>
      <c r="C141" s="1042" t="s">
        <v>2431</v>
      </c>
      <c r="D141" s="1043" t="s">
        <v>2427</v>
      </c>
      <c r="E141" s="250" t="s">
        <v>904</v>
      </c>
      <c r="F141" s="1044">
        <f t="shared" si="80"/>
        <v>314400</v>
      </c>
      <c r="G141" s="1044">
        <v>580000.0</v>
      </c>
      <c r="H141" s="1045">
        <v>5.0</v>
      </c>
      <c r="I141" s="17">
        <f t="shared" si="1"/>
        <v>2276.941274</v>
      </c>
      <c r="J141" s="18">
        <v>0.035</v>
      </c>
      <c r="K141" s="19">
        <f t="shared" si="65"/>
        <v>2197.24833</v>
      </c>
      <c r="L141" s="20">
        <f t="shared" si="66"/>
        <v>79.69294459</v>
      </c>
      <c r="M141" s="87">
        <v>0.00137</v>
      </c>
      <c r="N141" s="18">
        <v>0.0215</v>
      </c>
      <c r="O141" s="22">
        <f t="shared" si="67"/>
        <v>0.001399455</v>
      </c>
      <c r="P141" s="19">
        <f t="shared" si="68"/>
        <v>62.24083908</v>
      </c>
      <c r="Q141" s="19">
        <f t="shared" si="6"/>
        <v>3.096450161</v>
      </c>
      <c r="R141" s="17">
        <f t="shared" si="7"/>
        <v>840.0928365</v>
      </c>
      <c r="S141" s="18">
        <v>0.06</v>
      </c>
      <c r="T141" s="23"/>
      <c r="U141" s="19">
        <f t="shared" si="69"/>
        <v>-287.3696875</v>
      </c>
      <c r="V141" s="24">
        <f t="shared" si="9"/>
        <v>-1199.88432</v>
      </c>
      <c r="W141" s="179">
        <f t="shared" si="70"/>
        <v>-0.631043257</v>
      </c>
      <c r="X141" s="179">
        <f t="shared" si="71"/>
        <v>-1.710344828</v>
      </c>
      <c r="Y141" s="179">
        <f t="shared" si="72"/>
        <v>-0.9839310345</v>
      </c>
      <c r="Z141" s="99"/>
      <c r="AA141" s="99"/>
      <c r="AB141" s="99"/>
      <c r="AC141" s="1028"/>
      <c r="AD141" s="99"/>
      <c r="AE141" s="99"/>
      <c r="AF141" s="99"/>
      <c r="AG141" s="1028" t="str">
        <f t="shared" si="73"/>
        <v/>
      </c>
      <c r="AH141" s="24">
        <f t="shared" si="74"/>
        <v>0</v>
      </c>
    </row>
    <row r="142">
      <c r="A142" s="1042">
        <v>2025.0</v>
      </c>
      <c r="B142" s="1042"/>
      <c r="C142" s="1042" t="s">
        <v>2432</v>
      </c>
      <c r="D142" s="1043" t="s">
        <v>2433</v>
      </c>
      <c r="E142" s="250" t="s">
        <v>897</v>
      </c>
      <c r="F142" s="1044">
        <f t="shared" si="80"/>
        <v>394400</v>
      </c>
      <c r="G142" s="1044">
        <v>480000.0</v>
      </c>
      <c r="H142" s="1025">
        <v>1.0</v>
      </c>
      <c r="I142" s="17">
        <f t="shared" si="1"/>
        <v>571.2631288</v>
      </c>
      <c r="J142" s="18">
        <v>0.035</v>
      </c>
      <c r="K142" s="19">
        <f t="shared" si="65"/>
        <v>551.2689193</v>
      </c>
      <c r="L142" s="20">
        <f t="shared" si="66"/>
        <v>19.99420951</v>
      </c>
      <c r="M142" s="87">
        <v>0.00137</v>
      </c>
      <c r="N142" s="18">
        <v>0.0215</v>
      </c>
      <c r="O142" s="22">
        <f t="shared" si="67"/>
        <v>0.001399455</v>
      </c>
      <c r="P142" s="19">
        <f t="shared" si="68"/>
        <v>26.85228177</v>
      </c>
      <c r="Q142" s="19">
        <f t="shared" si="6"/>
        <v>0.7929760455</v>
      </c>
      <c r="R142" s="17">
        <f t="shared" si="7"/>
        <v>695.249244</v>
      </c>
      <c r="S142" s="18">
        <v>0.06</v>
      </c>
      <c r="T142" s="23"/>
      <c r="U142" s="19">
        <f t="shared" si="69"/>
        <v>24.79722304</v>
      </c>
      <c r="V142" s="24">
        <f t="shared" si="9"/>
        <v>57.4739375</v>
      </c>
      <c r="W142" s="179">
        <f t="shared" si="70"/>
        <v>0.2170385396</v>
      </c>
      <c r="X142" s="179">
        <f t="shared" si="71"/>
        <v>0.1783333333</v>
      </c>
      <c r="Y142" s="179">
        <f t="shared" si="72"/>
        <v>-1.725833333</v>
      </c>
      <c r="Z142" s="99"/>
      <c r="AA142" s="99"/>
      <c r="AB142" s="99"/>
      <c r="AC142" s="1028"/>
      <c r="AD142" s="99"/>
      <c r="AE142" s="99"/>
      <c r="AF142" s="99"/>
      <c r="AG142" s="1028" t="str">
        <f t="shared" si="73"/>
        <v/>
      </c>
      <c r="AH142" s="24">
        <f t="shared" si="74"/>
        <v>0</v>
      </c>
    </row>
    <row r="143">
      <c r="A143" s="1046">
        <v>2025.0</v>
      </c>
      <c r="B143" s="1046"/>
      <c r="C143" s="1046" t="s">
        <v>2434</v>
      </c>
      <c r="D143" s="1047" t="s">
        <v>2433</v>
      </c>
      <c r="E143" s="1046" t="s">
        <v>891</v>
      </c>
      <c r="F143" s="1044">
        <f t="shared" si="80"/>
        <v>344400</v>
      </c>
      <c r="G143" s="1048">
        <v>345000.0</v>
      </c>
      <c r="H143" s="1045">
        <v>2.0</v>
      </c>
      <c r="I143" s="17">
        <f t="shared" si="1"/>
        <v>997.6826651</v>
      </c>
      <c r="J143" s="18">
        <v>0.035</v>
      </c>
      <c r="K143" s="19">
        <f t="shared" si="65"/>
        <v>962.7637719</v>
      </c>
      <c r="L143" s="20">
        <f t="shared" si="66"/>
        <v>34.91889328</v>
      </c>
      <c r="M143" s="87">
        <v>0.00137</v>
      </c>
      <c r="N143" s="18">
        <v>0.0215</v>
      </c>
      <c r="O143" s="22">
        <f t="shared" si="67"/>
        <v>0.001399455</v>
      </c>
      <c r="P143" s="19">
        <f t="shared" si="68"/>
        <v>35.69942109</v>
      </c>
      <c r="Q143" s="19">
        <f t="shared" si="6"/>
        <v>1.368844574</v>
      </c>
      <c r="R143" s="17">
        <f t="shared" si="7"/>
        <v>499.7103941</v>
      </c>
      <c r="S143" s="18">
        <v>0.06</v>
      </c>
      <c r="T143" s="23"/>
      <c r="U143" s="19">
        <f t="shared" si="69"/>
        <v>-99.5944542</v>
      </c>
      <c r="V143" s="24">
        <f t="shared" si="9"/>
        <v>-428.3604405</v>
      </c>
      <c r="W143" s="179">
        <f t="shared" si="70"/>
        <v>-0.4991289199</v>
      </c>
      <c r="X143" s="179">
        <f t="shared" si="71"/>
        <v>-0.9965217391</v>
      </c>
      <c r="Y143" s="179">
        <f t="shared" si="72"/>
        <v>0.1150144928</v>
      </c>
      <c r="Z143" s="99"/>
      <c r="AA143" s="99"/>
      <c r="AB143" s="99"/>
      <c r="AC143" s="1028"/>
      <c r="AD143" s="99"/>
      <c r="AE143" s="99"/>
      <c r="AF143" s="99"/>
      <c r="AG143" s="1028" t="str">
        <f t="shared" si="73"/>
        <v/>
      </c>
      <c r="AH143" s="24">
        <f t="shared" si="74"/>
        <v>0</v>
      </c>
    </row>
    <row r="144">
      <c r="A144" s="1046">
        <v>2025.0</v>
      </c>
      <c r="B144" s="1046"/>
      <c r="C144" s="1046" t="s">
        <v>2435</v>
      </c>
      <c r="D144" s="1047" t="s">
        <v>2433</v>
      </c>
      <c r="E144" s="1046" t="s">
        <v>893</v>
      </c>
      <c r="F144" s="1044">
        <f t="shared" si="80"/>
        <v>327733.3333</v>
      </c>
      <c r="G144" s="1048">
        <v>325000.0</v>
      </c>
      <c r="H144" s="1045">
        <v>3.0</v>
      </c>
      <c r="I144" s="17">
        <f t="shared" si="1"/>
        <v>1424.102201</v>
      </c>
      <c r="J144" s="18">
        <v>0.035</v>
      </c>
      <c r="K144" s="19">
        <f t="shared" si="65"/>
        <v>1374.258624</v>
      </c>
      <c r="L144" s="20">
        <f t="shared" si="66"/>
        <v>49.84357705</v>
      </c>
      <c r="M144" s="87">
        <v>0.00137</v>
      </c>
      <c r="N144" s="18">
        <v>0.0215</v>
      </c>
      <c r="O144" s="22">
        <f t="shared" si="67"/>
        <v>0.001399455</v>
      </c>
      <c r="P144" s="19">
        <f t="shared" si="68"/>
        <v>44.54656042</v>
      </c>
      <c r="Q144" s="19">
        <f t="shared" si="6"/>
        <v>1.944713103</v>
      </c>
      <c r="R144" s="17">
        <f t="shared" si="7"/>
        <v>470.7416756</v>
      </c>
      <c r="S144" s="18">
        <v>0.06</v>
      </c>
      <c r="T144" s="23"/>
      <c r="U144" s="19">
        <f t="shared" si="69"/>
        <v>-190.6721052</v>
      </c>
      <c r="V144" s="24">
        <f t="shared" si="9"/>
        <v>-790.9329212</v>
      </c>
      <c r="W144" s="179">
        <f t="shared" si="70"/>
        <v>-0.6694467046</v>
      </c>
      <c r="X144" s="179">
        <f t="shared" si="71"/>
        <v>-2.025230769</v>
      </c>
      <c r="Y144" s="179">
        <f t="shared" si="72"/>
        <v>-0.9099692308</v>
      </c>
      <c r="Z144" s="99"/>
      <c r="AA144" s="99"/>
      <c r="AB144" s="99"/>
      <c r="AC144" s="1028"/>
      <c r="AD144" s="99"/>
      <c r="AE144" s="99"/>
      <c r="AF144" s="99"/>
      <c r="AG144" s="1028" t="str">
        <f t="shared" si="73"/>
        <v/>
      </c>
      <c r="AH144" s="24">
        <f t="shared" si="74"/>
        <v>0</v>
      </c>
    </row>
    <row r="145">
      <c r="A145" s="1046">
        <v>2025.0</v>
      </c>
      <c r="B145" s="1046"/>
      <c r="C145" s="1046" t="s">
        <v>2436</v>
      </c>
      <c r="D145" s="1047" t="s">
        <v>2433</v>
      </c>
      <c r="E145" s="1046" t="s">
        <v>895</v>
      </c>
      <c r="F145" s="1044">
        <f t="shared" si="80"/>
        <v>319400</v>
      </c>
      <c r="G145" s="1048">
        <v>270000.0</v>
      </c>
      <c r="H145" s="1045">
        <v>4.0</v>
      </c>
      <c r="I145" s="17">
        <f t="shared" si="1"/>
        <v>1850.521738</v>
      </c>
      <c r="J145" s="18">
        <v>0.035</v>
      </c>
      <c r="K145" s="19">
        <f t="shared" si="65"/>
        <v>1785.753477</v>
      </c>
      <c r="L145" s="20">
        <f t="shared" si="66"/>
        <v>64.76826082</v>
      </c>
      <c r="M145" s="87">
        <v>0.00137</v>
      </c>
      <c r="N145" s="18">
        <v>0.0215</v>
      </c>
      <c r="O145" s="22">
        <f t="shared" si="67"/>
        <v>0.001399455</v>
      </c>
      <c r="P145" s="19">
        <f t="shared" si="68"/>
        <v>53.39369975</v>
      </c>
      <c r="Q145" s="19">
        <f t="shared" si="6"/>
        <v>2.520581632</v>
      </c>
      <c r="R145" s="17">
        <f t="shared" si="7"/>
        <v>391.0776998</v>
      </c>
      <c r="S145" s="18">
        <v>0.06</v>
      </c>
      <c r="T145" s="23"/>
      <c r="U145" s="19">
        <f t="shared" si="69"/>
        <v>-291.8888076</v>
      </c>
      <c r="V145" s="24">
        <f t="shared" si="9"/>
        <v>-1191.019892</v>
      </c>
      <c r="W145" s="179">
        <f t="shared" si="70"/>
        <v>-0.7886662492</v>
      </c>
      <c r="X145" s="179">
        <f t="shared" si="71"/>
        <v>-3.731851852</v>
      </c>
      <c r="Y145" s="179">
        <f t="shared" si="72"/>
        <v>-2.022444444</v>
      </c>
      <c r="Z145" s="99"/>
      <c r="AA145" s="99"/>
      <c r="AB145" s="99"/>
      <c r="AC145" s="1028"/>
      <c r="AD145" s="99"/>
      <c r="AE145" s="99"/>
      <c r="AF145" s="99"/>
      <c r="AG145" s="1028" t="str">
        <f t="shared" si="73"/>
        <v/>
      </c>
      <c r="AH145" s="24">
        <f t="shared" si="74"/>
        <v>0</v>
      </c>
    </row>
    <row r="146">
      <c r="A146" s="1046">
        <v>2025.0</v>
      </c>
      <c r="B146" s="1046"/>
      <c r="C146" s="1046" t="s">
        <v>2437</v>
      </c>
      <c r="D146" s="1047" t="s">
        <v>2438</v>
      </c>
      <c r="E146" s="1046" t="s">
        <v>897</v>
      </c>
      <c r="F146" s="1044">
        <f t="shared" si="80"/>
        <v>394400</v>
      </c>
      <c r="G146" s="1048">
        <v>1055000.0</v>
      </c>
      <c r="H146" s="1025">
        <v>1.0</v>
      </c>
      <c r="I146" s="17">
        <f t="shared" si="1"/>
        <v>571.2631288</v>
      </c>
      <c r="J146" s="18">
        <v>0.035</v>
      </c>
      <c r="K146" s="19">
        <f t="shared" si="65"/>
        <v>551.2689193</v>
      </c>
      <c r="L146" s="20">
        <f t="shared" si="66"/>
        <v>19.99420951</v>
      </c>
      <c r="M146" s="87">
        <v>0.00137</v>
      </c>
      <c r="N146" s="18">
        <v>0.0215</v>
      </c>
      <c r="O146" s="22">
        <f t="shared" si="67"/>
        <v>0.001399455</v>
      </c>
      <c r="P146" s="19">
        <f t="shared" si="68"/>
        <v>26.85228177</v>
      </c>
      <c r="Q146" s="19">
        <f t="shared" si="6"/>
        <v>0.7929760455</v>
      </c>
      <c r="R146" s="17">
        <f t="shared" si="7"/>
        <v>1528.099901</v>
      </c>
      <c r="S146" s="18">
        <v>0.06</v>
      </c>
      <c r="T146" s="23"/>
      <c r="U146" s="19">
        <f t="shared" si="69"/>
        <v>191.3673544</v>
      </c>
      <c r="V146" s="24">
        <f t="shared" si="9"/>
        <v>673.7834236</v>
      </c>
      <c r="W146" s="179">
        <f t="shared" si="70"/>
        <v>1.67494929</v>
      </c>
      <c r="X146" s="179">
        <f t="shared" si="71"/>
        <v>0.6261611374</v>
      </c>
      <c r="Y146" s="179">
        <f t="shared" si="72"/>
        <v>-0.7794123223</v>
      </c>
      <c r="Z146" s="99"/>
      <c r="AA146" s="99"/>
      <c r="AB146" s="99"/>
      <c r="AC146" s="1028"/>
      <c r="AD146" s="99"/>
      <c r="AE146" s="99"/>
      <c r="AF146" s="99"/>
      <c r="AG146" s="1028" t="str">
        <f t="shared" si="73"/>
        <v/>
      </c>
      <c r="AH146" s="24">
        <f t="shared" si="74"/>
        <v>0</v>
      </c>
    </row>
    <row r="147">
      <c r="A147" s="1046">
        <v>2025.0</v>
      </c>
      <c r="B147" s="1046"/>
      <c r="C147" s="1046" t="s">
        <v>2439</v>
      </c>
      <c r="D147" s="1047" t="s">
        <v>2438</v>
      </c>
      <c r="E147" s="1046" t="s">
        <v>891</v>
      </c>
      <c r="F147" s="1044">
        <f t="shared" si="80"/>
        <v>344400</v>
      </c>
      <c r="G147" s="1048">
        <v>660000.0</v>
      </c>
      <c r="H147" s="1045">
        <v>2.0</v>
      </c>
      <c r="I147" s="17">
        <f t="shared" si="1"/>
        <v>997.6826651</v>
      </c>
      <c r="J147" s="18">
        <v>0.035</v>
      </c>
      <c r="K147" s="19">
        <f t="shared" si="65"/>
        <v>962.7637719</v>
      </c>
      <c r="L147" s="20">
        <f t="shared" si="66"/>
        <v>34.91889328</v>
      </c>
      <c r="M147" s="87">
        <v>0.00137</v>
      </c>
      <c r="N147" s="18">
        <v>0.0215</v>
      </c>
      <c r="O147" s="22">
        <f t="shared" si="67"/>
        <v>0.001399455</v>
      </c>
      <c r="P147" s="19">
        <f t="shared" si="68"/>
        <v>35.69942109</v>
      </c>
      <c r="Q147" s="19">
        <f t="shared" si="6"/>
        <v>1.368844574</v>
      </c>
      <c r="R147" s="17">
        <f t="shared" si="7"/>
        <v>955.9677105</v>
      </c>
      <c r="S147" s="18">
        <v>0.06</v>
      </c>
      <c r="T147" s="23"/>
      <c r="U147" s="19">
        <f t="shared" si="69"/>
        <v>-8.342990928</v>
      </c>
      <c r="V147" s="24">
        <f t="shared" si="9"/>
        <v>-90.73002634</v>
      </c>
      <c r="W147" s="179">
        <f t="shared" si="70"/>
        <v>-0.04181184669</v>
      </c>
      <c r="X147" s="179">
        <f t="shared" si="71"/>
        <v>-0.04363636364</v>
      </c>
      <c r="Y147" s="179">
        <f t="shared" si="72"/>
        <v>0.7048181818</v>
      </c>
      <c r="Z147" s="99"/>
      <c r="AA147" s="99"/>
      <c r="AB147" s="99"/>
      <c r="AC147" s="1028"/>
      <c r="AD147" s="99"/>
      <c r="AE147" s="99"/>
      <c r="AF147" s="99"/>
      <c r="AG147" s="1028" t="str">
        <f t="shared" si="73"/>
        <v/>
      </c>
      <c r="AH147" s="24">
        <f t="shared" si="74"/>
        <v>0</v>
      </c>
    </row>
    <row r="148">
      <c r="A148" s="1046">
        <v>2025.0</v>
      </c>
      <c r="B148" s="1046"/>
      <c r="C148" s="1046" t="s">
        <v>2440</v>
      </c>
      <c r="D148" s="1047" t="s">
        <v>2438</v>
      </c>
      <c r="E148" s="1046" t="s">
        <v>893</v>
      </c>
      <c r="F148" s="1044">
        <f t="shared" si="80"/>
        <v>327733.3333</v>
      </c>
      <c r="G148" s="1048">
        <v>615000.0</v>
      </c>
      <c r="H148" s="1045">
        <v>3.0</v>
      </c>
      <c r="I148" s="17">
        <f t="shared" si="1"/>
        <v>1424.102201</v>
      </c>
      <c r="J148" s="18">
        <v>0.035</v>
      </c>
      <c r="K148" s="19">
        <f t="shared" si="65"/>
        <v>1374.258624</v>
      </c>
      <c r="L148" s="20">
        <f t="shared" si="66"/>
        <v>49.84357705</v>
      </c>
      <c r="M148" s="87">
        <v>0.00137</v>
      </c>
      <c r="N148" s="18">
        <v>0.0215</v>
      </c>
      <c r="O148" s="22">
        <f t="shared" si="67"/>
        <v>0.001399455</v>
      </c>
      <c r="P148" s="19">
        <f t="shared" si="68"/>
        <v>44.54656042</v>
      </c>
      <c r="Q148" s="19">
        <f t="shared" si="6"/>
        <v>1.944713103</v>
      </c>
      <c r="R148" s="17">
        <f t="shared" si="7"/>
        <v>890.7880939</v>
      </c>
      <c r="S148" s="18">
        <v>0.06</v>
      </c>
      <c r="T148" s="23"/>
      <c r="U148" s="19">
        <f t="shared" si="69"/>
        <v>-106.6628215</v>
      </c>
      <c r="V148" s="24">
        <f t="shared" si="9"/>
        <v>-480.0985717</v>
      </c>
      <c r="W148" s="179">
        <f t="shared" si="70"/>
        <v>-0.3744914565</v>
      </c>
      <c r="X148" s="179">
        <f t="shared" si="71"/>
        <v>-0.598699187</v>
      </c>
      <c r="Y148" s="179">
        <f t="shared" si="72"/>
        <v>-0.1018536585</v>
      </c>
      <c r="Z148" s="99"/>
      <c r="AA148" s="99"/>
      <c r="AB148" s="99"/>
      <c r="AC148" s="1028"/>
      <c r="AD148" s="99"/>
      <c r="AE148" s="99"/>
      <c r="AF148" s="99"/>
      <c r="AG148" s="1028" t="str">
        <f t="shared" si="73"/>
        <v/>
      </c>
      <c r="AH148" s="24">
        <f t="shared" si="74"/>
        <v>0</v>
      </c>
    </row>
    <row r="149">
      <c r="A149" s="1046">
        <v>2025.0</v>
      </c>
      <c r="B149" s="1046"/>
      <c r="C149" s="1046" t="s">
        <v>2441</v>
      </c>
      <c r="D149" s="1047" t="s">
        <v>2438</v>
      </c>
      <c r="E149" s="1046" t="s">
        <v>895</v>
      </c>
      <c r="F149" s="1044">
        <f t="shared" si="80"/>
        <v>319400</v>
      </c>
      <c r="G149" s="1048">
        <v>525000.0</v>
      </c>
      <c r="H149" s="1045">
        <v>4.0</v>
      </c>
      <c r="I149" s="17">
        <f t="shared" si="1"/>
        <v>1850.521738</v>
      </c>
      <c r="J149" s="18">
        <v>0.035</v>
      </c>
      <c r="K149" s="19">
        <f t="shared" si="65"/>
        <v>1785.753477</v>
      </c>
      <c r="L149" s="20">
        <f t="shared" si="66"/>
        <v>64.76826082</v>
      </c>
      <c r="M149" s="87">
        <v>0.00137</v>
      </c>
      <c r="N149" s="18">
        <v>0.0215</v>
      </c>
      <c r="O149" s="22">
        <f t="shared" si="67"/>
        <v>0.001399455</v>
      </c>
      <c r="P149" s="19">
        <f t="shared" si="68"/>
        <v>53.39369975</v>
      </c>
      <c r="Q149" s="19">
        <f t="shared" si="6"/>
        <v>2.520581632</v>
      </c>
      <c r="R149" s="17">
        <f t="shared" si="7"/>
        <v>760.4288606</v>
      </c>
      <c r="S149" s="18">
        <v>0.06</v>
      </c>
      <c r="T149" s="23"/>
      <c r="U149" s="19">
        <f t="shared" si="69"/>
        <v>-218.0185754</v>
      </c>
      <c r="V149" s="24">
        <f t="shared" si="9"/>
        <v>-917.7000334</v>
      </c>
      <c r="W149" s="179">
        <f t="shared" si="70"/>
        <v>-0.5890732624</v>
      </c>
      <c r="X149" s="179">
        <f t="shared" si="71"/>
        <v>-1.43352381</v>
      </c>
      <c r="Y149" s="179">
        <f t="shared" si="72"/>
        <v>-0.631352381</v>
      </c>
      <c r="Z149" s="99"/>
      <c r="AA149" s="99"/>
      <c r="AB149" s="99"/>
      <c r="AC149" s="1028"/>
      <c r="AD149" s="99"/>
      <c r="AE149" s="99"/>
      <c r="AF149" s="99"/>
      <c r="AG149" s="1028" t="str">
        <f t="shared" si="73"/>
        <v/>
      </c>
      <c r="AH149" s="24">
        <f t="shared" si="74"/>
        <v>0</v>
      </c>
    </row>
    <row r="150">
      <c r="A150" s="1049"/>
      <c r="B150" s="1049"/>
      <c r="C150" s="1049"/>
      <c r="D150" s="1049"/>
      <c r="E150" s="1049"/>
      <c r="F150" s="1050"/>
      <c r="G150" s="1050"/>
      <c r="H150" s="1025">
        <v>1.0</v>
      </c>
      <c r="I150" s="17">
        <f t="shared" si="1"/>
        <v>0</v>
      </c>
      <c r="J150" s="18">
        <v>0.035</v>
      </c>
      <c r="K150" s="19">
        <f t="shared" si="65"/>
        <v>0</v>
      </c>
      <c r="L150" s="20">
        <f t="shared" si="66"/>
        <v>0</v>
      </c>
      <c r="M150" s="87">
        <v>0.00137</v>
      </c>
      <c r="N150" s="18">
        <v>0.0215</v>
      </c>
      <c r="O150" s="22">
        <f t="shared" si="67"/>
        <v>0.001399455</v>
      </c>
      <c r="P150" s="19">
        <f t="shared" si="68"/>
        <v>15</v>
      </c>
      <c r="Q150" s="19">
        <f t="shared" si="6"/>
        <v>0.0215</v>
      </c>
      <c r="R150" s="17">
        <f t="shared" si="7"/>
        <v>0</v>
      </c>
      <c r="S150" s="18">
        <v>0.06</v>
      </c>
      <c r="T150" s="23"/>
      <c r="U150" s="19">
        <f t="shared" si="69"/>
        <v>0</v>
      </c>
      <c r="V150" s="24">
        <f t="shared" si="9"/>
        <v>0</v>
      </c>
      <c r="W150" s="179" t="str">
        <f t="shared" si="70"/>
        <v/>
      </c>
      <c r="X150" s="179" t="str">
        <f t="shared" si="71"/>
        <v/>
      </c>
      <c r="Y150" s="179" t="str">
        <f t="shared" si="72"/>
        <v/>
      </c>
      <c r="Z150" s="99"/>
      <c r="AA150" s="99"/>
      <c r="AB150" s="99"/>
      <c r="AC150" s="1028"/>
      <c r="AD150" s="99"/>
      <c r="AE150" s="99"/>
      <c r="AF150" s="99"/>
      <c r="AG150" s="1028" t="str">
        <f t="shared" si="73"/>
        <v/>
      </c>
      <c r="AH150" s="24">
        <f t="shared" si="74"/>
        <v>0</v>
      </c>
    </row>
    <row r="151">
      <c r="A151" s="1046">
        <v>2025.0</v>
      </c>
      <c r="B151" s="1046"/>
      <c r="C151" s="1046" t="s">
        <v>2442</v>
      </c>
      <c r="D151" s="1051" t="s">
        <v>2443</v>
      </c>
      <c r="E151" s="1046" t="s">
        <v>2444</v>
      </c>
      <c r="F151" s="1048">
        <v>84150.0</v>
      </c>
      <c r="G151" s="1048">
        <v>180000.0</v>
      </c>
      <c r="H151" s="1025">
        <v>1.0</v>
      </c>
      <c r="I151" s="17">
        <f t="shared" si="1"/>
        <v>121.8858831</v>
      </c>
      <c r="J151" s="18">
        <v>0.035</v>
      </c>
      <c r="K151" s="19">
        <f t="shared" si="65"/>
        <v>117.6198772</v>
      </c>
      <c r="L151" s="20">
        <f t="shared" si="66"/>
        <v>4.266005908</v>
      </c>
      <c r="M151" s="87">
        <v>0.00137</v>
      </c>
      <c r="N151" s="18">
        <v>0.0215</v>
      </c>
      <c r="O151" s="22">
        <f t="shared" si="67"/>
        <v>0.001399455</v>
      </c>
      <c r="P151" s="19">
        <f t="shared" si="68"/>
        <v>17.52882736</v>
      </c>
      <c r="Q151" s="19">
        <f t="shared" si="6"/>
        <v>0.1861037252</v>
      </c>
      <c r="R151" s="17">
        <f t="shared" si="7"/>
        <v>260.7184665</v>
      </c>
      <c r="S151" s="18">
        <v>0.06</v>
      </c>
      <c r="T151" s="23"/>
      <c r="U151" s="19">
        <f t="shared" si="69"/>
        <v>27.76651668</v>
      </c>
      <c r="V151" s="24">
        <f t="shared" si="9"/>
        <v>95.42295874</v>
      </c>
      <c r="W151" s="179">
        <f t="shared" si="70"/>
        <v>1.139037433</v>
      </c>
      <c r="X151" s="179">
        <f t="shared" si="71"/>
        <v>0.5325</v>
      </c>
      <c r="Y151" s="179">
        <f t="shared" si="72"/>
        <v>0</v>
      </c>
      <c r="Z151" s="99"/>
      <c r="AA151" s="99"/>
      <c r="AB151" s="99"/>
      <c r="AC151" s="1028"/>
      <c r="AD151" s="99"/>
      <c r="AE151" s="99"/>
      <c r="AF151" s="99"/>
      <c r="AG151" s="1028" t="str">
        <f t="shared" si="73"/>
        <v/>
      </c>
      <c r="AH151" s="24">
        <f t="shared" si="74"/>
        <v>0</v>
      </c>
    </row>
    <row r="152">
      <c r="A152" s="1046">
        <v>2025.0</v>
      </c>
      <c r="B152" s="1046"/>
      <c r="C152" s="1046" t="s">
        <v>2445</v>
      </c>
      <c r="D152" s="1051" t="s">
        <v>2443</v>
      </c>
      <c r="E152" s="1046" t="s">
        <v>2446</v>
      </c>
      <c r="F152" s="1048">
        <v>84150.0</v>
      </c>
      <c r="G152" s="1048">
        <v>200000.0</v>
      </c>
      <c r="H152" s="1025">
        <v>1.0</v>
      </c>
      <c r="I152" s="17">
        <f t="shared" si="1"/>
        <v>121.8858831</v>
      </c>
      <c r="J152" s="18">
        <v>0.035</v>
      </c>
      <c r="K152" s="19">
        <f t="shared" si="65"/>
        <v>117.6198772</v>
      </c>
      <c r="L152" s="20">
        <f t="shared" si="66"/>
        <v>4.266005908</v>
      </c>
      <c r="M152" s="87">
        <v>0.00137</v>
      </c>
      <c r="N152" s="18">
        <v>0.0215</v>
      </c>
      <c r="O152" s="22">
        <f t="shared" si="67"/>
        <v>0.001399455</v>
      </c>
      <c r="P152" s="19">
        <f t="shared" si="68"/>
        <v>17.52882736</v>
      </c>
      <c r="Q152" s="19">
        <f t="shared" si="6"/>
        <v>0.1861037252</v>
      </c>
      <c r="R152" s="17">
        <f t="shared" si="7"/>
        <v>289.687185</v>
      </c>
      <c r="S152" s="18">
        <v>0.06</v>
      </c>
      <c r="T152" s="23"/>
      <c r="U152" s="19">
        <f t="shared" si="69"/>
        <v>33.56026038</v>
      </c>
      <c r="V152" s="24">
        <f t="shared" si="9"/>
        <v>116.8598104</v>
      </c>
      <c r="W152" s="179">
        <f t="shared" si="70"/>
        <v>1.376708259</v>
      </c>
      <c r="X152" s="179">
        <f t="shared" si="71"/>
        <v>0.57925</v>
      </c>
      <c r="Y152" s="179">
        <f t="shared" si="72"/>
        <v>0.3294</v>
      </c>
      <c r="Z152" s="99"/>
      <c r="AA152" s="99"/>
      <c r="AB152" s="99"/>
      <c r="AC152" s="1028"/>
      <c r="AD152" s="99"/>
      <c r="AE152" s="99"/>
      <c r="AF152" s="99"/>
      <c r="AG152" s="1028" t="str">
        <f t="shared" si="73"/>
        <v/>
      </c>
      <c r="AH152" s="24">
        <f t="shared" si="74"/>
        <v>0</v>
      </c>
    </row>
    <row r="153">
      <c r="A153" s="1046">
        <v>2025.0</v>
      </c>
      <c r="B153" s="1046"/>
      <c r="C153" s="1046" t="s">
        <v>2447</v>
      </c>
      <c r="D153" s="1051" t="s">
        <v>2448</v>
      </c>
      <c r="E153" s="1046" t="s">
        <v>2444</v>
      </c>
      <c r="F153" s="1048">
        <v>254150.0</v>
      </c>
      <c r="G153" s="1048">
        <v>400000.0</v>
      </c>
      <c r="H153" s="1025">
        <v>1.0</v>
      </c>
      <c r="I153" s="17">
        <f t="shared" si="1"/>
        <v>368.1199903</v>
      </c>
      <c r="J153" s="18">
        <v>0.035</v>
      </c>
      <c r="K153" s="19">
        <f t="shared" si="65"/>
        <v>355.2357907</v>
      </c>
      <c r="L153" s="20">
        <f t="shared" si="66"/>
        <v>12.88419966</v>
      </c>
      <c r="M153" s="87">
        <v>0.00137</v>
      </c>
      <c r="N153" s="18">
        <v>0.0215</v>
      </c>
      <c r="O153" s="22">
        <f t="shared" si="67"/>
        <v>0.001399455</v>
      </c>
      <c r="P153" s="19">
        <f t="shared" si="68"/>
        <v>22.6375695</v>
      </c>
      <c r="Q153" s="19">
        <f t="shared" si="6"/>
        <v>0.5186365034</v>
      </c>
      <c r="R153" s="17">
        <f t="shared" si="7"/>
        <v>579.37437</v>
      </c>
      <c r="S153" s="18">
        <v>0.06</v>
      </c>
      <c r="T153" s="23"/>
      <c r="U153" s="19">
        <f t="shared" si="69"/>
        <v>42.25087593</v>
      </c>
      <c r="V153" s="24">
        <f t="shared" si="9"/>
        <v>134.2410415</v>
      </c>
      <c r="W153" s="179">
        <f t="shared" si="70"/>
        <v>0.5738736966</v>
      </c>
      <c r="X153" s="179">
        <f t="shared" si="71"/>
        <v>0.364625</v>
      </c>
      <c r="Y153" s="179">
        <f t="shared" si="72"/>
        <v>0.2017</v>
      </c>
      <c r="Z153" s="99"/>
      <c r="AA153" s="99"/>
      <c r="AB153" s="99"/>
      <c r="AC153" s="1028"/>
      <c r="AD153" s="99"/>
      <c r="AE153" s="99"/>
      <c r="AF153" s="99"/>
      <c r="AG153" s="1028" t="str">
        <f t="shared" si="73"/>
        <v/>
      </c>
      <c r="AH153" s="24">
        <f t="shared" si="74"/>
        <v>0</v>
      </c>
    </row>
    <row r="154">
      <c r="A154" s="1046">
        <v>2025.0</v>
      </c>
      <c r="B154" s="1046"/>
      <c r="C154" s="1046" t="s">
        <v>2449</v>
      </c>
      <c r="D154" s="1051" t="s">
        <v>2448</v>
      </c>
      <c r="E154" s="1046" t="s">
        <v>2446</v>
      </c>
      <c r="F154" s="1048">
        <v>279510.0</v>
      </c>
      <c r="G154" s="1048">
        <v>440000.0</v>
      </c>
      <c r="H154" s="1025">
        <v>1.0</v>
      </c>
      <c r="I154" s="17">
        <f t="shared" si="1"/>
        <v>404.8523254</v>
      </c>
      <c r="J154" s="18">
        <v>0.035</v>
      </c>
      <c r="K154" s="19">
        <f t="shared" si="65"/>
        <v>390.682494</v>
      </c>
      <c r="L154" s="20">
        <f t="shared" si="66"/>
        <v>14.16983139</v>
      </c>
      <c r="M154" s="87">
        <v>0.00137</v>
      </c>
      <c r="N154" s="18">
        <v>0.0215</v>
      </c>
      <c r="O154" s="22">
        <f t="shared" si="67"/>
        <v>0.001399455</v>
      </c>
      <c r="P154" s="19">
        <f t="shared" si="68"/>
        <v>23.39967362</v>
      </c>
      <c r="Q154" s="19">
        <f t="shared" si="6"/>
        <v>0.5682425697</v>
      </c>
      <c r="R154" s="17">
        <f t="shared" si="7"/>
        <v>637.311807</v>
      </c>
      <c r="S154" s="18">
        <v>0.06</v>
      </c>
      <c r="T154" s="23"/>
      <c r="U154" s="19">
        <f t="shared" si="69"/>
        <v>46.49189632</v>
      </c>
      <c r="V154" s="24">
        <f t="shared" si="9"/>
        <v>147.7288769</v>
      </c>
      <c r="W154" s="179">
        <f t="shared" si="70"/>
        <v>0.5741833924</v>
      </c>
      <c r="X154" s="179">
        <f t="shared" si="71"/>
        <v>0.36475</v>
      </c>
      <c r="Y154" s="179">
        <f t="shared" si="72"/>
        <v>0.2106363636</v>
      </c>
      <c r="Z154" s="99"/>
      <c r="AA154" s="99"/>
      <c r="AB154" s="99"/>
      <c r="AC154" s="1028"/>
      <c r="AD154" s="99"/>
      <c r="AE154" s="99"/>
      <c r="AF154" s="99"/>
      <c r="AG154" s="1028" t="str">
        <f t="shared" si="73"/>
        <v/>
      </c>
      <c r="AH154" s="24">
        <f t="shared" si="74"/>
        <v>0</v>
      </c>
    </row>
    <row r="155">
      <c r="A155" s="1046">
        <v>2025.0</v>
      </c>
      <c r="B155" s="1046"/>
      <c r="C155" s="1046" t="s">
        <v>2450</v>
      </c>
      <c r="D155" s="1051" t="s">
        <v>2451</v>
      </c>
      <c r="E155" s="1046" t="s">
        <v>2444</v>
      </c>
      <c r="F155" s="1048">
        <v>339150.0</v>
      </c>
      <c r="G155" s="1048">
        <v>500000.0</v>
      </c>
      <c r="H155" s="1025">
        <v>1.0</v>
      </c>
      <c r="I155" s="17">
        <f t="shared" si="1"/>
        <v>491.237044</v>
      </c>
      <c r="J155" s="18">
        <v>0.035</v>
      </c>
      <c r="K155" s="19">
        <f t="shared" si="65"/>
        <v>474.0437474</v>
      </c>
      <c r="L155" s="20">
        <f t="shared" si="66"/>
        <v>17.19329654</v>
      </c>
      <c r="M155" s="87">
        <v>0.00137</v>
      </c>
      <c r="N155" s="18">
        <v>0.0215</v>
      </c>
      <c r="O155" s="22">
        <f t="shared" si="67"/>
        <v>0.001399455</v>
      </c>
      <c r="P155" s="19">
        <f t="shared" si="68"/>
        <v>25.19194057</v>
      </c>
      <c r="Q155" s="19">
        <f t="shared" si="6"/>
        <v>0.6849028926</v>
      </c>
      <c r="R155" s="17">
        <f t="shared" si="7"/>
        <v>724.2179625</v>
      </c>
      <c r="S155" s="18">
        <v>0.06</v>
      </c>
      <c r="T155" s="23"/>
      <c r="U155" s="19">
        <f t="shared" si="69"/>
        <v>46.59618371</v>
      </c>
      <c r="V155" s="24">
        <f t="shared" si="9"/>
        <v>142.9316571</v>
      </c>
      <c r="W155" s="179">
        <f t="shared" si="70"/>
        <v>0.4742739201</v>
      </c>
      <c r="X155" s="179">
        <f t="shared" si="71"/>
        <v>0.3217</v>
      </c>
      <c r="Y155" s="179">
        <f t="shared" si="72"/>
        <v>0.203984</v>
      </c>
      <c r="Z155" s="99"/>
      <c r="AA155" s="99"/>
      <c r="AB155" s="99"/>
      <c r="AC155" s="1028"/>
      <c r="AD155" s="99"/>
      <c r="AE155" s="99"/>
      <c r="AF155" s="99"/>
      <c r="AG155" s="1028" t="str">
        <f t="shared" si="73"/>
        <v/>
      </c>
      <c r="AH155" s="24">
        <f t="shared" si="74"/>
        <v>0</v>
      </c>
    </row>
    <row r="156">
      <c r="A156" s="1046">
        <v>2025.0</v>
      </c>
      <c r="B156" s="1046"/>
      <c r="C156" s="1046" t="s">
        <v>2452</v>
      </c>
      <c r="D156" s="1051" t="s">
        <v>2451</v>
      </c>
      <c r="E156" s="1046" t="s">
        <v>2446</v>
      </c>
      <c r="F156" s="1048">
        <v>339150.0</v>
      </c>
      <c r="G156" s="1048">
        <v>550000.0</v>
      </c>
      <c r="H156" s="1025">
        <v>1.0</v>
      </c>
      <c r="I156" s="17">
        <f t="shared" si="1"/>
        <v>491.237044</v>
      </c>
      <c r="J156" s="18">
        <v>0.035</v>
      </c>
      <c r="K156" s="19">
        <f t="shared" si="65"/>
        <v>474.0437474</v>
      </c>
      <c r="L156" s="20">
        <f t="shared" si="66"/>
        <v>17.19329654</v>
      </c>
      <c r="M156" s="87">
        <v>0.00137</v>
      </c>
      <c r="N156" s="18">
        <v>0.0215</v>
      </c>
      <c r="O156" s="22">
        <f t="shared" si="67"/>
        <v>0.001399455</v>
      </c>
      <c r="P156" s="19">
        <f t="shared" si="68"/>
        <v>25.19194057</v>
      </c>
      <c r="Q156" s="19">
        <f t="shared" si="6"/>
        <v>0.6849028926</v>
      </c>
      <c r="R156" s="17">
        <f t="shared" si="7"/>
        <v>796.6397588</v>
      </c>
      <c r="S156" s="18">
        <v>0.06</v>
      </c>
      <c r="T156" s="23"/>
      <c r="U156" s="19">
        <f t="shared" si="69"/>
        <v>61.08054296</v>
      </c>
      <c r="V156" s="24">
        <f t="shared" si="9"/>
        <v>196.5237863</v>
      </c>
      <c r="W156" s="179">
        <f t="shared" si="70"/>
        <v>0.6217013121</v>
      </c>
      <c r="X156" s="179">
        <f t="shared" si="71"/>
        <v>0.3833636364</v>
      </c>
      <c r="Y156" s="179">
        <f t="shared" si="72"/>
        <v>0.1794181818</v>
      </c>
      <c r="Z156" s="99"/>
      <c r="AA156" s="99"/>
      <c r="AB156" s="99"/>
      <c r="AC156" s="1028"/>
      <c r="AD156" s="99"/>
      <c r="AE156" s="99"/>
      <c r="AF156" s="99"/>
      <c r="AG156" s="1028" t="str">
        <f t="shared" si="73"/>
        <v/>
      </c>
      <c r="AH156" s="24">
        <f t="shared" si="74"/>
        <v>0</v>
      </c>
    </row>
    <row r="157">
      <c r="A157" s="1046">
        <v>2025.0</v>
      </c>
      <c r="B157" s="1046"/>
      <c r="C157" s="1046" t="s">
        <v>2453</v>
      </c>
      <c r="D157" s="1051" t="s">
        <v>2454</v>
      </c>
      <c r="E157" s="1046" t="s">
        <v>2444</v>
      </c>
      <c r="F157" s="1048">
        <v>109650.0</v>
      </c>
      <c r="G157" s="1048">
        <v>190000.0</v>
      </c>
      <c r="H157" s="1025">
        <v>1.0</v>
      </c>
      <c r="I157" s="17">
        <f t="shared" si="1"/>
        <v>158.8209992</v>
      </c>
      <c r="J157" s="18">
        <v>0.035</v>
      </c>
      <c r="K157" s="19">
        <f t="shared" si="65"/>
        <v>153.2622642</v>
      </c>
      <c r="L157" s="20">
        <f t="shared" si="66"/>
        <v>5.558734971</v>
      </c>
      <c r="M157" s="87">
        <v>0.00137</v>
      </c>
      <c r="N157" s="18">
        <v>0.0215</v>
      </c>
      <c r="O157" s="22">
        <f t="shared" si="67"/>
        <v>0.001399455</v>
      </c>
      <c r="P157" s="19">
        <f t="shared" si="68"/>
        <v>18.29513868</v>
      </c>
      <c r="Q157" s="19">
        <f t="shared" si="6"/>
        <v>0.235983642</v>
      </c>
      <c r="R157" s="17">
        <f t="shared" si="7"/>
        <v>275.2028258</v>
      </c>
      <c r="S157" s="18">
        <v>0.06</v>
      </c>
      <c r="T157" s="23"/>
      <c r="U157" s="19">
        <f t="shared" si="69"/>
        <v>23.27636531</v>
      </c>
      <c r="V157" s="24">
        <f t="shared" si="9"/>
        <v>76.59329171</v>
      </c>
      <c r="W157" s="179">
        <f t="shared" si="70"/>
        <v>0.7327861377</v>
      </c>
      <c r="X157" s="179">
        <f t="shared" si="71"/>
        <v>0.4228947368</v>
      </c>
      <c r="Y157" s="179">
        <f t="shared" si="72"/>
        <v>0.7141052632</v>
      </c>
      <c r="Z157" s="99"/>
      <c r="AA157" s="99"/>
      <c r="AB157" s="99"/>
      <c r="AC157" s="1028"/>
      <c r="AD157" s="99"/>
      <c r="AE157" s="99"/>
      <c r="AF157" s="99"/>
      <c r="AG157" s="1028" t="str">
        <f t="shared" si="73"/>
        <v/>
      </c>
      <c r="AH157" s="24">
        <f t="shared" si="74"/>
        <v>0</v>
      </c>
    </row>
    <row r="158">
      <c r="A158" s="1046">
        <v>2025.0</v>
      </c>
      <c r="B158" s="1046"/>
      <c r="C158" s="1046" t="s">
        <v>2455</v>
      </c>
      <c r="D158" s="1051" t="s">
        <v>2454</v>
      </c>
      <c r="E158" s="1046" t="s">
        <v>2446</v>
      </c>
      <c r="F158" s="1048">
        <v>109650.0</v>
      </c>
      <c r="G158" s="1048">
        <v>220000.0</v>
      </c>
      <c r="H158" s="1025">
        <v>1.0</v>
      </c>
      <c r="I158" s="17">
        <f t="shared" si="1"/>
        <v>158.8209992</v>
      </c>
      <c r="J158" s="18">
        <v>0.035</v>
      </c>
      <c r="K158" s="19">
        <f t="shared" si="65"/>
        <v>153.2622642</v>
      </c>
      <c r="L158" s="20">
        <f t="shared" si="66"/>
        <v>5.558734971</v>
      </c>
      <c r="M158" s="87">
        <v>0.00137</v>
      </c>
      <c r="N158" s="18">
        <v>0.0215</v>
      </c>
      <c r="O158" s="22">
        <f t="shared" si="67"/>
        <v>0.001399455</v>
      </c>
      <c r="P158" s="19">
        <f t="shared" si="68"/>
        <v>18.29513868</v>
      </c>
      <c r="Q158" s="19">
        <f t="shared" si="6"/>
        <v>0.235983642</v>
      </c>
      <c r="R158" s="17">
        <f t="shared" si="7"/>
        <v>318.6559035</v>
      </c>
      <c r="S158" s="18">
        <v>0.06</v>
      </c>
      <c r="T158" s="23"/>
      <c r="U158" s="19">
        <f t="shared" si="69"/>
        <v>31.96698086</v>
      </c>
      <c r="V158" s="24">
        <f t="shared" si="9"/>
        <v>108.7485692</v>
      </c>
      <c r="W158" s="179">
        <f t="shared" si="70"/>
        <v>1.006383949</v>
      </c>
      <c r="X158" s="179">
        <f t="shared" si="71"/>
        <v>0.5015909091</v>
      </c>
      <c r="Y158" s="179">
        <f t="shared" si="72"/>
        <v>0.2403636364</v>
      </c>
      <c r="Z158" s="99"/>
      <c r="AA158" s="99"/>
      <c r="AB158" s="99"/>
      <c r="AC158" s="1028"/>
      <c r="AD158" s="99"/>
      <c r="AE158" s="99"/>
      <c r="AF158" s="99"/>
      <c r="AG158" s="1028" t="str">
        <f t="shared" si="73"/>
        <v/>
      </c>
      <c r="AH158" s="24">
        <f t="shared" si="74"/>
        <v>0</v>
      </c>
    </row>
    <row r="159">
      <c r="A159" s="1046">
        <v>2025.0</v>
      </c>
      <c r="B159" s="1046"/>
      <c r="C159" s="1046" t="s">
        <v>2456</v>
      </c>
      <c r="D159" s="1051" t="s">
        <v>2457</v>
      </c>
      <c r="E159" s="1046" t="s">
        <v>2444</v>
      </c>
      <c r="F159" s="1048">
        <v>339150.0</v>
      </c>
      <c r="G159" s="1048">
        <v>530000.0</v>
      </c>
      <c r="H159" s="1025">
        <v>1.0</v>
      </c>
      <c r="I159" s="17">
        <f t="shared" si="1"/>
        <v>491.237044</v>
      </c>
      <c r="J159" s="18">
        <v>0.035</v>
      </c>
      <c r="K159" s="19">
        <f t="shared" si="65"/>
        <v>474.0437474</v>
      </c>
      <c r="L159" s="20">
        <f t="shared" si="66"/>
        <v>17.19329654</v>
      </c>
      <c r="M159" s="87">
        <v>0.00137</v>
      </c>
      <c r="N159" s="18">
        <v>0.0215</v>
      </c>
      <c r="O159" s="22">
        <f t="shared" si="67"/>
        <v>0.001399455</v>
      </c>
      <c r="P159" s="19">
        <f t="shared" si="68"/>
        <v>25.19194057</v>
      </c>
      <c r="Q159" s="19">
        <f t="shared" si="6"/>
        <v>0.6849028926</v>
      </c>
      <c r="R159" s="17">
        <f t="shared" si="7"/>
        <v>767.6710403</v>
      </c>
      <c r="S159" s="18">
        <v>0.06</v>
      </c>
      <c r="T159" s="23"/>
      <c r="U159" s="19">
        <f t="shared" si="69"/>
        <v>55.28679926</v>
      </c>
      <c r="V159" s="24">
        <f t="shared" si="9"/>
        <v>175.0869346</v>
      </c>
      <c r="W159" s="179">
        <f t="shared" si="70"/>
        <v>0.5627303553</v>
      </c>
      <c r="X159" s="179">
        <f t="shared" si="71"/>
        <v>0.3600943396</v>
      </c>
      <c r="Y159" s="179">
        <f t="shared" si="72"/>
        <v>0.1416603774</v>
      </c>
      <c r="Z159" s="99"/>
      <c r="AA159" s="99"/>
      <c r="AB159" s="99"/>
      <c r="AC159" s="1028"/>
      <c r="AD159" s="99"/>
      <c r="AE159" s="99"/>
      <c r="AF159" s="99"/>
      <c r="AG159" s="1028" t="str">
        <f t="shared" si="73"/>
        <v/>
      </c>
      <c r="AH159" s="24">
        <f t="shared" si="74"/>
        <v>0</v>
      </c>
    </row>
    <row r="160">
      <c r="A160" s="1046">
        <v>2025.0</v>
      </c>
      <c r="B160" s="1046"/>
      <c r="C160" s="1046" t="s">
        <v>2458</v>
      </c>
      <c r="D160" s="1051" t="s">
        <v>2457</v>
      </c>
      <c r="E160" s="1046" t="s">
        <v>2446</v>
      </c>
      <c r="F160" s="1048">
        <v>339150.0</v>
      </c>
      <c r="G160" s="1048">
        <v>585000.0</v>
      </c>
      <c r="H160" s="1025">
        <v>1.0</v>
      </c>
      <c r="I160" s="17">
        <f t="shared" si="1"/>
        <v>491.237044</v>
      </c>
      <c r="J160" s="18">
        <v>0.035</v>
      </c>
      <c r="K160" s="19">
        <f t="shared" si="65"/>
        <v>474.0437474</v>
      </c>
      <c r="L160" s="20">
        <f t="shared" si="66"/>
        <v>17.19329654</v>
      </c>
      <c r="M160" s="87">
        <v>0.00137</v>
      </c>
      <c r="N160" s="18">
        <v>0.0215</v>
      </c>
      <c r="O160" s="22">
        <f t="shared" si="67"/>
        <v>0.001399455</v>
      </c>
      <c r="P160" s="19">
        <f t="shared" si="68"/>
        <v>25.19194057</v>
      </c>
      <c r="Q160" s="19">
        <f t="shared" si="6"/>
        <v>0.6849028926</v>
      </c>
      <c r="R160" s="17">
        <f t="shared" si="7"/>
        <v>847.3350161</v>
      </c>
      <c r="S160" s="18">
        <v>0.06</v>
      </c>
      <c r="T160" s="23"/>
      <c r="U160" s="19">
        <f t="shared" si="69"/>
        <v>71.21959443</v>
      </c>
      <c r="V160" s="24">
        <f t="shared" si="9"/>
        <v>234.0382768</v>
      </c>
      <c r="W160" s="179">
        <f t="shared" si="70"/>
        <v>0.7249004865</v>
      </c>
      <c r="X160" s="179">
        <f t="shared" si="71"/>
        <v>0.4202564103</v>
      </c>
      <c r="Y160" s="179">
        <f t="shared" si="72"/>
        <v>0.2066324786</v>
      </c>
      <c r="Z160" s="99"/>
      <c r="AA160" s="99"/>
      <c r="AB160" s="99"/>
      <c r="AC160" s="1028"/>
      <c r="AD160" s="99"/>
      <c r="AE160" s="99"/>
      <c r="AF160" s="99"/>
      <c r="AG160" s="1028" t="str">
        <f t="shared" si="73"/>
        <v/>
      </c>
      <c r="AH160" s="24">
        <f t="shared" si="74"/>
        <v>0</v>
      </c>
    </row>
    <row r="161">
      <c r="A161" s="1049"/>
      <c r="B161" s="1049"/>
      <c r="C161" s="1049"/>
      <c r="D161" s="1049"/>
      <c r="E161" s="1049"/>
      <c r="F161" s="1050"/>
      <c r="G161" s="1050"/>
      <c r="H161" s="1025">
        <v>1.0</v>
      </c>
      <c r="I161" s="17">
        <f t="shared" si="1"/>
        <v>0</v>
      </c>
      <c r="J161" s="18">
        <v>0.035</v>
      </c>
      <c r="K161" s="19">
        <f t="shared" si="65"/>
        <v>0</v>
      </c>
      <c r="L161" s="20">
        <f t="shared" si="66"/>
        <v>0</v>
      </c>
      <c r="M161" s="87">
        <v>0.00137</v>
      </c>
      <c r="N161" s="18">
        <v>0.0215</v>
      </c>
      <c r="O161" s="22">
        <f t="shared" si="67"/>
        <v>0.001399455</v>
      </c>
      <c r="P161" s="19">
        <f t="shared" si="68"/>
        <v>15</v>
      </c>
      <c r="Q161" s="19">
        <f t="shared" si="6"/>
        <v>0.0215</v>
      </c>
      <c r="R161" s="17">
        <f t="shared" si="7"/>
        <v>0</v>
      </c>
      <c r="S161" s="18">
        <v>0.06</v>
      </c>
      <c r="T161" s="23"/>
      <c r="U161" s="19">
        <f t="shared" si="69"/>
        <v>0</v>
      </c>
      <c r="V161" s="24">
        <f t="shared" si="9"/>
        <v>0</v>
      </c>
      <c r="W161" s="179" t="str">
        <f t="shared" si="70"/>
        <v/>
      </c>
      <c r="X161" s="179" t="str">
        <f t="shared" si="71"/>
        <v/>
      </c>
      <c r="Y161" s="179" t="str">
        <f t="shared" si="72"/>
        <v/>
      </c>
      <c r="Z161" s="99"/>
      <c r="AA161" s="99"/>
      <c r="AB161" s="99"/>
      <c r="AC161" s="1028"/>
      <c r="AD161" s="99"/>
      <c r="AE161" s="99"/>
      <c r="AF161" s="99"/>
      <c r="AG161" s="1028" t="str">
        <f t="shared" si="73"/>
        <v/>
      </c>
      <c r="AH161" s="24">
        <f t="shared" si="74"/>
        <v>0</v>
      </c>
    </row>
    <row r="162">
      <c r="A162" s="1046">
        <v>2026.0</v>
      </c>
      <c r="B162" s="1046"/>
      <c r="C162" s="1046" t="s">
        <v>2251</v>
      </c>
      <c r="D162" s="1046" t="s">
        <v>2252</v>
      </c>
      <c r="E162" s="1046" t="s">
        <v>2253</v>
      </c>
      <c r="F162" s="1048">
        <v>135000.0</v>
      </c>
      <c r="G162" s="1048">
        <v>320000.0</v>
      </c>
      <c r="H162" s="1025">
        <v>1.0</v>
      </c>
      <c r="I162" s="17">
        <f t="shared" si="1"/>
        <v>195.5388499</v>
      </c>
      <c r="J162" s="18">
        <v>0.035</v>
      </c>
      <c r="K162" s="19">
        <f t="shared" si="65"/>
        <v>188.6949901</v>
      </c>
      <c r="L162" s="20">
        <f t="shared" si="66"/>
        <v>6.843859746</v>
      </c>
      <c r="M162" s="87">
        <v>0.00137</v>
      </c>
      <c r="N162" s="18">
        <v>0.0215</v>
      </c>
      <c r="O162" s="22">
        <f t="shared" si="67"/>
        <v>0.001399455</v>
      </c>
      <c r="P162" s="19">
        <f t="shared" si="68"/>
        <v>19.05694229</v>
      </c>
      <c r="Q162" s="19">
        <f t="shared" si="6"/>
        <v>0.2855701474</v>
      </c>
      <c r="R162" s="17">
        <f t="shared" si="7"/>
        <v>463.499496</v>
      </c>
      <c r="S162" s="18">
        <v>0.06</v>
      </c>
      <c r="T162" s="23"/>
      <c r="U162" s="19">
        <f t="shared" si="69"/>
        <v>53.59212923</v>
      </c>
      <c r="V162" s="24">
        <f t="shared" si="9"/>
        <v>186.5585471</v>
      </c>
      <c r="W162" s="179">
        <f t="shared" si="70"/>
        <v>1.37037037</v>
      </c>
      <c r="X162" s="179">
        <f t="shared" si="71"/>
        <v>0.578125</v>
      </c>
      <c r="Y162" s="179">
        <f t="shared" si="72"/>
        <v>0</v>
      </c>
      <c r="Z162" s="99"/>
      <c r="AA162" s="99"/>
      <c r="AB162" s="99"/>
      <c r="AC162" s="1028"/>
      <c r="AD162" s="99"/>
      <c r="AE162" s="99"/>
      <c r="AF162" s="99"/>
      <c r="AG162" s="1028" t="str">
        <f t="shared" si="73"/>
        <v/>
      </c>
      <c r="AH162" s="24">
        <f t="shared" si="74"/>
        <v>0</v>
      </c>
    </row>
    <row r="163">
      <c r="B163" s="1046"/>
      <c r="C163" s="1046" t="s">
        <v>2251</v>
      </c>
      <c r="D163" s="1046" t="s">
        <v>2252</v>
      </c>
      <c r="E163" s="1046" t="s">
        <v>2253</v>
      </c>
      <c r="F163" s="1048">
        <v>148665.0</v>
      </c>
      <c r="G163" s="1048">
        <v>350000.0</v>
      </c>
      <c r="H163" s="1025">
        <v>1.0</v>
      </c>
      <c r="I163" s="17">
        <f t="shared" si="1"/>
        <v>215.3317268</v>
      </c>
      <c r="J163" s="18">
        <v>0.035</v>
      </c>
      <c r="K163" s="19">
        <f t="shared" si="65"/>
        <v>207.7951164</v>
      </c>
      <c r="L163" s="20">
        <f t="shared" si="66"/>
        <v>7.536610438</v>
      </c>
      <c r="M163" s="87">
        <v>0.00137</v>
      </c>
      <c r="N163" s="18">
        <v>0.0215</v>
      </c>
      <c r="O163" s="22">
        <f t="shared" si="67"/>
        <v>0.001399455</v>
      </c>
      <c r="P163" s="19">
        <f t="shared" si="68"/>
        <v>19.467595</v>
      </c>
      <c r="Q163" s="19">
        <f t="shared" si="6"/>
        <v>0.3122999146</v>
      </c>
      <c r="R163" s="17">
        <f t="shared" si="7"/>
        <v>506.9525738</v>
      </c>
      <c r="S163" s="18">
        <v>0.06</v>
      </c>
      <c r="T163" s="23"/>
      <c r="U163" s="19">
        <f t="shared" si="69"/>
        <v>58.32416939</v>
      </c>
      <c r="V163" s="24">
        <f t="shared" si="9"/>
        <v>202.8795231</v>
      </c>
      <c r="W163" s="179">
        <f t="shared" si="70"/>
        <v>1.354286483</v>
      </c>
      <c r="X163" s="179">
        <f t="shared" si="71"/>
        <v>0.5752428571</v>
      </c>
      <c r="Y163" s="179">
        <f t="shared" si="72"/>
        <v>0.368</v>
      </c>
      <c r="Z163" s="99"/>
      <c r="AA163" s="99"/>
      <c r="AB163" s="99"/>
      <c r="AC163" s="1028"/>
      <c r="AD163" s="99"/>
      <c r="AE163" s="99"/>
      <c r="AF163" s="99"/>
      <c r="AG163" s="1028" t="str">
        <f t="shared" si="73"/>
        <v/>
      </c>
      <c r="AH163" s="24">
        <f t="shared" si="74"/>
        <v>0</v>
      </c>
    </row>
    <row r="164">
      <c r="A164" s="1046">
        <v>2025.0</v>
      </c>
      <c r="B164" s="1046"/>
      <c r="C164" s="1046" t="s">
        <v>2254</v>
      </c>
      <c r="D164" s="1046" t="s">
        <v>2459</v>
      </c>
      <c r="E164" s="1046" t="s">
        <v>2253</v>
      </c>
      <c r="F164" s="1048">
        <v>135000.0</v>
      </c>
      <c r="G164" s="1048">
        <v>200000.0</v>
      </c>
      <c r="H164" s="1025">
        <v>1.0</v>
      </c>
      <c r="I164" s="17">
        <f t="shared" si="1"/>
        <v>195.5388499</v>
      </c>
      <c r="J164" s="18">
        <v>0.035</v>
      </c>
      <c r="K164" s="19">
        <f t="shared" si="65"/>
        <v>188.6949901</v>
      </c>
      <c r="L164" s="20">
        <f t="shared" si="66"/>
        <v>6.843859746</v>
      </c>
      <c r="M164" s="87">
        <v>0.00137</v>
      </c>
      <c r="N164" s="18">
        <v>0.0215</v>
      </c>
      <c r="O164" s="22">
        <f t="shared" si="67"/>
        <v>0.001399455</v>
      </c>
      <c r="P164" s="19">
        <f t="shared" si="68"/>
        <v>19.05694229</v>
      </c>
      <c r="Q164" s="19">
        <f t="shared" si="6"/>
        <v>0.2855701474</v>
      </c>
      <c r="R164" s="17">
        <f t="shared" si="7"/>
        <v>289.687185</v>
      </c>
      <c r="S164" s="18">
        <v>0.06</v>
      </c>
      <c r="T164" s="23"/>
      <c r="U164" s="19">
        <f t="shared" si="69"/>
        <v>18.82966703</v>
      </c>
      <c r="V164" s="24">
        <f t="shared" si="9"/>
        <v>57.937437</v>
      </c>
      <c r="W164" s="179">
        <f t="shared" si="70"/>
        <v>0.4814814815</v>
      </c>
      <c r="X164" s="179">
        <f t="shared" si="71"/>
        <v>0.325</v>
      </c>
      <c r="Y164" s="179">
        <f t="shared" si="72"/>
        <v>0.70034</v>
      </c>
      <c r="Z164" s="99"/>
      <c r="AA164" s="99"/>
      <c r="AB164" s="99"/>
      <c r="AC164" s="1028"/>
      <c r="AD164" s="99"/>
      <c r="AE164" s="99"/>
      <c r="AF164" s="99"/>
      <c r="AG164" s="1028" t="str">
        <f t="shared" si="73"/>
        <v/>
      </c>
      <c r="AH164" s="24">
        <f t="shared" si="74"/>
        <v>0</v>
      </c>
    </row>
    <row r="165">
      <c r="A165" s="1046">
        <v>2026.0</v>
      </c>
      <c r="B165" s="1046"/>
      <c r="C165" s="1046" t="s">
        <v>2254</v>
      </c>
      <c r="D165" s="1046" t="s">
        <v>2459</v>
      </c>
      <c r="E165" s="1046" t="s">
        <v>2253</v>
      </c>
      <c r="F165" s="1048">
        <v>148665.0</v>
      </c>
      <c r="G165" s="1048">
        <v>250000.0</v>
      </c>
      <c r="H165" s="1025">
        <v>1.0</v>
      </c>
      <c r="I165" s="17">
        <f t="shared" si="1"/>
        <v>215.3317268</v>
      </c>
      <c r="J165" s="18">
        <v>0.035</v>
      </c>
      <c r="K165" s="19">
        <f t="shared" si="65"/>
        <v>207.7951164</v>
      </c>
      <c r="L165" s="20">
        <f t="shared" si="66"/>
        <v>7.536610438</v>
      </c>
      <c r="M165" s="87">
        <v>0.00137</v>
      </c>
      <c r="N165" s="18">
        <v>0.0215</v>
      </c>
      <c r="O165" s="22">
        <f t="shared" si="67"/>
        <v>0.001399455</v>
      </c>
      <c r="P165" s="19">
        <f t="shared" si="68"/>
        <v>19.467595</v>
      </c>
      <c r="Q165" s="19">
        <f t="shared" si="6"/>
        <v>0.3122999146</v>
      </c>
      <c r="R165" s="17">
        <f t="shared" si="7"/>
        <v>362.1089813</v>
      </c>
      <c r="S165" s="18">
        <v>0.06</v>
      </c>
      <c r="T165" s="23"/>
      <c r="U165" s="19">
        <f t="shared" si="69"/>
        <v>29.35545089</v>
      </c>
      <c r="V165" s="24">
        <f t="shared" si="9"/>
        <v>95.69526469</v>
      </c>
      <c r="W165" s="179">
        <f t="shared" si="70"/>
        <v>0.6816332022</v>
      </c>
      <c r="X165" s="179">
        <f t="shared" si="71"/>
        <v>0.40534</v>
      </c>
      <c r="Y165" s="179">
        <f t="shared" si="72"/>
        <v>0.16</v>
      </c>
      <c r="Z165" s="99"/>
      <c r="AA165" s="99"/>
      <c r="AB165" s="99"/>
      <c r="AC165" s="1028"/>
      <c r="AD165" s="99"/>
      <c r="AE165" s="99"/>
      <c r="AF165" s="99"/>
      <c r="AG165" s="1028" t="str">
        <f t="shared" si="73"/>
        <v/>
      </c>
      <c r="AH165" s="24">
        <f t="shared" si="74"/>
        <v>0</v>
      </c>
    </row>
    <row r="166">
      <c r="A166" s="1046">
        <v>2025.0</v>
      </c>
      <c r="B166" s="1046"/>
      <c r="C166" s="1046" t="s">
        <v>2256</v>
      </c>
      <c r="D166" s="1046" t="s">
        <v>2381</v>
      </c>
      <c r="E166" s="1046" t="s">
        <v>2253</v>
      </c>
      <c r="F166" s="1048">
        <v>220150.0</v>
      </c>
      <c r="G166" s="1048">
        <v>320000.0</v>
      </c>
      <c r="H166" s="1025">
        <v>1.0</v>
      </c>
      <c r="I166" s="17">
        <f t="shared" si="1"/>
        <v>318.8731689</v>
      </c>
      <c r="J166" s="18">
        <v>0.035</v>
      </c>
      <c r="K166" s="19">
        <f t="shared" si="65"/>
        <v>307.712608</v>
      </c>
      <c r="L166" s="20">
        <f t="shared" si="66"/>
        <v>11.16056091</v>
      </c>
      <c r="M166" s="87">
        <v>0.00137</v>
      </c>
      <c r="N166" s="18">
        <v>0.0215</v>
      </c>
      <c r="O166" s="22">
        <f t="shared" si="67"/>
        <v>0.001399455</v>
      </c>
      <c r="P166" s="19">
        <f t="shared" si="68"/>
        <v>21.61582107</v>
      </c>
      <c r="Q166" s="19">
        <f t="shared" si="6"/>
        <v>0.4521299478</v>
      </c>
      <c r="R166" s="17">
        <f t="shared" si="7"/>
        <v>463.499496</v>
      </c>
      <c r="S166" s="18">
        <v>0.06</v>
      </c>
      <c r="T166" s="23"/>
      <c r="U166" s="19">
        <f t="shared" si="69"/>
        <v>28.92526542</v>
      </c>
      <c r="V166" s="24">
        <f t="shared" si="9"/>
        <v>87.89109193</v>
      </c>
      <c r="W166" s="179">
        <f t="shared" si="70"/>
        <v>0.4535543947</v>
      </c>
      <c r="X166" s="179">
        <f t="shared" si="71"/>
        <v>0.31203125</v>
      </c>
      <c r="Y166" s="179">
        <f t="shared" si="72"/>
        <v>0.2064625</v>
      </c>
      <c r="Z166" s="99"/>
      <c r="AA166" s="99"/>
      <c r="AB166" s="99"/>
      <c r="AC166" s="1028"/>
      <c r="AD166" s="99"/>
      <c r="AE166" s="99"/>
      <c r="AF166" s="99"/>
      <c r="AG166" s="1028" t="str">
        <f t="shared" si="73"/>
        <v/>
      </c>
      <c r="AH166" s="24">
        <f t="shared" si="74"/>
        <v>0</v>
      </c>
    </row>
    <row r="167">
      <c r="A167" s="1046">
        <v>2026.0</v>
      </c>
      <c r="B167" s="1046"/>
      <c r="C167" s="1046" t="s">
        <v>2256</v>
      </c>
      <c r="D167" s="1046" t="s">
        <v>2381</v>
      </c>
      <c r="E167" s="1046" t="s">
        <v>2253</v>
      </c>
      <c r="F167" s="1048">
        <v>242165.0</v>
      </c>
      <c r="G167" s="1048">
        <v>350000.0</v>
      </c>
      <c r="H167" s="1025">
        <v>1.0</v>
      </c>
      <c r="I167" s="17">
        <f t="shared" si="1"/>
        <v>350.7604858</v>
      </c>
      <c r="J167" s="18">
        <v>0.035</v>
      </c>
      <c r="K167" s="19">
        <f t="shared" si="65"/>
        <v>338.4838688</v>
      </c>
      <c r="L167" s="20">
        <f t="shared" si="66"/>
        <v>12.276617</v>
      </c>
      <c r="M167" s="87">
        <v>0.00137</v>
      </c>
      <c r="N167" s="18">
        <v>0.0215</v>
      </c>
      <c r="O167" s="22">
        <f t="shared" si="67"/>
        <v>0.001399455</v>
      </c>
      <c r="P167" s="19">
        <f t="shared" si="68"/>
        <v>22.27740318</v>
      </c>
      <c r="Q167" s="19">
        <f t="shared" si="6"/>
        <v>0.4951929426</v>
      </c>
      <c r="R167" s="17">
        <f t="shared" si="7"/>
        <v>506.9525738</v>
      </c>
      <c r="S167" s="18">
        <v>0.06</v>
      </c>
      <c r="T167" s="23"/>
      <c r="U167" s="19">
        <f t="shared" si="69"/>
        <v>31.23841759</v>
      </c>
      <c r="V167" s="24">
        <f t="shared" si="9"/>
        <v>94.53651595</v>
      </c>
      <c r="W167" s="179">
        <f t="shared" si="70"/>
        <v>0.4452955629</v>
      </c>
      <c r="X167" s="179">
        <f t="shared" si="71"/>
        <v>0.3081</v>
      </c>
      <c r="Y167" s="179">
        <f t="shared" si="72"/>
        <v>0.1733714286</v>
      </c>
      <c r="Z167" s="99"/>
      <c r="AA167" s="99"/>
      <c r="AB167" s="99"/>
      <c r="AC167" s="1028"/>
      <c r="AD167" s="99"/>
      <c r="AE167" s="99"/>
      <c r="AF167" s="99"/>
      <c r="AG167" s="1028" t="str">
        <f t="shared" si="73"/>
        <v/>
      </c>
      <c r="AH167" s="24">
        <f t="shared" si="74"/>
        <v>0</v>
      </c>
    </row>
    <row r="168">
      <c r="A168" s="1046">
        <v>2025.0</v>
      </c>
      <c r="B168" s="1046"/>
      <c r="C168" s="1046" t="s">
        <v>2258</v>
      </c>
      <c r="D168" s="1046" t="s">
        <v>2460</v>
      </c>
      <c r="E168" s="1046" t="s">
        <v>2253</v>
      </c>
      <c r="F168" s="1048">
        <v>145000.0</v>
      </c>
      <c r="G168" s="1048">
        <v>210000.0</v>
      </c>
      <c r="H168" s="1025">
        <v>1.0</v>
      </c>
      <c r="I168" s="17">
        <f t="shared" si="1"/>
        <v>210.0232091</v>
      </c>
      <c r="J168" s="18">
        <v>0.035</v>
      </c>
      <c r="K168" s="19">
        <f t="shared" si="65"/>
        <v>202.6723968</v>
      </c>
      <c r="L168" s="20">
        <f t="shared" si="66"/>
        <v>7.350812319</v>
      </c>
      <c r="M168" s="87">
        <v>0.00137</v>
      </c>
      <c r="N168" s="18">
        <v>0.0215</v>
      </c>
      <c r="O168" s="22">
        <f t="shared" si="67"/>
        <v>0.001399455</v>
      </c>
      <c r="P168" s="19">
        <f t="shared" si="68"/>
        <v>19.35745653</v>
      </c>
      <c r="Q168" s="19">
        <f t="shared" si="6"/>
        <v>0.3051308991</v>
      </c>
      <c r="R168" s="17">
        <f t="shared" si="7"/>
        <v>304.1715443</v>
      </c>
      <c r="S168" s="18">
        <v>0.06</v>
      </c>
      <c r="T168" s="23"/>
      <c r="U168" s="19">
        <f t="shared" si="69"/>
        <v>18.82966703</v>
      </c>
      <c r="V168" s="24">
        <f t="shared" si="9"/>
        <v>57.06837545</v>
      </c>
      <c r="W168" s="179">
        <f t="shared" si="70"/>
        <v>0.4482758621</v>
      </c>
      <c r="X168" s="179">
        <f t="shared" si="71"/>
        <v>0.3095238095</v>
      </c>
      <c r="Y168" s="179">
        <f t="shared" si="72"/>
        <v>0.3108</v>
      </c>
      <c r="Z168" s="99"/>
      <c r="AA168" s="99"/>
      <c r="AB168" s="99"/>
      <c r="AC168" s="1028"/>
      <c r="AD168" s="99"/>
      <c r="AE168" s="99"/>
      <c r="AF168" s="99"/>
      <c r="AG168" s="1028" t="str">
        <f t="shared" si="73"/>
        <v/>
      </c>
      <c r="AH168" s="24">
        <f t="shared" si="74"/>
        <v>0</v>
      </c>
    </row>
    <row r="169">
      <c r="A169" s="1046">
        <v>2026.0</v>
      </c>
      <c r="B169" s="1046"/>
      <c r="C169" s="1046" t="s">
        <v>2258</v>
      </c>
      <c r="D169" s="1046" t="s">
        <v>2460</v>
      </c>
      <c r="E169" s="1046" t="s">
        <v>2253</v>
      </c>
      <c r="F169" s="1048">
        <v>165000.0</v>
      </c>
      <c r="G169" s="1048">
        <v>250000.0</v>
      </c>
      <c r="H169" s="1025">
        <v>1.0</v>
      </c>
      <c r="I169" s="17">
        <f t="shared" si="1"/>
        <v>238.9919276</v>
      </c>
      <c r="J169" s="18">
        <v>0.035</v>
      </c>
      <c r="K169" s="19">
        <f t="shared" si="65"/>
        <v>230.6272102</v>
      </c>
      <c r="L169" s="20">
        <f t="shared" si="66"/>
        <v>8.364717467</v>
      </c>
      <c r="M169" s="87">
        <v>0.00137</v>
      </c>
      <c r="N169" s="18">
        <v>0.0215</v>
      </c>
      <c r="O169" s="22">
        <f t="shared" si="67"/>
        <v>0.001399455</v>
      </c>
      <c r="P169" s="19">
        <f t="shared" si="68"/>
        <v>19.95848502</v>
      </c>
      <c r="Q169" s="19">
        <f t="shared" si="6"/>
        <v>0.3442524024</v>
      </c>
      <c r="R169" s="17">
        <f t="shared" si="7"/>
        <v>362.1089813</v>
      </c>
      <c r="S169" s="18">
        <v>0.06</v>
      </c>
      <c r="T169" s="23"/>
      <c r="U169" s="19">
        <f t="shared" si="69"/>
        <v>24.62341073</v>
      </c>
      <c r="V169" s="24">
        <f t="shared" si="9"/>
        <v>76.76710403</v>
      </c>
      <c r="W169" s="179">
        <f t="shared" si="70"/>
        <v>0.5151515152</v>
      </c>
      <c r="X169" s="179">
        <f t="shared" si="71"/>
        <v>0.34</v>
      </c>
      <c r="Y169" s="179">
        <f t="shared" si="72"/>
        <v>0.1576</v>
      </c>
      <c r="Z169" s="99"/>
      <c r="AA169" s="99"/>
      <c r="AB169" s="99"/>
      <c r="AC169" s="1028"/>
      <c r="AD169" s="99"/>
      <c r="AE169" s="99"/>
      <c r="AF169" s="99"/>
      <c r="AG169" s="1028" t="str">
        <f t="shared" si="73"/>
        <v/>
      </c>
      <c r="AH169" s="24">
        <f t="shared" si="74"/>
        <v>0</v>
      </c>
    </row>
    <row r="170">
      <c r="A170" s="1046">
        <v>2025.0</v>
      </c>
      <c r="B170" s="1046"/>
      <c r="C170" s="1046" t="s">
        <v>2260</v>
      </c>
      <c r="D170" s="1046" t="s">
        <v>2457</v>
      </c>
      <c r="E170" s="1046" t="s">
        <v>2253</v>
      </c>
      <c r="F170" s="1048">
        <v>185000.0</v>
      </c>
      <c r="G170" s="1048">
        <v>280000.0</v>
      </c>
      <c r="H170" s="1025">
        <v>1.0</v>
      </c>
      <c r="I170" s="17">
        <f t="shared" si="1"/>
        <v>267.9606461</v>
      </c>
      <c r="J170" s="18">
        <v>0.035</v>
      </c>
      <c r="K170" s="19">
        <f t="shared" si="65"/>
        <v>258.5820235</v>
      </c>
      <c r="L170" s="20">
        <f t="shared" si="66"/>
        <v>9.378622614</v>
      </c>
      <c r="M170" s="87">
        <v>0.00137</v>
      </c>
      <c r="N170" s="18">
        <v>0.0215</v>
      </c>
      <c r="O170" s="22">
        <f t="shared" si="67"/>
        <v>0.001399455</v>
      </c>
      <c r="P170" s="19">
        <f t="shared" si="68"/>
        <v>20.55951351</v>
      </c>
      <c r="Q170" s="19">
        <f t="shared" si="6"/>
        <v>0.3833739057</v>
      </c>
      <c r="R170" s="17">
        <f t="shared" si="7"/>
        <v>405.562059</v>
      </c>
      <c r="S170" s="18">
        <v>0.06</v>
      </c>
      <c r="T170" s="23"/>
      <c r="U170" s="19">
        <f t="shared" si="69"/>
        <v>27.52028258</v>
      </c>
      <c r="V170" s="24">
        <f t="shared" si="9"/>
        <v>85.74740676</v>
      </c>
      <c r="W170" s="179">
        <f t="shared" si="70"/>
        <v>0.5135135135</v>
      </c>
      <c r="X170" s="179">
        <f t="shared" si="71"/>
        <v>0.3392857143</v>
      </c>
      <c r="Y170" s="179">
        <f t="shared" si="72"/>
        <v>0.1892857143</v>
      </c>
      <c r="Z170" s="99"/>
      <c r="AA170" s="99"/>
      <c r="AB170" s="99"/>
      <c r="AC170" s="1028"/>
      <c r="AD170" s="99"/>
      <c r="AE170" s="99"/>
      <c r="AF170" s="99"/>
      <c r="AG170" s="1028" t="str">
        <f t="shared" si="73"/>
        <v/>
      </c>
      <c r="AH170" s="24">
        <f t="shared" si="74"/>
        <v>0</v>
      </c>
    </row>
    <row r="171">
      <c r="A171" s="1046">
        <v>2026.0</v>
      </c>
      <c r="B171" s="1046"/>
      <c r="C171" s="1046" t="s">
        <v>2260</v>
      </c>
      <c r="D171" s="1046" t="s">
        <v>2457</v>
      </c>
      <c r="E171" s="1046" t="s">
        <v>2253</v>
      </c>
      <c r="F171" s="1048">
        <v>200000.0</v>
      </c>
      <c r="G171" s="1048">
        <v>300000.0</v>
      </c>
      <c r="H171" s="1025">
        <v>1.0</v>
      </c>
      <c r="I171" s="17">
        <f t="shared" si="1"/>
        <v>289.687185</v>
      </c>
      <c r="J171" s="18">
        <v>0.035</v>
      </c>
      <c r="K171" s="19">
        <f t="shared" si="65"/>
        <v>279.5481335</v>
      </c>
      <c r="L171" s="20">
        <f t="shared" si="66"/>
        <v>10.13905148</v>
      </c>
      <c r="M171" s="87">
        <v>0.00137</v>
      </c>
      <c r="N171" s="18">
        <v>0.0215</v>
      </c>
      <c r="O171" s="22">
        <f t="shared" si="67"/>
        <v>0.001399455</v>
      </c>
      <c r="P171" s="19">
        <f t="shared" si="68"/>
        <v>21.01028487</v>
      </c>
      <c r="Q171" s="19">
        <f t="shared" si="6"/>
        <v>0.4127150332</v>
      </c>
      <c r="R171" s="17">
        <f t="shared" si="7"/>
        <v>434.5307775</v>
      </c>
      <c r="S171" s="18">
        <v>0.06</v>
      </c>
      <c r="T171" s="23"/>
      <c r="U171" s="19">
        <f t="shared" si="69"/>
        <v>28.9687185</v>
      </c>
      <c r="V171" s="24">
        <f t="shared" si="9"/>
        <v>89.80302735</v>
      </c>
      <c r="W171" s="179">
        <f t="shared" si="70"/>
        <v>0.5</v>
      </c>
      <c r="X171" s="179">
        <f t="shared" si="71"/>
        <v>0.3333333333</v>
      </c>
      <c r="Y171" s="179">
        <f t="shared" si="72"/>
        <v>0.1973333333</v>
      </c>
      <c r="Z171" s="99"/>
      <c r="AA171" s="99"/>
      <c r="AB171" s="99"/>
      <c r="AC171" s="1028"/>
      <c r="AD171" s="99"/>
      <c r="AE171" s="99"/>
      <c r="AF171" s="99"/>
      <c r="AG171" s="1028" t="str">
        <f t="shared" si="73"/>
        <v/>
      </c>
      <c r="AH171" s="24">
        <f t="shared" si="74"/>
        <v>0</v>
      </c>
    </row>
    <row r="172">
      <c r="A172" s="1049"/>
      <c r="B172" s="1049"/>
      <c r="C172" s="1049"/>
      <c r="D172" s="1049"/>
      <c r="E172" s="1049"/>
      <c r="F172" s="1050"/>
      <c r="G172" s="1050"/>
      <c r="H172" s="1025">
        <v>1.0</v>
      </c>
      <c r="I172" s="17">
        <f t="shared" si="1"/>
        <v>0</v>
      </c>
      <c r="J172" s="18">
        <v>0.035</v>
      </c>
      <c r="K172" s="19">
        <f t="shared" si="65"/>
        <v>0</v>
      </c>
      <c r="L172" s="20">
        <f t="shared" si="66"/>
        <v>0</v>
      </c>
      <c r="M172" s="87">
        <v>0.00137</v>
      </c>
      <c r="N172" s="18">
        <v>0.0215</v>
      </c>
      <c r="O172" s="22">
        <f t="shared" si="67"/>
        <v>0.001399455</v>
      </c>
      <c r="P172" s="19">
        <f t="shared" si="68"/>
        <v>15</v>
      </c>
      <c r="Q172" s="19">
        <f t="shared" si="6"/>
        <v>0.0215</v>
      </c>
      <c r="R172" s="17">
        <f t="shared" si="7"/>
        <v>0</v>
      </c>
      <c r="S172" s="18">
        <v>0.06</v>
      </c>
      <c r="T172" s="23"/>
      <c r="U172" s="19">
        <f t="shared" si="69"/>
        <v>0</v>
      </c>
      <c r="V172" s="24">
        <f t="shared" si="9"/>
        <v>0</v>
      </c>
      <c r="W172" s="179" t="str">
        <f t="shared" si="70"/>
        <v/>
      </c>
      <c r="X172" s="179" t="str">
        <f t="shared" si="71"/>
        <v/>
      </c>
      <c r="Y172" s="179" t="str">
        <f t="shared" si="72"/>
        <v/>
      </c>
      <c r="Z172" s="99"/>
      <c r="AA172" s="99"/>
      <c r="AB172" s="99"/>
      <c r="AC172" s="1028"/>
      <c r="AD172" s="99"/>
      <c r="AE172" s="99"/>
      <c r="AF172" s="99"/>
      <c r="AG172" s="1028" t="str">
        <f t="shared" si="73"/>
        <v/>
      </c>
      <c r="AH172" s="24">
        <f t="shared" si="74"/>
        <v>0</v>
      </c>
    </row>
    <row r="173">
      <c r="A173" s="1046">
        <v>2025.0</v>
      </c>
      <c r="B173" s="1046"/>
      <c r="C173" s="1046" t="s">
        <v>2461</v>
      </c>
      <c r="D173" s="1046" t="s">
        <v>2462</v>
      </c>
      <c r="E173" s="1046" t="s">
        <v>957</v>
      </c>
      <c r="F173" s="1048">
        <v>275000.0</v>
      </c>
      <c r="G173" s="1048">
        <v>400000.0</v>
      </c>
      <c r="H173" s="1025">
        <v>1.0</v>
      </c>
      <c r="I173" s="17">
        <f t="shared" si="1"/>
        <v>398.3198794</v>
      </c>
      <c r="J173" s="18">
        <v>0.035</v>
      </c>
      <c r="K173" s="19">
        <f t="shared" si="65"/>
        <v>384.3786836</v>
      </c>
      <c r="L173" s="20">
        <f t="shared" si="66"/>
        <v>13.94119578</v>
      </c>
      <c r="M173" s="87">
        <v>0.00137</v>
      </c>
      <c r="N173" s="18">
        <v>0.0215</v>
      </c>
      <c r="O173" s="22">
        <f t="shared" si="67"/>
        <v>0.001399455</v>
      </c>
      <c r="P173" s="19">
        <f t="shared" si="68"/>
        <v>23.2641417</v>
      </c>
      <c r="Q173" s="19">
        <f t="shared" si="6"/>
        <v>0.5594206707</v>
      </c>
      <c r="R173" s="17">
        <f t="shared" si="7"/>
        <v>579.37437</v>
      </c>
      <c r="S173" s="18">
        <v>0.06</v>
      </c>
      <c r="T173" s="23"/>
      <c r="U173" s="19">
        <f t="shared" si="69"/>
        <v>36.21089813</v>
      </c>
      <c r="V173" s="24">
        <f t="shared" si="9"/>
        <v>110.0811303</v>
      </c>
      <c r="W173" s="179">
        <f t="shared" si="70"/>
        <v>0.4545454545</v>
      </c>
      <c r="X173" s="179">
        <f t="shared" si="71"/>
        <v>0.3125</v>
      </c>
      <c r="Y173" s="179">
        <f t="shared" si="72"/>
        <v>0</v>
      </c>
      <c r="Z173" s="99"/>
      <c r="AA173" s="99"/>
      <c r="AB173" s="99"/>
      <c r="AC173" s="1028"/>
      <c r="AD173" s="99"/>
      <c r="AE173" s="99"/>
      <c r="AF173" s="99"/>
      <c r="AG173" s="1028" t="str">
        <f t="shared" si="73"/>
        <v/>
      </c>
      <c r="AH173" s="24">
        <f t="shared" si="74"/>
        <v>0</v>
      </c>
    </row>
    <row r="174">
      <c r="A174" s="1046">
        <v>2026.0</v>
      </c>
      <c r="B174" s="1046"/>
      <c r="C174" s="1046" t="s">
        <v>2461</v>
      </c>
      <c r="D174" s="1046" t="s">
        <v>2462</v>
      </c>
      <c r="E174" s="1046" t="s">
        <v>957</v>
      </c>
      <c r="F174" s="1048">
        <v>310000.0</v>
      </c>
      <c r="G174" s="1048">
        <v>450000.0</v>
      </c>
      <c r="H174" s="1025">
        <v>1.0</v>
      </c>
      <c r="I174" s="17">
        <f t="shared" si="1"/>
        <v>449.0151368</v>
      </c>
      <c r="J174" s="18">
        <v>0.035</v>
      </c>
      <c r="K174" s="19">
        <f t="shared" si="65"/>
        <v>433.299607</v>
      </c>
      <c r="L174" s="20">
        <f t="shared" si="66"/>
        <v>15.71552979</v>
      </c>
      <c r="M174" s="87">
        <v>0.00137</v>
      </c>
      <c r="N174" s="18">
        <v>0.0215</v>
      </c>
      <c r="O174" s="22">
        <f t="shared" si="67"/>
        <v>0.001399455</v>
      </c>
      <c r="P174" s="19">
        <f t="shared" si="68"/>
        <v>24.31594155</v>
      </c>
      <c r="Q174" s="19">
        <f t="shared" si="6"/>
        <v>0.6278833015</v>
      </c>
      <c r="R174" s="17">
        <f t="shared" si="7"/>
        <v>651.7961663</v>
      </c>
      <c r="S174" s="18">
        <v>0.06</v>
      </c>
      <c r="T174" s="23"/>
      <c r="U174" s="19">
        <f t="shared" si="69"/>
        <v>40.5562059</v>
      </c>
      <c r="V174" s="24">
        <f t="shared" si="9"/>
        <v>123.1170536</v>
      </c>
      <c r="W174" s="179">
        <f t="shared" si="70"/>
        <v>0.4516129032</v>
      </c>
      <c r="X174" s="179">
        <f t="shared" si="71"/>
        <v>0.3111111111</v>
      </c>
      <c r="Y174" s="179">
        <f t="shared" si="72"/>
        <v>0.1688888889</v>
      </c>
      <c r="Z174" s="99"/>
      <c r="AA174" s="99"/>
      <c r="AB174" s="99"/>
      <c r="AC174" s="1028"/>
      <c r="AD174" s="99"/>
      <c r="AE174" s="99"/>
      <c r="AF174" s="99"/>
      <c r="AG174" s="1028" t="str">
        <f t="shared" si="73"/>
        <v/>
      </c>
      <c r="AH174" s="24">
        <f t="shared" si="74"/>
        <v>0</v>
      </c>
    </row>
    <row r="175">
      <c r="A175" s="1046">
        <v>2025.0</v>
      </c>
      <c r="B175" s="1046"/>
      <c r="C175" s="1046" t="s">
        <v>2463</v>
      </c>
      <c r="D175" s="1046" t="s">
        <v>2464</v>
      </c>
      <c r="E175" s="1046" t="s">
        <v>1063</v>
      </c>
      <c r="F175" s="1048">
        <v>412500.0</v>
      </c>
      <c r="G175" s="1048">
        <v>500000.0</v>
      </c>
      <c r="H175" s="1025">
        <v>1.0</v>
      </c>
      <c r="I175" s="17">
        <f t="shared" si="1"/>
        <v>597.4798191</v>
      </c>
      <c r="J175" s="18">
        <v>0.035</v>
      </c>
      <c r="K175" s="19">
        <f t="shared" si="65"/>
        <v>576.5680254</v>
      </c>
      <c r="L175" s="20">
        <f t="shared" si="66"/>
        <v>20.91179367</v>
      </c>
      <c r="M175" s="87">
        <v>0.00137</v>
      </c>
      <c r="N175" s="18">
        <v>0.0215</v>
      </c>
      <c r="O175" s="22">
        <f t="shared" si="67"/>
        <v>0.001399455</v>
      </c>
      <c r="P175" s="19">
        <f t="shared" si="68"/>
        <v>27.39621255</v>
      </c>
      <c r="Q175" s="19">
        <f t="shared" si="6"/>
        <v>0.828381006</v>
      </c>
      <c r="R175" s="17">
        <f t="shared" si="7"/>
        <v>724.2179625</v>
      </c>
      <c r="S175" s="18">
        <v>0.06</v>
      </c>
      <c r="T175" s="23"/>
      <c r="U175" s="19">
        <f t="shared" si="69"/>
        <v>25.34762869</v>
      </c>
      <c r="V175" s="24">
        <f t="shared" si="9"/>
        <v>57.937437</v>
      </c>
      <c r="W175" s="179">
        <f t="shared" si="70"/>
        <v>0.2121212121</v>
      </c>
      <c r="X175" s="179">
        <f t="shared" si="71"/>
        <v>0.175</v>
      </c>
      <c r="Y175" s="179">
        <f t="shared" si="72"/>
        <v>0.17</v>
      </c>
      <c r="Z175" s="99"/>
      <c r="AA175" s="99"/>
      <c r="AB175" s="99"/>
      <c r="AC175" s="1028"/>
      <c r="AD175" s="99"/>
      <c r="AE175" s="99"/>
      <c r="AF175" s="99"/>
      <c r="AG175" s="1028" t="str">
        <f t="shared" si="73"/>
        <v/>
      </c>
      <c r="AH175" s="24">
        <f t="shared" si="74"/>
        <v>0</v>
      </c>
    </row>
    <row r="176">
      <c r="A176" s="1046">
        <v>2026.0</v>
      </c>
      <c r="B176" s="1046"/>
      <c r="C176" s="1046" t="s">
        <v>2463</v>
      </c>
      <c r="D176" s="1046" t="s">
        <v>2464</v>
      </c>
      <c r="E176" s="1046" t="s">
        <v>1063</v>
      </c>
      <c r="F176" s="1048">
        <v>465000.0</v>
      </c>
      <c r="G176" s="1048">
        <v>600000.0</v>
      </c>
      <c r="H176" s="1025">
        <v>1.0</v>
      </c>
      <c r="I176" s="17">
        <f t="shared" si="1"/>
        <v>673.5227051</v>
      </c>
      <c r="J176" s="18">
        <v>0.035</v>
      </c>
      <c r="K176" s="19">
        <f t="shared" si="65"/>
        <v>649.9494104</v>
      </c>
      <c r="L176" s="20">
        <f t="shared" si="66"/>
        <v>23.57329468</v>
      </c>
      <c r="M176" s="87">
        <v>0.00137</v>
      </c>
      <c r="N176" s="18">
        <v>0.0215</v>
      </c>
      <c r="O176" s="22">
        <f t="shared" si="67"/>
        <v>0.001399455</v>
      </c>
      <c r="P176" s="19">
        <f t="shared" si="68"/>
        <v>28.97391232</v>
      </c>
      <c r="Q176" s="19">
        <f t="shared" si="6"/>
        <v>0.9310749522</v>
      </c>
      <c r="R176" s="17">
        <f t="shared" si="7"/>
        <v>869.061555</v>
      </c>
      <c r="S176" s="18">
        <v>0.06</v>
      </c>
      <c r="T176" s="23"/>
      <c r="U176" s="19">
        <f t="shared" si="69"/>
        <v>39.10776998</v>
      </c>
      <c r="V176" s="24">
        <f t="shared" si="9"/>
        <v>104.2873866</v>
      </c>
      <c r="W176" s="179">
        <f t="shared" si="70"/>
        <v>0.2903225806</v>
      </c>
      <c r="X176" s="179">
        <f t="shared" si="71"/>
        <v>0.225</v>
      </c>
      <c r="Y176" s="179">
        <f t="shared" si="72"/>
        <v>0.06666666667</v>
      </c>
      <c r="Z176" s="99"/>
      <c r="AA176" s="99"/>
      <c r="AB176" s="99"/>
      <c r="AC176" s="1028"/>
      <c r="AD176" s="99"/>
      <c r="AE176" s="99"/>
      <c r="AF176" s="99"/>
      <c r="AG176" s="1028" t="str">
        <f t="shared" si="73"/>
        <v/>
      </c>
      <c r="AH176" s="24">
        <f t="shared" si="74"/>
        <v>0</v>
      </c>
    </row>
    <row r="177">
      <c r="A177" s="1046">
        <v>2025.0</v>
      </c>
      <c r="B177" s="1046"/>
      <c r="C177" s="1046" t="s">
        <v>2465</v>
      </c>
      <c r="D177" s="1046" t="s">
        <v>2466</v>
      </c>
      <c r="E177" s="1046" t="s">
        <v>909</v>
      </c>
      <c r="F177" s="1048">
        <v>561000.0</v>
      </c>
      <c r="G177" s="1048">
        <v>700000.0</v>
      </c>
      <c r="H177" s="1025">
        <v>1.0</v>
      </c>
      <c r="I177" s="17">
        <f t="shared" si="1"/>
        <v>812.5725539</v>
      </c>
      <c r="J177" s="18">
        <v>0.035</v>
      </c>
      <c r="K177" s="19">
        <f t="shared" si="65"/>
        <v>784.1325145</v>
      </c>
      <c r="L177" s="20">
        <f t="shared" si="66"/>
        <v>28.44003939</v>
      </c>
      <c r="M177" s="87">
        <v>0.00137</v>
      </c>
      <c r="N177" s="18">
        <v>0.0215</v>
      </c>
      <c r="O177" s="22">
        <f t="shared" si="67"/>
        <v>0.001399455</v>
      </c>
      <c r="P177" s="19">
        <f t="shared" si="68"/>
        <v>31.85884906</v>
      </c>
      <c r="Q177" s="19">
        <f t="shared" si="6"/>
        <v>1.118858168</v>
      </c>
      <c r="R177" s="17">
        <f t="shared" si="7"/>
        <v>1013.905148</v>
      </c>
      <c r="S177" s="18">
        <v>0.06</v>
      </c>
      <c r="T177" s="23"/>
      <c r="U177" s="19">
        <f t="shared" si="69"/>
        <v>40.26651872</v>
      </c>
      <c r="V177" s="24">
        <f t="shared" si="9"/>
        <v>100.231766</v>
      </c>
      <c r="W177" s="179">
        <f t="shared" si="70"/>
        <v>0.247771836</v>
      </c>
      <c r="X177" s="179">
        <f t="shared" si="71"/>
        <v>0.1985714286</v>
      </c>
      <c r="Y177" s="179">
        <f t="shared" si="72"/>
        <v>0.1028571429</v>
      </c>
      <c r="Z177" s="99"/>
      <c r="AA177" s="99"/>
      <c r="AB177" s="99"/>
      <c r="AC177" s="1028"/>
      <c r="AD177" s="99"/>
      <c r="AE177" s="99"/>
      <c r="AF177" s="99"/>
      <c r="AG177" s="1028" t="str">
        <f t="shared" si="73"/>
        <v/>
      </c>
      <c r="AH177" s="24">
        <f t="shared" si="74"/>
        <v>0</v>
      </c>
    </row>
    <row r="178">
      <c r="A178" s="1046">
        <v>2026.0</v>
      </c>
      <c r="B178" s="1046"/>
      <c r="C178" s="1046" t="s">
        <v>2465</v>
      </c>
      <c r="D178" s="1046" t="s">
        <v>2466</v>
      </c>
      <c r="E178" s="1046" t="s">
        <v>909</v>
      </c>
      <c r="F178" s="1048">
        <v>561000.0</v>
      </c>
      <c r="G178" s="1048">
        <v>700000.0</v>
      </c>
      <c r="H178" s="1025">
        <v>1.0</v>
      </c>
      <c r="I178" s="17">
        <f t="shared" si="1"/>
        <v>812.5725539</v>
      </c>
      <c r="J178" s="18">
        <v>0.035</v>
      </c>
      <c r="K178" s="19">
        <f t="shared" si="65"/>
        <v>784.1325145</v>
      </c>
      <c r="L178" s="20">
        <f t="shared" si="66"/>
        <v>28.44003939</v>
      </c>
      <c r="M178" s="87">
        <v>0.00137</v>
      </c>
      <c r="N178" s="18">
        <v>0.0215</v>
      </c>
      <c r="O178" s="22">
        <f t="shared" si="67"/>
        <v>0.001399455</v>
      </c>
      <c r="P178" s="19">
        <f t="shared" si="68"/>
        <v>31.85884906</v>
      </c>
      <c r="Q178" s="19">
        <f t="shared" si="6"/>
        <v>1.118858168</v>
      </c>
      <c r="R178" s="17">
        <f t="shared" si="7"/>
        <v>1013.905148</v>
      </c>
      <c r="S178" s="18">
        <v>0.06</v>
      </c>
      <c r="T178" s="23"/>
      <c r="U178" s="19">
        <f t="shared" si="69"/>
        <v>40.26651872</v>
      </c>
      <c r="V178" s="24">
        <f t="shared" si="9"/>
        <v>100.231766</v>
      </c>
      <c r="W178" s="179">
        <f t="shared" si="70"/>
        <v>0.247771836</v>
      </c>
      <c r="X178" s="179">
        <f t="shared" si="71"/>
        <v>0.1985714286</v>
      </c>
      <c r="Y178" s="179">
        <f t="shared" si="72"/>
        <v>0.09885714286</v>
      </c>
      <c r="Z178" s="99"/>
      <c r="AA178" s="99"/>
      <c r="AB178" s="99"/>
      <c r="AC178" s="1028"/>
      <c r="AD178" s="99"/>
      <c r="AE178" s="99"/>
      <c r="AF178" s="99"/>
      <c r="AG178" s="1028" t="str">
        <f t="shared" si="73"/>
        <v/>
      </c>
      <c r="AH178" s="24">
        <f t="shared" si="74"/>
        <v>0</v>
      </c>
    </row>
    <row r="179">
      <c r="A179" s="1046">
        <v>2025.0</v>
      </c>
      <c r="B179" s="1046"/>
      <c r="C179" s="1046" t="s">
        <v>2467</v>
      </c>
      <c r="D179" s="1046" t="s">
        <v>2468</v>
      </c>
      <c r="E179" s="1046" t="s">
        <v>909</v>
      </c>
      <c r="F179" s="1048">
        <v>93500.0</v>
      </c>
      <c r="G179" s="1048">
        <v>150000.0</v>
      </c>
      <c r="H179" s="1025">
        <v>1.0</v>
      </c>
      <c r="I179" s="17">
        <f t="shared" si="1"/>
        <v>135.428759</v>
      </c>
      <c r="J179" s="18">
        <v>0.035</v>
      </c>
      <c r="K179" s="19">
        <f t="shared" si="65"/>
        <v>130.6887524</v>
      </c>
      <c r="L179" s="20">
        <f t="shared" si="66"/>
        <v>4.740006565</v>
      </c>
      <c r="M179" s="87">
        <v>0.00137</v>
      </c>
      <c r="N179" s="18">
        <v>0.0215</v>
      </c>
      <c r="O179" s="22">
        <f t="shared" si="67"/>
        <v>0.001399455</v>
      </c>
      <c r="P179" s="19">
        <f t="shared" si="68"/>
        <v>17.80980818</v>
      </c>
      <c r="Q179" s="19">
        <f t="shared" si="6"/>
        <v>0.204393028</v>
      </c>
      <c r="R179" s="17">
        <f t="shared" si="7"/>
        <v>217.2653888</v>
      </c>
      <c r="S179" s="18">
        <v>0.06</v>
      </c>
      <c r="T179" s="23"/>
      <c r="U179" s="19">
        <f t="shared" si="69"/>
        <v>16.36732595</v>
      </c>
      <c r="V179" s="24">
        <f t="shared" si="9"/>
        <v>52.43338049</v>
      </c>
      <c r="W179" s="179">
        <f t="shared" si="70"/>
        <v>0.6042780749</v>
      </c>
      <c r="X179" s="179">
        <f t="shared" si="71"/>
        <v>0.3766666667</v>
      </c>
      <c r="Y179" s="179">
        <f t="shared" si="72"/>
        <v>0.4613333333</v>
      </c>
      <c r="Z179" s="99"/>
      <c r="AA179" s="99"/>
      <c r="AB179" s="99"/>
      <c r="AC179" s="1028"/>
      <c r="AD179" s="99"/>
      <c r="AE179" s="99"/>
      <c r="AF179" s="99"/>
      <c r="AG179" s="1028" t="str">
        <f t="shared" si="73"/>
        <v/>
      </c>
      <c r="AH179" s="24">
        <f t="shared" si="74"/>
        <v>0</v>
      </c>
    </row>
    <row r="180">
      <c r="A180" s="1046">
        <v>2026.0</v>
      </c>
      <c r="B180" s="1046"/>
      <c r="C180" s="1046" t="s">
        <v>2467</v>
      </c>
      <c r="D180" s="1046" t="s">
        <v>2468</v>
      </c>
      <c r="E180" s="1046" t="s">
        <v>909</v>
      </c>
      <c r="F180" s="1048">
        <v>105000.0</v>
      </c>
      <c r="G180" s="1048">
        <v>200000.0</v>
      </c>
      <c r="H180" s="1025">
        <v>1.0</v>
      </c>
      <c r="I180" s="17">
        <f t="shared" si="1"/>
        <v>152.0857721</v>
      </c>
      <c r="J180" s="18">
        <v>0.035</v>
      </c>
      <c r="K180" s="19">
        <f t="shared" si="65"/>
        <v>146.7627701</v>
      </c>
      <c r="L180" s="20">
        <f t="shared" si="66"/>
        <v>5.323002024</v>
      </c>
      <c r="M180" s="87">
        <v>0.00137</v>
      </c>
      <c r="N180" s="18">
        <v>0.0215</v>
      </c>
      <c r="O180" s="22">
        <f t="shared" si="67"/>
        <v>0.001399455</v>
      </c>
      <c r="P180" s="19">
        <f t="shared" si="68"/>
        <v>18.15539956</v>
      </c>
      <c r="Q180" s="19">
        <f t="shared" si="6"/>
        <v>0.2268878924</v>
      </c>
      <c r="R180" s="17">
        <f t="shared" si="7"/>
        <v>289.687185</v>
      </c>
      <c r="S180" s="18">
        <v>0.06</v>
      </c>
      <c r="T180" s="23"/>
      <c r="U180" s="19">
        <f t="shared" si="69"/>
        <v>27.52028258</v>
      </c>
      <c r="V180" s="24">
        <f t="shared" si="9"/>
        <v>92.6998992</v>
      </c>
      <c r="W180" s="179">
        <f t="shared" si="70"/>
        <v>0.9047619048</v>
      </c>
      <c r="X180" s="179">
        <f t="shared" si="71"/>
        <v>0.475</v>
      </c>
      <c r="Y180" s="179">
        <f t="shared" si="72"/>
        <v>0.181</v>
      </c>
      <c r="Z180" s="99"/>
      <c r="AA180" s="99"/>
      <c r="AB180" s="99"/>
      <c r="AC180" s="1028"/>
      <c r="AD180" s="99"/>
      <c r="AE180" s="99"/>
      <c r="AF180" s="99"/>
      <c r="AG180" s="1028" t="str">
        <f t="shared" si="73"/>
        <v/>
      </c>
      <c r="AH180" s="24">
        <f t="shared" si="74"/>
        <v>0</v>
      </c>
    </row>
    <row r="181">
      <c r="A181" s="1046">
        <v>2025.0</v>
      </c>
      <c r="B181" s="1046"/>
      <c r="C181" s="1046" t="s">
        <v>2469</v>
      </c>
      <c r="D181" s="1046" t="s">
        <v>2470</v>
      </c>
      <c r="E181" s="1046" t="s">
        <v>909</v>
      </c>
      <c r="F181" s="1048">
        <v>240000.0</v>
      </c>
      <c r="G181" s="1048">
        <v>300000.0</v>
      </c>
      <c r="H181" s="1025">
        <v>1.0</v>
      </c>
      <c r="I181" s="17">
        <f t="shared" si="1"/>
        <v>347.624622</v>
      </c>
      <c r="J181" s="18">
        <v>0.035</v>
      </c>
      <c r="K181" s="19">
        <f t="shared" si="65"/>
        <v>335.4577602</v>
      </c>
      <c r="L181" s="20">
        <f t="shared" si="66"/>
        <v>12.16686177</v>
      </c>
      <c r="M181" s="87">
        <v>0.00137</v>
      </c>
      <c r="N181" s="18">
        <v>0.0215</v>
      </c>
      <c r="O181" s="22">
        <f t="shared" si="67"/>
        <v>0.001399455</v>
      </c>
      <c r="P181" s="19">
        <f t="shared" si="68"/>
        <v>22.21234184</v>
      </c>
      <c r="Q181" s="19">
        <f t="shared" si="6"/>
        <v>0.4909580398</v>
      </c>
      <c r="R181" s="17">
        <f t="shared" si="7"/>
        <v>434.5307775</v>
      </c>
      <c r="S181" s="18">
        <v>0.06</v>
      </c>
      <c r="T181" s="23"/>
      <c r="U181" s="19">
        <f t="shared" si="69"/>
        <v>17.3812311</v>
      </c>
      <c r="V181" s="24">
        <f t="shared" si="9"/>
        <v>43.45307775</v>
      </c>
      <c r="W181" s="179">
        <f t="shared" si="70"/>
        <v>0.25</v>
      </c>
      <c r="X181" s="179">
        <f t="shared" si="71"/>
        <v>0.2</v>
      </c>
      <c r="Y181" s="179">
        <f t="shared" si="72"/>
        <v>0.2133333333</v>
      </c>
      <c r="Z181" s="99"/>
      <c r="AA181" s="99"/>
      <c r="AB181" s="99"/>
      <c r="AC181" s="1028"/>
      <c r="AD181" s="99"/>
      <c r="AE181" s="99"/>
      <c r="AF181" s="99"/>
      <c r="AG181" s="1028" t="str">
        <f t="shared" si="73"/>
        <v/>
      </c>
      <c r="AH181" s="24">
        <f t="shared" si="74"/>
        <v>0</v>
      </c>
    </row>
    <row r="182">
      <c r="A182" s="1046">
        <v>2026.0</v>
      </c>
      <c r="B182" s="1046"/>
      <c r="C182" s="1046" t="s">
        <v>2469</v>
      </c>
      <c r="D182" s="1046" t="s">
        <v>2470</v>
      </c>
      <c r="E182" s="1046" t="s">
        <v>909</v>
      </c>
      <c r="F182" s="1048">
        <v>264000.0</v>
      </c>
      <c r="G182" s="1048">
        <v>400000.0</v>
      </c>
      <c r="H182" s="1025">
        <v>1.0</v>
      </c>
      <c r="I182" s="17">
        <f t="shared" si="1"/>
        <v>382.3870842</v>
      </c>
      <c r="J182" s="18">
        <v>0.035</v>
      </c>
      <c r="K182" s="19">
        <f t="shared" si="65"/>
        <v>369.0035363</v>
      </c>
      <c r="L182" s="20">
        <f t="shared" si="66"/>
        <v>13.38354795</v>
      </c>
      <c r="M182" s="87">
        <v>0.00137</v>
      </c>
      <c r="N182" s="18">
        <v>0.0215</v>
      </c>
      <c r="O182" s="22">
        <f t="shared" si="67"/>
        <v>0.001399455</v>
      </c>
      <c r="P182" s="19">
        <f t="shared" si="68"/>
        <v>22.93357603</v>
      </c>
      <c r="Q182" s="19">
        <f t="shared" si="6"/>
        <v>0.5379038438</v>
      </c>
      <c r="R182" s="17">
        <f t="shared" si="7"/>
        <v>579.37437</v>
      </c>
      <c r="S182" s="18">
        <v>0.06</v>
      </c>
      <c r="T182" s="23"/>
      <c r="U182" s="19">
        <f t="shared" si="69"/>
        <v>39.39745716</v>
      </c>
      <c r="V182" s="24">
        <f t="shared" si="9"/>
        <v>122.8273664</v>
      </c>
      <c r="W182" s="179">
        <f t="shared" si="70"/>
        <v>0.5151515152</v>
      </c>
      <c r="X182" s="179">
        <f t="shared" si="71"/>
        <v>0.34</v>
      </c>
      <c r="Y182" s="179">
        <f t="shared" si="72"/>
        <v>0.075</v>
      </c>
      <c r="Z182" s="99"/>
      <c r="AA182" s="99"/>
      <c r="AB182" s="99"/>
      <c r="AC182" s="1028"/>
      <c r="AD182" s="99"/>
      <c r="AE182" s="99"/>
      <c r="AF182" s="99"/>
      <c r="AG182" s="1028" t="str">
        <f t="shared" si="73"/>
        <v/>
      </c>
      <c r="AH182" s="24">
        <f t="shared" si="74"/>
        <v>0</v>
      </c>
    </row>
    <row r="183">
      <c r="A183" s="1046">
        <v>2025.0</v>
      </c>
      <c r="B183" s="1046"/>
      <c r="C183" s="1046" t="s">
        <v>2471</v>
      </c>
      <c r="D183" s="1046" t="s">
        <v>2472</v>
      </c>
      <c r="E183" s="1046" t="s">
        <v>909</v>
      </c>
      <c r="F183" s="1048">
        <v>160000.0</v>
      </c>
      <c r="G183" s="1048">
        <v>250000.0</v>
      </c>
      <c r="H183" s="1025">
        <v>1.0</v>
      </c>
      <c r="I183" s="17">
        <f t="shared" si="1"/>
        <v>231.749748</v>
      </c>
      <c r="J183" s="18">
        <v>0.035</v>
      </c>
      <c r="K183" s="19">
        <f t="shared" si="65"/>
        <v>223.6385068</v>
      </c>
      <c r="L183" s="20">
        <f t="shared" si="66"/>
        <v>8.11124118</v>
      </c>
      <c r="M183" s="87">
        <v>0.00137</v>
      </c>
      <c r="N183" s="18">
        <v>0.0215</v>
      </c>
      <c r="O183" s="22">
        <f t="shared" si="67"/>
        <v>0.001399455</v>
      </c>
      <c r="P183" s="19">
        <f t="shared" si="68"/>
        <v>19.8082279</v>
      </c>
      <c r="Q183" s="19">
        <f t="shared" si="6"/>
        <v>0.3344720266</v>
      </c>
      <c r="R183" s="17">
        <f t="shared" si="7"/>
        <v>362.1089813</v>
      </c>
      <c r="S183" s="18">
        <v>0.06</v>
      </c>
      <c r="T183" s="23"/>
      <c r="U183" s="19">
        <f t="shared" si="69"/>
        <v>26.07184665</v>
      </c>
      <c r="V183" s="24">
        <f t="shared" si="9"/>
        <v>82.56084773</v>
      </c>
      <c r="W183" s="179">
        <f t="shared" si="70"/>
        <v>0.5625</v>
      </c>
      <c r="X183" s="179">
        <f t="shared" si="71"/>
        <v>0.36</v>
      </c>
      <c r="Y183" s="179">
        <f t="shared" si="72"/>
        <v>0.3392</v>
      </c>
      <c r="Z183" s="99"/>
      <c r="AA183" s="99"/>
      <c r="AB183" s="99"/>
      <c r="AC183" s="1028"/>
      <c r="AD183" s="99"/>
      <c r="AE183" s="99"/>
      <c r="AF183" s="99"/>
      <c r="AG183" s="1028" t="str">
        <f t="shared" si="73"/>
        <v/>
      </c>
      <c r="AH183" s="24">
        <f t="shared" si="74"/>
        <v>0</v>
      </c>
    </row>
    <row r="184">
      <c r="A184" s="1046">
        <v>2026.0</v>
      </c>
      <c r="B184" s="1046"/>
      <c r="C184" s="1046" t="s">
        <v>2471</v>
      </c>
      <c r="D184" s="1046" t="s">
        <v>2472</v>
      </c>
      <c r="E184" s="1046" t="s">
        <v>909</v>
      </c>
      <c r="F184" s="1048">
        <v>176000.0</v>
      </c>
      <c r="G184" s="1048">
        <v>330000.0</v>
      </c>
      <c r="H184" s="1025">
        <v>1.0</v>
      </c>
      <c r="I184" s="17">
        <f t="shared" si="1"/>
        <v>254.9247228</v>
      </c>
      <c r="J184" s="18">
        <v>0.035</v>
      </c>
      <c r="K184" s="19">
        <f t="shared" si="65"/>
        <v>246.0023575</v>
      </c>
      <c r="L184" s="20">
        <f t="shared" si="66"/>
        <v>8.922365298</v>
      </c>
      <c r="M184" s="87">
        <v>0.00137</v>
      </c>
      <c r="N184" s="18">
        <v>0.0215</v>
      </c>
      <c r="O184" s="22">
        <f t="shared" si="67"/>
        <v>0.001399455</v>
      </c>
      <c r="P184" s="19">
        <f t="shared" si="68"/>
        <v>20.28905069</v>
      </c>
      <c r="Q184" s="19">
        <f t="shared" si="6"/>
        <v>0.3657692292</v>
      </c>
      <c r="R184" s="17">
        <f t="shared" si="7"/>
        <v>477.9838553</v>
      </c>
      <c r="S184" s="18">
        <v>0.06</v>
      </c>
      <c r="T184" s="23"/>
      <c r="U184" s="19">
        <f t="shared" si="69"/>
        <v>44.61182649</v>
      </c>
      <c r="V184" s="24">
        <f t="shared" si="9"/>
        <v>149.7682746</v>
      </c>
      <c r="W184" s="179">
        <f t="shared" si="70"/>
        <v>0.875</v>
      </c>
      <c r="X184" s="179">
        <f t="shared" si="71"/>
        <v>0.4666666667</v>
      </c>
      <c r="Y184" s="179">
        <f t="shared" si="72"/>
        <v>0.1727272727</v>
      </c>
      <c r="Z184" s="99"/>
      <c r="AA184" s="99"/>
      <c r="AB184" s="99"/>
      <c r="AC184" s="1028"/>
      <c r="AD184" s="99"/>
      <c r="AE184" s="99"/>
      <c r="AF184" s="99"/>
      <c r="AG184" s="1028" t="str">
        <f t="shared" si="73"/>
        <v/>
      </c>
      <c r="AH184" s="24">
        <f t="shared" si="74"/>
        <v>0</v>
      </c>
    </row>
    <row r="185">
      <c r="A185" s="1049"/>
      <c r="B185" s="1049"/>
      <c r="C185" s="1049"/>
      <c r="D185" s="1049"/>
      <c r="E185" s="1049"/>
      <c r="F185" s="1050"/>
      <c r="G185" s="1050"/>
      <c r="H185" s="1025">
        <v>1.0</v>
      </c>
      <c r="I185" s="17">
        <f t="shared" si="1"/>
        <v>0</v>
      </c>
      <c r="J185" s="18">
        <v>0.035</v>
      </c>
      <c r="K185" s="19">
        <f t="shared" si="65"/>
        <v>0</v>
      </c>
      <c r="L185" s="20">
        <f t="shared" si="66"/>
        <v>0</v>
      </c>
      <c r="M185" s="87">
        <v>0.00137</v>
      </c>
      <c r="N185" s="18">
        <v>0.0215</v>
      </c>
      <c r="O185" s="22">
        <f t="shared" si="67"/>
        <v>0.001399455</v>
      </c>
      <c r="P185" s="19">
        <f t="shared" si="68"/>
        <v>15</v>
      </c>
      <c r="Q185" s="19">
        <f t="shared" si="6"/>
        <v>0.0215</v>
      </c>
      <c r="R185" s="17">
        <f t="shared" si="7"/>
        <v>0</v>
      </c>
      <c r="S185" s="18">
        <v>0.06</v>
      </c>
      <c r="T185" s="23"/>
      <c r="U185" s="19">
        <f t="shared" si="69"/>
        <v>0</v>
      </c>
      <c r="V185" s="24">
        <f t="shared" si="9"/>
        <v>0</v>
      </c>
      <c r="W185" s="179" t="str">
        <f t="shared" si="70"/>
        <v/>
      </c>
      <c r="X185" s="179" t="str">
        <f t="shared" si="71"/>
        <v/>
      </c>
      <c r="Y185" s="179" t="str">
        <f t="shared" si="72"/>
        <v/>
      </c>
      <c r="Z185" s="99"/>
      <c r="AA185" s="99"/>
      <c r="AB185" s="99"/>
      <c r="AC185" s="1028"/>
      <c r="AD185" s="99"/>
      <c r="AE185" s="99"/>
      <c r="AF185" s="99"/>
      <c r="AG185" s="1028" t="str">
        <f t="shared" si="73"/>
        <v/>
      </c>
      <c r="AH185" s="24">
        <f t="shared" si="74"/>
        <v>0</v>
      </c>
    </row>
    <row r="186">
      <c r="A186" s="1049"/>
      <c r="B186" s="1049"/>
      <c r="C186" s="1049"/>
      <c r="D186" s="1049"/>
      <c r="E186" s="103"/>
      <c r="F186" s="1038"/>
      <c r="G186" s="1052"/>
      <c r="H186" s="1025">
        <v>1.0</v>
      </c>
      <c r="I186" s="17">
        <f t="shared" si="1"/>
        <v>0</v>
      </c>
      <c r="J186" s="18">
        <v>0.035</v>
      </c>
      <c r="K186" s="19">
        <f t="shared" si="65"/>
        <v>0</v>
      </c>
      <c r="L186" s="20">
        <f t="shared" si="66"/>
        <v>0</v>
      </c>
      <c r="M186" s="87">
        <v>0.00137</v>
      </c>
      <c r="N186" s="18">
        <v>0.0215</v>
      </c>
      <c r="O186" s="22">
        <f t="shared" si="67"/>
        <v>0.001399455</v>
      </c>
      <c r="P186" s="19">
        <f t="shared" si="68"/>
        <v>15</v>
      </c>
      <c r="Q186" s="19">
        <f t="shared" si="6"/>
        <v>0.0215</v>
      </c>
      <c r="R186" s="17">
        <f t="shared" si="7"/>
        <v>0</v>
      </c>
      <c r="S186" s="18">
        <v>0.06</v>
      </c>
      <c r="T186" s="23"/>
      <c r="U186" s="19">
        <f t="shared" si="69"/>
        <v>0</v>
      </c>
      <c r="V186" s="24">
        <f t="shared" si="9"/>
        <v>0</v>
      </c>
      <c r="W186" s="179" t="str">
        <f t="shared" si="70"/>
        <v/>
      </c>
      <c r="X186" s="179" t="str">
        <f t="shared" si="71"/>
        <v/>
      </c>
      <c r="Y186" s="179" t="str">
        <f t="shared" si="72"/>
        <v/>
      </c>
      <c r="Z186" s="99"/>
      <c r="AA186" s="99"/>
      <c r="AB186" s="99"/>
      <c r="AC186" s="1028"/>
      <c r="AD186" s="99"/>
      <c r="AE186" s="99"/>
      <c r="AF186" s="99"/>
      <c r="AG186" s="1028" t="str">
        <f t="shared" si="73"/>
        <v/>
      </c>
      <c r="AH186" s="24">
        <f t="shared" si="74"/>
        <v>0</v>
      </c>
    </row>
    <row r="187">
      <c r="A187" s="1049"/>
      <c r="B187" s="1049"/>
      <c r="C187" s="1049"/>
      <c r="D187" s="1049"/>
      <c r="E187" s="103"/>
      <c r="F187" s="1038"/>
      <c r="G187" s="1052"/>
      <c r="H187" s="1025">
        <v>1.0</v>
      </c>
      <c r="I187" s="17">
        <f t="shared" si="1"/>
        <v>0</v>
      </c>
      <c r="J187" s="18">
        <v>0.035</v>
      </c>
      <c r="K187" s="19">
        <f t="shared" si="65"/>
        <v>0</v>
      </c>
      <c r="L187" s="20">
        <f t="shared" si="66"/>
        <v>0</v>
      </c>
      <c r="M187" s="87">
        <v>0.00137</v>
      </c>
      <c r="N187" s="18">
        <v>0.0215</v>
      </c>
      <c r="O187" s="22">
        <f t="shared" si="67"/>
        <v>0.001399455</v>
      </c>
      <c r="P187" s="19">
        <f t="shared" si="68"/>
        <v>15</v>
      </c>
      <c r="Q187" s="19">
        <f t="shared" si="6"/>
        <v>0.0215</v>
      </c>
      <c r="R187" s="17">
        <f t="shared" si="7"/>
        <v>0</v>
      </c>
      <c r="S187" s="18">
        <v>0.06</v>
      </c>
      <c r="T187" s="23"/>
      <c r="U187" s="19">
        <f t="shared" si="69"/>
        <v>0</v>
      </c>
      <c r="V187" s="24">
        <f t="shared" si="9"/>
        <v>0</v>
      </c>
      <c r="W187" s="179" t="str">
        <f t="shared" si="70"/>
        <v/>
      </c>
      <c r="X187" s="179" t="str">
        <f t="shared" si="71"/>
        <v/>
      </c>
      <c r="Y187" s="179" t="str">
        <f t="shared" si="72"/>
        <v/>
      </c>
      <c r="Z187" s="99"/>
      <c r="AA187" s="99"/>
      <c r="AB187" s="99"/>
      <c r="AC187" s="1028"/>
      <c r="AD187" s="99"/>
      <c r="AE187" s="99"/>
      <c r="AF187" s="99"/>
      <c r="AG187" s="1028" t="str">
        <f t="shared" si="73"/>
        <v/>
      </c>
      <c r="AH187" s="24">
        <f t="shared" si="74"/>
        <v>0</v>
      </c>
    </row>
    <row r="188">
      <c r="A188" s="1049"/>
      <c r="B188" s="203"/>
      <c r="C188" s="203"/>
      <c r="D188" s="203"/>
      <c r="E188" s="177"/>
      <c r="F188" s="1052"/>
      <c r="G188" s="1038"/>
      <c r="I188" s="17">
        <f t="shared" si="1"/>
        <v>0</v>
      </c>
      <c r="J188" s="18">
        <v>0.035</v>
      </c>
      <c r="K188" s="19">
        <f t="shared" si="65"/>
        <v>0</v>
      </c>
      <c r="L188" s="20">
        <f t="shared" si="66"/>
        <v>0</v>
      </c>
      <c r="M188" s="87">
        <v>0.00137</v>
      </c>
      <c r="N188" s="18">
        <v>0.0215</v>
      </c>
      <c r="O188" s="22">
        <f t="shared" si="67"/>
        <v>0.001399455</v>
      </c>
      <c r="P188" s="19">
        <f t="shared" si="68"/>
        <v>15</v>
      </c>
      <c r="Q188" s="19">
        <f t="shared" si="6"/>
        <v>0.0215</v>
      </c>
      <c r="R188" s="17">
        <f t="shared" si="7"/>
        <v>0</v>
      </c>
      <c r="S188" s="18">
        <v>0.06</v>
      </c>
      <c r="T188" s="23"/>
      <c r="U188" s="19">
        <f t="shared" si="69"/>
        <v>0</v>
      </c>
      <c r="V188" s="24">
        <f t="shared" si="9"/>
        <v>0</v>
      </c>
      <c r="W188" s="179" t="str">
        <f t="shared" si="70"/>
        <v/>
      </c>
      <c r="X188" s="179" t="str">
        <f t="shared" si="71"/>
        <v/>
      </c>
      <c r="Y188" s="179" t="str">
        <f t="shared" si="72"/>
        <v/>
      </c>
      <c r="Z188" s="99"/>
      <c r="AA188" s="99"/>
      <c r="AB188" s="99"/>
      <c r="AC188" s="1028"/>
      <c r="AD188" s="99"/>
      <c r="AE188" s="99"/>
      <c r="AF188" s="99"/>
      <c r="AG188" s="1028" t="str">
        <f t="shared" si="73"/>
        <v/>
      </c>
      <c r="AH188" s="24">
        <f t="shared" si="74"/>
        <v>0</v>
      </c>
    </row>
    <row r="189">
      <c r="A189" s="1042">
        <v>2025.0</v>
      </c>
      <c r="B189" s="1042"/>
      <c r="C189" s="1042"/>
      <c r="D189" s="1042" t="s">
        <v>2473</v>
      </c>
      <c r="E189" s="1053" t="s">
        <v>2474</v>
      </c>
      <c r="F189" s="1052"/>
      <c r="G189" s="1038"/>
      <c r="I189" s="17">
        <f t="shared" si="1"/>
        <v>0</v>
      </c>
      <c r="J189" s="18">
        <v>0.035</v>
      </c>
      <c r="K189" s="19">
        <f t="shared" si="65"/>
        <v>0</v>
      </c>
      <c r="L189" s="20">
        <f t="shared" si="66"/>
        <v>0</v>
      </c>
      <c r="M189" s="87">
        <v>0.00137</v>
      </c>
      <c r="N189" s="18">
        <v>0.0215</v>
      </c>
      <c r="O189" s="22">
        <f t="shared" si="67"/>
        <v>0.001399455</v>
      </c>
      <c r="P189" s="19">
        <f t="shared" si="68"/>
        <v>15</v>
      </c>
      <c r="Q189" s="19">
        <f t="shared" si="6"/>
        <v>0.0215</v>
      </c>
      <c r="R189" s="17">
        <f t="shared" si="7"/>
        <v>0</v>
      </c>
      <c r="S189" s="18">
        <v>0.06</v>
      </c>
      <c r="T189" s="23"/>
      <c r="U189" s="19">
        <f t="shared" si="69"/>
        <v>0</v>
      </c>
      <c r="V189" s="24">
        <f t="shared" si="9"/>
        <v>0</v>
      </c>
      <c r="W189" s="179" t="str">
        <f t="shared" si="70"/>
        <v/>
      </c>
      <c r="X189" s="179" t="str">
        <f t="shared" si="71"/>
        <v/>
      </c>
      <c r="Y189" s="179" t="str">
        <f t="shared" si="72"/>
        <v/>
      </c>
      <c r="Z189" s="99"/>
      <c r="AA189" s="99"/>
      <c r="AB189" s="99"/>
      <c r="AC189" s="1028"/>
      <c r="AD189" s="99"/>
      <c r="AE189" s="99"/>
      <c r="AF189" s="99"/>
      <c r="AG189" s="1028" t="str">
        <f t="shared" si="73"/>
        <v/>
      </c>
      <c r="AH189" s="24">
        <f t="shared" si="74"/>
        <v>0</v>
      </c>
    </row>
    <row r="190">
      <c r="A190" s="1042">
        <v>2025.0</v>
      </c>
      <c r="B190" s="1042"/>
      <c r="C190" s="1042"/>
      <c r="D190" s="1042" t="s">
        <v>2475</v>
      </c>
      <c r="E190" s="1053" t="s">
        <v>2474</v>
      </c>
      <c r="F190" s="1038"/>
      <c r="G190" s="1038"/>
      <c r="I190" s="17"/>
      <c r="J190" s="18"/>
      <c r="K190" s="19"/>
      <c r="L190" s="20"/>
      <c r="M190" s="87"/>
      <c r="N190" s="18"/>
      <c r="O190" s="22"/>
      <c r="P190" s="19"/>
      <c r="Q190" s="19"/>
      <c r="R190" s="17">
        <f t="shared" si="7"/>
        <v>0</v>
      </c>
      <c r="S190" s="18"/>
      <c r="T190" s="23"/>
      <c r="U190" s="19"/>
      <c r="V190" s="24">
        <f t="shared" si="9"/>
        <v>0</v>
      </c>
      <c r="W190" s="179"/>
      <c r="X190" s="179"/>
      <c r="Y190" s="179"/>
      <c r="Z190" s="99"/>
      <c r="AA190" s="99"/>
      <c r="AB190" s="99"/>
      <c r="AC190" s="1028"/>
      <c r="AD190" s="99"/>
      <c r="AE190" s="99"/>
      <c r="AF190" s="99"/>
      <c r="AG190" s="1028"/>
      <c r="AH190" s="24"/>
    </row>
    <row r="191">
      <c r="A191" s="1049"/>
      <c r="B191" s="173"/>
      <c r="C191" s="173"/>
      <c r="D191" s="1042" t="s">
        <v>2473</v>
      </c>
      <c r="E191" s="177"/>
      <c r="F191" s="1052"/>
      <c r="G191" s="1038"/>
      <c r="I191" s="17">
        <f t="shared" ref="I191:I228" si="81">((F191*O191)*(1+J191))*H191</f>
        <v>0</v>
      </c>
      <c r="J191" s="18">
        <v>0.035</v>
      </c>
      <c r="K191" s="19">
        <f t="shared" ref="K191:K228" si="82">I191*(1-J191)</f>
        <v>0</v>
      </c>
      <c r="L191" s="20">
        <f t="shared" ref="L191:L228" si="83">I191-K191</f>
        <v>0</v>
      </c>
      <c r="M191" s="87">
        <v>0.00137</v>
      </c>
      <c r="N191" s="18">
        <v>0.0215</v>
      </c>
      <c r="O191" s="22">
        <f t="shared" ref="O191:O228" si="84">M191*(1+N191)</f>
        <v>0.001399455</v>
      </c>
      <c r="P191" s="19">
        <f t="shared" ref="P191:P228" si="85">(K191*N191)+15</f>
        <v>15</v>
      </c>
      <c r="Q191" s="19">
        <f t="shared" ref="Q191:Q228" si="86">(K191*O191)+N191</f>
        <v>0.0215</v>
      </c>
      <c r="R191" s="17">
        <f t="shared" si="7"/>
        <v>0</v>
      </c>
      <c r="S191" s="18">
        <v>0.06</v>
      </c>
      <c r="T191" s="23"/>
      <c r="U191" s="19">
        <f t="shared" ref="U191:U228" si="87">(R191-I191)*0.2</f>
        <v>0</v>
      </c>
      <c r="V191" s="24">
        <f t="shared" si="9"/>
        <v>0</v>
      </c>
      <c r="W191" s="179" t="str">
        <f t="shared" ref="W191:W228" si="88">IFERROR((R191-I191)/I191,"")</f>
        <v/>
      </c>
      <c r="X191" s="179" t="str">
        <f t="shared" ref="X191:X228" si="89">IFERROR((R191-I191)/R191,"")</f>
        <v/>
      </c>
      <c r="Y191" s="179" t="str">
        <f t="shared" ref="Y191:Y228" si="90">IFERROR(V190/R191,"")</f>
        <v/>
      </c>
      <c r="Z191" s="99"/>
      <c r="AA191" s="99"/>
      <c r="AB191" s="99"/>
      <c r="AC191" s="1028"/>
      <c r="AD191" s="99"/>
      <c r="AE191" s="99"/>
      <c r="AF191" s="99"/>
      <c r="AG191" s="1028" t="str">
        <f t="shared" ref="AG191:AG228" si="91">IFERROR(AVERAGE(AD191:AF191),"")</f>
        <v/>
      </c>
      <c r="AH191" s="24">
        <f t="shared" ref="AH191:AH228" si="92">AD191+AE191+AF191</f>
        <v>0</v>
      </c>
    </row>
    <row r="192">
      <c r="A192" s="1049"/>
      <c r="B192" s="173"/>
      <c r="C192" s="173"/>
      <c r="D192" s="1042" t="s">
        <v>2475</v>
      </c>
      <c r="E192" s="177"/>
      <c r="F192" s="1054"/>
      <c r="G192" s="1038"/>
      <c r="I192" s="17">
        <f t="shared" si="81"/>
        <v>0</v>
      </c>
      <c r="J192" s="18">
        <v>0.035</v>
      </c>
      <c r="K192" s="19">
        <f t="shared" si="82"/>
        <v>0</v>
      </c>
      <c r="L192" s="20">
        <f t="shared" si="83"/>
        <v>0</v>
      </c>
      <c r="M192" s="87">
        <v>0.00137</v>
      </c>
      <c r="N192" s="18">
        <v>0.0215</v>
      </c>
      <c r="O192" s="22">
        <f t="shared" si="84"/>
        <v>0.001399455</v>
      </c>
      <c r="P192" s="19">
        <f t="shared" si="85"/>
        <v>15</v>
      </c>
      <c r="Q192" s="19">
        <f t="shared" si="86"/>
        <v>0.0215</v>
      </c>
      <c r="R192" s="17">
        <f t="shared" si="7"/>
        <v>0</v>
      </c>
      <c r="S192" s="18">
        <v>0.06</v>
      </c>
      <c r="T192" s="23"/>
      <c r="U192" s="19">
        <f t="shared" si="87"/>
        <v>0</v>
      </c>
      <c r="V192" s="24">
        <f t="shared" si="9"/>
        <v>0</v>
      </c>
      <c r="W192" s="179" t="str">
        <f t="shared" si="88"/>
        <v/>
      </c>
      <c r="X192" s="179" t="str">
        <f t="shared" si="89"/>
        <v/>
      </c>
      <c r="Y192" s="179" t="str">
        <f t="shared" si="90"/>
        <v/>
      </c>
      <c r="Z192" s="99"/>
      <c r="AA192" s="99"/>
      <c r="AB192" s="99"/>
      <c r="AC192" s="1028"/>
      <c r="AD192" s="99"/>
      <c r="AE192" s="99"/>
      <c r="AF192" s="99"/>
      <c r="AG192" s="1028" t="str">
        <f t="shared" si="91"/>
        <v/>
      </c>
      <c r="AH192" s="24">
        <f t="shared" si="92"/>
        <v>0</v>
      </c>
    </row>
    <row r="193">
      <c r="A193" s="1049"/>
      <c r="B193" s="173"/>
      <c r="C193" s="173"/>
      <c r="D193" s="1042" t="s">
        <v>2473</v>
      </c>
      <c r="E193" s="177"/>
      <c r="F193" s="1054"/>
      <c r="G193" s="1038"/>
      <c r="I193" s="17">
        <f t="shared" si="81"/>
        <v>0</v>
      </c>
      <c r="J193" s="18">
        <v>0.035</v>
      </c>
      <c r="K193" s="19">
        <f t="shared" si="82"/>
        <v>0</v>
      </c>
      <c r="L193" s="20">
        <f t="shared" si="83"/>
        <v>0</v>
      </c>
      <c r="M193" s="87">
        <v>0.00137</v>
      </c>
      <c r="N193" s="18">
        <v>0.0215</v>
      </c>
      <c r="O193" s="22">
        <f t="shared" si="84"/>
        <v>0.001399455</v>
      </c>
      <c r="P193" s="19">
        <f t="shared" si="85"/>
        <v>15</v>
      </c>
      <c r="Q193" s="19">
        <f t="shared" si="86"/>
        <v>0.0215</v>
      </c>
      <c r="R193" s="17">
        <f t="shared" si="7"/>
        <v>0</v>
      </c>
      <c r="S193" s="18">
        <v>0.06</v>
      </c>
      <c r="T193" s="23"/>
      <c r="U193" s="19">
        <f t="shared" si="87"/>
        <v>0</v>
      </c>
      <c r="V193" s="24">
        <f t="shared" si="9"/>
        <v>0</v>
      </c>
      <c r="W193" s="179" t="str">
        <f t="shared" si="88"/>
        <v/>
      </c>
      <c r="X193" s="179" t="str">
        <f t="shared" si="89"/>
        <v/>
      </c>
      <c r="Y193" s="179" t="str">
        <f t="shared" si="90"/>
        <v/>
      </c>
      <c r="Z193" s="99"/>
      <c r="AA193" s="99"/>
      <c r="AB193" s="99"/>
      <c r="AC193" s="1028"/>
      <c r="AD193" s="99"/>
      <c r="AE193" s="99"/>
      <c r="AF193" s="99"/>
      <c r="AG193" s="1028" t="str">
        <f t="shared" si="91"/>
        <v/>
      </c>
      <c r="AH193" s="24">
        <f t="shared" si="92"/>
        <v>0</v>
      </c>
    </row>
    <row r="194">
      <c r="A194" s="1049"/>
      <c r="B194" s="203"/>
      <c r="C194" s="203"/>
      <c r="D194" s="1042" t="s">
        <v>2475</v>
      </c>
      <c r="E194" s="177"/>
      <c r="F194" s="1054"/>
      <c r="G194" s="1038"/>
      <c r="I194" s="17">
        <f t="shared" si="81"/>
        <v>0</v>
      </c>
      <c r="J194" s="18">
        <v>0.035</v>
      </c>
      <c r="K194" s="19">
        <f t="shared" si="82"/>
        <v>0</v>
      </c>
      <c r="L194" s="20">
        <f t="shared" si="83"/>
        <v>0</v>
      </c>
      <c r="M194" s="87">
        <v>0.00137</v>
      </c>
      <c r="N194" s="18">
        <v>0.0215</v>
      </c>
      <c r="O194" s="22">
        <f t="shared" si="84"/>
        <v>0.001399455</v>
      </c>
      <c r="P194" s="19">
        <f t="shared" si="85"/>
        <v>15</v>
      </c>
      <c r="Q194" s="19">
        <f t="shared" si="86"/>
        <v>0.0215</v>
      </c>
      <c r="R194" s="17">
        <f t="shared" si="7"/>
        <v>0</v>
      </c>
      <c r="S194" s="18">
        <v>0.06</v>
      </c>
      <c r="T194" s="23"/>
      <c r="U194" s="19">
        <f t="shared" si="87"/>
        <v>0</v>
      </c>
      <c r="V194" s="24">
        <f t="shared" si="9"/>
        <v>0</v>
      </c>
      <c r="W194" s="179" t="str">
        <f t="shared" si="88"/>
        <v/>
      </c>
      <c r="X194" s="179" t="str">
        <f t="shared" si="89"/>
        <v/>
      </c>
      <c r="Y194" s="179" t="str">
        <f t="shared" si="90"/>
        <v/>
      </c>
      <c r="Z194" s="99"/>
      <c r="AA194" s="99"/>
      <c r="AB194" s="99"/>
      <c r="AC194" s="1028"/>
      <c r="AD194" s="99"/>
      <c r="AE194" s="99"/>
      <c r="AF194" s="99"/>
      <c r="AG194" s="1028" t="str">
        <f t="shared" si="91"/>
        <v/>
      </c>
      <c r="AH194" s="24">
        <f t="shared" si="92"/>
        <v>0</v>
      </c>
    </row>
    <row r="195">
      <c r="A195" s="1049"/>
      <c r="B195" s="181"/>
      <c r="C195" s="103"/>
      <c r="D195" s="1042" t="s">
        <v>2473</v>
      </c>
      <c r="E195" s="177"/>
      <c r="F195" s="1038"/>
      <c r="G195" s="1038"/>
      <c r="I195" s="17">
        <f t="shared" si="81"/>
        <v>0</v>
      </c>
      <c r="J195" s="18">
        <v>0.035</v>
      </c>
      <c r="K195" s="19">
        <f t="shared" si="82"/>
        <v>0</v>
      </c>
      <c r="L195" s="20">
        <f t="shared" si="83"/>
        <v>0</v>
      </c>
      <c r="M195" s="87">
        <v>0.00137</v>
      </c>
      <c r="N195" s="18">
        <v>0.0215</v>
      </c>
      <c r="O195" s="22">
        <f t="shared" si="84"/>
        <v>0.001399455</v>
      </c>
      <c r="P195" s="19">
        <f t="shared" si="85"/>
        <v>15</v>
      </c>
      <c r="Q195" s="19">
        <f t="shared" si="86"/>
        <v>0.0215</v>
      </c>
      <c r="R195" s="17">
        <f t="shared" si="7"/>
        <v>0</v>
      </c>
      <c r="S195" s="18">
        <v>0.06</v>
      </c>
      <c r="T195" s="23"/>
      <c r="U195" s="19">
        <f t="shared" si="87"/>
        <v>0</v>
      </c>
      <c r="V195" s="24">
        <f t="shared" si="9"/>
        <v>0</v>
      </c>
      <c r="W195" s="179" t="str">
        <f t="shared" si="88"/>
        <v/>
      </c>
      <c r="X195" s="179" t="str">
        <f t="shared" si="89"/>
        <v/>
      </c>
      <c r="Y195" s="179" t="str">
        <f t="shared" si="90"/>
        <v/>
      </c>
      <c r="Z195" s="99"/>
      <c r="AA195" s="99"/>
      <c r="AB195" s="99"/>
      <c r="AC195" s="1028"/>
      <c r="AD195" s="99"/>
      <c r="AE195" s="99"/>
      <c r="AF195" s="99"/>
      <c r="AG195" s="1028" t="str">
        <f t="shared" si="91"/>
        <v/>
      </c>
      <c r="AH195" s="24">
        <f t="shared" si="92"/>
        <v>0</v>
      </c>
    </row>
    <row r="196">
      <c r="A196" s="1049"/>
      <c r="B196" s="203"/>
      <c r="C196" s="203"/>
      <c r="D196" s="1042" t="s">
        <v>2475</v>
      </c>
      <c r="E196" s="177"/>
      <c r="F196" s="1038"/>
      <c r="G196" s="1038"/>
      <c r="I196" s="17">
        <f t="shared" si="81"/>
        <v>0</v>
      </c>
      <c r="J196" s="18">
        <v>0.035</v>
      </c>
      <c r="K196" s="19">
        <f t="shared" si="82"/>
        <v>0</v>
      </c>
      <c r="L196" s="20">
        <f t="shared" si="83"/>
        <v>0</v>
      </c>
      <c r="M196" s="87">
        <v>0.00137</v>
      </c>
      <c r="N196" s="18">
        <v>0.0215</v>
      </c>
      <c r="O196" s="22">
        <f t="shared" si="84"/>
        <v>0.001399455</v>
      </c>
      <c r="P196" s="19">
        <f t="shared" si="85"/>
        <v>15</v>
      </c>
      <c r="Q196" s="19">
        <f t="shared" si="86"/>
        <v>0.0215</v>
      </c>
      <c r="R196" s="17">
        <f t="shared" si="7"/>
        <v>0</v>
      </c>
      <c r="S196" s="18">
        <v>0.06</v>
      </c>
      <c r="T196" s="23"/>
      <c r="U196" s="19">
        <f t="shared" si="87"/>
        <v>0</v>
      </c>
      <c r="V196" s="24">
        <f t="shared" si="9"/>
        <v>0</v>
      </c>
      <c r="W196" s="179" t="str">
        <f t="shared" si="88"/>
        <v/>
      </c>
      <c r="X196" s="179" t="str">
        <f t="shared" si="89"/>
        <v/>
      </c>
      <c r="Y196" s="179" t="str">
        <f t="shared" si="90"/>
        <v/>
      </c>
      <c r="Z196" s="99"/>
      <c r="AA196" s="99"/>
      <c r="AB196" s="99"/>
      <c r="AC196" s="1028"/>
      <c r="AD196" s="99"/>
      <c r="AE196" s="99"/>
      <c r="AF196" s="99"/>
      <c r="AG196" s="1028" t="str">
        <f t="shared" si="91"/>
        <v/>
      </c>
      <c r="AH196" s="24">
        <f t="shared" si="92"/>
        <v>0</v>
      </c>
    </row>
    <row r="197">
      <c r="A197" s="1049"/>
      <c r="B197" s="181"/>
      <c r="C197" s="181"/>
      <c r="D197" s="1055"/>
      <c r="E197" s="1056"/>
      <c r="F197" s="1057"/>
      <c r="G197" s="1038"/>
      <c r="I197" s="17">
        <f t="shared" si="81"/>
        <v>0</v>
      </c>
      <c r="J197" s="18">
        <v>0.035</v>
      </c>
      <c r="K197" s="19">
        <f t="shared" si="82"/>
        <v>0</v>
      </c>
      <c r="L197" s="20">
        <f t="shared" si="83"/>
        <v>0</v>
      </c>
      <c r="M197" s="87">
        <v>0.00137</v>
      </c>
      <c r="N197" s="18">
        <v>0.0215</v>
      </c>
      <c r="O197" s="22">
        <f t="shared" si="84"/>
        <v>0.001399455</v>
      </c>
      <c r="P197" s="19">
        <f t="shared" si="85"/>
        <v>15</v>
      </c>
      <c r="Q197" s="19">
        <f t="shared" si="86"/>
        <v>0.0215</v>
      </c>
      <c r="R197" s="17">
        <f t="shared" si="7"/>
        <v>0</v>
      </c>
      <c r="S197" s="18">
        <v>0.06</v>
      </c>
      <c r="T197" s="23"/>
      <c r="U197" s="19">
        <f t="shared" si="87"/>
        <v>0</v>
      </c>
      <c r="V197" s="24">
        <f t="shared" si="9"/>
        <v>0</v>
      </c>
      <c r="W197" s="179" t="str">
        <f t="shared" si="88"/>
        <v/>
      </c>
      <c r="X197" s="179" t="str">
        <f t="shared" si="89"/>
        <v/>
      </c>
      <c r="Y197" s="179" t="str">
        <f t="shared" si="90"/>
        <v/>
      </c>
      <c r="Z197" s="99"/>
      <c r="AA197" s="99"/>
      <c r="AB197" s="99"/>
      <c r="AC197" s="1028"/>
      <c r="AD197" s="99"/>
      <c r="AE197" s="99"/>
      <c r="AF197" s="99"/>
      <c r="AG197" s="1028" t="str">
        <f t="shared" si="91"/>
        <v/>
      </c>
      <c r="AH197" s="24">
        <f t="shared" si="92"/>
        <v>0</v>
      </c>
    </row>
    <row r="198">
      <c r="A198" s="1049"/>
      <c r="B198" s="1049"/>
      <c r="C198" s="1049"/>
      <c r="D198" s="1049"/>
      <c r="E198" s="1049"/>
      <c r="F198" s="1050"/>
      <c r="G198" s="1050"/>
      <c r="I198" s="17">
        <f t="shared" si="81"/>
        <v>0</v>
      </c>
      <c r="J198" s="18">
        <v>0.035</v>
      </c>
      <c r="K198" s="19">
        <f t="shared" si="82"/>
        <v>0</v>
      </c>
      <c r="L198" s="20">
        <f t="shared" si="83"/>
        <v>0</v>
      </c>
      <c r="M198" s="87">
        <v>0.00137</v>
      </c>
      <c r="N198" s="18">
        <v>0.0215</v>
      </c>
      <c r="O198" s="22">
        <f t="shared" si="84"/>
        <v>0.001399455</v>
      </c>
      <c r="P198" s="19">
        <f t="shared" si="85"/>
        <v>15</v>
      </c>
      <c r="Q198" s="19">
        <f t="shared" si="86"/>
        <v>0.0215</v>
      </c>
      <c r="R198" s="17">
        <f t="shared" si="7"/>
        <v>0</v>
      </c>
      <c r="S198" s="18">
        <v>0.06</v>
      </c>
      <c r="T198" s="23"/>
      <c r="U198" s="19">
        <f t="shared" si="87"/>
        <v>0</v>
      </c>
      <c r="V198" s="24">
        <f t="shared" si="9"/>
        <v>0</v>
      </c>
      <c r="W198" s="179" t="str">
        <f t="shared" si="88"/>
        <v/>
      </c>
      <c r="X198" s="179" t="str">
        <f t="shared" si="89"/>
        <v/>
      </c>
      <c r="Y198" s="179" t="str">
        <f t="shared" si="90"/>
        <v/>
      </c>
      <c r="Z198" s="99"/>
      <c r="AA198" s="99"/>
      <c r="AB198" s="99"/>
      <c r="AC198" s="1028"/>
      <c r="AD198" s="99"/>
      <c r="AE198" s="99"/>
      <c r="AF198" s="99"/>
      <c r="AG198" s="1028" t="str">
        <f t="shared" si="91"/>
        <v/>
      </c>
      <c r="AH198" s="24">
        <f t="shared" si="92"/>
        <v>0</v>
      </c>
    </row>
    <row r="199">
      <c r="A199" s="1049"/>
      <c r="B199" s="1049"/>
      <c r="C199" s="1049"/>
      <c r="D199" s="1049"/>
      <c r="E199" s="1049"/>
      <c r="F199" s="1050"/>
      <c r="G199" s="1050"/>
      <c r="I199" s="17">
        <f t="shared" si="81"/>
        <v>0</v>
      </c>
      <c r="J199" s="18">
        <v>0.035</v>
      </c>
      <c r="K199" s="19">
        <f t="shared" si="82"/>
        <v>0</v>
      </c>
      <c r="L199" s="20">
        <f t="shared" si="83"/>
        <v>0</v>
      </c>
      <c r="M199" s="87">
        <v>0.00137</v>
      </c>
      <c r="N199" s="18">
        <v>0.0215</v>
      </c>
      <c r="O199" s="22">
        <f t="shared" si="84"/>
        <v>0.001399455</v>
      </c>
      <c r="P199" s="19">
        <f t="shared" si="85"/>
        <v>15</v>
      </c>
      <c r="Q199" s="19">
        <f t="shared" si="86"/>
        <v>0.0215</v>
      </c>
      <c r="R199" s="17">
        <f t="shared" si="7"/>
        <v>0</v>
      </c>
      <c r="S199" s="18">
        <v>0.06</v>
      </c>
      <c r="T199" s="23"/>
      <c r="U199" s="19">
        <f t="shared" si="87"/>
        <v>0</v>
      </c>
      <c r="V199" s="24">
        <f t="shared" si="9"/>
        <v>0</v>
      </c>
      <c r="W199" s="179" t="str">
        <f t="shared" si="88"/>
        <v/>
      </c>
      <c r="X199" s="179" t="str">
        <f t="shared" si="89"/>
        <v/>
      </c>
      <c r="Y199" s="179" t="str">
        <f t="shared" si="90"/>
        <v/>
      </c>
      <c r="Z199" s="99"/>
      <c r="AA199" s="99"/>
      <c r="AB199" s="99"/>
      <c r="AC199" s="1028"/>
      <c r="AD199" s="99"/>
      <c r="AE199" s="99"/>
      <c r="AF199" s="99"/>
      <c r="AG199" s="1028" t="str">
        <f t="shared" si="91"/>
        <v/>
      </c>
      <c r="AH199" s="24">
        <f t="shared" si="92"/>
        <v>0</v>
      </c>
    </row>
    <row r="200">
      <c r="A200" s="1049"/>
      <c r="B200" s="1049"/>
      <c r="C200" s="1049"/>
      <c r="D200" s="1049"/>
      <c r="E200" s="1049"/>
      <c r="F200" s="1050"/>
      <c r="G200" s="1050"/>
      <c r="I200" s="17">
        <f t="shared" si="81"/>
        <v>0</v>
      </c>
      <c r="J200" s="18">
        <v>0.035</v>
      </c>
      <c r="K200" s="19">
        <f t="shared" si="82"/>
        <v>0</v>
      </c>
      <c r="L200" s="20">
        <f t="shared" si="83"/>
        <v>0</v>
      </c>
      <c r="M200" s="87">
        <v>0.00137</v>
      </c>
      <c r="N200" s="18">
        <v>0.0215</v>
      </c>
      <c r="O200" s="22">
        <f t="shared" si="84"/>
        <v>0.001399455</v>
      </c>
      <c r="P200" s="19">
        <f t="shared" si="85"/>
        <v>15</v>
      </c>
      <c r="Q200" s="19">
        <f t="shared" si="86"/>
        <v>0.0215</v>
      </c>
      <c r="R200" s="17">
        <f t="shared" si="7"/>
        <v>0</v>
      </c>
      <c r="S200" s="18">
        <v>0.06</v>
      </c>
      <c r="T200" s="23"/>
      <c r="U200" s="19">
        <f t="shared" si="87"/>
        <v>0</v>
      </c>
      <c r="V200" s="24">
        <f t="shared" si="9"/>
        <v>0</v>
      </c>
      <c r="W200" s="179" t="str">
        <f t="shared" si="88"/>
        <v/>
      </c>
      <c r="X200" s="179" t="str">
        <f t="shared" si="89"/>
        <v/>
      </c>
      <c r="Y200" s="179" t="str">
        <f t="shared" si="90"/>
        <v/>
      </c>
      <c r="Z200" s="99"/>
      <c r="AA200" s="99"/>
      <c r="AB200" s="99"/>
      <c r="AC200" s="1028"/>
      <c r="AD200" s="99"/>
      <c r="AE200" s="99"/>
      <c r="AF200" s="99"/>
      <c r="AG200" s="1028" t="str">
        <f t="shared" si="91"/>
        <v/>
      </c>
      <c r="AH200" s="24">
        <f t="shared" si="92"/>
        <v>0</v>
      </c>
    </row>
    <row r="201">
      <c r="A201" s="1049"/>
      <c r="B201" s="1049"/>
      <c r="C201" s="1049"/>
      <c r="D201" s="1049"/>
      <c r="E201" s="1049"/>
      <c r="F201" s="1050"/>
      <c r="G201" s="1050"/>
      <c r="I201" s="17">
        <f t="shared" si="81"/>
        <v>0</v>
      </c>
      <c r="J201" s="18">
        <v>0.035</v>
      </c>
      <c r="K201" s="19">
        <f t="shared" si="82"/>
        <v>0</v>
      </c>
      <c r="L201" s="20">
        <f t="shared" si="83"/>
        <v>0</v>
      </c>
      <c r="M201" s="87">
        <v>0.00137</v>
      </c>
      <c r="N201" s="18">
        <v>0.0215</v>
      </c>
      <c r="O201" s="22">
        <f t="shared" si="84"/>
        <v>0.001399455</v>
      </c>
      <c r="P201" s="19">
        <f t="shared" si="85"/>
        <v>15</v>
      </c>
      <c r="Q201" s="19">
        <f t="shared" si="86"/>
        <v>0.0215</v>
      </c>
      <c r="R201" s="17">
        <f t="shared" si="7"/>
        <v>0</v>
      </c>
      <c r="S201" s="18">
        <v>0.06</v>
      </c>
      <c r="T201" s="23"/>
      <c r="U201" s="19">
        <f t="shared" si="87"/>
        <v>0</v>
      </c>
      <c r="V201" s="24">
        <f t="shared" si="9"/>
        <v>0</v>
      </c>
      <c r="W201" s="179" t="str">
        <f t="shared" si="88"/>
        <v/>
      </c>
      <c r="X201" s="179" t="str">
        <f t="shared" si="89"/>
        <v/>
      </c>
      <c r="Y201" s="179" t="str">
        <f t="shared" si="90"/>
        <v/>
      </c>
      <c r="Z201" s="99"/>
      <c r="AA201" s="99"/>
      <c r="AB201" s="99"/>
      <c r="AC201" s="1028"/>
      <c r="AD201" s="99"/>
      <c r="AE201" s="99"/>
      <c r="AF201" s="99"/>
      <c r="AG201" s="1028" t="str">
        <f t="shared" si="91"/>
        <v/>
      </c>
      <c r="AH201" s="24">
        <f t="shared" si="92"/>
        <v>0</v>
      </c>
    </row>
    <row r="202">
      <c r="A202" s="1049"/>
      <c r="B202" s="1049"/>
      <c r="C202" s="1049"/>
      <c r="D202" s="1049"/>
      <c r="E202" s="1049"/>
      <c r="F202" s="1050"/>
      <c r="G202" s="1050"/>
      <c r="I202" s="17">
        <f t="shared" si="81"/>
        <v>0</v>
      </c>
      <c r="J202" s="18">
        <v>0.035</v>
      </c>
      <c r="K202" s="19">
        <f t="shared" si="82"/>
        <v>0</v>
      </c>
      <c r="L202" s="20">
        <f t="shared" si="83"/>
        <v>0</v>
      </c>
      <c r="M202" s="87">
        <v>0.00137</v>
      </c>
      <c r="N202" s="18">
        <v>0.0215</v>
      </c>
      <c r="O202" s="22">
        <f t="shared" si="84"/>
        <v>0.001399455</v>
      </c>
      <c r="P202" s="19">
        <f t="shared" si="85"/>
        <v>15</v>
      </c>
      <c r="Q202" s="19">
        <f t="shared" si="86"/>
        <v>0.0215</v>
      </c>
      <c r="R202" s="17">
        <f t="shared" si="7"/>
        <v>0</v>
      </c>
      <c r="S202" s="18">
        <v>0.06</v>
      </c>
      <c r="T202" s="23"/>
      <c r="U202" s="19">
        <f t="shared" si="87"/>
        <v>0</v>
      </c>
      <c r="V202" s="24">
        <f t="shared" si="9"/>
        <v>0</v>
      </c>
      <c r="W202" s="179" t="str">
        <f t="shared" si="88"/>
        <v/>
      </c>
      <c r="X202" s="179" t="str">
        <f t="shared" si="89"/>
        <v/>
      </c>
      <c r="Y202" s="179" t="str">
        <f t="shared" si="90"/>
        <v/>
      </c>
      <c r="Z202" s="99"/>
      <c r="AA202" s="99"/>
      <c r="AB202" s="99"/>
      <c r="AC202" s="1028"/>
      <c r="AD202" s="99"/>
      <c r="AE202" s="99"/>
      <c r="AF202" s="99"/>
      <c r="AG202" s="1028" t="str">
        <f t="shared" si="91"/>
        <v/>
      </c>
      <c r="AH202" s="24">
        <f t="shared" si="92"/>
        <v>0</v>
      </c>
    </row>
    <row r="203">
      <c r="A203" s="1049"/>
      <c r="B203" s="1049"/>
      <c r="C203" s="1049"/>
      <c r="D203" s="1049"/>
      <c r="E203" s="1049"/>
      <c r="F203" s="1050"/>
      <c r="G203" s="1050"/>
      <c r="I203" s="17">
        <f t="shared" si="81"/>
        <v>0</v>
      </c>
      <c r="J203" s="18">
        <v>0.035</v>
      </c>
      <c r="K203" s="19">
        <f t="shared" si="82"/>
        <v>0</v>
      </c>
      <c r="L203" s="20">
        <f t="shared" si="83"/>
        <v>0</v>
      </c>
      <c r="M203" s="87">
        <v>0.00137</v>
      </c>
      <c r="N203" s="18">
        <v>0.0215</v>
      </c>
      <c r="O203" s="22">
        <f t="shared" si="84"/>
        <v>0.001399455</v>
      </c>
      <c r="P203" s="19">
        <f t="shared" si="85"/>
        <v>15</v>
      </c>
      <c r="Q203" s="19">
        <f t="shared" si="86"/>
        <v>0.0215</v>
      </c>
      <c r="R203" s="17">
        <f t="shared" si="7"/>
        <v>0</v>
      </c>
      <c r="S203" s="18">
        <v>0.06</v>
      </c>
      <c r="T203" s="23"/>
      <c r="U203" s="19">
        <f t="shared" si="87"/>
        <v>0</v>
      </c>
      <c r="V203" s="24">
        <f t="shared" si="9"/>
        <v>0</v>
      </c>
      <c r="W203" s="179" t="str">
        <f t="shared" si="88"/>
        <v/>
      </c>
      <c r="X203" s="179" t="str">
        <f t="shared" si="89"/>
        <v/>
      </c>
      <c r="Y203" s="179" t="str">
        <f t="shared" si="90"/>
        <v/>
      </c>
      <c r="Z203" s="99"/>
      <c r="AA203" s="99"/>
      <c r="AB203" s="99"/>
      <c r="AC203" s="1028"/>
      <c r="AD203" s="99"/>
      <c r="AE203" s="99"/>
      <c r="AF203" s="99"/>
      <c r="AG203" s="1028" t="str">
        <f t="shared" si="91"/>
        <v/>
      </c>
      <c r="AH203" s="24">
        <f t="shared" si="92"/>
        <v>0</v>
      </c>
    </row>
    <row r="204">
      <c r="A204" s="1049"/>
      <c r="B204" s="1049"/>
      <c r="C204" s="1049"/>
      <c r="D204" s="1049"/>
      <c r="E204" s="1049"/>
      <c r="F204" s="1050"/>
      <c r="G204" s="1050"/>
      <c r="I204" s="17">
        <f t="shared" si="81"/>
        <v>0</v>
      </c>
      <c r="J204" s="18">
        <v>0.035</v>
      </c>
      <c r="K204" s="19">
        <f t="shared" si="82"/>
        <v>0</v>
      </c>
      <c r="L204" s="20">
        <f t="shared" si="83"/>
        <v>0</v>
      </c>
      <c r="M204" s="87">
        <v>0.00137</v>
      </c>
      <c r="N204" s="18">
        <v>0.0215</v>
      </c>
      <c r="O204" s="22">
        <f t="shared" si="84"/>
        <v>0.001399455</v>
      </c>
      <c r="P204" s="19">
        <f t="shared" si="85"/>
        <v>15</v>
      </c>
      <c r="Q204" s="19">
        <f t="shared" si="86"/>
        <v>0.0215</v>
      </c>
      <c r="R204" s="17">
        <f t="shared" si="7"/>
        <v>0</v>
      </c>
      <c r="S204" s="18">
        <v>0.06</v>
      </c>
      <c r="T204" s="23"/>
      <c r="U204" s="19">
        <f t="shared" si="87"/>
        <v>0</v>
      </c>
      <c r="V204" s="24">
        <f t="shared" si="9"/>
        <v>0</v>
      </c>
      <c r="W204" s="179" t="str">
        <f t="shared" si="88"/>
        <v/>
      </c>
      <c r="X204" s="179" t="str">
        <f t="shared" si="89"/>
        <v/>
      </c>
      <c r="Y204" s="179" t="str">
        <f t="shared" si="90"/>
        <v/>
      </c>
      <c r="Z204" s="99"/>
      <c r="AA204" s="99"/>
      <c r="AB204" s="99"/>
      <c r="AC204" s="1028"/>
      <c r="AD204" s="99"/>
      <c r="AE204" s="99"/>
      <c r="AF204" s="99"/>
      <c r="AG204" s="1028" t="str">
        <f t="shared" si="91"/>
        <v/>
      </c>
      <c r="AH204" s="24">
        <f t="shared" si="92"/>
        <v>0</v>
      </c>
    </row>
    <row r="205">
      <c r="A205" s="1049"/>
      <c r="B205" s="1049"/>
      <c r="C205" s="1049"/>
      <c r="D205" s="1049"/>
      <c r="E205" s="1049"/>
      <c r="F205" s="1050"/>
      <c r="G205" s="1050"/>
      <c r="I205" s="17">
        <f t="shared" si="81"/>
        <v>0</v>
      </c>
      <c r="J205" s="18">
        <v>0.035</v>
      </c>
      <c r="K205" s="19">
        <f t="shared" si="82"/>
        <v>0</v>
      </c>
      <c r="L205" s="20">
        <f t="shared" si="83"/>
        <v>0</v>
      </c>
      <c r="M205" s="87">
        <v>0.00137</v>
      </c>
      <c r="N205" s="18">
        <v>0.0215</v>
      </c>
      <c r="O205" s="22">
        <f t="shared" si="84"/>
        <v>0.001399455</v>
      </c>
      <c r="P205" s="19">
        <f t="shared" si="85"/>
        <v>15</v>
      </c>
      <c r="Q205" s="19">
        <f t="shared" si="86"/>
        <v>0.0215</v>
      </c>
      <c r="R205" s="17">
        <f t="shared" si="7"/>
        <v>0</v>
      </c>
      <c r="S205" s="18">
        <v>0.06</v>
      </c>
      <c r="T205" s="23"/>
      <c r="U205" s="19">
        <f t="shared" si="87"/>
        <v>0</v>
      </c>
      <c r="V205" s="24">
        <f t="shared" si="9"/>
        <v>0</v>
      </c>
      <c r="W205" s="179" t="str">
        <f t="shared" si="88"/>
        <v/>
      </c>
      <c r="X205" s="179" t="str">
        <f t="shared" si="89"/>
        <v/>
      </c>
      <c r="Y205" s="179" t="str">
        <f t="shared" si="90"/>
        <v/>
      </c>
      <c r="Z205" s="99"/>
      <c r="AA205" s="99"/>
      <c r="AB205" s="99"/>
      <c r="AC205" s="1028"/>
      <c r="AD205" s="99"/>
      <c r="AE205" s="99"/>
      <c r="AF205" s="99"/>
      <c r="AG205" s="1028" t="str">
        <f t="shared" si="91"/>
        <v/>
      </c>
      <c r="AH205" s="24">
        <f t="shared" si="92"/>
        <v>0</v>
      </c>
    </row>
    <row r="206">
      <c r="A206" s="1049"/>
      <c r="B206" s="1049"/>
      <c r="C206" s="1049"/>
      <c r="D206" s="1049"/>
      <c r="E206" s="1049"/>
      <c r="F206" s="1050"/>
      <c r="G206" s="1050"/>
      <c r="I206" s="17">
        <f t="shared" si="81"/>
        <v>0</v>
      </c>
      <c r="J206" s="18">
        <v>0.035</v>
      </c>
      <c r="K206" s="19">
        <f t="shared" si="82"/>
        <v>0</v>
      </c>
      <c r="L206" s="20">
        <f t="shared" si="83"/>
        <v>0</v>
      </c>
      <c r="M206" s="87">
        <v>0.00137</v>
      </c>
      <c r="N206" s="18">
        <v>0.0215</v>
      </c>
      <c r="O206" s="22">
        <f t="shared" si="84"/>
        <v>0.001399455</v>
      </c>
      <c r="P206" s="19">
        <f t="shared" si="85"/>
        <v>15</v>
      </c>
      <c r="Q206" s="19">
        <f t="shared" si="86"/>
        <v>0.0215</v>
      </c>
      <c r="R206" s="17">
        <f t="shared" si="7"/>
        <v>0</v>
      </c>
      <c r="S206" s="18">
        <v>0.06</v>
      </c>
      <c r="T206" s="23"/>
      <c r="U206" s="19">
        <f t="shared" si="87"/>
        <v>0</v>
      </c>
      <c r="V206" s="24">
        <f t="shared" si="9"/>
        <v>0</v>
      </c>
      <c r="W206" s="179" t="str">
        <f t="shared" si="88"/>
        <v/>
      </c>
      <c r="X206" s="179" t="str">
        <f t="shared" si="89"/>
        <v/>
      </c>
      <c r="Y206" s="179" t="str">
        <f t="shared" si="90"/>
        <v/>
      </c>
      <c r="Z206" s="99"/>
      <c r="AA206" s="99"/>
      <c r="AB206" s="99"/>
      <c r="AC206" s="1028"/>
      <c r="AD206" s="99"/>
      <c r="AE206" s="99"/>
      <c r="AF206" s="99"/>
      <c r="AG206" s="1028" t="str">
        <f t="shared" si="91"/>
        <v/>
      </c>
      <c r="AH206" s="24">
        <f t="shared" si="92"/>
        <v>0</v>
      </c>
    </row>
    <row r="207">
      <c r="A207" s="1049"/>
      <c r="B207" s="1049"/>
      <c r="C207" s="1049"/>
      <c r="D207" s="1049"/>
      <c r="E207" s="1049"/>
      <c r="F207" s="1050"/>
      <c r="G207" s="1050"/>
      <c r="I207" s="17">
        <f t="shared" si="81"/>
        <v>0</v>
      </c>
      <c r="J207" s="18">
        <v>0.035</v>
      </c>
      <c r="K207" s="19">
        <f t="shared" si="82"/>
        <v>0</v>
      </c>
      <c r="L207" s="20">
        <f t="shared" si="83"/>
        <v>0</v>
      </c>
      <c r="M207" s="87">
        <v>0.00137</v>
      </c>
      <c r="N207" s="18">
        <v>0.0215</v>
      </c>
      <c r="O207" s="22">
        <f t="shared" si="84"/>
        <v>0.001399455</v>
      </c>
      <c r="P207" s="19">
        <f t="shared" si="85"/>
        <v>15</v>
      </c>
      <c r="Q207" s="19">
        <f t="shared" si="86"/>
        <v>0.0215</v>
      </c>
      <c r="R207" s="17">
        <f t="shared" si="7"/>
        <v>0</v>
      </c>
      <c r="S207" s="18">
        <v>0.06</v>
      </c>
      <c r="T207" s="23"/>
      <c r="U207" s="19">
        <f t="shared" si="87"/>
        <v>0</v>
      </c>
      <c r="V207" s="24">
        <f t="shared" si="9"/>
        <v>0</v>
      </c>
      <c r="W207" s="179" t="str">
        <f t="shared" si="88"/>
        <v/>
      </c>
      <c r="X207" s="179" t="str">
        <f t="shared" si="89"/>
        <v/>
      </c>
      <c r="Y207" s="179" t="str">
        <f t="shared" si="90"/>
        <v/>
      </c>
      <c r="Z207" s="99"/>
      <c r="AA207" s="99"/>
      <c r="AB207" s="99"/>
      <c r="AC207" s="1028"/>
      <c r="AD207" s="99"/>
      <c r="AE207" s="99"/>
      <c r="AF207" s="99"/>
      <c r="AG207" s="1028" t="str">
        <f t="shared" si="91"/>
        <v/>
      </c>
      <c r="AH207" s="24">
        <f t="shared" si="92"/>
        <v>0</v>
      </c>
    </row>
    <row r="208">
      <c r="A208" s="1049"/>
      <c r="B208" s="1049"/>
      <c r="C208" s="1049"/>
      <c r="D208" s="1049"/>
      <c r="E208" s="1049"/>
      <c r="F208" s="1050"/>
      <c r="G208" s="1050"/>
      <c r="I208" s="17">
        <f t="shared" si="81"/>
        <v>0</v>
      </c>
      <c r="J208" s="18">
        <v>0.035</v>
      </c>
      <c r="K208" s="19">
        <f t="shared" si="82"/>
        <v>0</v>
      </c>
      <c r="L208" s="20">
        <f t="shared" si="83"/>
        <v>0</v>
      </c>
      <c r="M208" s="87">
        <v>0.00137</v>
      </c>
      <c r="N208" s="18">
        <v>0.0215</v>
      </c>
      <c r="O208" s="22">
        <f t="shared" si="84"/>
        <v>0.001399455</v>
      </c>
      <c r="P208" s="19">
        <f t="shared" si="85"/>
        <v>15</v>
      </c>
      <c r="Q208" s="19">
        <f t="shared" si="86"/>
        <v>0.0215</v>
      </c>
      <c r="R208" s="17">
        <f t="shared" si="7"/>
        <v>0</v>
      </c>
      <c r="S208" s="18">
        <v>0.06</v>
      </c>
      <c r="T208" s="23"/>
      <c r="U208" s="19">
        <f t="shared" si="87"/>
        <v>0</v>
      </c>
      <c r="V208" s="24">
        <f t="shared" si="9"/>
        <v>0</v>
      </c>
      <c r="W208" s="179" t="str">
        <f t="shared" si="88"/>
        <v/>
      </c>
      <c r="X208" s="179" t="str">
        <f t="shared" si="89"/>
        <v/>
      </c>
      <c r="Y208" s="179" t="str">
        <f t="shared" si="90"/>
        <v/>
      </c>
      <c r="Z208" s="99"/>
      <c r="AA208" s="99"/>
      <c r="AB208" s="99"/>
      <c r="AC208" s="1028"/>
      <c r="AD208" s="99"/>
      <c r="AE208" s="99"/>
      <c r="AF208" s="99"/>
      <c r="AG208" s="1028" t="str">
        <f t="shared" si="91"/>
        <v/>
      </c>
      <c r="AH208" s="24">
        <f t="shared" si="92"/>
        <v>0</v>
      </c>
    </row>
    <row r="209">
      <c r="A209" s="1049"/>
      <c r="B209" s="1049"/>
      <c r="C209" s="1049"/>
      <c r="D209" s="1049"/>
      <c r="E209" s="1049"/>
      <c r="F209" s="1050"/>
      <c r="G209" s="1050"/>
      <c r="I209" s="17">
        <f t="shared" si="81"/>
        <v>0</v>
      </c>
      <c r="J209" s="18">
        <v>0.035</v>
      </c>
      <c r="K209" s="19">
        <f t="shared" si="82"/>
        <v>0</v>
      </c>
      <c r="L209" s="20">
        <f t="shared" si="83"/>
        <v>0</v>
      </c>
      <c r="M209" s="87">
        <v>0.00137</v>
      </c>
      <c r="N209" s="18">
        <v>0.0215</v>
      </c>
      <c r="O209" s="22">
        <f t="shared" si="84"/>
        <v>0.001399455</v>
      </c>
      <c r="P209" s="19">
        <f t="shared" si="85"/>
        <v>15</v>
      </c>
      <c r="Q209" s="19">
        <f t="shared" si="86"/>
        <v>0.0215</v>
      </c>
      <c r="R209" s="17">
        <f t="shared" si="7"/>
        <v>0</v>
      </c>
      <c r="S209" s="18">
        <v>0.06</v>
      </c>
      <c r="T209" s="23"/>
      <c r="U209" s="19">
        <f t="shared" si="87"/>
        <v>0</v>
      </c>
      <c r="V209" s="24">
        <f t="shared" si="9"/>
        <v>0</v>
      </c>
      <c r="W209" s="179" t="str">
        <f t="shared" si="88"/>
        <v/>
      </c>
      <c r="X209" s="179" t="str">
        <f t="shared" si="89"/>
        <v/>
      </c>
      <c r="Y209" s="179" t="str">
        <f t="shared" si="90"/>
        <v/>
      </c>
      <c r="Z209" s="99"/>
      <c r="AA209" s="99"/>
      <c r="AB209" s="99"/>
      <c r="AC209" s="1028"/>
      <c r="AD209" s="99"/>
      <c r="AE209" s="99"/>
      <c r="AF209" s="99"/>
      <c r="AG209" s="1028" t="str">
        <f t="shared" si="91"/>
        <v/>
      </c>
      <c r="AH209" s="24">
        <f t="shared" si="92"/>
        <v>0</v>
      </c>
    </row>
    <row r="210">
      <c r="A210" s="1049"/>
      <c r="B210" s="1049"/>
      <c r="C210" s="1049"/>
      <c r="D210" s="1049"/>
      <c r="E210" s="1049"/>
      <c r="F210" s="1050"/>
      <c r="G210" s="1050"/>
      <c r="I210" s="17">
        <f t="shared" si="81"/>
        <v>0</v>
      </c>
      <c r="J210" s="18">
        <v>0.035</v>
      </c>
      <c r="K210" s="19">
        <f t="shared" si="82"/>
        <v>0</v>
      </c>
      <c r="L210" s="20">
        <f t="shared" si="83"/>
        <v>0</v>
      </c>
      <c r="M210" s="87">
        <v>0.00137</v>
      </c>
      <c r="N210" s="18">
        <v>0.0215</v>
      </c>
      <c r="O210" s="22">
        <f t="shared" si="84"/>
        <v>0.001399455</v>
      </c>
      <c r="P210" s="19">
        <f t="shared" si="85"/>
        <v>15</v>
      </c>
      <c r="Q210" s="19">
        <f t="shared" si="86"/>
        <v>0.0215</v>
      </c>
      <c r="R210" s="17">
        <f t="shared" si="7"/>
        <v>0</v>
      </c>
      <c r="S210" s="18">
        <v>0.06</v>
      </c>
      <c r="T210" s="23"/>
      <c r="U210" s="19">
        <f t="shared" si="87"/>
        <v>0</v>
      </c>
      <c r="V210" s="24">
        <f t="shared" si="9"/>
        <v>0</v>
      </c>
      <c r="W210" s="179" t="str">
        <f t="shared" si="88"/>
        <v/>
      </c>
      <c r="X210" s="179" t="str">
        <f t="shared" si="89"/>
        <v/>
      </c>
      <c r="Y210" s="179" t="str">
        <f t="shared" si="90"/>
        <v/>
      </c>
      <c r="Z210" s="99"/>
      <c r="AA210" s="99"/>
      <c r="AB210" s="99"/>
      <c r="AC210" s="1028"/>
      <c r="AD210" s="99"/>
      <c r="AE210" s="99"/>
      <c r="AF210" s="99"/>
      <c r="AG210" s="1028" t="str">
        <f t="shared" si="91"/>
        <v/>
      </c>
      <c r="AH210" s="24">
        <f t="shared" si="92"/>
        <v>0</v>
      </c>
    </row>
    <row r="211">
      <c r="A211" s="1049"/>
      <c r="B211" s="1049"/>
      <c r="C211" s="1049"/>
      <c r="D211" s="1049"/>
      <c r="E211" s="1049"/>
      <c r="F211" s="1050"/>
      <c r="G211" s="1050"/>
      <c r="I211" s="17">
        <f t="shared" si="81"/>
        <v>0</v>
      </c>
      <c r="J211" s="18">
        <v>0.035</v>
      </c>
      <c r="K211" s="19">
        <f t="shared" si="82"/>
        <v>0</v>
      </c>
      <c r="L211" s="20">
        <f t="shared" si="83"/>
        <v>0</v>
      </c>
      <c r="M211" s="87">
        <v>0.00137</v>
      </c>
      <c r="N211" s="18">
        <v>0.0215</v>
      </c>
      <c r="O211" s="22">
        <f t="shared" si="84"/>
        <v>0.001399455</v>
      </c>
      <c r="P211" s="19">
        <f t="shared" si="85"/>
        <v>15</v>
      </c>
      <c r="Q211" s="19">
        <f t="shared" si="86"/>
        <v>0.0215</v>
      </c>
      <c r="R211" s="17">
        <f t="shared" si="7"/>
        <v>0</v>
      </c>
      <c r="S211" s="18">
        <v>0.06</v>
      </c>
      <c r="T211" s="23"/>
      <c r="U211" s="19">
        <f t="shared" si="87"/>
        <v>0</v>
      </c>
      <c r="V211" s="24">
        <f t="shared" si="9"/>
        <v>0</v>
      </c>
      <c r="W211" s="179" t="str">
        <f t="shared" si="88"/>
        <v/>
      </c>
      <c r="X211" s="179" t="str">
        <f t="shared" si="89"/>
        <v/>
      </c>
      <c r="Y211" s="179" t="str">
        <f t="shared" si="90"/>
        <v/>
      </c>
      <c r="Z211" s="99"/>
      <c r="AA211" s="99"/>
      <c r="AB211" s="99"/>
      <c r="AC211" s="1028"/>
      <c r="AD211" s="99"/>
      <c r="AE211" s="99"/>
      <c r="AF211" s="99"/>
      <c r="AG211" s="1028" t="str">
        <f t="shared" si="91"/>
        <v/>
      </c>
      <c r="AH211" s="24">
        <f t="shared" si="92"/>
        <v>0</v>
      </c>
    </row>
    <row r="212">
      <c r="A212" s="1049"/>
      <c r="B212" s="1049"/>
      <c r="C212" s="1049"/>
      <c r="D212" s="1049"/>
      <c r="E212" s="1049"/>
      <c r="F212" s="1050"/>
      <c r="G212" s="1050"/>
      <c r="I212" s="17">
        <f t="shared" si="81"/>
        <v>0</v>
      </c>
      <c r="J212" s="18">
        <v>0.035</v>
      </c>
      <c r="K212" s="19">
        <f t="shared" si="82"/>
        <v>0</v>
      </c>
      <c r="L212" s="20">
        <f t="shared" si="83"/>
        <v>0</v>
      </c>
      <c r="M212" s="87">
        <v>0.00137</v>
      </c>
      <c r="N212" s="18">
        <v>0.0215</v>
      </c>
      <c r="O212" s="22">
        <f t="shared" si="84"/>
        <v>0.001399455</v>
      </c>
      <c r="P212" s="19">
        <f t="shared" si="85"/>
        <v>15</v>
      </c>
      <c r="Q212" s="19">
        <f t="shared" si="86"/>
        <v>0.0215</v>
      </c>
      <c r="R212" s="17">
        <f t="shared" si="7"/>
        <v>0</v>
      </c>
      <c r="S212" s="18">
        <v>0.06</v>
      </c>
      <c r="T212" s="23"/>
      <c r="U212" s="19">
        <f t="shared" si="87"/>
        <v>0</v>
      </c>
      <c r="V212" s="24">
        <f t="shared" si="9"/>
        <v>0</v>
      </c>
      <c r="W212" s="179" t="str">
        <f t="shared" si="88"/>
        <v/>
      </c>
      <c r="X212" s="179" t="str">
        <f t="shared" si="89"/>
        <v/>
      </c>
      <c r="Y212" s="179" t="str">
        <f t="shared" si="90"/>
        <v/>
      </c>
      <c r="Z212" s="99"/>
      <c r="AA212" s="99"/>
      <c r="AB212" s="99"/>
      <c r="AC212" s="1028"/>
      <c r="AD212" s="99"/>
      <c r="AE212" s="99"/>
      <c r="AF212" s="99"/>
      <c r="AG212" s="1028" t="str">
        <f t="shared" si="91"/>
        <v/>
      </c>
      <c r="AH212" s="24">
        <f t="shared" si="92"/>
        <v>0</v>
      </c>
    </row>
    <row r="213">
      <c r="A213" s="1049"/>
      <c r="B213" s="1049"/>
      <c r="C213" s="1049"/>
      <c r="D213" s="1049"/>
      <c r="E213" s="1049"/>
      <c r="F213" s="1050"/>
      <c r="G213" s="1050"/>
      <c r="I213" s="17">
        <f t="shared" si="81"/>
        <v>0</v>
      </c>
      <c r="J213" s="18">
        <v>0.035</v>
      </c>
      <c r="K213" s="19">
        <f t="shared" si="82"/>
        <v>0</v>
      </c>
      <c r="L213" s="20">
        <f t="shared" si="83"/>
        <v>0</v>
      </c>
      <c r="M213" s="87">
        <v>0.00137</v>
      </c>
      <c r="N213" s="18">
        <v>0.0215</v>
      </c>
      <c r="O213" s="22">
        <f t="shared" si="84"/>
        <v>0.001399455</v>
      </c>
      <c r="P213" s="19">
        <f t="shared" si="85"/>
        <v>15</v>
      </c>
      <c r="Q213" s="19">
        <f t="shared" si="86"/>
        <v>0.0215</v>
      </c>
      <c r="R213" s="17">
        <f t="shared" si="7"/>
        <v>0</v>
      </c>
      <c r="S213" s="18">
        <v>0.06</v>
      </c>
      <c r="T213" s="23"/>
      <c r="U213" s="19">
        <f t="shared" si="87"/>
        <v>0</v>
      </c>
      <c r="V213" s="24">
        <f t="shared" si="9"/>
        <v>0</v>
      </c>
      <c r="W213" s="179" t="str">
        <f t="shared" si="88"/>
        <v/>
      </c>
      <c r="X213" s="179" t="str">
        <f t="shared" si="89"/>
        <v/>
      </c>
      <c r="Y213" s="179" t="str">
        <f t="shared" si="90"/>
        <v/>
      </c>
      <c r="Z213" s="99"/>
      <c r="AA213" s="99"/>
      <c r="AB213" s="99"/>
      <c r="AC213" s="1028"/>
      <c r="AD213" s="99"/>
      <c r="AE213" s="99"/>
      <c r="AF213" s="99"/>
      <c r="AG213" s="1028" t="str">
        <f t="shared" si="91"/>
        <v/>
      </c>
      <c r="AH213" s="24">
        <f t="shared" si="92"/>
        <v>0</v>
      </c>
    </row>
    <row r="214">
      <c r="A214" s="1049"/>
      <c r="B214" s="1049"/>
      <c r="C214" s="1049"/>
      <c r="D214" s="1049"/>
      <c r="E214" s="1049"/>
      <c r="F214" s="1050"/>
      <c r="G214" s="1050"/>
      <c r="I214" s="17">
        <f t="shared" si="81"/>
        <v>0</v>
      </c>
      <c r="J214" s="18">
        <v>0.035</v>
      </c>
      <c r="K214" s="19">
        <f t="shared" si="82"/>
        <v>0</v>
      </c>
      <c r="L214" s="20">
        <f t="shared" si="83"/>
        <v>0</v>
      </c>
      <c r="M214" s="87">
        <v>0.00137</v>
      </c>
      <c r="N214" s="18">
        <v>0.0215</v>
      </c>
      <c r="O214" s="22">
        <f t="shared" si="84"/>
        <v>0.001399455</v>
      </c>
      <c r="P214" s="19">
        <f t="shared" si="85"/>
        <v>15</v>
      </c>
      <c r="Q214" s="19">
        <f t="shared" si="86"/>
        <v>0.0215</v>
      </c>
      <c r="R214" s="17">
        <f t="shared" si="7"/>
        <v>0</v>
      </c>
      <c r="S214" s="18">
        <v>0.06</v>
      </c>
      <c r="T214" s="23"/>
      <c r="U214" s="19">
        <f t="shared" si="87"/>
        <v>0</v>
      </c>
      <c r="V214" s="24">
        <f t="shared" ref="V214:V230" si="93">R215-(I215+U215)-(R215*S215)</f>
        <v>0</v>
      </c>
      <c r="W214" s="179" t="str">
        <f t="shared" si="88"/>
        <v/>
      </c>
      <c r="X214" s="179" t="str">
        <f t="shared" si="89"/>
        <v/>
      </c>
      <c r="Y214" s="179" t="str">
        <f t="shared" si="90"/>
        <v/>
      </c>
      <c r="Z214" s="99"/>
      <c r="AA214" s="99"/>
      <c r="AB214" s="99"/>
      <c r="AC214" s="1028"/>
      <c r="AD214" s="99"/>
      <c r="AE214" s="99"/>
      <c r="AF214" s="99"/>
      <c r="AG214" s="1028" t="str">
        <f t="shared" si="91"/>
        <v/>
      </c>
      <c r="AH214" s="24">
        <f t="shared" si="92"/>
        <v>0</v>
      </c>
    </row>
    <row r="215">
      <c r="A215" s="1049"/>
      <c r="B215" s="1049"/>
      <c r="C215" s="1049"/>
      <c r="D215" s="1049"/>
      <c r="E215" s="1049"/>
      <c r="F215" s="1050"/>
      <c r="G215" s="1050"/>
      <c r="I215" s="17">
        <f t="shared" si="81"/>
        <v>0</v>
      </c>
      <c r="J215" s="18">
        <v>0.035</v>
      </c>
      <c r="K215" s="19">
        <f t="shared" si="82"/>
        <v>0</v>
      </c>
      <c r="L215" s="20">
        <f t="shared" si="83"/>
        <v>0</v>
      </c>
      <c r="M215" s="87">
        <v>0.00137</v>
      </c>
      <c r="N215" s="18">
        <v>0.0215</v>
      </c>
      <c r="O215" s="22">
        <f t="shared" si="84"/>
        <v>0.001399455</v>
      </c>
      <c r="P215" s="19">
        <f t="shared" si="85"/>
        <v>15</v>
      </c>
      <c r="Q215" s="19">
        <f t="shared" si="86"/>
        <v>0.0215</v>
      </c>
      <c r="R215" s="17">
        <f t="shared" si="7"/>
        <v>0</v>
      </c>
      <c r="S215" s="18">
        <v>0.06</v>
      </c>
      <c r="T215" s="23"/>
      <c r="U215" s="19">
        <f t="shared" si="87"/>
        <v>0</v>
      </c>
      <c r="V215" s="24">
        <f t="shared" si="93"/>
        <v>0</v>
      </c>
      <c r="W215" s="179" t="str">
        <f t="shared" si="88"/>
        <v/>
      </c>
      <c r="X215" s="179" t="str">
        <f t="shared" si="89"/>
        <v/>
      </c>
      <c r="Y215" s="179" t="str">
        <f t="shared" si="90"/>
        <v/>
      </c>
      <c r="Z215" s="99"/>
      <c r="AA215" s="99"/>
      <c r="AB215" s="99"/>
      <c r="AC215" s="1028"/>
      <c r="AD215" s="99"/>
      <c r="AE215" s="99"/>
      <c r="AF215" s="99"/>
      <c r="AG215" s="1028" t="str">
        <f t="shared" si="91"/>
        <v/>
      </c>
      <c r="AH215" s="24">
        <f t="shared" si="92"/>
        <v>0</v>
      </c>
    </row>
    <row r="216">
      <c r="A216" s="1049"/>
      <c r="B216" s="1049"/>
      <c r="C216" s="1049"/>
      <c r="D216" s="1049"/>
      <c r="E216" s="1049"/>
      <c r="F216" s="1050"/>
      <c r="G216" s="1050"/>
      <c r="I216" s="17">
        <f t="shared" si="81"/>
        <v>0</v>
      </c>
      <c r="J216" s="18">
        <v>0.035</v>
      </c>
      <c r="K216" s="19">
        <f t="shared" si="82"/>
        <v>0</v>
      </c>
      <c r="L216" s="20">
        <f t="shared" si="83"/>
        <v>0</v>
      </c>
      <c r="M216" s="87">
        <v>0.00137</v>
      </c>
      <c r="N216" s="18">
        <v>0.0215</v>
      </c>
      <c r="O216" s="22">
        <f t="shared" si="84"/>
        <v>0.001399455</v>
      </c>
      <c r="P216" s="19">
        <f t="shared" si="85"/>
        <v>15</v>
      </c>
      <c r="Q216" s="19">
        <f t="shared" si="86"/>
        <v>0.0215</v>
      </c>
      <c r="R216" s="17">
        <f t="shared" si="7"/>
        <v>0</v>
      </c>
      <c r="S216" s="18">
        <v>0.06</v>
      </c>
      <c r="T216" s="23"/>
      <c r="U216" s="19">
        <f t="shared" si="87"/>
        <v>0</v>
      </c>
      <c r="V216" s="24">
        <f t="shared" si="93"/>
        <v>0</v>
      </c>
      <c r="W216" s="179" t="str">
        <f t="shared" si="88"/>
        <v/>
      </c>
      <c r="X216" s="179" t="str">
        <f t="shared" si="89"/>
        <v/>
      </c>
      <c r="Y216" s="179" t="str">
        <f t="shared" si="90"/>
        <v/>
      </c>
      <c r="Z216" s="99"/>
      <c r="AA216" s="99"/>
      <c r="AB216" s="99"/>
      <c r="AC216" s="1028"/>
      <c r="AD216" s="99"/>
      <c r="AE216" s="99"/>
      <c r="AF216" s="99"/>
      <c r="AG216" s="1028" t="str">
        <f t="shared" si="91"/>
        <v/>
      </c>
      <c r="AH216" s="24">
        <f t="shared" si="92"/>
        <v>0</v>
      </c>
    </row>
    <row r="217">
      <c r="A217" s="1049"/>
      <c r="B217" s="1049"/>
      <c r="C217" s="1049"/>
      <c r="D217" s="1049"/>
      <c r="E217" s="1049"/>
      <c r="F217" s="1050"/>
      <c r="G217" s="1050"/>
      <c r="I217" s="17">
        <f t="shared" si="81"/>
        <v>0</v>
      </c>
      <c r="J217" s="18">
        <v>0.035</v>
      </c>
      <c r="K217" s="19">
        <f t="shared" si="82"/>
        <v>0</v>
      </c>
      <c r="L217" s="20">
        <f t="shared" si="83"/>
        <v>0</v>
      </c>
      <c r="M217" s="87">
        <v>0.00137</v>
      </c>
      <c r="N217" s="18">
        <v>0.0215</v>
      </c>
      <c r="O217" s="22">
        <f t="shared" si="84"/>
        <v>0.001399455</v>
      </c>
      <c r="P217" s="19">
        <f t="shared" si="85"/>
        <v>15</v>
      </c>
      <c r="Q217" s="19">
        <f t="shared" si="86"/>
        <v>0.0215</v>
      </c>
      <c r="R217" s="17">
        <f t="shared" si="7"/>
        <v>0</v>
      </c>
      <c r="S217" s="18">
        <v>0.06</v>
      </c>
      <c r="T217" s="23"/>
      <c r="U217" s="19">
        <f t="shared" si="87"/>
        <v>0</v>
      </c>
      <c r="V217" s="24">
        <f t="shared" si="93"/>
        <v>0</v>
      </c>
      <c r="W217" s="179" t="str">
        <f t="shared" si="88"/>
        <v/>
      </c>
      <c r="X217" s="179" t="str">
        <f t="shared" si="89"/>
        <v/>
      </c>
      <c r="Y217" s="179" t="str">
        <f t="shared" si="90"/>
        <v/>
      </c>
      <c r="Z217" s="99"/>
      <c r="AA217" s="99"/>
      <c r="AB217" s="99"/>
      <c r="AC217" s="1028"/>
      <c r="AD217" s="99"/>
      <c r="AE217" s="99"/>
      <c r="AF217" s="99"/>
      <c r="AG217" s="1028" t="str">
        <f t="shared" si="91"/>
        <v/>
      </c>
      <c r="AH217" s="24">
        <f t="shared" si="92"/>
        <v>0</v>
      </c>
    </row>
    <row r="218">
      <c r="A218" s="1049"/>
      <c r="B218" s="1049"/>
      <c r="C218" s="1049"/>
      <c r="D218" s="1049"/>
      <c r="E218" s="1049"/>
      <c r="F218" s="1050"/>
      <c r="G218" s="1050"/>
      <c r="I218" s="17">
        <f t="shared" si="81"/>
        <v>0</v>
      </c>
      <c r="J218" s="18">
        <v>0.035</v>
      </c>
      <c r="K218" s="19">
        <f t="shared" si="82"/>
        <v>0</v>
      </c>
      <c r="L218" s="20">
        <f t="shared" si="83"/>
        <v>0</v>
      </c>
      <c r="M218" s="87">
        <v>0.00137</v>
      </c>
      <c r="N218" s="18">
        <v>0.0215</v>
      </c>
      <c r="O218" s="22">
        <f t="shared" si="84"/>
        <v>0.001399455</v>
      </c>
      <c r="P218" s="19">
        <f t="shared" si="85"/>
        <v>15</v>
      </c>
      <c r="Q218" s="19">
        <f t="shared" si="86"/>
        <v>0.0215</v>
      </c>
      <c r="R218" s="17">
        <f t="shared" si="7"/>
        <v>0</v>
      </c>
      <c r="S218" s="18">
        <v>0.06</v>
      </c>
      <c r="T218" s="23"/>
      <c r="U218" s="19">
        <f t="shared" si="87"/>
        <v>0</v>
      </c>
      <c r="V218" s="24">
        <f t="shared" si="93"/>
        <v>0</v>
      </c>
      <c r="W218" s="179" t="str">
        <f t="shared" si="88"/>
        <v/>
      </c>
      <c r="X218" s="179" t="str">
        <f t="shared" si="89"/>
        <v/>
      </c>
      <c r="Y218" s="179" t="str">
        <f t="shared" si="90"/>
        <v/>
      </c>
      <c r="Z218" s="99"/>
      <c r="AA218" s="99"/>
      <c r="AB218" s="99"/>
      <c r="AC218" s="1028"/>
      <c r="AD218" s="99"/>
      <c r="AE218" s="99"/>
      <c r="AF218" s="99"/>
      <c r="AG218" s="1028" t="str">
        <f t="shared" si="91"/>
        <v/>
      </c>
      <c r="AH218" s="24">
        <f t="shared" si="92"/>
        <v>0</v>
      </c>
    </row>
    <row r="219">
      <c r="A219" s="1049"/>
      <c r="B219" s="1049"/>
      <c r="C219" s="1049"/>
      <c r="D219" s="1049"/>
      <c r="E219" s="1049"/>
      <c r="F219" s="1050"/>
      <c r="G219" s="1050"/>
      <c r="I219" s="17">
        <f t="shared" si="81"/>
        <v>0</v>
      </c>
      <c r="J219" s="18">
        <v>0.035</v>
      </c>
      <c r="K219" s="19">
        <f t="shared" si="82"/>
        <v>0</v>
      </c>
      <c r="L219" s="20">
        <f t="shared" si="83"/>
        <v>0</v>
      </c>
      <c r="M219" s="87">
        <v>0.00137</v>
      </c>
      <c r="N219" s="18">
        <v>0.0215</v>
      </c>
      <c r="O219" s="22">
        <f t="shared" si="84"/>
        <v>0.001399455</v>
      </c>
      <c r="P219" s="19">
        <f t="shared" si="85"/>
        <v>15</v>
      </c>
      <c r="Q219" s="19">
        <f t="shared" si="86"/>
        <v>0.0215</v>
      </c>
      <c r="R219" s="17">
        <f t="shared" si="7"/>
        <v>0</v>
      </c>
      <c r="S219" s="18">
        <v>0.06</v>
      </c>
      <c r="T219" s="23"/>
      <c r="U219" s="19">
        <f t="shared" si="87"/>
        <v>0</v>
      </c>
      <c r="V219" s="24">
        <f t="shared" si="93"/>
        <v>0</v>
      </c>
      <c r="W219" s="179" t="str">
        <f t="shared" si="88"/>
        <v/>
      </c>
      <c r="X219" s="179" t="str">
        <f t="shared" si="89"/>
        <v/>
      </c>
      <c r="Y219" s="179" t="str">
        <f t="shared" si="90"/>
        <v/>
      </c>
      <c r="Z219" s="99"/>
      <c r="AA219" s="99"/>
      <c r="AB219" s="99"/>
      <c r="AC219" s="1028"/>
      <c r="AD219" s="99"/>
      <c r="AE219" s="99"/>
      <c r="AF219" s="99"/>
      <c r="AG219" s="1028" t="str">
        <f t="shared" si="91"/>
        <v/>
      </c>
      <c r="AH219" s="24">
        <f t="shared" si="92"/>
        <v>0</v>
      </c>
    </row>
    <row r="220">
      <c r="A220" s="1049"/>
      <c r="B220" s="1049"/>
      <c r="C220" s="1049"/>
      <c r="D220" s="1049"/>
      <c r="E220" s="1049"/>
      <c r="F220" s="1050"/>
      <c r="G220" s="1050"/>
      <c r="I220" s="17">
        <f t="shared" si="81"/>
        <v>0</v>
      </c>
      <c r="J220" s="18">
        <v>0.035</v>
      </c>
      <c r="K220" s="19">
        <f t="shared" si="82"/>
        <v>0</v>
      </c>
      <c r="L220" s="20">
        <f t="shared" si="83"/>
        <v>0</v>
      </c>
      <c r="M220" s="87">
        <v>0.00137</v>
      </c>
      <c r="N220" s="18">
        <v>0.0215</v>
      </c>
      <c r="O220" s="22">
        <f t="shared" si="84"/>
        <v>0.001399455</v>
      </c>
      <c r="P220" s="19">
        <f t="shared" si="85"/>
        <v>15</v>
      </c>
      <c r="Q220" s="19">
        <f t="shared" si="86"/>
        <v>0.0215</v>
      </c>
      <c r="R220" s="17">
        <f t="shared" si="7"/>
        <v>0</v>
      </c>
      <c r="S220" s="18">
        <v>0.06</v>
      </c>
      <c r="T220" s="23"/>
      <c r="U220" s="19">
        <f t="shared" si="87"/>
        <v>0</v>
      </c>
      <c r="V220" s="24">
        <f t="shared" si="93"/>
        <v>0</v>
      </c>
      <c r="W220" s="179" t="str">
        <f t="shared" si="88"/>
        <v/>
      </c>
      <c r="X220" s="179" t="str">
        <f t="shared" si="89"/>
        <v/>
      </c>
      <c r="Y220" s="179" t="str">
        <f t="shared" si="90"/>
        <v/>
      </c>
      <c r="Z220" s="99"/>
      <c r="AA220" s="99"/>
      <c r="AB220" s="99"/>
      <c r="AC220" s="1028"/>
      <c r="AD220" s="99"/>
      <c r="AE220" s="99"/>
      <c r="AF220" s="99"/>
      <c r="AG220" s="1028" t="str">
        <f t="shared" si="91"/>
        <v/>
      </c>
      <c r="AH220" s="24">
        <f t="shared" si="92"/>
        <v>0</v>
      </c>
    </row>
    <row r="221">
      <c r="A221" s="1049"/>
      <c r="B221" s="1049"/>
      <c r="C221" s="1049"/>
      <c r="D221" s="1049"/>
      <c r="E221" s="1049"/>
      <c r="F221" s="1050"/>
      <c r="G221" s="1050"/>
      <c r="I221" s="17">
        <f t="shared" si="81"/>
        <v>0</v>
      </c>
      <c r="J221" s="18">
        <v>0.035</v>
      </c>
      <c r="K221" s="19">
        <f t="shared" si="82"/>
        <v>0</v>
      </c>
      <c r="L221" s="20">
        <f t="shared" si="83"/>
        <v>0</v>
      </c>
      <c r="M221" s="87">
        <v>0.00137</v>
      </c>
      <c r="N221" s="18">
        <v>0.0215</v>
      </c>
      <c r="O221" s="22">
        <f t="shared" si="84"/>
        <v>0.001399455</v>
      </c>
      <c r="P221" s="19">
        <f t="shared" si="85"/>
        <v>15</v>
      </c>
      <c r="Q221" s="19">
        <f t="shared" si="86"/>
        <v>0.0215</v>
      </c>
      <c r="R221" s="17">
        <f t="shared" si="7"/>
        <v>0</v>
      </c>
      <c r="S221" s="18">
        <v>0.06</v>
      </c>
      <c r="T221" s="23"/>
      <c r="U221" s="19">
        <f t="shared" si="87"/>
        <v>0</v>
      </c>
      <c r="V221" s="24">
        <f t="shared" si="93"/>
        <v>0</v>
      </c>
      <c r="W221" s="179" t="str">
        <f t="shared" si="88"/>
        <v/>
      </c>
      <c r="X221" s="179" t="str">
        <f t="shared" si="89"/>
        <v/>
      </c>
      <c r="Y221" s="179" t="str">
        <f t="shared" si="90"/>
        <v/>
      </c>
      <c r="Z221" s="99"/>
      <c r="AA221" s="99"/>
      <c r="AB221" s="99"/>
      <c r="AC221" s="1028"/>
      <c r="AD221" s="99"/>
      <c r="AE221" s="99"/>
      <c r="AF221" s="99"/>
      <c r="AG221" s="1028" t="str">
        <f t="shared" si="91"/>
        <v/>
      </c>
      <c r="AH221" s="24">
        <f t="shared" si="92"/>
        <v>0</v>
      </c>
    </row>
    <row r="222">
      <c r="A222" s="1049"/>
      <c r="B222" s="1049"/>
      <c r="C222" s="1049"/>
      <c r="D222" s="1049"/>
      <c r="E222" s="1049"/>
      <c r="F222" s="1050"/>
      <c r="G222" s="1050"/>
      <c r="I222" s="17">
        <f t="shared" si="81"/>
        <v>0</v>
      </c>
      <c r="J222" s="18">
        <v>0.035</v>
      </c>
      <c r="K222" s="19">
        <f t="shared" si="82"/>
        <v>0</v>
      </c>
      <c r="L222" s="20">
        <f t="shared" si="83"/>
        <v>0</v>
      </c>
      <c r="M222" s="87">
        <v>0.00137</v>
      </c>
      <c r="N222" s="18">
        <v>0.0215</v>
      </c>
      <c r="O222" s="22">
        <f t="shared" si="84"/>
        <v>0.001399455</v>
      </c>
      <c r="P222" s="19">
        <f t="shared" si="85"/>
        <v>15</v>
      </c>
      <c r="Q222" s="19">
        <f t="shared" si="86"/>
        <v>0.0215</v>
      </c>
      <c r="R222" s="17">
        <f t="shared" si="7"/>
        <v>0</v>
      </c>
      <c r="S222" s="18">
        <v>0.06</v>
      </c>
      <c r="T222" s="23"/>
      <c r="U222" s="19">
        <f t="shared" si="87"/>
        <v>0</v>
      </c>
      <c r="V222" s="24">
        <f t="shared" si="93"/>
        <v>0</v>
      </c>
      <c r="W222" s="179" t="str">
        <f t="shared" si="88"/>
        <v/>
      </c>
      <c r="X222" s="179" t="str">
        <f t="shared" si="89"/>
        <v/>
      </c>
      <c r="Y222" s="179" t="str">
        <f t="shared" si="90"/>
        <v/>
      </c>
      <c r="Z222" s="99"/>
      <c r="AA222" s="99"/>
      <c r="AB222" s="99"/>
      <c r="AC222" s="1028"/>
      <c r="AD222" s="99"/>
      <c r="AE222" s="99"/>
      <c r="AF222" s="99"/>
      <c r="AG222" s="1028" t="str">
        <f t="shared" si="91"/>
        <v/>
      </c>
      <c r="AH222" s="24">
        <f t="shared" si="92"/>
        <v>0</v>
      </c>
    </row>
    <row r="223">
      <c r="A223" s="1049"/>
      <c r="B223" s="1049"/>
      <c r="C223" s="1049"/>
      <c r="D223" s="1049"/>
      <c r="E223" s="1049"/>
      <c r="F223" s="1050"/>
      <c r="G223" s="1050"/>
      <c r="I223" s="17">
        <f t="shared" si="81"/>
        <v>0</v>
      </c>
      <c r="J223" s="18">
        <v>0.035</v>
      </c>
      <c r="K223" s="19">
        <f t="shared" si="82"/>
        <v>0</v>
      </c>
      <c r="L223" s="20">
        <f t="shared" si="83"/>
        <v>0</v>
      </c>
      <c r="M223" s="87">
        <v>0.00137</v>
      </c>
      <c r="N223" s="18">
        <v>0.0215</v>
      </c>
      <c r="O223" s="22">
        <f t="shared" si="84"/>
        <v>0.001399455</v>
      </c>
      <c r="P223" s="19">
        <f t="shared" si="85"/>
        <v>15</v>
      </c>
      <c r="Q223" s="19">
        <f t="shared" si="86"/>
        <v>0.0215</v>
      </c>
      <c r="R223" s="17">
        <f t="shared" si="7"/>
        <v>0</v>
      </c>
      <c r="S223" s="18">
        <v>0.06</v>
      </c>
      <c r="T223" s="23"/>
      <c r="U223" s="19">
        <f t="shared" si="87"/>
        <v>0</v>
      </c>
      <c r="V223" s="24">
        <f t="shared" si="93"/>
        <v>0</v>
      </c>
      <c r="W223" s="179" t="str">
        <f t="shared" si="88"/>
        <v/>
      </c>
      <c r="X223" s="179" t="str">
        <f t="shared" si="89"/>
        <v/>
      </c>
      <c r="Y223" s="179" t="str">
        <f t="shared" si="90"/>
        <v/>
      </c>
      <c r="Z223" s="99"/>
      <c r="AA223" s="99"/>
      <c r="AB223" s="99"/>
      <c r="AC223" s="1028"/>
      <c r="AD223" s="99"/>
      <c r="AE223" s="99"/>
      <c r="AF223" s="99"/>
      <c r="AG223" s="1028" t="str">
        <f t="shared" si="91"/>
        <v/>
      </c>
      <c r="AH223" s="24">
        <f t="shared" si="92"/>
        <v>0</v>
      </c>
    </row>
    <row r="224">
      <c r="A224" s="1049"/>
      <c r="B224" s="1049"/>
      <c r="C224" s="1049"/>
      <c r="D224" s="1049"/>
      <c r="E224" s="1049"/>
      <c r="F224" s="1050"/>
      <c r="G224" s="1050"/>
      <c r="I224" s="17">
        <f t="shared" si="81"/>
        <v>0</v>
      </c>
      <c r="J224" s="18">
        <v>0.035</v>
      </c>
      <c r="K224" s="19">
        <f t="shared" si="82"/>
        <v>0</v>
      </c>
      <c r="L224" s="20">
        <f t="shared" si="83"/>
        <v>0</v>
      </c>
      <c r="M224" s="87">
        <v>0.00137</v>
      </c>
      <c r="N224" s="18">
        <v>0.0215</v>
      </c>
      <c r="O224" s="22">
        <f t="shared" si="84"/>
        <v>0.001399455</v>
      </c>
      <c r="P224" s="19">
        <f t="shared" si="85"/>
        <v>15</v>
      </c>
      <c r="Q224" s="19">
        <f t="shared" si="86"/>
        <v>0.0215</v>
      </c>
      <c r="R224" s="17">
        <f t="shared" si="7"/>
        <v>0</v>
      </c>
      <c r="S224" s="18">
        <v>0.06</v>
      </c>
      <c r="T224" s="23"/>
      <c r="U224" s="19">
        <f t="shared" si="87"/>
        <v>0</v>
      </c>
      <c r="V224" s="24">
        <f t="shared" si="93"/>
        <v>0</v>
      </c>
      <c r="W224" s="179" t="str">
        <f t="shared" si="88"/>
        <v/>
      </c>
      <c r="X224" s="179" t="str">
        <f t="shared" si="89"/>
        <v/>
      </c>
      <c r="Y224" s="179" t="str">
        <f t="shared" si="90"/>
        <v/>
      </c>
      <c r="Z224" s="99"/>
      <c r="AA224" s="99"/>
      <c r="AB224" s="99"/>
      <c r="AC224" s="1028"/>
      <c r="AD224" s="99"/>
      <c r="AE224" s="99"/>
      <c r="AF224" s="99"/>
      <c r="AG224" s="1028" t="str">
        <f t="shared" si="91"/>
        <v/>
      </c>
      <c r="AH224" s="24">
        <f t="shared" si="92"/>
        <v>0</v>
      </c>
    </row>
    <row r="225">
      <c r="A225" s="1049"/>
      <c r="B225" s="1049"/>
      <c r="C225" s="1049"/>
      <c r="D225" s="1049"/>
      <c r="E225" s="1049"/>
      <c r="F225" s="1050"/>
      <c r="G225" s="1050"/>
      <c r="I225" s="17">
        <f t="shared" si="81"/>
        <v>0</v>
      </c>
      <c r="J225" s="18">
        <v>0.035</v>
      </c>
      <c r="K225" s="19">
        <f t="shared" si="82"/>
        <v>0</v>
      </c>
      <c r="L225" s="20">
        <f t="shared" si="83"/>
        <v>0</v>
      </c>
      <c r="M225" s="87">
        <v>0.00137</v>
      </c>
      <c r="N225" s="18">
        <v>0.0215</v>
      </c>
      <c r="O225" s="22">
        <f t="shared" si="84"/>
        <v>0.001399455</v>
      </c>
      <c r="P225" s="19">
        <f t="shared" si="85"/>
        <v>15</v>
      </c>
      <c r="Q225" s="19">
        <f t="shared" si="86"/>
        <v>0.0215</v>
      </c>
      <c r="R225" s="17">
        <f t="shared" si="7"/>
        <v>0</v>
      </c>
      <c r="S225" s="18">
        <v>0.06</v>
      </c>
      <c r="T225" s="23"/>
      <c r="U225" s="19">
        <f t="shared" si="87"/>
        <v>0</v>
      </c>
      <c r="V225" s="24">
        <f t="shared" si="93"/>
        <v>0</v>
      </c>
      <c r="W225" s="179" t="str">
        <f t="shared" si="88"/>
        <v/>
      </c>
      <c r="X225" s="179" t="str">
        <f t="shared" si="89"/>
        <v/>
      </c>
      <c r="Y225" s="179" t="str">
        <f t="shared" si="90"/>
        <v/>
      </c>
      <c r="Z225" s="99"/>
      <c r="AA225" s="99"/>
      <c r="AB225" s="99"/>
      <c r="AC225" s="1028"/>
      <c r="AD225" s="99"/>
      <c r="AE225" s="99"/>
      <c r="AF225" s="99"/>
      <c r="AG225" s="1028" t="str">
        <f t="shared" si="91"/>
        <v/>
      </c>
      <c r="AH225" s="24">
        <f t="shared" si="92"/>
        <v>0</v>
      </c>
    </row>
    <row r="226">
      <c r="A226" s="1049"/>
      <c r="B226" s="1049"/>
      <c r="C226" s="1049"/>
      <c r="D226" s="1049"/>
      <c r="E226" s="1049"/>
      <c r="F226" s="1050"/>
      <c r="G226" s="1050"/>
      <c r="I226" s="17">
        <f t="shared" si="81"/>
        <v>0</v>
      </c>
      <c r="J226" s="18">
        <v>0.035</v>
      </c>
      <c r="K226" s="19">
        <f t="shared" si="82"/>
        <v>0</v>
      </c>
      <c r="L226" s="20">
        <f t="shared" si="83"/>
        <v>0</v>
      </c>
      <c r="M226" s="87">
        <v>0.00137</v>
      </c>
      <c r="N226" s="18">
        <v>0.0215</v>
      </c>
      <c r="O226" s="22">
        <f t="shared" si="84"/>
        <v>0.001399455</v>
      </c>
      <c r="P226" s="19">
        <f t="shared" si="85"/>
        <v>15</v>
      </c>
      <c r="Q226" s="19">
        <f t="shared" si="86"/>
        <v>0.0215</v>
      </c>
      <c r="R226" s="17">
        <f t="shared" si="7"/>
        <v>0</v>
      </c>
      <c r="S226" s="18">
        <v>0.06</v>
      </c>
      <c r="T226" s="23"/>
      <c r="U226" s="19">
        <f t="shared" si="87"/>
        <v>0</v>
      </c>
      <c r="V226" s="24">
        <f t="shared" si="93"/>
        <v>0</v>
      </c>
      <c r="W226" s="179" t="str">
        <f t="shared" si="88"/>
        <v/>
      </c>
      <c r="X226" s="179" t="str">
        <f t="shared" si="89"/>
        <v/>
      </c>
      <c r="Y226" s="179" t="str">
        <f t="shared" si="90"/>
        <v/>
      </c>
      <c r="Z226" s="99"/>
      <c r="AA226" s="99"/>
      <c r="AB226" s="99"/>
      <c r="AC226" s="1028"/>
      <c r="AD226" s="99"/>
      <c r="AE226" s="99"/>
      <c r="AF226" s="99"/>
      <c r="AG226" s="1028" t="str">
        <f t="shared" si="91"/>
        <v/>
      </c>
      <c r="AH226" s="24">
        <f t="shared" si="92"/>
        <v>0</v>
      </c>
    </row>
    <row r="227">
      <c r="A227" s="1049"/>
      <c r="B227" s="1049"/>
      <c r="C227" s="1049"/>
      <c r="D227" s="1049"/>
      <c r="E227" s="1049"/>
      <c r="F227" s="1050"/>
      <c r="G227" s="1050"/>
      <c r="I227" s="17">
        <f t="shared" si="81"/>
        <v>0</v>
      </c>
      <c r="J227" s="18">
        <v>0.035</v>
      </c>
      <c r="K227" s="19">
        <f t="shared" si="82"/>
        <v>0</v>
      </c>
      <c r="L227" s="20">
        <f t="shared" si="83"/>
        <v>0</v>
      </c>
      <c r="M227" s="87">
        <v>0.00137</v>
      </c>
      <c r="N227" s="18">
        <v>0.0215</v>
      </c>
      <c r="O227" s="22">
        <f t="shared" si="84"/>
        <v>0.001399455</v>
      </c>
      <c r="P227" s="19">
        <f t="shared" si="85"/>
        <v>15</v>
      </c>
      <c r="Q227" s="19">
        <f t="shared" si="86"/>
        <v>0.0215</v>
      </c>
      <c r="R227" s="17">
        <f t="shared" si="7"/>
        <v>0</v>
      </c>
      <c r="S227" s="18">
        <v>0.06</v>
      </c>
      <c r="T227" s="23"/>
      <c r="U227" s="19">
        <f t="shared" si="87"/>
        <v>0</v>
      </c>
      <c r="V227" s="24">
        <f t="shared" si="93"/>
        <v>0</v>
      </c>
      <c r="W227" s="179" t="str">
        <f t="shared" si="88"/>
        <v/>
      </c>
      <c r="X227" s="179" t="str">
        <f t="shared" si="89"/>
        <v/>
      </c>
      <c r="Y227" s="179" t="str">
        <f t="shared" si="90"/>
        <v/>
      </c>
      <c r="Z227" s="99"/>
      <c r="AA227" s="99"/>
      <c r="AB227" s="99"/>
      <c r="AC227" s="1028"/>
      <c r="AD227" s="99"/>
      <c r="AE227" s="99"/>
      <c r="AF227" s="99"/>
      <c r="AG227" s="1028" t="str">
        <f t="shared" si="91"/>
        <v/>
      </c>
      <c r="AH227" s="24">
        <f t="shared" si="92"/>
        <v>0</v>
      </c>
    </row>
    <row r="228">
      <c r="A228" s="1049"/>
      <c r="B228" s="1049"/>
      <c r="C228" s="1049"/>
      <c r="D228" s="1049"/>
      <c r="E228" s="1049"/>
      <c r="F228" s="1050"/>
      <c r="G228" s="1050"/>
      <c r="I228" s="17">
        <f t="shared" si="81"/>
        <v>0</v>
      </c>
      <c r="J228" s="18">
        <v>0.035</v>
      </c>
      <c r="K228" s="19">
        <f t="shared" si="82"/>
        <v>0</v>
      </c>
      <c r="L228" s="20">
        <f t="shared" si="83"/>
        <v>0</v>
      </c>
      <c r="M228" s="87">
        <v>0.00137</v>
      </c>
      <c r="N228" s="18">
        <v>0.0215</v>
      </c>
      <c r="O228" s="22">
        <f t="shared" si="84"/>
        <v>0.001399455</v>
      </c>
      <c r="P228" s="19">
        <f t="shared" si="85"/>
        <v>15</v>
      </c>
      <c r="Q228" s="19">
        <f t="shared" si="86"/>
        <v>0.0215</v>
      </c>
      <c r="R228" s="17">
        <f t="shared" si="7"/>
        <v>0</v>
      </c>
      <c r="S228" s="18">
        <v>0.06</v>
      </c>
      <c r="T228" s="23"/>
      <c r="U228" s="19">
        <f t="shared" si="87"/>
        <v>0</v>
      </c>
      <c r="V228" s="24">
        <f t="shared" si="93"/>
        <v>0</v>
      </c>
      <c r="W228" s="179" t="str">
        <f t="shared" si="88"/>
        <v/>
      </c>
      <c r="X228" s="179" t="str">
        <f t="shared" si="89"/>
        <v/>
      </c>
      <c r="Y228" s="179" t="str">
        <f t="shared" si="90"/>
        <v/>
      </c>
      <c r="Z228" s="99"/>
      <c r="AA228" s="99"/>
      <c r="AB228" s="99"/>
      <c r="AC228" s="1028"/>
      <c r="AD228" s="99"/>
      <c r="AE228" s="99"/>
      <c r="AF228" s="99"/>
      <c r="AG228" s="1028" t="str">
        <f t="shared" si="91"/>
        <v/>
      </c>
      <c r="AH228" s="24">
        <f t="shared" si="92"/>
        <v>0</v>
      </c>
    </row>
    <row r="229">
      <c r="A229" s="1049"/>
      <c r="B229" s="1049"/>
      <c r="C229" s="1049"/>
      <c r="D229" s="1049"/>
      <c r="E229" s="1049"/>
      <c r="F229" s="1050"/>
      <c r="G229" s="1050"/>
      <c r="V229" s="24">
        <f t="shared" si="93"/>
        <v>0</v>
      </c>
    </row>
    <row r="230">
      <c r="A230" s="1049"/>
      <c r="B230" s="1049"/>
      <c r="C230" s="1049"/>
      <c r="D230" s="1049"/>
      <c r="E230" s="1049"/>
      <c r="F230" s="1050"/>
      <c r="G230" s="1050"/>
      <c r="V230" s="24">
        <f t="shared" si="93"/>
        <v>0</v>
      </c>
    </row>
    <row r="231">
      <c r="A231" s="1049"/>
      <c r="B231" s="1049"/>
      <c r="C231" s="1049"/>
      <c r="D231" s="1049"/>
      <c r="E231" s="1049"/>
      <c r="F231" s="1050"/>
      <c r="G231" s="1050"/>
    </row>
    <row r="232">
      <c r="A232" s="1049"/>
      <c r="B232" s="1049"/>
      <c r="C232" s="1049"/>
      <c r="D232" s="1049"/>
      <c r="E232" s="1049"/>
      <c r="F232" s="1050"/>
      <c r="G232" s="1050"/>
    </row>
    <row r="233">
      <c r="A233" s="1049"/>
      <c r="B233" s="1049"/>
      <c r="C233" s="1049"/>
      <c r="D233" s="1049"/>
      <c r="E233" s="1049"/>
      <c r="F233" s="1050"/>
      <c r="G233" s="1050"/>
    </row>
    <row r="234">
      <c r="A234" s="1049"/>
      <c r="B234" s="1049"/>
      <c r="C234" s="1049"/>
      <c r="D234" s="1049"/>
      <c r="E234" s="1049"/>
      <c r="F234" s="1050"/>
      <c r="G234" s="1050"/>
    </row>
    <row r="235">
      <c r="A235" s="1049"/>
      <c r="B235" s="1049"/>
      <c r="C235" s="1049"/>
      <c r="D235" s="1049"/>
      <c r="E235" s="1049"/>
      <c r="F235" s="1050"/>
      <c r="G235" s="1050"/>
    </row>
    <row r="236">
      <c r="A236" s="1049"/>
      <c r="B236" s="1049"/>
      <c r="C236" s="1049"/>
      <c r="D236" s="1049"/>
      <c r="E236" s="1049"/>
      <c r="F236" s="1050"/>
      <c r="G236" s="1050"/>
    </row>
    <row r="237">
      <c r="A237" s="1049"/>
      <c r="B237" s="1049"/>
      <c r="C237" s="1049"/>
      <c r="D237" s="1049"/>
      <c r="E237" s="1049"/>
      <c r="F237" s="1050"/>
      <c r="G237" s="1050"/>
    </row>
    <row r="238">
      <c r="A238" s="1049"/>
      <c r="B238" s="1049"/>
      <c r="C238" s="1049"/>
      <c r="D238" s="1049"/>
      <c r="E238" s="1049"/>
      <c r="F238" s="1050"/>
      <c r="G238" s="1050"/>
    </row>
    <row r="239">
      <c r="A239" s="1049"/>
      <c r="B239" s="1049"/>
      <c r="C239" s="1049"/>
      <c r="D239" s="1049"/>
      <c r="E239" s="1049"/>
      <c r="F239" s="1050"/>
      <c r="G239" s="1050"/>
    </row>
    <row r="240">
      <c r="A240" s="1049"/>
      <c r="B240" s="1049"/>
      <c r="C240" s="1049"/>
      <c r="D240" s="1049"/>
      <c r="E240" s="1049"/>
      <c r="F240" s="1050"/>
      <c r="G240" s="1050"/>
    </row>
    <row r="241">
      <c r="A241" s="1049"/>
      <c r="B241" s="1049"/>
      <c r="C241" s="1049"/>
      <c r="D241" s="1049"/>
      <c r="E241" s="1049"/>
      <c r="F241" s="1050"/>
      <c r="G241" s="1050"/>
    </row>
    <row r="242">
      <c r="A242" s="1049"/>
      <c r="B242" s="1049"/>
      <c r="C242" s="1049"/>
      <c r="D242" s="1049"/>
      <c r="E242" s="1049"/>
      <c r="F242" s="1050"/>
      <c r="G242" s="1050"/>
    </row>
    <row r="243">
      <c r="A243" s="1049"/>
      <c r="B243" s="1049"/>
      <c r="C243" s="1049"/>
      <c r="D243" s="1049"/>
      <c r="E243" s="1049"/>
      <c r="F243" s="1050"/>
      <c r="G243" s="1050"/>
    </row>
    <row r="244">
      <c r="A244" s="1049"/>
      <c r="B244" s="1049"/>
      <c r="C244" s="1049"/>
      <c r="D244" s="1049"/>
      <c r="E244" s="1049"/>
      <c r="F244" s="1050"/>
      <c r="G244" s="1050"/>
    </row>
    <row r="245">
      <c r="A245" s="1049"/>
      <c r="B245" s="1049"/>
      <c r="C245" s="1049"/>
      <c r="D245" s="1049"/>
      <c r="E245" s="1049"/>
      <c r="F245" s="1050"/>
      <c r="G245" s="1050"/>
    </row>
    <row r="246">
      <c r="A246" s="1049"/>
      <c r="B246" s="1049"/>
      <c r="C246" s="1049"/>
      <c r="D246" s="1049"/>
      <c r="E246" s="1049"/>
      <c r="F246" s="1050"/>
      <c r="G246" s="1050"/>
    </row>
    <row r="247">
      <c r="A247" s="1049"/>
      <c r="B247" s="1049"/>
      <c r="C247" s="1049"/>
      <c r="D247" s="1049"/>
      <c r="E247" s="1049"/>
      <c r="F247" s="1050"/>
      <c r="G247" s="1050"/>
    </row>
    <row r="248">
      <c r="A248" s="1049"/>
      <c r="B248" s="1049"/>
      <c r="C248" s="1049"/>
      <c r="D248" s="1049"/>
      <c r="E248" s="1049"/>
      <c r="F248" s="1050"/>
      <c r="G248" s="1050"/>
    </row>
    <row r="249">
      <c r="A249" s="1049"/>
      <c r="B249" s="1049"/>
      <c r="C249" s="1049"/>
      <c r="D249" s="1049"/>
      <c r="E249" s="1049"/>
      <c r="F249" s="1050"/>
      <c r="G249" s="1050"/>
    </row>
    <row r="250">
      <c r="A250" s="1049"/>
      <c r="B250" s="1049"/>
      <c r="C250" s="1049"/>
      <c r="D250" s="1049"/>
      <c r="E250" s="1049"/>
      <c r="F250" s="1050"/>
      <c r="G250" s="1050"/>
    </row>
    <row r="251">
      <c r="A251" s="1049"/>
      <c r="B251" s="1049"/>
      <c r="C251" s="1049"/>
      <c r="D251" s="1049"/>
      <c r="E251" s="1049"/>
      <c r="F251" s="1050"/>
      <c r="G251" s="1050"/>
    </row>
    <row r="252">
      <c r="A252" s="1049"/>
      <c r="B252" s="1049"/>
      <c r="C252" s="1049"/>
      <c r="D252" s="1049"/>
      <c r="E252" s="1049"/>
      <c r="F252" s="1050"/>
      <c r="G252" s="1050"/>
    </row>
    <row r="253">
      <c r="A253" s="1049"/>
      <c r="B253" s="1049"/>
      <c r="C253" s="1049"/>
      <c r="D253" s="1049"/>
      <c r="E253" s="1049"/>
      <c r="F253" s="1050"/>
      <c r="G253" s="1050"/>
    </row>
    <row r="254">
      <c r="A254" s="1049"/>
      <c r="B254" s="1049"/>
      <c r="C254" s="1049"/>
      <c r="D254" s="1049"/>
      <c r="E254" s="1049"/>
      <c r="F254" s="1050"/>
      <c r="G254" s="1050"/>
    </row>
    <row r="255">
      <c r="A255" s="1049"/>
      <c r="B255" s="1049"/>
      <c r="C255" s="1049"/>
      <c r="D255" s="1049"/>
      <c r="E255" s="1049"/>
      <c r="F255" s="1050"/>
      <c r="G255" s="1050"/>
    </row>
    <row r="256">
      <c r="A256" s="1049"/>
      <c r="B256" s="1049"/>
      <c r="C256" s="1049"/>
      <c r="D256" s="1049"/>
      <c r="E256" s="1049"/>
      <c r="F256" s="1050"/>
      <c r="G256" s="1050"/>
    </row>
    <row r="257">
      <c r="A257" s="1049"/>
      <c r="B257" s="1049"/>
      <c r="C257" s="1049"/>
      <c r="D257" s="1049"/>
      <c r="E257" s="1049"/>
      <c r="F257" s="1050"/>
      <c r="G257" s="1050"/>
    </row>
    <row r="258">
      <c r="A258" s="1049"/>
      <c r="B258" s="1049"/>
      <c r="C258" s="1049"/>
      <c r="D258" s="1049"/>
      <c r="E258" s="1049"/>
      <c r="F258" s="1050"/>
      <c r="G258" s="1050"/>
    </row>
    <row r="259">
      <c r="A259" s="1049"/>
      <c r="B259" s="1049"/>
      <c r="C259" s="1049"/>
      <c r="D259" s="1049"/>
      <c r="E259" s="1049"/>
      <c r="F259" s="1050"/>
      <c r="G259" s="1050"/>
    </row>
    <row r="260">
      <c r="A260" s="1049"/>
      <c r="B260" s="1049"/>
      <c r="C260" s="1049"/>
      <c r="D260" s="1049"/>
      <c r="E260" s="1049"/>
      <c r="F260" s="1050"/>
      <c r="G260" s="1050"/>
    </row>
    <row r="261">
      <c r="A261" s="1049"/>
      <c r="B261" s="1049"/>
      <c r="C261" s="1049"/>
      <c r="D261" s="1049"/>
      <c r="E261" s="1049"/>
      <c r="F261" s="1050"/>
      <c r="G261" s="1050"/>
    </row>
    <row r="262">
      <c r="A262" s="1049"/>
      <c r="B262" s="1049"/>
      <c r="C262" s="1049"/>
      <c r="D262" s="1049"/>
      <c r="E262" s="1049"/>
      <c r="F262" s="1050"/>
      <c r="G262" s="1050"/>
    </row>
    <row r="263">
      <c r="A263" s="1049"/>
      <c r="B263" s="1049"/>
      <c r="C263" s="1049"/>
      <c r="D263" s="1049"/>
      <c r="E263" s="1049"/>
      <c r="F263" s="1050"/>
      <c r="G263" s="1050"/>
    </row>
    <row r="264">
      <c r="A264" s="1049"/>
      <c r="B264" s="1049"/>
      <c r="C264" s="1049"/>
      <c r="D264" s="1049"/>
      <c r="E264" s="1049"/>
      <c r="F264" s="1050"/>
      <c r="G264" s="1050"/>
    </row>
    <row r="265">
      <c r="A265" s="1049"/>
      <c r="B265" s="1049"/>
      <c r="C265" s="1049"/>
      <c r="D265" s="1049"/>
      <c r="E265" s="1049"/>
      <c r="F265" s="1050"/>
      <c r="G265" s="1050"/>
    </row>
    <row r="266">
      <c r="A266" s="1049"/>
      <c r="B266" s="1049"/>
      <c r="C266" s="1049"/>
      <c r="D266" s="1049"/>
      <c r="E266" s="1049"/>
      <c r="F266" s="1050"/>
      <c r="G266" s="1050"/>
    </row>
    <row r="267">
      <c r="A267" s="1049"/>
      <c r="B267" s="1049"/>
      <c r="C267" s="1049"/>
      <c r="D267" s="1049"/>
      <c r="E267" s="1049"/>
      <c r="F267" s="1050"/>
      <c r="G267" s="1050"/>
    </row>
    <row r="268">
      <c r="A268" s="1049"/>
      <c r="B268" s="1049"/>
      <c r="C268" s="1049"/>
      <c r="D268" s="1049"/>
      <c r="E268" s="1049"/>
      <c r="F268" s="1050"/>
      <c r="G268" s="1050"/>
    </row>
    <row r="269">
      <c r="A269" s="1049"/>
      <c r="B269" s="1049"/>
      <c r="C269" s="1049"/>
      <c r="D269" s="1049"/>
      <c r="E269" s="1049"/>
      <c r="F269" s="1050"/>
      <c r="G269" s="1050"/>
    </row>
    <row r="270">
      <c r="A270" s="1049"/>
      <c r="B270" s="1049"/>
      <c r="C270" s="1049"/>
      <c r="D270" s="1049"/>
      <c r="E270" s="1049"/>
      <c r="F270" s="1050"/>
      <c r="G270" s="1050"/>
    </row>
    <row r="271">
      <c r="A271" s="1049"/>
      <c r="B271" s="1049"/>
      <c r="C271" s="1049"/>
      <c r="D271" s="1049"/>
      <c r="E271" s="1049"/>
      <c r="F271" s="1050"/>
      <c r="G271" s="1050"/>
    </row>
    <row r="272">
      <c r="A272" s="1049"/>
      <c r="B272" s="1049"/>
      <c r="C272" s="1049"/>
      <c r="D272" s="1049"/>
      <c r="E272" s="1049"/>
      <c r="F272" s="1050"/>
      <c r="G272" s="1050"/>
    </row>
    <row r="273">
      <c r="A273" s="1049"/>
      <c r="B273" s="1049"/>
      <c r="C273" s="1049"/>
      <c r="D273" s="1049"/>
      <c r="E273" s="1049"/>
      <c r="F273" s="1050"/>
      <c r="G273" s="1050"/>
    </row>
    <row r="274">
      <c r="A274" s="1049"/>
      <c r="B274" s="1049"/>
      <c r="C274" s="1049"/>
      <c r="D274" s="1049"/>
      <c r="E274" s="1049"/>
      <c r="F274" s="1050"/>
      <c r="G274" s="1050"/>
    </row>
    <row r="275">
      <c r="A275" s="1049"/>
      <c r="B275" s="1049"/>
      <c r="C275" s="1049"/>
      <c r="D275" s="1049"/>
      <c r="E275" s="1049"/>
      <c r="F275" s="1050"/>
      <c r="G275" s="1050"/>
    </row>
    <row r="276">
      <c r="A276" s="1049"/>
      <c r="B276" s="1049"/>
      <c r="C276" s="1049"/>
      <c r="D276" s="1049"/>
      <c r="E276" s="1049"/>
      <c r="F276" s="1050"/>
      <c r="G276" s="1050"/>
    </row>
    <row r="277">
      <c r="A277" s="1049"/>
      <c r="B277" s="1049"/>
      <c r="C277" s="1049"/>
      <c r="D277" s="1049"/>
      <c r="E277" s="1049"/>
      <c r="F277" s="1050"/>
      <c r="G277" s="1050"/>
    </row>
    <row r="278">
      <c r="A278" s="1049"/>
      <c r="B278" s="1049"/>
      <c r="C278" s="1049"/>
      <c r="D278" s="1049"/>
      <c r="E278" s="1049"/>
      <c r="F278" s="1050"/>
      <c r="G278" s="1050"/>
    </row>
    <row r="279">
      <c r="A279" s="1049"/>
      <c r="B279" s="1049"/>
      <c r="C279" s="1049"/>
      <c r="D279" s="1049"/>
      <c r="E279" s="1049"/>
      <c r="F279" s="1050"/>
      <c r="G279" s="1050"/>
    </row>
    <row r="280">
      <c r="A280" s="1049"/>
      <c r="B280" s="1049"/>
      <c r="C280" s="1049"/>
      <c r="D280" s="1049"/>
      <c r="E280" s="1049"/>
      <c r="F280" s="1050"/>
      <c r="G280" s="1050"/>
    </row>
    <row r="281">
      <c r="A281" s="1049"/>
      <c r="B281" s="1049"/>
      <c r="C281" s="1049"/>
      <c r="D281" s="1049"/>
      <c r="E281" s="1049"/>
      <c r="F281" s="1050"/>
      <c r="G281" s="1050"/>
    </row>
    <row r="282">
      <c r="A282" s="1049"/>
      <c r="B282" s="1049"/>
      <c r="C282" s="1049"/>
      <c r="D282" s="1049"/>
      <c r="E282" s="1049"/>
      <c r="F282" s="1050"/>
      <c r="G282" s="1050"/>
    </row>
    <row r="283">
      <c r="A283" s="1049"/>
      <c r="B283" s="1049"/>
      <c r="C283" s="1049"/>
      <c r="D283" s="1049"/>
      <c r="E283" s="1049"/>
      <c r="F283" s="1050"/>
      <c r="G283" s="1050"/>
    </row>
    <row r="284">
      <c r="A284" s="1049"/>
      <c r="B284" s="1049"/>
      <c r="C284" s="1049"/>
      <c r="D284" s="1049"/>
      <c r="E284" s="1049"/>
      <c r="F284" s="1050"/>
      <c r="G284" s="1050"/>
    </row>
    <row r="285">
      <c r="A285" s="1049"/>
      <c r="B285" s="1049"/>
      <c r="C285" s="1049"/>
      <c r="D285" s="1049"/>
      <c r="E285" s="1049"/>
      <c r="F285" s="1050"/>
      <c r="G285" s="1050"/>
    </row>
    <row r="286">
      <c r="A286" s="1049"/>
      <c r="B286" s="1049"/>
      <c r="C286" s="1049"/>
      <c r="D286" s="1049"/>
      <c r="E286" s="1049"/>
      <c r="F286" s="1050"/>
      <c r="G286" s="1050"/>
    </row>
    <row r="287">
      <c r="A287" s="1049"/>
      <c r="B287" s="1049"/>
      <c r="C287" s="1049"/>
      <c r="D287" s="1049"/>
      <c r="E287" s="1049"/>
      <c r="F287" s="1050"/>
      <c r="G287" s="1050"/>
    </row>
    <row r="288">
      <c r="A288" s="1049"/>
      <c r="B288" s="1049"/>
      <c r="C288" s="1049"/>
      <c r="D288" s="1049"/>
      <c r="E288" s="1049"/>
      <c r="F288" s="1050"/>
      <c r="G288" s="1050"/>
    </row>
    <row r="289">
      <c r="A289" s="1049"/>
      <c r="B289" s="1049"/>
      <c r="C289" s="1049"/>
      <c r="D289" s="1049"/>
      <c r="E289" s="1049"/>
      <c r="F289" s="1050"/>
      <c r="G289" s="1050"/>
    </row>
    <row r="290">
      <c r="A290" s="1049"/>
      <c r="B290" s="1049"/>
      <c r="C290" s="1049"/>
      <c r="D290" s="1049"/>
      <c r="E290" s="1049"/>
      <c r="F290" s="1050"/>
      <c r="G290" s="1050"/>
    </row>
    <row r="291">
      <c r="A291" s="1049"/>
      <c r="B291" s="1049"/>
      <c r="C291" s="1049"/>
      <c r="D291" s="1049"/>
      <c r="E291" s="1049"/>
      <c r="F291" s="1050"/>
      <c r="G291" s="1050"/>
    </row>
    <row r="292">
      <c r="A292" s="1049"/>
      <c r="B292" s="1049"/>
      <c r="C292" s="1049"/>
      <c r="D292" s="1049"/>
      <c r="E292" s="1049"/>
      <c r="F292" s="1050"/>
      <c r="G292" s="1050"/>
    </row>
    <row r="293">
      <c r="A293" s="1049"/>
      <c r="B293" s="1049"/>
      <c r="C293" s="1049"/>
      <c r="D293" s="1049"/>
      <c r="E293" s="1049"/>
      <c r="F293" s="1050"/>
      <c r="G293" s="1050"/>
    </row>
    <row r="294">
      <c r="A294" s="1049"/>
      <c r="B294" s="1049"/>
      <c r="C294" s="1049"/>
      <c r="D294" s="1049"/>
      <c r="E294" s="1049"/>
      <c r="F294" s="1050"/>
      <c r="G294" s="1050"/>
    </row>
    <row r="295">
      <c r="A295" s="1049"/>
      <c r="B295" s="1049"/>
      <c r="C295" s="1049"/>
      <c r="D295" s="1049"/>
      <c r="E295" s="1049"/>
      <c r="F295" s="1050"/>
      <c r="G295" s="1050"/>
    </row>
    <row r="296">
      <c r="A296" s="1049"/>
      <c r="B296" s="1049"/>
      <c r="C296" s="1049"/>
      <c r="D296" s="1049"/>
      <c r="E296" s="1049"/>
      <c r="F296" s="1050"/>
      <c r="G296" s="1050"/>
    </row>
    <row r="297">
      <c r="A297" s="1049"/>
      <c r="B297" s="1049"/>
      <c r="C297" s="1049"/>
      <c r="D297" s="1049"/>
      <c r="E297" s="1049"/>
      <c r="F297" s="1050"/>
      <c r="G297" s="1050"/>
    </row>
    <row r="298">
      <c r="A298" s="1049"/>
      <c r="B298" s="1049"/>
      <c r="C298" s="1049"/>
      <c r="D298" s="1049"/>
      <c r="E298" s="1049"/>
      <c r="F298" s="1050"/>
      <c r="G298" s="1050"/>
    </row>
    <row r="299">
      <c r="A299" s="1049"/>
      <c r="B299" s="1049"/>
      <c r="C299" s="1049"/>
      <c r="D299" s="1049"/>
      <c r="E299" s="1049"/>
      <c r="F299" s="1050"/>
      <c r="G299" s="1050"/>
    </row>
    <row r="300">
      <c r="A300" s="1049"/>
      <c r="B300" s="1049"/>
      <c r="C300" s="1049"/>
      <c r="D300" s="1049"/>
      <c r="E300" s="1049"/>
      <c r="F300" s="1050"/>
      <c r="G300" s="1050"/>
    </row>
    <row r="301">
      <c r="A301" s="1049"/>
      <c r="B301" s="1049"/>
      <c r="C301" s="1049"/>
      <c r="D301" s="1049"/>
      <c r="E301" s="1049"/>
      <c r="F301" s="1050"/>
      <c r="G301" s="1050"/>
    </row>
    <row r="302">
      <c r="A302" s="1049"/>
      <c r="B302" s="1049"/>
      <c r="C302" s="1049"/>
      <c r="D302" s="1049"/>
      <c r="E302" s="1049"/>
      <c r="F302" s="1050"/>
      <c r="G302" s="1050"/>
    </row>
    <row r="303">
      <c r="A303" s="1049"/>
      <c r="B303" s="1049"/>
      <c r="C303" s="1049"/>
      <c r="D303" s="1049"/>
      <c r="E303" s="1049"/>
      <c r="F303" s="1050"/>
      <c r="G303" s="1050"/>
    </row>
    <row r="304">
      <c r="A304" s="1049"/>
      <c r="B304" s="1049"/>
      <c r="C304" s="1049"/>
      <c r="D304" s="1049"/>
      <c r="E304" s="1049"/>
      <c r="F304" s="1050"/>
      <c r="G304" s="1050"/>
    </row>
    <row r="305">
      <c r="A305" s="1049"/>
      <c r="B305" s="1049"/>
      <c r="C305" s="1049"/>
      <c r="D305" s="1049"/>
      <c r="E305" s="1049"/>
      <c r="F305" s="1050"/>
      <c r="G305" s="1050"/>
    </row>
    <row r="306">
      <c r="A306" s="1049"/>
      <c r="B306" s="1049"/>
      <c r="C306" s="1049"/>
      <c r="D306" s="1049"/>
      <c r="E306" s="1049"/>
      <c r="F306" s="1050"/>
      <c r="G306" s="1050"/>
    </row>
    <row r="307">
      <c r="A307" s="1049"/>
      <c r="B307" s="1049"/>
      <c r="C307" s="1049"/>
      <c r="D307" s="1049"/>
      <c r="E307" s="1049"/>
      <c r="F307" s="1050"/>
      <c r="G307" s="1050"/>
    </row>
    <row r="308">
      <c r="A308" s="1049"/>
      <c r="B308" s="1049"/>
      <c r="C308" s="1049"/>
      <c r="D308" s="1049"/>
      <c r="E308" s="1049"/>
      <c r="F308" s="1050"/>
      <c r="G308" s="1050"/>
    </row>
    <row r="309">
      <c r="A309" s="1049"/>
      <c r="B309" s="1049"/>
      <c r="C309" s="1049"/>
      <c r="D309" s="1049"/>
      <c r="E309" s="1049"/>
      <c r="F309" s="1050"/>
      <c r="G309" s="1050"/>
    </row>
    <row r="310">
      <c r="A310" s="1049"/>
      <c r="B310" s="1049"/>
      <c r="C310" s="1049"/>
      <c r="D310" s="1049"/>
      <c r="E310" s="1049"/>
      <c r="F310" s="1050"/>
      <c r="G310" s="1050"/>
    </row>
    <row r="311">
      <c r="A311" s="1049"/>
      <c r="B311" s="1049"/>
      <c r="C311" s="1049"/>
      <c r="D311" s="1049"/>
      <c r="E311" s="1049"/>
      <c r="F311" s="1050"/>
      <c r="G311" s="1050"/>
    </row>
    <row r="312">
      <c r="A312" s="1049"/>
      <c r="B312" s="1049"/>
      <c r="C312" s="1049"/>
      <c r="D312" s="1049"/>
      <c r="E312" s="1049"/>
      <c r="F312" s="1050"/>
      <c r="G312" s="1050"/>
    </row>
    <row r="313">
      <c r="A313" s="1049"/>
      <c r="B313" s="1049"/>
      <c r="C313" s="1049"/>
      <c r="D313" s="1049"/>
      <c r="E313" s="1049"/>
      <c r="F313" s="1050"/>
      <c r="G313" s="1050"/>
    </row>
    <row r="314">
      <c r="A314" s="1049"/>
      <c r="B314" s="1049"/>
      <c r="C314" s="1049"/>
      <c r="D314" s="1049"/>
      <c r="E314" s="1049"/>
      <c r="F314" s="1050"/>
      <c r="G314" s="1050"/>
    </row>
    <row r="315">
      <c r="A315" s="1049"/>
      <c r="B315" s="1049"/>
      <c r="C315" s="1049"/>
      <c r="D315" s="1049"/>
      <c r="E315" s="1049"/>
      <c r="F315" s="1050"/>
      <c r="G315" s="1050"/>
    </row>
    <row r="316">
      <c r="A316" s="1049"/>
      <c r="B316" s="1049"/>
      <c r="C316" s="1049"/>
      <c r="D316" s="1049"/>
      <c r="E316" s="1049"/>
      <c r="F316" s="1050"/>
      <c r="G316" s="1050"/>
    </row>
    <row r="317">
      <c r="A317" s="1049"/>
      <c r="B317" s="1049"/>
      <c r="C317" s="1049"/>
      <c r="D317" s="1049"/>
      <c r="E317" s="1049"/>
      <c r="F317" s="1050"/>
      <c r="G317" s="1050"/>
    </row>
    <row r="318">
      <c r="A318" s="1049"/>
      <c r="B318" s="1049"/>
      <c r="C318" s="1049"/>
      <c r="D318" s="1049"/>
      <c r="E318" s="1049"/>
      <c r="F318" s="1050"/>
      <c r="G318" s="1050"/>
    </row>
    <row r="319">
      <c r="A319" s="1049"/>
      <c r="B319" s="1049"/>
      <c r="C319" s="1049"/>
      <c r="D319" s="1049"/>
      <c r="E319" s="1049"/>
      <c r="F319" s="1050"/>
      <c r="G319" s="1050"/>
    </row>
    <row r="320">
      <c r="A320" s="1049"/>
      <c r="B320" s="1049"/>
      <c r="C320" s="1049"/>
      <c r="D320" s="1049"/>
      <c r="E320" s="1049"/>
      <c r="F320" s="1050"/>
      <c r="G320" s="1050"/>
    </row>
    <row r="321">
      <c r="A321" s="1049"/>
      <c r="B321" s="1049"/>
      <c r="C321" s="1049"/>
      <c r="D321" s="1049"/>
      <c r="E321" s="1049"/>
      <c r="F321" s="1050"/>
      <c r="G321" s="1050"/>
    </row>
    <row r="322">
      <c r="A322" s="1049"/>
      <c r="B322" s="1049"/>
      <c r="C322" s="1049"/>
      <c r="D322" s="1049"/>
      <c r="E322" s="1049"/>
      <c r="F322" s="1050"/>
      <c r="G322" s="1050"/>
    </row>
    <row r="323">
      <c r="A323" s="1049"/>
      <c r="B323" s="1049"/>
      <c r="C323" s="1049"/>
      <c r="D323" s="1049"/>
      <c r="E323" s="1049"/>
      <c r="F323" s="1050"/>
      <c r="G323" s="1050"/>
    </row>
    <row r="324">
      <c r="A324" s="1049"/>
      <c r="B324" s="1049"/>
      <c r="C324" s="1049"/>
      <c r="D324" s="1049"/>
      <c r="E324" s="1049"/>
      <c r="F324" s="1050"/>
      <c r="G324" s="1050"/>
    </row>
    <row r="325">
      <c r="A325" s="1049"/>
      <c r="B325" s="1049"/>
      <c r="C325" s="1049"/>
      <c r="D325" s="1049"/>
      <c r="E325" s="1049"/>
      <c r="F325" s="1050"/>
      <c r="G325" s="1050"/>
    </row>
    <row r="326">
      <c r="A326" s="1049"/>
      <c r="B326" s="1049"/>
      <c r="C326" s="1049"/>
      <c r="D326" s="1049"/>
      <c r="E326" s="1049"/>
      <c r="F326" s="1050"/>
      <c r="G326" s="1050"/>
    </row>
    <row r="327">
      <c r="A327" s="1049"/>
      <c r="B327" s="1049"/>
      <c r="C327" s="1049"/>
      <c r="D327" s="1049"/>
      <c r="E327" s="1049"/>
      <c r="F327" s="1050"/>
      <c r="G327" s="1050"/>
    </row>
    <row r="328">
      <c r="A328" s="1049"/>
      <c r="B328" s="1049"/>
      <c r="C328" s="1049"/>
      <c r="D328" s="1049"/>
      <c r="E328" s="1049"/>
      <c r="F328" s="1050"/>
      <c r="G328" s="1050"/>
    </row>
    <row r="329">
      <c r="A329" s="1049"/>
      <c r="B329" s="1049"/>
      <c r="C329" s="1049"/>
      <c r="D329" s="1049"/>
      <c r="E329" s="1049"/>
      <c r="F329" s="1050"/>
      <c r="G329" s="1050"/>
    </row>
    <row r="330">
      <c r="A330" s="1049"/>
      <c r="B330" s="1049"/>
      <c r="C330" s="1049"/>
      <c r="D330" s="1049"/>
      <c r="E330" s="1049"/>
      <c r="F330" s="1050"/>
      <c r="G330" s="1050"/>
    </row>
    <row r="331">
      <c r="A331" s="1049"/>
      <c r="B331" s="1049"/>
      <c r="C331" s="1049"/>
      <c r="D331" s="1049"/>
      <c r="E331" s="1049"/>
      <c r="F331" s="1050"/>
      <c r="G331" s="1050"/>
    </row>
    <row r="332">
      <c r="A332" s="1049"/>
      <c r="B332" s="1049"/>
      <c r="C332" s="1049"/>
      <c r="D332" s="1049"/>
      <c r="E332" s="1049"/>
      <c r="F332" s="1050"/>
      <c r="G332" s="1050"/>
    </row>
    <row r="333">
      <c r="A333" s="1049"/>
      <c r="B333" s="1049"/>
      <c r="C333" s="1049"/>
      <c r="D333" s="1049"/>
      <c r="E333" s="1049"/>
      <c r="F333" s="1050"/>
      <c r="G333" s="1050"/>
    </row>
    <row r="334">
      <c r="A334" s="1049"/>
      <c r="B334" s="1049"/>
      <c r="C334" s="1049"/>
      <c r="D334" s="1049"/>
      <c r="E334" s="1049"/>
      <c r="F334" s="1050"/>
      <c r="G334" s="1050"/>
    </row>
    <row r="335">
      <c r="A335" s="1049"/>
      <c r="B335" s="1049"/>
      <c r="C335" s="1049"/>
      <c r="D335" s="1049"/>
      <c r="E335" s="1049"/>
      <c r="F335" s="1050"/>
      <c r="G335" s="1050"/>
    </row>
    <row r="336">
      <c r="A336" s="1049"/>
      <c r="B336" s="1049"/>
      <c r="C336" s="1049"/>
      <c r="D336" s="1049"/>
      <c r="E336" s="1049"/>
      <c r="F336" s="1050"/>
      <c r="G336" s="1050"/>
    </row>
    <row r="337">
      <c r="A337" s="1049"/>
      <c r="B337" s="1049"/>
      <c r="C337" s="1049"/>
      <c r="D337" s="1049"/>
      <c r="E337" s="1049"/>
      <c r="F337" s="1050"/>
      <c r="G337" s="1050"/>
    </row>
    <row r="338">
      <c r="A338" s="1049"/>
      <c r="B338" s="1049"/>
      <c r="C338" s="1049"/>
      <c r="D338" s="1049"/>
      <c r="E338" s="1049"/>
      <c r="F338" s="1050"/>
      <c r="G338" s="1050"/>
    </row>
    <row r="339">
      <c r="A339" s="1049"/>
      <c r="B339" s="1049"/>
      <c r="C339" s="1049"/>
      <c r="D339" s="1049"/>
      <c r="E339" s="1049"/>
      <c r="F339" s="1050"/>
      <c r="G339" s="1050"/>
    </row>
    <row r="340">
      <c r="A340" s="1049"/>
      <c r="B340" s="1049"/>
      <c r="C340" s="1049"/>
      <c r="D340" s="1049"/>
      <c r="E340" s="1049"/>
      <c r="F340" s="1050"/>
      <c r="G340" s="1050"/>
    </row>
    <row r="341">
      <c r="A341" s="1049"/>
      <c r="B341" s="1049"/>
      <c r="C341" s="1049"/>
      <c r="D341" s="1049"/>
      <c r="E341" s="1049"/>
      <c r="F341" s="1050"/>
      <c r="G341" s="1050"/>
    </row>
    <row r="342">
      <c r="A342" s="1049"/>
      <c r="B342" s="1049"/>
      <c r="C342" s="1049"/>
      <c r="D342" s="1049"/>
      <c r="E342" s="1049"/>
      <c r="F342" s="1050"/>
      <c r="G342" s="1050"/>
    </row>
    <row r="343">
      <c r="A343" s="1049"/>
      <c r="B343" s="1049"/>
      <c r="C343" s="1049"/>
      <c r="D343" s="1049"/>
      <c r="E343" s="1049"/>
      <c r="F343" s="1050"/>
      <c r="G343" s="1050"/>
    </row>
    <row r="344">
      <c r="A344" s="1049"/>
      <c r="B344" s="1049"/>
      <c r="C344" s="1049"/>
      <c r="D344" s="1049"/>
      <c r="E344" s="1049"/>
      <c r="F344" s="1050"/>
      <c r="G344" s="1050"/>
    </row>
    <row r="345">
      <c r="A345" s="1049"/>
      <c r="B345" s="1049"/>
      <c r="C345" s="1049"/>
      <c r="D345" s="1049"/>
      <c r="E345" s="1049"/>
      <c r="F345" s="1050"/>
      <c r="G345" s="1050"/>
    </row>
    <row r="346">
      <c r="A346" s="1049"/>
      <c r="B346" s="1049"/>
      <c r="C346" s="1049"/>
      <c r="D346" s="1049"/>
      <c r="E346" s="1049"/>
      <c r="F346" s="1050"/>
      <c r="G346" s="1050"/>
    </row>
    <row r="347">
      <c r="A347" s="1049"/>
      <c r="B347" s="1049"/>
      <c r="C347" s="1049"/>
      <c r="D347" s="1049"/>
      <c r="E347" s="1049"/>
      <c r="F347" s="1050"/>
      <c r="G347" s="1050"/>
    </row>
    <row r="348">
      <c r="A348" s="1049"/>
      <c r="B348" s="1049"/>
      <c r="C348" s="1049"/>
      <c r="D348" s="1049"/>
      <c r="E348" s="1049"/>
      <c r="F348" s="1050"/>
      <c r="G348" s="1050"/>
    </row>
    <row r="349">
      <c r="A349" s="1049"/>
      <c r="B349" s="1049"/>
      <c r="C349" s="1049"/>
      <c r="D349" s="1049"/>
      <c r="E349" s="1049"/>
      <c r="F349" s="1050"/>
      <c r="G349" s="1050"/>
    </row>
    <row r="350">
      <c r="A350" s="1049"/>
      <c r="B350" s="1049"/>
      <c r="C350" s="1049"/>
      <c r="D350" s="1049"/>
      <c r="E350" s="1049"/>
      <c r="F350" s="1050"/>
      <c r="G350" s="1050"/>
    </row>
    <row r="351">
      <c r="A351" s="1049"/>
      <c r="B351" s="1049"/>
      <c r="C351" s="1049"/>
      <c r="D351" s="1049"/>
      <c r="E351" s="1049"/>
      <c r="F351" s="1050"/>
      <c r="G351" s="1050"/>
    </row>
    <row r="352">
      <c r="A352" s="1049"/>
      <c r="B352" s="1049"/>
      <c r="C352" s="1049"/>
      <c r="D352" s="1049"/>
      <c r="E352" s="1049"/>
      <c r="F352" s="1050"/>
      <c r="G352" s="1050"/>
    </row>
    <row r="353">
      <c r="A353" s="1049"/>
      <c r="B353" s="1049"/>
      <c r="C353" s="1049"/>
      <c r="D353" s="1049"/>
      <c r="E353" s="1049"/>
      <c r="F353" s="1050"/>
      <c r="G353" s="1050"/>
    </row>
    <row r="354">
      <c r="A354" s="1049"/>
      <c r="B354" s="1049"/>
      <c r="C354" s="1049"/>
      <c r="D354" s="1049"/>
      <c r="E354" s="1049"/>
      <c r="F354" s="1050"/>
      <c r="G354" s="1050"/>
    </row>
    <row r="355">
      <c r="A355" s="1049"/>
      <c r="B355" s="1049"/>
      <c r="C355" s="1049"/>
      <c r="D355" s="1049"/>
      <c r="E355" s="1049"/>
      <c r="F355" s="1050"/>
      <c r="G355" s="1050"/>
    </row>
    <row r="356">
      <c r="A356" s="1049"/>
      <c r="B356" s="1049"/>
      <c r="C356" s="1049"/>
      <c r="D356" s="1049"/>
      <c r="E356" s="1049"/>
      <c r="F356" s="1050"/>
      <c r="G356" s="1050"/>
    </row>
    <row r="357">
      <c r="A357" s="1049"/>
      <c r="B357" s="1049"/>
      <c r="C357" s="1049"/>
      <c r="D357" s="1049"/>
      <c r="E357" s="1049"/>
      <c r="F357" s="1050"/>
      <c r="G357" s="1050"/>
    </row>
    <row r="358">
      <c r="A358" s="1049"/>
      <c r="B358" s="1049"/>
      <c r="C358" s="1049"/>
      <c r="D358" s="1049"/>
      <c r="E358" s="1049"/>
      <c r="F358" s="1050"/>
      <c r="G358" s="1050"/>
    </row>
    <row r="359">
      <c r="A359" s="1049"/>
      <c r="B359" s="1049"/>
      <c r="C359" s="1049"/>
      <c r="D359" s="1049"/>
      <c r="E359" s="1049"/>
      <c r="F359" s="1050"/>
      <c r="G359" s="1050"/>
    </row>
    <row r="360">
      <c r="A360" s="1049"/>
      <c r="B360" s="1049"/>
      <c r="C360" s="1049"/>
      <c r="D360" s="1049"/>
      <c r="E360" s="1049"/>
      <c r="F360" s="1050"/>
      <c r="G360" s="1050"/>
    </row>
    <row r="361">
      <c r="A361" s="1049"/>
      <c r="B361" s="1049"/>
      <c r="C361" s="1049"/>
      <c r="D361" s="1049"/>
      <c r="E361" s="1049"/>
      <c r="F361" s="1050"/>
      <c r="G361" s="1050"/>
    </row>
    <row r="362">
      <c r="A362" s="1049"/>
      <c r="B362" s="1049"/>
      <c r="C362" s="1049"/>
      <c r="D362" s="1049"/>
      <c r="E362" s="1049"/>
      <c r="F362" s="1050"/>
      <c r="G362" s="1050"/>
    </row>
    <row r="363">
      <c r="A363" s="1049"/>
      <c r="B363" s="1049"/>
      <c r="C363" s="1049"/>
      <c r="D363" s="1049"/>
      <c r="E363" s="1049"/>
      <c r="F363" s="1050"/>
      <c r="G363" s="1050"/>
    </row>
    <row r="364">
      <c r="A364" s="1049"/>
      <c r="B364" s="1049"/>
      <c r="C364" s="1049"/>
      <c r="D364" s="1049"/>
      <c r="E364" s="1049"/>
      <c r="F364" s="1050"/>
      <c r="G364" s="1050"/>
    </row>
    <row r="365">
      <c r="A365" s="1049"/>
      <c r="B365" s="1049"/>
      <c r="C365" s="1049"/>
      <c r="D365" s="1049"/>
      <c r="E365" s="1049"/>
      <c r="F365" s="1050"/>
      <c r="G365" s="1050"/>
    </row>
    <row r="366">
      <c r="A366" s="1049"/>
      <c r="B366" s="1049"/>
      <c r="C366" s="1049"/>
      <c r="D366" s="1049"/>
      <c r="E366" s="1049"/>
      <c r="F366" s="1050"/>
      <c r="G366" s="1050"/>
    </row>
    <row r="367">
      <c r="A367" s="1049"/>
      <c r="B367" s="1049"/>
      <c r="C367" s="1049"/>
      <c r="D367" s="1049"/>
      <c r="E367" s="1049"/>
      <c r="F367" s="1050"/>
      <c r="G367" s="1050"/>
    </row>
    <row r="368">
      <c r="A368" s="1049"/>
      <c r="B368" s="1049"/>
      <c r="C368" s="1049"/>
      <c r="D368" s="1049"/>
      <c r="E368" s="1049"/>
      <c r="F368" s="1050"/>
      <c r="G368" s="1050"/>
    </row>
    <row r="369">
      <c r="A369" s="1049"/>
      <c r="B369" s="1049"/>
      <c r="C369" s="1049"/>
      <c r="D369" s="1049"/>
      <c r="E369" s="1049"/>
      <c r="F369" s="1050"/>
      <c r="G369" s="1050"/>
    </row>
    <row r="370">
      <c r="A370" s="1049"/>
      <c r="B370" s="1049"/>
      <c r="C370" s="1049"/>
      <c r="D370" s="1049"/>
      <c r="E370" s="1049"/>
      <c r="F370" s="1050"/>
      <c r="G370" s="1050"/>
    </row>
    <row r="371">
      <c r="A371" s="1049"/>
      <c r="B371" s="1049"/>
      <c r="C371" s="1049"/>
      <c r="D371" s="1049"/>
      <c r="E371" s="1049"/>
      <c r="F371" s="1050"/>
      <c r="G371" s="1050"/>
    </row>
    <row r="372">
      <c r="A372" s="1049"/>
      <c r="B372" s="1049"/>
      <c r="C372" s="1049"/>
      <c r="D372" s="1049"/>
      <c r="E372" s="1049"/>
      <c r="F372" s="1050"/>
      <c r="G372" s="1050"/>
    </row>
    <row r="373">
      <c r="A373" s="1049"/>
      <c r="B373" s="1049"/>
      <c r="C373" s="1049"/>
      <c r="D373" s="1049"/>
      <c r="E373" s="1049"/>
      <c r="F373" s="1050"/>
      <c r="G373" s="1050"/>
    </row>
    <row r="374">
      <c r="A374" s="1049"/>
      <c r="B374" s="1049"/>
      <c r="C374" s="1049"/>
      <c r="D374" s="1049"/>
      <c r="E374" s="1049"/>
      <c r="F374" s="1050"/>
      <c r="G374" s="1050"/>
    </row>
    <row r="375">
      <c r="A375" s="1049"/>
      <c r="B375" s="1049"/>
      <c r="C375" s="1049"/>
      <c r="D375" s="1049"/>
      <c r="E375" s="1049"/>
      <c r="F375" s="1050"/>
      <c r="G375" s="1050"/>
    </row>
    <row r="376">
      <c r="A376" s="1049"/>
      <c r="B376" s="1049"/>
      <c r="C376" s="1049"/>
      <c r="D376" s="1049"/>
      <c r="E376" s="1049"/>
      <c r="F376" s="1050"/>
      <c r="G376" s="1050"/>
    </row>
    <row r="377">
      <c r="A377" s="1049"/>
      <c r="B377" s="1049"/>
      <c r="C377" s="1049"/>
      <c r="D377" s="1049"/>
      <c r="E377" s="1049"/>
      <c r="F377" s="1050"/>
      <c r="G377" s="1050"/>
    </row>
    <row r="378">
      <c r="A378" s="1049"/>
      <c r="B378" s="1049"/>
      <c r="C378" s="1049"/>
      <c r="D378" s="1049"/>
      <c r="E378" s="1049"/>
      <c r="F378" s="1050"/>
      <c r="G378" s="1050"/>
    </row>
    <row r="379">
      <c r="A379" s="1049"/>
      <c r="B379" s="1049"/>
      <c r="C379" s="1049"/>
      <c r="D379" s="1049"/>
      <c r="E379" s="1049"/>
      <c r="F379" s="1050"/>
      <c r="G379" s="1050"/>
    </row>
    <row r="380">
      <c r="A380" s="1049"/>
      <c r="B380" s="1049"/>
      <c r="C380" s="1049"/>
      <c r="D380" s="1049"/>
      <c r="E380" s="1049"/>
      <c r="F380" s="1050"/>
      <c r="G380" s="1050"/>
    </row>
    <row r="381">
      <c r="A381" s="1049"/>
      <c r="B381" s="1049"/>
      <c r="C381" s="1049"/>
      <c r="D381" s="1049"/>
      <c r="E381" s="1049"/>
      <c r="F381" s="1050"/>
      <c r="G381" s="1050"/>
    </row>
    <row r="382">
      <c r="A382" s="1049"/>
      <c r="B382" s="1049"/>
      <c r="C382" s="1049"/>
      <c r="D382" s="1049"/>
      <c r="E382" s="1049"/>
      <c r="F382" s="1050"/>
      <c r="G382" s="1050"/>
    </row>
    <row r="383">
      <c r="A383" s="1049"/>
      <c r="B383" s="1049"/>
      <c r="C383" s="1049"/>
      <c r="D383" s="1049"/>
      <c r="E383" s="1049"/>
      <c r="F383" s="1050"/>
      <c r="G383" s="1050"/>
    </row>
    <row r="384">
      <c r="A384" s="1049"/>
      <c r="B384" s="1049"/>
      <c r="C384" s="1049"/>
      <c r="D384" s="1049"/>
      <c r="E384" s="1049"/>
      <c r="F384" s="1050"/>
      <c r="G384" s="1050"/>
    </row>
    <row r="385">
      <c r="A385" s="1049"/>
      <c r="B385" s="1049"/>
      <c r="C385" s="1049"/>
      <c r="D385" s="1049"/>
      <c r="E385" s="1049"/>
      <c r="F385" s="1050"/>
      <c r="G385" s="1050"/>
    </row>
    <row r="386">
      <c r="A386" s="1049"/>
      <c r="B386" s="1049"/>
      <c r="C386" s="1049"/>
      <c r="D386" s="1049"/>
      <c r="E386" s="1049"/>
      <c r="F386" s="1050"/>
      <c r="G386" s="1050"/>
    </row>
    <row r="387">
      <c r="A387" s="1049"/>
      <c r="B387" s="1049"/>
      <c r="C387" s="1049"/>
      <c r="D387" s="1049"/>
      <c r="E387" s="1049"/>
      <c r="F387" s="1050"/>
      <c r="G387" s="1050"/>
    </row>
    <row r="388">
      <c r="A388" s="1049"/>
      <c r="B388" s="1049"/>
      <c r="C388" s="1049"/>
      <c r="D388" s="1049"/>
      <c r="E388" s="1049"/>
      <c r="F388" s="1050"/>
      <c r="G388" s="1050"/>
    </row>
    <row r="389">
      <c r="A389" s="1049"/>
      <c r="B389" s="1049"/>
      <c r="C389" s="1049"/>
      <c r="D389" s="1049"/>
      <c r="E389" s="1049"/>
      <c r="F389" s="1050"/>
      <c r="G389" s="1050"/>
    </row>
    <row r="390">
      <c r="A390" s="1049"/>
      <c r="B390" s="1049"/>
      <c r="C390" s="1049"/>
      <c r="D390" s="1049"/>
      <c r="E390" s="1049"/>
      <c r="F390" s="1050"/>
      <c r="G390" s="1050"/>
    </row>
    <row r="391">
      <c r="A391" s="1049"/>
      <c r="B391" s="1049"/>
      <c r="C391" s="1049"/>
      <c r="D391" s="1049"/>
      <c r="E391" s="1049"/>
      <c r="F391" s="1050"/>
      <c r="G391" s="1050"/>
    </row>
    <row r="392">
      <c r="A392" s="1049"/>
      <c r="B392" s="1049"/>
      <c r="C392" s="1049"/>
      <c r="D392" s="1049"/>
      <c r="E392" s="1049"/>
      <c r="F392" s="1050"/>
      <c r="G392" s="1050"/>
    </row>
    <row r="393">
      <c r="A393" s="1049"/>
      <c r="B393" s="1049"/>
      <c r="C393" s="1049"/>
      <c r="D393" s="1049"/>
      <c r="E393" s="1049"/>
      <c r="F393" s="1050"/>
      <c r="G393" s="1050"/>
    </row>
    <row r="394">
      <c r="A394" s="1049"/>
      <c r="B394" s="1049"/>
      <c r="C394" s="1049"/>
      <c r="D394" s="1049"/>
      <c r="E394" s="1049"/>
      <c r="F394" s="1050"/>
      <c r="G394" s="1050"/>
    </row>
    <row r="395">
      <c r="A395" s="1049"/>
      <c r="B395" s="1049"/>
      <c r="C395" s="1049"/>
      <c r="D395" s="1049"/>
      <c r="E395" s="1049"/>
      <c r="F395" s="1050"/>
      <c r="G395" s="1050"/>
    </row>
    <row r="396">
      <c r="A396" s="1049"/>
      <c r="B396" s="1049"/>
      <c r="C396" s="1049"/>
      <c r="D396" s="1049"/>
      <c r="E396" s="1049"/>
      <c r="F396" s="1050"/>
      <c r="G396" s="1050"/>
    </row>
    <row r="397">
      <c r="A397" s="1049"/>
      <c r="B397" s="1049"/>
      <c r="C397" s="1049"/>
      <c r="D397" s="1049"/>
      <c r="E397" s="1049"/>
      <c r="F397" s="1050"/>
      <c r="G397" s="1050"/>
    </row>
    <row r="398">
      <c r="A398" s="1049"/>
      <c r="B398" s="1049"/>
      <c r="C398" s="1049"/>
      <c r="D398" s="1049"/>
      <c r="E398" s="1049"/>
      <c r="F398" s="1050"/>
      <c r="G398" s="1050"/>
    </row>
    <row r="399">
      <c r="A399" s="1049"/>
      <c r="B399" s="1049"/>
      <c r="C399" s="1049"/>
      <c r="D399" s="1049"/>
      <c r="E399" s="1049"/>
      <c r="F399" s="1050"/>
      <c r="G399" s="1050"/>
    </row>
    <row r="400">
      <c r="A400" s="1049"/>
      <c r="B400" s="1049"/>
      <c r="C400" s="1049"/>
      <c r="D400" s="1049"/>
      <c r="E400" s="1049"/>
      <c r="F400" s="1050"/>
      <c r="G400" s="1050"/>
    </row>
    <row r="401">
      <c r="A401" s="1049"/>
      <c r="B401" s="1049"/>
      <c r="C401" s="1049"/>
      <c r="D401" s="1049"/>
      <c r="E401" s="1049"/>
      <c r="F401" s="1050"/>
      <c r="G401" s="1050"/>
    </row>
    <row r="402">
      <c r="A402" s="1049"/>
      <c r="B402" s="1049"/>
      <c r="C402" s="1049"/>
      <c r="D402" s="1049"/>
      <c r="E402" s="1049"/>
      <c r="F402" s="1050"/>
      <c r="G402" s="1050"/>
    </row>
    <row r="403">
      <c r="A403" s="1049"/>
      <c r="B403" s="1049"/>
      <c r="C403" s="1049"/>
      <c r="D403" s="1049"/>
      <c r="E403" s="1049"/>
      <c r="F403" s="1050"/>
      <c r="G403" s="1050"/>
    </row>
    <row r="404">
      <c r="A404" s="1049"/>
      <c r="B404" s="1049"/>
      <c r="C404" s="1049"/>
      <c r="D404" s="1049"/>
      <c r="E404" s="1049"/>
      <c r="F404" s="1050"/>
      <c r="G404" s="1050"/>
    </row>
    <row r="405">
      <c r="A405" s="1049"/>
      <c r="B405" s="1049"/>
      <c r="C405" s="1049"/>
      <c r="D405" s="1049"/>
      <c r="E405" s="1049"/>
      <c r="F405" s="1050"/>
      <c r="G405" s="1050"/>
    </row>
    <row r="406">
      <c r="A406" s="1049"/>
      <c r="B406" s="1049"/>
      <c r="C406" s="1049"/>
      <c r="D406" s="1049"/>
      <c r="E406" s="1049"/>
      <c r="F406" s="1050"/>
      <c r="G406" s="1050"/>
    </row>
    <row r="407">
      <c r="A407" s="1049"/>
      <c r="B407" s="1049"/>
      <c r="C407" s="1049"/>
      <c r="D407" s="1049"/>
      <c r="E407" s="1049"/>
      <c r="F407" s="1050"/>
      <c r="G407" s="1050"/>
    </row>
    <row r="408">
      <c r="A408" s="1049"/>
      <c r="B408" s="1049"/>
      <c r="C408" s="1049"/>
      <c r="D408" s="1049"/>
      <c r="E408" s="1049"/>
      <c r="F408" s="1050"/>
      <c r="G408" s="1050"/>
    </row>
    <row r="409">
      <c r="A409" s="1049"/>
      <c r="B409" s="1049"/>
      <c r="C409" s="1049"/>
      <c r="D409" s="1049"/>
      <c r="E409" s="1049"/>
      <c r="F409" s="1050"/>
      <c r="G409" s="1050"/>
    </row>
    <row r="410">
      <c r="A410" s="1049"/>
      <c r="B410" s="1049"/>
      <c r="C410" s="1049"/>
      <c r="D410" s="1049"/>
      <c r="E410" s="1049"/>
      <c r="F410" s="1050"/>
      <c r="G410" s="1050"/>
    </row>
    <row r="411">
      <c r="A411" s="1049"/>
      <c r="B411" s="1049"/>
      <c r="C411" s="1049"/>
      <c r="D411" s="1049"/>
      <c r="E411" s="1049"/>
      <c r="F411" s="1050"/>
      <c r="G411" s="1050"/>
    </row>
    <row r="412">
      <c r="A412" s="1049"/>
      <c r="B412" s="1049"/>
      <c r="C412" s="1049"/>
      <c r="D412" s="1049"/>
      <c r="E412" s="1049"/>
      <c r="F412" s="1050"/>
      <c r="G412" s="1050"/>
    </row>
    <row r="413">
      <c r="A413" s="1049"/>
      <c r="B413" s="1049"/>
      <c r="C413" s="1049"/>
      <c r="D413" s="1049"/>
      <c r="E413" s="1049"/>
      <c r="F413" s="1050"/>
      <c r="G413" s="1050"/>
    </row>
    <row r="414">
      <c r="A414" s="1049"/>
      <c r="B414" s="1049"/>
      <c r="C414" s="1049"/>
      <c r="D414" s="1049"/>
      <c r="E414" s="1049"/>
      <c r="F414" s="1050"/>
      <c r="G414" s="1050"/>
    </row>
    <row r="415">
      <c r="A415" s="1049"/>
      <c r="B415" s="1049"/>
      <c r="C415" s="1049"/>
      <c r="D415" s="1049"/>
      <c r="E415" s="1049"/>
      <c r="F415" s="1050"/>
      <c r="G415" s="1050"/>
    </row>
    <row r="416">
      <c r="A416" s="1049"/>
      <c r="B416" s="1049"/>
      <c r="C416" s="1049"/>
      <c r="D416" s="1049"/>
      <c r="E416" s="1049"/>
      <c r="F416" s="1050"/>
      <c r="G416" s="1050"/>
    </row>
    <row r="417">
      <c r="A417" s="1049"/>
      <c r="B417" s="1049"/>
      <c r="C417" s="1049"/>
      <c r="D417" s="1049"/>
      <c r="E417" s="1049"/>
      <c r="F417" s="1050"/>
      <c r="G417" s="1050"/>
    </row>
    <row r="418">
      <c r="A418" s="1049"/>
      <c r="B418" s="1049"/>
      <c r="C418" s="1049"/>
      <c r="D418" s="1049"/>
      <c r="E418" s="1049"/>
      <c r="F418" s="1050"/>
      <c r="G418" s="1050"/>
    </row>
    <row r="419">
      <c r="A419" s="1049"/>
      <c r="B419" s="1049"/>
      <c r="C419" s="1049"/>
      <c r="D419" s="1049"/>
      <c r="E419" s="1049"/>
      <c r="F419" s="1050"/>
      <c r="G419" s="1050"/>
    </row>
    <row r="420">
      <c r="A420" s="1049"/>
      <c r="B420" s="1049"/>
      <c r="C420" s="1049"/>
      <c r="D420" s="1049"/>
      <c r="E420" s="1049"/>
      <c r="F420" s="1050"/>
      <c r="G420" s="1050"/>
    </row>
    <row r="421">
      <c r="A421" s="1049"/>
      <c r="B421" s="1049"/>
      <c r="C421" s="1049"/>
      <c r="D421" s="1049"/>
      <c r="E421" s="1049"/>
      <c r="F421" s="1050"/>
      <c r="G421" s="1050"/>
    </row>
    <row r="422">
      <c r="A422" s="1049"/>
      <c r="B422" s="1049"/>
      <c r="C422" s="1049"/>
      <c r="D422" s="1049"/>
      <c r="E422" s="1049"/>
      <c r="F422" s="1050"/>
      <c r="G422" s="1050"/>
    </row>
    <row r="423">
      <c r="A423" s="1049"/>
      <c r="B423" s="1049"/>
      <c r="C423" s="1049"/>
      <c r="D423" s="1049"/>
      <c r="E423" s="1049"/>
      <c r="F423" s="1050"/>
      <c r="G423" s="1050"/>
    </row>
    <row r="424">
      <c r="A424" s="1049"/>
      <c r="B424" s="1049"/>
      <c r="C424" s="1049"/>
      <c r="D424" s="1049"/>
      <c r="E424" s="1049"/>
      <c r="F424" s="1050"/>
      <c r="G424" s="1050"/>
    </row>
    <row r="425">
      <c r="A425" s="1049"/>
      <c r="B425" s="1049"/>
      <c r="C425" s="1049"/>
      <c r="D425" s="1049"/>
      <c r="E425" s="1049"/>
      <c r="F425" s="1050"/>
      <c r="G425" s="1050"/>
    </row>
    <row r="426">
      <c r="A426" s="1049"/>
      <c r="B426" s="1049"/>
      <c r="C426" s="1049"/>
      <c r="D426" s="1049"/>
      <c r="E426" s="1049"/>
      <c r="F426" s="1050"/>
      <c r="G426" s="1050"/>
    </row>
    <row r="427">
      <c r="A427" s="1049"/>
      <c r="B427" s="1049"/>
      <c r="C427" s="1049"/>
      <c r="D427" s="1049"/>
      <c r="E427" s="1049"/>
      <c r="F427" s="1050"/>
      <c r="G427" s="1050"/>
    </row>
    <row r="428">
      <c r="A428" s="1049"/>
      <c r="B428" s="1049"/>
      <c r="C428" s="1049"/>
      <c r="D428" s="1049"/>
      <c r="E428" s="1049"/>
      <c r="F428" s="1050"/>
      <c r="G428" s="1050"/>
    </row>
    <row r="429">
      <c r="A429" s="1049"/>
      <c r="B429" s="1049"/>
      <c r="C429" s="1049"/>
      <c r="D429" s="1049"/>
      <c r="E429" s="1049"/>
      <c r="F429" s="1050"/>
      <c r="G429" s="1050"/>
    </row>
    <row r="430">
      <c r="A430" s="1049"/>
      <c r="B430" s="1049"/>
      <c r="C430" s="1049"/>
      <c r="D430" s="1049"/>
      <c r="E430" s="1049"/>
      <c r="F430" s="1050"/>
      <c r="G430" s="1050"/>
    </row>
    <row r="431">
      <c r="A431" s="1049"/>
      <c r="B431" s="1049"/>
      <c r="C431" s="1049"/>
      <c r="D431" s="1049"/>
      <c r="E431" s="1049"/>
      <c r="F431" s="1050"/>
      <c r="G431" s="1050"/>
    </row>
    <row r="432">
      <c r="A432" s="1049"/>
      <c r="B432" s="1049"/>
      <c r="C432" s="1049"/>
      <c r="D432" s="1049"/>
      <c r="E432" s="1049"/>
      <c r="F432" s="1050"/>
      <c r="G432" s="1050"/>
    </row>
    <row r="433">
      <c r="A433" s="1049"/>
      <c r="B433" s="1049"/>
      <c r="C433" s="1049"/>
      <c r="D433" s="1049"/>
      <c r="E433" s="1049"/>
      <c r="F433" s="1050"/>
      <c r="G433" s="1050"/>
    </row>
    <row r="434">
      <c r="A434" s="1049"/>
      <c r="B434" s="1049"/>
      <c r="C434" s="1049"/>
      <c r="D434" s="1049"/>
      <c r="E434" s="1049"/>
      <c r="F434" s="1050"/>
      <c r="G434" s="1050"/>
    </row>
    <row r="435">
      <c r="A435" s="1049"/>
      <c r="B435" s="1049"/>
      <c r="C435" s="1049"/>
      <c r="D435" s="1049"/>
      <c r="E435" s="1049"/>
      <c r="F435" s="1050"/>
      <c r="G435" s="1050"/>
    </row>
    <row r="436">
      <c r="A436" s="1049"/>
      <c r="B436" s="1049"/>
      <c r="C436" s="1049"/>
      <c r="D436" s="1049"/>
      <c r="E436" s="1049"/>
      <c r="F436" s="1050"/>
      <c r="G436" s="1050"/>
    </row>
    <row r="437">
      <c r="A437" s="1049"/>
      <c r="B437" s="1049"/>
      <c r="C437" s="1049"/>
      <c r="D437" s="1049"/>
      <c r="E437" s="1049"/>
      <c r="F437" s="1050"/>
      <c r="G437" s="1050"/>
    </row>
    <row r="438">
      <c r="A438" s="1049"/>
      <c r="B438" s="1049"/>
      <c r="C438" s="1049"/>
      <c r="D438" s="1049"/>
      <c r="E438" s="1049"/>
      <c r="F438" s="1050"/>
      <c r="G438" s="1050"/>
    </row>
    <row r="439">
      <c r="A439" s="1049"/>
      <c r="B439" s="1049"/>
      <c r="C439" s="1049"/>
      <c r="D439" s="1049"/>
      <c r="E439" s="1049"/>
      <c r="F439" s="1050"/>
      <c r="G439" s="1050"/>
    </row>
    <row r="440">
      <c r="A440" s="1049"/>
      <c r="B440" s="1049"/>
      <c r="C440" s="1049"/>
      <c r="D440" s="1049"/>
      <c r="E440" s="1049"/>
      <c r="F440" s="1050"/>
      <c r="G440" s="1050"/>
    </row>
    <row r="441">
      <c r="A441" s="1049"/>
      <c r="B441" s="1049"/>
      <c r="C441" s="1049"/>
      <c r="D441" s="1049"/>
      <c r="E441" s="1049"/>
      <c r="F441" s="1050"/>
      <c r="G441" s="1050"/>
    </row>
    <row r="442">
      <c r="A442" s="1049"/>
      <c r="B442" s="1049"/>
      <c r="C442" s="1049"/>
      <c r="D442" s="1049"/>
      <c r="E442" s="1049"/>
      <c r="F442" s="1050"/>
      <c r="G442" s="1050"/>
    </row>
    <row r="443">
      <c r="A443" s="1049"/>
      <c r="B443" s="1049"/>
      <c r="C443" s="1049"/>
      <c r="D443" s="1049"/>
      <c r="E443" s="1049"/>
      <c r="F443" s="1050"/>
      <c r="G443" s="1050"/>
    </row>
    <row r="444">
      <c r="A444" s="1049"/>
      <c r="B444" s="1049"/>
      <c r="C444" s="1049"/>
      <c r="D444" s="1049"/>
      <c r="E444" s="1049"/>
      <c r="F444" s="1050"/>
      <c r="G444" s="1050"/>
    </row>
    <row r="445">
      <c r="A445" s="1049"/>
      <c r="B445" s="1049"/>
      <c r="C445" s="1049"/>
      <c r="D445" s="1049"/>
      <c r="E445" s="1049"/>
      <c r="F445" s="1050"/>
      <c r="G445" s="1050"/>
    </row>
    <row r="446">
      <c r="A446" s="1049"/>
      <c r="B446" s="1049"/>
      <c r="C446" s="1049"/>
      <c r="D446" s="1049"/>
      <c r="E446" s="1049"/>
      <c r="F446" s="1050"/>
      <c r="G446" s="1050"/>
    </row>
    <row r="447">
      <c r="A447" s="1049"/>
      <c r="B447" s="1049"/>
      <c r="C447" s="1049"/>
      <c r="D447" s="1049"/>
      <c r="E447" s="1049"/>
      <c r="F447" s="1050"/>
      <c r="G447" s="1050"/>
    </row>
    <row r="448">
      <c r="A448" s="1049"/>
      <c r="B448" s="1049"/>
      <c r="C448" s="1049"/>
      <c r="D448" s="1049"/>
      <c r="E448" s="1049"/>
      <c r="F448" s="1050"/>
      <c r="G448" s="1050"/>
    </row>
    <row r="449">
      <c r="A449" s="1049"/>
      <c r="B449" s="1049"/>
      <c r="C449" s="1049"/>
      <c r="D449" s="1049"/>
      <c r="E449" s="1049"/>
      <c r="F449" s="1050"/>
      <c r="G449" s="1050"/>
    </row>
    <row r="450">
      <c r="A450" s="1049"/>
      <c r="B450" s="1049"/>
      <c r="C450" s="1049"/>
      <c r="D450" s="1049"/>
      <c r="E450" s="1049"/>
      <c r="F450" s="1050"/>
      <c r="G450" s="1050"/>
    </row>
    <row r="451">
      <c r="A451" s="1049"/>
      <c r="B451" s="1049"/>
      <c r="C451" s="1049"/>
      <c r="D451" s="1049"/>
      <c r="E451" s="1049"/>
      <c r="F451" s="1050"/>
      <c r="G451" s="1050"/>
    </row>
    <row r="452">
      <c r="A452" s="1049"/>
      <c r="B452" s="1049"/>
      <c r="C452" s="1049"/>
      <c r="D452" s="1049"/>
      <c r="E452" s="1049"/>
      <c r="F452" s="1050"/>
      <c r="G452" s="1050"/>
    </row>
    <row r="453">
      <c r="A453" s="1049"/>
      <c r="B453" s="1049"/>
      <c r="C453" s="1049"/>
      <c r="D453" s="1049"/>
      <c r="E453" s="1049"/>
      <c r="F453" s="1050"/>
      <c r="G453" s="1050"/>
    </row>
    <row r="454">
      <c r="A454" s="1049"/>
      <c r="B454" s="1049"/>
      <c r="C454" s="1049"/>
      <c r="D454" s="1049"/>
      <c r="E454" s="1049"/>
      <c r="F454" s="1050"/>
      <c r="G454" s="1050"/>
    </row>
    <row r="455">
      <c r="A455" s="1049"/>
      <c r="B455" s="1049"/>
      <c r="C455" s="1049"/>
      <c r="D455" s="1049"/>
      <c r="E455" s="1049"/>
      <c r="F455" s="1050"/>
      <c r="G455" s="1050"/>
    </row>
    <row r="456">
      <c r="A456" s="1049"/>
      <c r="B456" s="1049"/>
      <c r="C456" s="1049"/>
      <c r="D456" s="1049"/>
      <c r="E456" s="1049"/>
      <c r="F456" s="1050"/>
      <c r="G456" s="1050"/>
    </row>
    <row r="457">
      <c r="A457" s="1049"/>
      <c r="B457" s="1049"/>
      <c r="C457" s="1049"/>
      <c r="D457" s="1049"/>
      <c r="E457" s="1049"/>
      <c r="F457" s="1050"/>
      <c r="G457" s="1050"/>
    </row>
    <row r="458">
      <c r="A458" s="1049"/>
      <c r="B458" s="1049"/>
      <c r="C458" s="1049"/>
      <c r="D458" s="1049"/>
      <c r="E458" s="1049"/>
      <c r="F458" s="1050"/>
      <c r="G458" s="1050"/>
    </row>
    <row r="459">
      <c r="A459" s="1049"/>
      <c r="B459" s="1049"/>
      <c r="C459" s="1049"/>
      <c r="D459" s="1049"/>
      <c r="E459" s="1049"/>
      <c r="F459" s="1050"/>
      <c r="G459" s="1050"/>
    </row>
    <row r="460">
      <c r="A460" s="1049"/>
      <c r="B460" s="1049"/>
      <c r="C460" s="1049"/>
      <c r="D460" s="1049"/>
      <c r="E460" s="1049"/>
      <c r="F460" s="1050"/>
      <c r="G460" s="1050"/>
    </row>
    <row r="461">
      <c r="A461" s="1049"/>
      <c r="B461" s="1049"/>
      <c r="C461" s="1049"/>
      <c r="D461" s="1049"/>
      <c r="E461" s="1049"/>
      <c r="F461" s="1050"/>
      <c r="G461" s="1050"/>
    </row>
    <row r="462">
      <c r="A462" s="1049"/>
      <c r="B462" s="1049"/>
      <c r="C462" s="1049"/>
      <c r="D462" s="1049"/>
      <c r="E462" s="1049"/>
      <c r="F462" s="1050"/>
      <c r="G462" s="1050"/>
    </row>
    <row r="463">
      <c r="A463" s="1049"/>
      <c r="B463" s="1049"/>
      <c r="C463" s="1049"/>
      <c r="D463" s="1049"/>
      <c r="E463" s="1049"/>
      <c r="F463" s="1050"/>
      <c r="G463" s="1050"/>
    </row>
    <row r="464">
      <c r="A464" s="1049"/>
      <c r="B464" s="1049"/>
      <c r="C464" s="1049"/>
      <c r="D464" s="1049"/>
      <c r="E464" s="1049"/>
      <c r="F464" s="1050"/>
      <c r="G464" s="1050"/>
    </row>
    <row r="465">
      <c r="A465" s="1049"/>
      <c r="B465" s="1049"/>
      <c r="C465" s="1049"/>
      <c r="D465" s="1049"/>
      <c r="E465" s="1049"/>
      <c r="F465" s="1050"/>
      <c r="G465" s="1050"/>
    </row>
    <row r="466">
      <c r="A466" s="1049"/>
      <c r="B466" s="1049"/>
      <c r="C466" s="1049"/>
      <c r="D466" s="1049"/>
      <c r="E466" s="1049"/>
      <c r="F466" s="1050"/>
      <c r="G466" s="1050"/>
    </row>
    <row r="467">
      <c r="A467" s="1049"/>
      <c r="B467" s="1049"/>
      <c r="C467" s="1049"/>
      <c r="D467" s="1049"/>
      <c r="E467" s="1049"/>
      <c r="F467" s="1050"/>
      <c r="G467" s="1050"/>
    </row>
    <row r="468">
      <c r="A468" s="1049"/>
      <c r="B468" s="1049"/>
      <c r="C468" s="1049"/>
      <c r="D468" s="1049"/>
      <c r="E468" s="1049"/>
      <c r="F468" s="1050"/>
      <c r="G468" s="1050"/>
    </row>
    <row r="469">
      <c r="A469" s="1049"/>
      <c r="B469" s="1049"/>
      <c r="C469" s="1049"/>
      <c r="D469" s="1049"/>
      <c r="E469" s="1049"/>
      <c r="F469" s="1050"/>
      <c r="G469" s="1050"/>
    </row>
    <row r="470">
      <c r="A470" s="1049"/>
      <c r="B470" s="1049"/>
      <c r="C470" s="1049"/>
      <c r="D470" s="1049"/>
      <c r="E470" s="1049"/>
      <c r="F470" s="1050"/>
      <c r="G470" s="1050"/>
    </row>
    <row r="471">
      <c r="A471" s="1049"/>
      <c r="B471" s="1049"/>
      <c r="C471" s="1049"/>
      <c r="D471" s="1049"/>
      <c r="E471" s="1049"/>
      <c r="F471" s="1050"/>
      <c r="G471" s="1050"/>
    </row>
    <row r="472">
      <c r="A472" s="1049"/>
      <c r="B472" s="1049"/>
      <c r="C472" s="1049"/>
      <c r="D472" s="1049"/>
      <c r="E472" s="1049"/>
      <c r="F472" s="1050"/>
      <c r="G472" s="1050"/>
    </row>
    <row r="473">
      <c r="A473" s="1049"/>
      <c r="B473" s="1049"/>
      <c r="C473" s="1049"/>
      <c r="D473" s="1049"/>
      <c r="E473" s="1049"/>
      <c r="F473" s="1050"/>
      <c r="G473" s="1050"/>
    </row>
    <row r="474">
      <c r="A474" s="1049"/>
      <c r="B474" s="1049"/>
      <c r="C474" s="1049"/>
      <c r="D474" s="1049"/>
      <c r="E474" s="1049"/>
      <c r="F474" s="1050"/>
      <c r="G474" s="1050"/>
    </row>
    <row r="475">
      <c r="A475" s="1049"/>
      <c r="B475" s="1049"/>
      <c r="C475" s="1049"/>
      <c r="D475" s="1049"/>
      <c r="E475" s="1049"/>
      <c r="F475" s="1050"/>
      <c r="G475" s="1050"/>
    </row>
    <row r="476">
      <c r="A476" s="1049"/>
      <c r="B476" s="1049"/>
      <c r="C476" s="1049"/>
      <c r="D476" s="1049"/>
      <c r="E476" s="1049"/>
      <c r="F476" s="1050"/>
      <c r="G476" s="1050"/>
    </row>
    <row r="477">
      <c r="A477" s="1049"/>
      <c r="B477" s="1049"/>
      <c r="C477" s="1049"/>
      <c r="D477" s="1049"/>
      <c r="E477" s="1049"/>
      <c r="F477" s="1050"/>
      <c r="G477" s="1050"/>
    </row>
    <row r="478">
      <c r="A478" s="1049"/>
      <c r="B478" s="1049"/>
      <c r="C478" s="1049"/>
      <c r="D478" s="1049"/>
      <c r="E478" s="1049"/>
      <c r="F478" s="1050"/>
      <c r="G478" s="1050"/>
    </row>
    <row r="479">
      <c r="A479" s="1049"/>
      <c r="B479" s="1049"/>
      <c r="C479" s="1049"/>
      <c r="D479" s="1049"/>
      <c r="E479" s="1049"/>
      <c r="F479" s="1050"/>
      <c r="G479" s="1050"/>
    </row>
    <row r="480">
      <c r="A480" s="1049"/>
      <c r="B480" s="1049"/>
      <c r="C480" s="1049"/>
      <c r="D480" s="1049"/>
      <c r="E480" s="1049"/>
      <c r="F480" s="1050"/>
      <c r="G480" s="1050"/>
    </row>
    <row r="481">
      <c r="A481" s="1049"/>
      <c r="B481" s="1049"/>
      <c r="C481" s="1049"/>
      <c r="D481" s="1049"/>
      <c r="E481" s="1049"/>
      <c r="F481" s="1050"/>
      <c r="G481" s="1050"/>
    </row>
    <row r="482">
      <c r="A482" s="1049"/>
      <c r="B482" s="1049"/>
      <c r="C482" s="1049"/>
      <c r="D482" s="1049"/>
      <c r="E482" s="1049"/>
      <c r="F482" s="1050"/>
      <c r="G482" s="1050"/>
    </row>
    <row r="483">
      <c r="A483" s="1049"/>
      <c r="B483" s="1049"/>
      <c r="C483" s="1049"/>
      <c r="D483" s="1049"/>
      <c r="E483" s="1049"/>
      <c r="F483" s="1050"/>
      <c r="G483" s="1050"/>
    </row>
    <row r="484">
      <c r="A484" s="1049"/>
      <c r="B484" s="1049"/>
      <c r="C484" s="1049"/>
      <c r="D484" s="1049"/>
      <c r="E484" s="1049"/>
      <c r="F484" s="1050"/>
      <c r="G484" s="1050"/>
    </row>
    <row r="485">
      <c r="A485" s="1049"/>
      <c r="B485" s="1049"/>
      <c r="C485" s="1049"/>
      <c r="D485" s="1049"/>
      <c r="E485" s="1049"/>
      <c r="F485" s="1050"/>
      <c r="G485" s="1050"/>
    </row>
    <row r="486">
      <c r="A486" s="1049"/>
      <c r="B486" s="1049"/>
      <c r="C486" s="1049"/>
      <c r="D486" s="1049"/>
      <c r="E486" s="1049"/>
      <c r="F486" s="1050"/>
      <c r="G486" s="1050"/>
    </row>
    <row r="487">
      <c r="A487" s="1049"/>
      <c r="B487" s="1049"/>
      <c r="C487" s="1049"/>
      <c r="D487" s="1049"/>
      <c r="E487" s="1049"/>
      <c r="F487" s="1050"/>
      <c r="G487" s="1050"/>
    </row>
    <row r="488">
      <c r="A488" s="1049"/>
      <c r="B488" s="1049"/>
      <c r="C488" s="1049"/>
      <c r="D488" s="1049"/>
      <c r="E488" s="1049"/>
      <c r="F488" s="1050"/>
      <c r="G488" s="1050"/>
    </row>
    <row r="489">
      <c r="A489" s="1049"/>
      <c r="B489" s="1049"/>
      <c r="C489" s="1049"/>
      <c r="D489" s="1049"/>
      <c r="E489" s="1049"/>
      <c r="F489" s="1050"/>
      <c r="G489" s="1050"/>
    </row>
    <row r="490">
      <c r="A490" s="1049"/>
      <c r="B490" s="1049"/>
      <c r="C490" s="1049"/>
      <c r="D490" s="1049"/>
      <c r="E490" s="1049"/>
      <c r="F490" s="1050"/>
      <c r="G490" s="1050"/>
    </row>
    <row r="491">
      <c r="A491" s="1049"/>
      <c r="B491" s="1049"/>
      <c r="C491" s="1049"/>
      <c r="D491" s="1049"/>
      <c r="E491" s="1049"/>
      <c r="F491" s="1050"/>
      <c r="G491" s="1050"/>
    </row>
    <row r="492">
      <c r="A492" s="1049"/>
      <c r="B492" s="1049"/>
      <c r="C492" s="1049"/>
      <c r="D492" s="1049"/>
      <c r="E492" s="1049"/>
      <c r="F492" s="1050"/>
      <c r="G492" s="1050"/>
    </row>
    <row r="493">
      <c r="A493" s="1049"/>
      <c r="B493" s="1049"/>
      <c r="C493" s="1049"/>
      <c r="D493" s="1049"/>
      <c r="E493" s="1049"/>
      <c r="F493" s="1050"/>
      <c r="G493" s="1050"/>
    </row>
    <row r="494">
      <c r="A494" s="1049"/>
      <c r="B494" s="1049"/>
      <c r="C494" s="1049"/>
      <c r="D494" s="1049"/>
      <c r="E494" s="1049"/>
      <c r="F494" s="1050"/>
      <c r="G494" s="1050"/>
    </row>
    <row r="495">
      <c r="A495" s="1049"/>
      <c r="B495" s="1049"/>
      <c r="C495" s="1049"/>
      <c r="D495" s="1049"/>
      <c r="E495" s="1049"/>
      <c r="F495" s="1050"/>
      <c r="G495" s="1050"/>
    </row>
    <row r="496">
      <c r="A496" s="1049"/>
      <c r="B496" s="1049"/>
      <c r="C496" s="1049"/>
      <c r="D496" s="1049"/>
      <c r="E496" s="1049"/>
      <c r="F496" s="1050"/>
      <c r="G496" s="1050"/>
    </row>
    <row r="497">
      <c r="A497" s="1049"/>
      <c r="B497" s="1049"/>
      <c r="C497" s="1049"/>
      <c r="D497" s="1049"/>
      <c r="E497" s="1049"/>
      <c r="F497" s="1050"/>
      <c r="G497" s="1050"/>
    </row>
    <row r="498">
      <c r="A498" s="1049"/>
      <c r="B498" s="1049"/>
      <c r="C498" s="1049"/>
      <c r="D498" s="1049"/>
      <c r="E498" s="1049"/>
      <c r="F498" s="1050"/>
      <c r="G498" s="1050"/>
    </row>
    <row r="499">
      <c r="A499" s="1049"/>
      <c r="B499" s="1049"/>
      <c r="C499" s="1049"/>
      <c r="D499" s="1049"/>
      <c r="E499" s="1049"/>
      <c r="F499" s="1050"/>
      <c r="G499" s="1050"/>
    </row>
    <row r="500">
      <c r="A500" s="1049"/>
      <c r="B500" s="1049"/>
      <c r="C500" s="1049"/>
      <c r="D500" s="1049"/>
      <c r="E500" s="1049"/>
      <c r="F500" s="1050"/>
      <c r="G500" s="1050"/>
    </row>
    <row r="501">
      <c r="A501" s="1049"/>
      <c r="B501" s="1049"/>
      <c r="C501" s="1049"/>
      <c r="D501" s="1049"/>
      <c r="E501" s="1049"/>
      <c r="F501" s="1050"/>
      <c r="G501" s="1050"/>
    </row>
    <row r="502">
      <c r="A502" s="1049"/>
      <c r="B502" s="1049"/>
      <c r="C502" s="1049"/>
      <c r="D502" s="1049"/>
      <c r="E502" s="1049"/>
      <c r="F502" s="1050"/>
      <c r="G502" s="1050"/>
    </row>
    <row r="503">
      <c r="A503" s="1049"/>
      <c r="B503" s="1049"/>
      <c r="C503" s="1049"/>
      <c r="D503" s="1049"/>
      <c r="E503" s="1049"/>
      <c r="F503" s="1050"/>
      <c r="G503" s="1050"/>
    </row>
    <row r="504">
      <c r="A504" s="1049"/>
      <c r="B504" s="1049"/>
      <c r="C504" s="1049"/>
      <c r="D504" s="1049"/>
      <c r="E504" s="1049"/>
      <c r="F504" s="1050"/>
      <c r="G504" s="1050"/>
    </row>
    <row r="505">
      <c r="A505" s="1049"/>
      <c r="B505" s="1049"/>
      <c r="C505" s="1049"/>
      <c r="D505" s="1049"/>
      <c r="E505" s="1049"/>
      <c r="F505" s="1050"/>
      <c r="G505" s="1050"/>
    </row>
    <row r="506">
      <c r="A506" s="1049"/>
      <c r="B506" s="1049"/>
      <c r="C506" s="1049"/>
      <c r="D506" s="1049"/>
      <c r="E506" s="1049"/>
      <c r="F506" s="1050"/>
      <c r="G506" s="1050"/>
    </row>
    <row r="507">
      <c r="A507" s="1049"/>
      <c r="B507" s="1049"/>
      <c r="C507" s="1049"/>
      <c r="D507" s="1049"/>
      <c r="E507" s="1049"/>
      <c r="F507" s="1050"/>
      <c r="G507" s="1050"/>
    </row>
    <row r="508">
      <c r="A508" s="1049"/>
      <c r="B508" s="1049"/>
      <c r="C508" s="1049"/>
      <c r="D508" s="1049"/>
      <c r="E508" s="1049"/>
      <c r="F508" s="1050"/>
      <c r="G508" s="1050"/>
    </row>
    <row r="509">
      <c r="A509" s="1049"/>
      <c r="B509" s="1049"/>
      <c r="C509" s="1049"/>
      <c r="D509" s="1049"/>
      <c r="E509" s="1049"/>
      <c r="F509" s="1050"/>
      <c r="G509" s="1050"/>
    </row>
    <row r="510">
      <c r="A510" s="1049"/>
      <c r="B510" s="1049"/>
      <c r="C510" s="1049"/>
      <c r="D510" s="1049"/>
      <c r="E510" s="1049"/>
      <c r="F510" s="1050"/>
      <c r="G510" s="1050"/>
    </row>
    <row r="511">
      <c r="A511" s="1049"/>
      <c r="B511" s="1049"/>
      <c r="C511" s="1049"/>
      <c r="D511" s="1049"/>
      <c r="E511" s="1049"/>
      <c r="F511" s="1050"/>
      <c r="G511" s="1050"/>
    </row>
    <row r="512">
      <c r="A512" s="1049"/>
      <c r="B512" s="1049"/>
      <c r="C512" s="1049"/>
      <c r="D512" s="1049"/>
      <c r="E512" s="1049"/>
      <c r="F512" s="1050"/>
      <c r="G512" s="1050"/>
    </row>
    <row r="513">
      <c r="A513" s="1049"/>
      <c r="B513" s="1049"/>
      <c r="C513" s="1049"/>
      <c r="D513" s="1049"/>
      <c r="E513" s="1049"/>
      <c r="F513" s="1050"/>
      <c r="G513" s="1050"/>
    </row>
    <row r="514">
      <c r="A514" s="1049"/>
      <c r="B514" s="1049"/>
      <c r="C514" s="1049"/>
      <c r="D514" s="1049"/>
      <c r="E514" s="1049"/>
      <c r="F514" s="1050"/>
      <c r="G514" s="1050"/>
    </row>
    <row r="515">
      <c r="A515" s="1049"/>
      <c r="B515" s="1049"/>
      <c r="C515" s="1049"/>
      <c r="D515" s="1049"/>
      <c r="E515" s="1049"/>
      <c r="F515" s="1050"/>
      <c r="G515" s="1050"/>
    </row>
    <row r="516">
      <c r="A516" s="1049"/>
      <c r="B516" s="1049"/>
      <c r="C516" s="1049"/>
      <c r="D516" s="1049"/>
      <c r="E516" s="1049"/>
      <c r="F516" s="1050"/>
      <c r="G516" s="1050"/>
    </row>
    <row r="517">
      <c r="A517" s="1049"/>
      <c r="B517" s="1049"/>
      <c r="C517" s="1049"/>
      <c r="D517" s="1049"/>
      <c r="E517" s="1049"/>
      <c r="F517" s="1050"/>
      <c r="G517" s="1050"/>
    </row>
    <row r="518">
      <c r="A518" s="1049"/>
      <c r="B518" s="1049"/>
      <c r="C518" s="1049"/>
      <c r="D518" s="1049"/>
      <c r="E518" s="1049"/>
      <c r="F518" s="1050"/>
      <c r="G518" s="1050"/>
    </row>
    <row r="519">
      <c r="A519" s="1049"/>
      <c r="B519" s="1049"/>
      <c r="C519" s="1049"/>
      <c r="D519" s="1049"/>
      <c r="E519" s="1049"/>
      <c r="F519" s="1050"/>
      <c r="G519" s="1050"/>
    </row>
    <row r="520">
      <c r="A520" s="1049"/>
      <c r="B520" s="1049"/>
      <c r="C520" s="1049"/>
      <c r="D520" s="1049"/>
      <c r="E520" s="1049"/>
      <c r="F520" s="1050"/>
      <c r="G520" s="1050"/>
    </row>
    <row r="521">
      <c r="A521" s="1049"/>
      <c r="B521" s="1049"/>
      <c r="C521" s="1049"/>
      <c r="D521" s="1049"/>
      <c r="E521" s="1049"/>
      <c r="F521" s="1050"/>
      <c r="G521" s="1050"/>
    </row>
    <row r="522">
      <c r="A522" s="1049"/>
      <c r="B522" s="1049"/>
      <c r="C522" s="1049"/>
      <c r="D522" s="1049"/>
      <c r="E522" s="1049"/>
      <c r="F522" s="1050"/>
      <c r="G522" s="1050"/>
    </row>
    <row r="523">
      <c r="A523" s="1049"/>
      <c r="B523" s="1049"/>
      <c r="C523" s="1049"/>
      <c r="D523" s="1049"/>
      <c r="E523" s="1049"/>
      <c r="F523" s="1050"/>
      <c r="G523" s="1050"/>
    </row>
    <row r="524">
      <c r="A524" s="1049"/>
      <c r="B524" s="1049"/>
      <c r="C524" s="1049"/>
      <c r="D524" s="1049"/>
      <c r="E524" s="1049"/>
      <c r="F524" s="1050"/>
      <c r="G524" s="1050"/>
    </row>
    <row r="525">
      <c r="A525" s="1049"/>
      <c r="B525" s="1049"/>
      <c r="C525" s="1049"/>
      <c r="D525" s="1049"/>
      <c r="E525" s="1049"/>
      <c r="F525" s="1050"/>
      <c r="G525" s="1050"/>
    </row>
    <row r="526">
      <c r="A526" s="1049"/>
      <c r="B526" s="1049"/>
      <c r="C526" s="1049"/>
      <c r="D526" s="1049"/>
      <c r="E526" s="1049"/>
      <c r="F526" s="1050"/>
      <c r="G526" s="1050"/>
    </row>
    <row r="527">
      <c r="A527" s="1049"/>
      <c r="B527" s="1049"/>
      <c r="C527" s="1049"/>
      <c r="D527" s="1049"/>
      <c r="E527" s="1049"/>
      <c r="F527" s="1050"/>
      <c r="G527" s="1050"/>
    </row>
    <row r="528">
      <c r="A528" s="1049"/>
      <c r="B528" s="1049"/>
      <c r="C528" s="1049"/>
      <c r="D528" s="1049"/>
      <c r="E528" s="1049"/>
      <c r="F528" s="1050"/>
      <c r="G528" s="1050"/>
    </row>
    <row r="529">
      <c r="A529" s="1049"/>
      <c r="B529" s="1049"/>
      <c r="C529" s="1049"/>
      <c r="D529" s="1049"/>
      <c r="E529" s="1049"/>
      <c r="F529" s="1050"/>
      <c r="G529" s="1050"/>
    </row>
    <row r="530">
      <c r="A530" s="1049"/>
      <c r="B530" s="1049"/>
      <c r="C530" s="1049"/>
      <c r="D530" s="1049"/>
      <c r="E530" s="1049"/>
      <c r="F530" s="1050"/>
      <c r="G530" s="1050"/>
    </row>
    <row r="531">
      <c r="A531" s="1049"/>
      <c r="B531" s="1049"/>
      <c r="C531" s="1049"/>
      <c r="D531" s="1049"/>
      <c r="E531" s="1049"/>
      <c r="F531" s="1050"/>
      <c r="G531" s="1050"/>
    </row>
    <row r="532">
      <c r="A532" s="1049"/>
      <c r="B532" s="1049"/>
      <c r="C532" s="1049"/>
      <c r="D532" s="1049"/>
      <c r="E532" s="1049"/>
      <c r="F532" s="1050"/>
      <c r="G532" s="1050"/>
    </row>
    <row r="533">
      <c r="A533" s="1049"/>
      <c r="B533" s="1049"/>
      <c r="C533" s="1049"/>
      <c r="D533" s="1049"/>
      <c r="E533" s="1049"/>
      <c r="F533" s="1050"/>
      <c r="G533" s="1050"/>
    </row>
    <row r="534">
      <c r="A534" s="1049"/>
      <c r="B534" s="1049"/>
      <c r="C534" s="1049"/>
      <c r="D534" s="1049"/>
      <c r="E534" s="1049"/>
      <c r="F534" s="1050"/>
      <c r="G534" s="1050"/>
    </row>
    <row r="535">
      <c r="A535" s="1049"/>
      <c r="B535" s="1049"/>
      <c r="C535" s="1049"/>
      <c r="D535" s="1049"/>
      <c r="E535" s="1049"/>
      <c r="F535" s="1050"/>
      <c r="G535" s="1050"/>
    </row>
    <row r="536">
      <c r="A536" s="1049"/>
      <c r="B536" s="1049"/>
      <c r="C536" s="1049"/>
      <c r="D536" s="1049"/>
      <c r="E536" s="1049"/>
      <c r="F536" s="1050"/>
      <c r="G536" s="1050"/>
    </row>
    <row r="537">
      <c r="A537" s="1049"/>
      <c r="B537" s="1049"/>
      <c r="C537" s="1049"/>
      <c r="D537" s="1049"/>
      <c r="E537" s="1049"/>
      <c r="F537" s="1050"/>
      <c r="G537" s="1050"/>
    </row>
    <row r="538">
      <c r="A538" s="1049"/>
      <c r="B538" s="1049"/>
      <c r="C538" s="1049"/>
      <c r="D538" s="1049"/>
      <c r="E538" s="1049"/>
      <c r="F538" s="1050"/>
      <c r="G538" s="1050"/>
    </row>
    <row r="539">
      <c r="A539" s="1049"/>
      <c r="B539" s="1049"/>
      <c r="C539" s="1049"/>
      <c r="D539" s="1049"/>
      <c r="E539" s="1049"/>
      <c r="F539" s="1050"/>
      <c r="G539" s="1050"/>
    </row>
    <row r="540">
      <c r="A540" s="1049"/>
      <c r="B540" s="1049"/>
      <c r="C540" s="1049"/>
      <c r="D540" s="1049"/>
      <c r="E540" s="1049"/>
      <c r="F540" s="1050"/>
      <c r="G540" s="1050"/>
    </row>
    <row r="541">
      <c r="A541" s="1049"/>
      <c r="B541" s="1049"/>
      <c r="C541" s="1049"/>
      <c r="D541" s="1049"/>
      <c r="E541" s="1049"/>
      <c r="F541" s="1050"/>
      <c r="G541" s="1050"/>
    </row>
    <row r="542">
      <c r="A542" s="1049"/>
      <c r="B542" s="1049"/>
      <c r="C542" s="1049"/>
      <c r="D542" s="1049"/>
      <c r="E542" s="1049"/>
      <c r="F542" s="1050"/>
      <c r="G542" s="1050"/>
    </row>
    <row r="543">
      <c r="A543" s="1049"/>
      <c r="B543" s="1049"/>
      <c r="C543" s="1049"/>
      <c r="D543" s="1049"/>
      <c r="E543" s="1049"/>
      <c r="F543" s="1050"/>
      <c r="G543" s="1050"/>
    </row>
    <row r="544">
      <c r="A544" s="1049"/>
      <c r="B544" s="1049"/>
      <c r="C544" s="1049"/>
      <c r="D544" s="1049"/>
      <c r="E544" s="1049"/>
      <c r="F544" s="1050"/>
      <c r="G544" s="1050"/>
    </row>
    <row r="545">
      <c r="A545" s="1049"/>
      <c r="B545" s="1049"/>
      <c r="C545" s="1049"/>
      <c r="D545" s="1049"/>
      <c r="E545" s="1049"/>
      <c r="F545" s="1050"/>
      <c r="G545" s="1050"/>
    </row>
    <row r="546">
      <c r="A546" s="1049"/>
      <c r="B546" s="1049"/>
      <c r="C546" s="1049"/>
      <c r="D546" s="1049"/>
      <c r="E546" s="1049"/>
      <c r="F546" s="1050"/>
      <c r="G546" s="1050"/>
    </row>
    <row r="547">
      <c r="A547" s="1049"/>
      <c r="B547" s="1049"/>
      <c r="C547" s="1049"/>
      <c r="D547" s="1049"/>
      <c r="E547" s="1049"/>
      <c r="F547" s="1050"/>
      <c r="G547" s="1050"/>
    </row>
    <row r="548">
      <c r="A548" s="1049"/>
      <c r="B548" s="1049"/>
      <c r="C548" s="1049"/>
      <c r="D548" s="1049"/>
      <c r="E548" s="1049"/>
      <c r="F548" s="1050"/>
      <c r="G548" s="1050"/>
    </row>
    <row r="549">
      <c r="A549" s="1049"/>
      <c r="B549" s="1049"/>
      <c r="C549" s="1049"/>
      <c r="D549" s="1049"/>
      <c r="E549" s="1049"/>
      <c r="F549" s="1050"/>
      <c r="G549" s="1050"/>
    </row>
    <row r="550">
      <c r="A550" s="1049"/>
      <c r="B550" s="1049"/>
      <c r="C550" s="1049"/>
      <c r="D550" s="1049"/>
      <c r="E550" s="1049"/>
      <c r="F550" s="1050"/>
      <c r="G550" s="1050"/>
    </row>
    <row r="551">
      <c r="A551" s="1049"/>
      <c r="B551" s="1049"/>
      <c r="C551" s="1049"/>
      <c r="D551" s="1049"/>
      <c r="E551" s="1049"/>
      <c r="F551" s="1050"/>
      <c r="G551" s="1050"/>
    </row>
    <row r="552">
      <c r="A552" s="1049"/>
      <c r="B552" s="1049"/>
      <c r="C552" s="1049"/>
      <c r="D552" s="1049"/>
      <c r="E552" s="1049"/>
      <c r="F552" s="1050"/>
      <c r="G552" s="1050"/>
    </row>
    <row r="553">
      <c r="A553" s="1049"/>
      <c r="B553" s="1049"/>
      <c r="C553" s="1049"/>
      <c r="D553" s="1049"/>
      <c r="E553" s="1049"/>
      <c r="F553" s="1050"/>
      <c r="G553" s="1050"/>
    </row>
    <row r="554">
      <c r="A554" s="1049"/>
      <c r="B554" s="1049"/>
      <c r="C554" s="1049"/>
      <c r="D554" s="1049"/>
      <c r="E554" s="1049"/>
      <c r="F554" s="1050"/>
      <c r="G554" s="1050"/>
    </row>
    <row r="555">
      <c r="A555" s="1049"/>
      <c r="B555" s="1049"/>
      <c r="C555" s="1049"/>
      <c r="D555" s="1049"/>
      <c r="E555" s="1049"/>
      <c r="F555" s="1050"/>
      <c r="G555" s="1050"/>
    </row>
    <row r="556">
      <c r="A556" s="1049"/>
      <c r="B556" s="1049"/>
      <c r="C556" s="1049"/>
      <c r="D556" s="1049"/>
      <c r="E556" s="1049"/>
      <c r="F556" s="1050"/>
      <c r="G556" s="1050"/>
    </row>
    <row r="557">
      <c r="A557" s="1049"/>
      <c r="B557" s="1049"/>
      <c r="C557" s="1049"/>
      <c r="D557" s="1049"/>
      <c r="E557" s="1049"/>
      <c r="F557" s="1050"/>
      <c r="G557" s="1050"/>
    </row>
    <row r="558">
      <c r="A558" s="1049"/>
      <c r="B558" s="1049"/>
      <c r="C558" s="1049"/>
      <c r="D558" s="1049"/>
      <c r="E558" s="1049"/>
      <c r="F558" s="1050"/>
      <c r="G558" s="1050"/>
    </row>
    <row r="559">
      <c r="A559" s="1049"/>
      <c r="B559" s="1049"/>
      <c r="C559" s="1049"/>
      <c r="D559" s="1049"/>
      <c r="E559" s="1049"/>
      <c r="F559" s="1050"/>
      <c r="G559" s="1050"/>
    </row>
    <row r="560">
      <c r="A560" s="1049"/>
      <c r="B560" s="1049"/>
      <c r="C560" s="1049"/>
      <c r="D560" s="1049"/>
      <c r="E560" s="1049"/>
      <c r="F560" s="1050"/>
      <c r="G560" s="1050"/>
    </row>
    <row r="561">
      <c r="A561" s="1049"/>
      <c r="B561" s="1049"/>
      <c r="C561" s="1049"/>
      <c r="D561" s="1049"/>
      <c r="E561" s="1049"/>
      <c r="F561" s="1050"/>
      <c r="G561" s="1050"/>
    </row>
    <row r="562">
      <c r="A562" s="1049"/>
      <c r="B562" s="1049"/>
      <c r="C562" s="1049"/>
      <c r="D562" s="1049"/>
      <c r="E562" s="1049"/>
      <c r="F562" s="1050"/>
      <c r="G562" s="1050"/>
    </row>
    <row r="563">
      <c r="A563" s="1049"/>
      <c r="B563" s="1049"/>
      <c r="C563" s="1049"/>
      <c r="D563" s="1049"/>
      <c r="E563" s="1049"/>
      <c r="F563" s="1050"/>
      <c r="G563" s="1050"/>
    </row>
    <row r="564">
      <c r="A564" s="1049"/>
      <c r="B564" s="1049"/>
      <c r="C564" s="1049"/>
      <c r="D564" s="1049"/>
      <c r="E564" s="1049"/>
      <c r="F564" s="1050"/>
      <c r="G564" s="1050"/>
    </row>
    <row r="565">
      <c r="A565" s="1049"/>
      <c r="B565" s="1049"/>
      <c r="C565" s="1049"/>
      <c r="D565" s="1049"/>
      <c r="E565" s="1049"/>
      <c r="F565" s="1050"/>
      <c r="G565" s="1050"/>
    </row>
    <row r="566">
      <c r="A566" s="1049"/>
      <c r="B566" s="1049"/>
      <c r="C566" s="1049"/>
      <c r="D566" s="1049"/>
      <c r="E566" s="1049"/>
      <c r="F566" s="1050"/>
      <c r="G566" s="1050"/>
    </row>
    <row r="567">
      <c r="A567" s="1049"/>
      <c r="B567" s="1049"/>
      <c r="C567" s="1049"/>
      <c r="D567" s="1049"/>
      <c r="E567" s="1049"/>
      <c r="F567" s="1050"/>
      <c r="G567" s="1050"/>
    </row>
    <row r="568">
      <c r="A568" s="1049"/>
      <c r="B568" s="1049"/>
      <c r="C568" s="1049"/>
      <c r="D568" s="1049"/>
      <c r="E568" s="1049"/>
      <c r="F568" s="1050"/>
      <c r="G568" s="1050"/>
    </row>
    <row r="569">
      <c r="A569" s="1049"/>
      <c r="B569" s="1049"/>
      <c r="C569" s="1049"/>
      <c r="D569" s="1049"/>
      <c r="E569" s="1049"/>
      <c r="F569" s="1050"/>
      <c r="G569" s="1050"/>
    </row>
    <row r="570">
      <c r="A570" s="1049"/>
      <c r="B570" s="1049"/>
      <c r="C570" s="1049"/>
      <c r="D570" s="1049"/>
      <c r="E570" s="1049"/>
      <c r="F570" s="1050"/>
      <c r="G570" s="1050"/>
    </row>
    <row r="571">
      <c r="A571" s="1049"/>
      <c r="B571" s="1049"/>
      <c r="C571" s="1049"/>
      <c r="D571" s="1049"/>
      <c r="E571" s="1049"/>
      <c r="F571" s="1050"/>
      <c r="G571" s="1050"/>
    </row>
    <row r="572">
      <c r="A572" s="1049"/>
      <c r="B572" s="1049"/>
      <c r="C572" s="1049"/>
      <c r="D572" s="1049"/>
      <c r="E572" s="1049"/>
      <c r="F572" s="1050"/>
      <c r="G572" s="1050"/>
    </row>
    <row r="573">
      <c r="A573" s="1049"/>
      <c r="B573" s="1049"/>
      <c r="C573" s="1049"/>
      <c r="D573" s="1049"/>
      <c r="E573" s="1049"/>
      <c r="F573" s="1050"/>
      <c r="G573" s="1050"/>
    </row>
    <row r="574">
      <c r="A574" s="1049"/>
      <c r="B574" s="1049"/>
      <c r="C574" s="1049"/>
      <c r="D574" s="1049"/>
      <c r="E574" s="1049"/>
      <c r="F574" s="1050"/>
      <c r="G574" s="1050"/>
    </row>
    <row r="575">
      <c r="A575" s="1049"/>
      <c r="B575" s="1049"/>
      <c r="C575" s="1049"/>
      <c r="D575" s="1049"/>
      <c r="E575" s="1049"/>
      <c r="F575" s="1050"/>
      <c r="G575" s="1050"/>
    </row>
    <row r="576">
      <c r="A576" s="1049"/>
      <c r="B576" s="1049"/>
      <c r="C576" s="1049"/>
      <c r="D576" s="1049"/>
      <c r="E576" s="1049"/>
      <c r="F576" s="1050"/>
      <c r="G576" s="1050"/>
    </row>
    <row r="577">
      <c r="A577" s="1049"/>
      <c r="B577" s="1049"/>
      <c r="C577" s="1049"/>
      <c r="D577" s="1049"/>
      <c r="E577" s="1049"/>
      <c r="F577" s="1050"/>
      <c r="G577" s="1050"/>
    </row>
    <row r="578">
      <c r="A578" s="1049"/>
      <c r="B578" s="1049"/>
      <c r="C578" s="1049"/>
      <c r="D578" s="1049"/>
      <c r="E578" s="1049"/>
      <c r="F578" s="1050"/>
      <c r="G578" s="1050"/>
    </row>
    <row r="579">
      <c r="A579" s="1049"/>
      <c r="B579" s="1049"/>
      <c r="C579" s="1049"/>
      <c r="D579" s="1049"/>
      <c r="E579" s="1049"/>
      <c r="F579" s="1050"/>
      <c r="G579" s="1050"/>
    </row>
    <row r="580">
      <c r="A580" s="1049"/>
      <c r="B580" s="1049"/>
      <c r="C580" s="1049"/>
      <c r="D580" s="1049"/>
      <c r="E580" s="1049"/>
      <c r="F580" s="1050"/>
      <c r="G580" s="1050"/>
    </row>
    <row r="581">
      <c r="A581" s="1049"/>
      <c r="B581" s="1049"/>
      <c r="C581" s="1049"/>
      <c r="D581" s="1049"/>
      <c r="E581" s="1049"/>
      <c r="F581" s="1050"/>
      <c r="G581" s="1050"/>
    </row>
    <row r="582">
      <c r="A582" s="1049"/>
      <c r="B582" s="1049"/>
      <c r="C582" s="1049"/>
      <c r="D582" s="1049"/>
      <c r="E582" s="1049"/>
      <c r="F582" s="1050"/>
      <c r="G582" s="1050"/>
    </row>
    <row r="583">
      <c r="A583" s="1049"/>
      <c r="B583" s="1049"/>
      <c r="C583" s="1049"/>
      <c r="D583" s="1049"/>
      <c r="E583" s="1049"/>
      <c r="F583" s="1050"/>
      <c r="G583" s="1050"/>
    </row>
    <row r="584">
      <c r="A584" s="1049"/>
      <c r="B584" s="1049"/>
      <c r="C584" s="1049"/>
      <c r="D584" s="1049"/>
      <c r="E584" s="1049"/>
      <c r="F584" s="1050"/>
      <c r="G584" s="1050"/>
    </row>
    <row r="585">
      <c r="A585" s="1049"/>
      <c r="B585" s="1049"/>
      <c r="C585" s="1049"/>
      <c r="D585" s="1049"/>
      <c r="E585" s="1049"/>
      <c r="F585" s="1050"/>
      <c r="G585" s="1050"/>
    </row>
    <row r="586">
      <c r="A586" s="1049"/>
      <c r="B586" s="1049"/>
      <c r="C586" s="1049"/>
      <c r="D586" s="1049"/>
      <c r="E586" s="1049"/>
      <c r="F586" s="1050"/>
      <c r="G586" s="1050"/>
    </row>
    <row r="587">
      <c r="A587" s="1049"/>
      <c r="B587" s="1049"/>
      <c r="C587" s="1049"/>
      <c r="D587" s="1049"/>
      <c r="E587" s="1049"/>
      <c r="F587" s="1050"/>
      <c r="G587" s="1050"/>
    </row>
    <row r="588">
      <c r="A588" s="1049"/>
      <c r="B588" s="1049"/>
      <c r="C588" s="1049"/>
      <c r="D588" s="1049"/>
      <c r="E588" s="1049"/>
      <c r="F588" s="1050"/>
      <c r="G588" s="1050"/>
    </row>
    <row r="589">
      <c r="A589" s="1049"/>
      <c r="B589" s="1049"/>
      <c r="C589" s="1049"/>
      <c r="D589" s="1049"/>
      <c r="E589" s="1049"/>
      <c r="F589" s="1050"/>
      <c r="G589" s="1050"/>
    </row>
    <row r="590">
      <c r="A590" s="1049"/>
      <c r="B590" s="1049"/>
      <c r="C590" s="1049"/>
      <c r="D590" s="1049"/>
      <c r="E590" s="1049"/>
      <c r="F590" s="1050"/>
      <c r="G590" s="1050"/>
    </row>
    <row r="591">
      <c r="A591" s="1049"/>
      <c r="B591" s="1049"/>
      <c r="C591" s="1049"/>
      <c r="D591" s="1049"/>
      <c r="E591" s="1049"/>
      <c r="F591" s="1050"/>
      <c r="G591" s="1050"/>
    </row>
    <row r="592">
      <c r="A592" s="1049"/>
      <c r="B592" s="1049"/>
      <c r="C592" s="1049"/>
      <c r="D592" s="1049"/>
      <c r="E592" s="1049"/>
      <c r="F592" s="1050"/>
      <c r="G592" s="1050"/>
    </row>
    <row r="593">
      <c r="A593" s="1049"/>
      <c r="B593" s="1049"/>
      <c r="C593" s="1049"/>
      <c r="D593" s="1049"/>
      <c r="E593" s="1049"/>
      <c r="F593" s="1050"/>
      <c r="G593" s="1050"/>
    </row>
    <row r="594">
      <c r="A594" s="1049"/>
      <c r="B594" s="1049"/>
      <c r="C594" s="1049"/>
      <c r="D594" s="1049"/>
      <c r="E594" s="1049"/>
      <c r="F594" s="1050"/>
      <c r="G594" s="1050"/>
    </row>
    <row r="595">
      <c r="A595" s="1049"/>
      <c r="B595" s="1049"/>
      <c r="C595" s="1049"/>
      <c r="D595" s="1049"/>
      <c r="E595" s="1049"/>
      <c r="F595" s="1050"/>
      <c r="G595" s="1050"/>
    </row>
    <row r="596">
      <c r="A596" s="1049"/>
      <c r="B596" s="1049"/>
      <c r="C596" s="1049"/>
      <c r="D596" s="1049"/>
      <c r="E596" s="1049"/>
      <c r="F596" s="1050"/>
      <c r="G596" s="1050"/>
    </row>
    <row r="597">
      <c r="A597" s="1049"/>
      <c r="B597" s="1049"/>
      <c r="C597" s="1049"/>
      <c r="D597" s="1049"/>
      <c r="E597" s="1049"/>
      <c r="F597" s="1050"/>
      <c r="G597" s="1050"/>
    </row>
    <row r="598">
      <c r="A598" s="1049"/>
      <c r="B598" s="1049"/>
      <c r="C598" s="1049"/>
      <c r="D598" s="1049"/>
      <c r="E598" s="1049"/>
      <c r="F598" s="1050"/>
      <c r="G598" s="1050"/>
    </row>
    <row r="599">
      <c r="A599" s="1049"/>
      <c r="B599" s="1049"/>
      <c r="C599" s="1049"/>
      <c r="D599" s="1049"/>
      <c r="E599" s="1049"/>
      <c r="F599" s="1050"/>
      <c r="G599" s="1050"/>
    </row>
    <row r="600">
      <c r="A600" s="1049"/>
      <c r="B600" s="1049"/>
      <c r="C600" s="1049"/>
      <c r="D600" s="1049"/>
      <c r="E600" s="1049"/>
      <c r="F600" s="1050"/>
      <c r="G600" s="1050"/>
    </row>
    <row r="601">
      <c r="A601" s="1049"/>
      <c r="B601" s="1049"/>
      <c r="C601" s="1049"/>
      <c r="D601" s="1049"/>
      <c r="E601" s="1049"/>
      <c r="F601" s="1050"/>
      <c r="G601" s="1050"/>
    </row>
    <row r="602">
      <c r="A602" s="1049"/>
      <c r="B602" s="1049"/>
      <c r="C602" s="1049"/>
      <c r="D602" s="1049"/>
      <c r="E602" s="1049"/>
      <c r="F602" s="1050"/>
      <c r="G602" s="1050"/>
    </row>
    <row r="603">
      <c r="A603" s="1049"/>
      <c r="B603" s="1049"/>
      <c r="C603" s="1049"/>
      <c r="D603" s="1049"/>
      <c r="E603" s="1049"/>
      <c r="F603" s="1050"/>
      <c r="G603" s="1050"/>
    </row>
    <row r="604">
      <c r="A604" s="1049"/>
      <c r="B604" s="1049"/>
      <c r="C604" s="1049"/>
      <c r="D604" s="1049"/>
      <c r="E604" s="1049"/>
      <c r="F604" s="1050"/>
      <c r="G604" s="1050"/>
    </row>
    <row r="605">
      <c r="A605" s="1049"/>
      <c r="B605" s="1049"/>
      <c r="C605" s="1049"/>
      <c r="D605" s="1049"/>
      <c r="E605" s="1049"/>
      <c r="F605" s="1050"/>
      <c r="G605" s="1050"/>
    </row>
    <row r="606">
      <c r="A606" s="1049"/>
      <c r="B606" s="1049"/>
      <c r="C606" s="1049"/>
      <c r="D606" s="1049"/>
      <c r="E606" s="1049"/>
      <c r="F606" s="1050"/>
      <c r="G606" s="1050"/>
    </row>
    <row r="607">
      <c r="A607" s="1049"/>
      <c r="B607" s="1049"/>
      <c r="C607" s="1049"/>
      <c r="D607" s="1049"/>
      <c r="E607" s="1049"/>
      <c r="F607" s="1050"/>
      <c r="G607" s="1050"/>
    </row>
    <row r="608">
      <c r="A608" s="1049"/>
      <c r="B608" s="1049"/>
      <c r="C608" s="1049"/>
      <c r="D608" s="1049"/>
      <c r="E608" s="1049"/>
      <c r="F608" s="1050"/>
      <c r="G608" s="1050"/>
    </row>
    <row r="609">
      <c r="A609" s="1049"/>
      <c r="B609" s="1049"/>
      <c r="C609" s="1049"/>
      <c r="D609" s="1049"/>
      <c r="E609" s="1049"/>
      <c r="F609" s="1050"/>
      <c r="G609" s="1050"/>
    </row>
    <row r="610">
      <c r="A610" s="1049"/>
      <c r="B610" s="1049"/>
      <c r="C610" s="1049"/>
      <c r="D610" s="1049"/>
      <c r="E610" s="1049"/>
      <c r="F610" s="1050"/>
      <c r="G610" s="1050"/>
    </row>
    <row r="611">
      <c r="A611" s="1049"/>
      <c r="B611" s="1049"/>
      <c r="C611" s="1049"/>
      <c r="D611" s="1049"/>
      <c r="E611" s="1049"/>
      <c r="F611" s="1050"/>
      <c r="G611" s="1050"/>
    </row>
    <row r="612">
      <c r="A612" s="1049"/>
      <c r="B612" s="1049"/>
      <c r="C612" s="1049"/>
      <c r="D612" s="1049"/>
      <c r="E612" s="1049"/>
      <c r="F612" s="1050"/>
      <c r="G612" s="1050"/>
    </row>
    <row r="613">
      <c r="A613" s="1049"/>
      <c r="B613" s="1049"/>
      <c r="C613" s="1049"/>
      <c r="D613" s="1049"/>
      <c r="E613" s="1049"/>
      <c r="F613" s="1050"/>
      <c r="G613" s="1050"/>
    </row>
    <row r="614">
      <c r="A614" s="1049"/>
      <c r="B614" s="1049"/>
      <c r="C614" s="1049"/>
      <c r="D614" s="1049"/>
      <c r="E614" s="1049"/>
      <c r="F614" s="1050"/>
      <c r="G614" s="1050"/>
    </row>
    <row r="615">
      <c r="A615" s="1049"/>
      <c r="B615" s="1049"/>
      <c r="C615" s="1049"/>
      <c r="D615" s="1049"/>
      <c r="E615" s="1049"/>
      <c r="F615" s="1050"/>
      <c r="G615" s="1050"/>
    </row>
    <row r="616">
      <c r="A616" s="1049"/>
      <c r="B616" s="1049"/>
      <c r="C616" s="1049"/>
      <c r="D616" s="1049"/>
      <c r="E616" s="1049"/>
      <c r="F616" s="1050"/>
      <c r="G616" s="1050"/>
    </row>
    <row r="617">
      <c r="A617" s="1049"/>
      <c r="B617" s="1049"/>
      <c r="C617" s="1049"/>
      <c r="D617" s="1049"/>
      <c r="E617" s="1049"/>
      <c r="F617" s="1050"/>
      <c r="G617" s="1050"/>
    </row>
    <row r="618">
      <c r="A618" s="1049"/>
      <c r="B618" s="1049"/>
      <c r="C618" s="1049"/>
      <c r="D618" s="1049"/>
      <c r="E618" s="1049"/>
      <c r="F618" s="1050"/>
      <c r="G618" s="1050"/>
    </row>
    <row r="619">
      <c r="A619" s="1049"/>
      <c r="B619" s="1049"/>
      <c r="C619" s="1049"/>
      <c r="D619" s="1049"/>
      <c r="E619" s="1049"/>
      <c r="F619" s="1050"/>
      <c r="G619" s="1050"/>
    </row>
    <row r="620">
      <c r="A620" s="1049"/>
      <c r="B620" s="1049"/>
      <c r="C620" s="1049"/>
      <c r="D620" s="1049"/>
      <c r="E620" s="1049"/>
      <c r="F620" s="1050"/>
      <c r="G620" s="1050"/>
    </row>
    <row r="621">
      <c r="A621" s="1049"/>
      <c r="B621" s="1049"/>
      <c r="C621" s="1049"/>
      <c r="D621" s="1049"/>
      <c r="E621" s="1049"/>
      <c r="F621" s="1050"/>
      <c r="G621" s="1050"/>
    </row>
    <row r="622">
      <c r="A622" s="1049"/>
      <c r="B622" s="1049"/>
      <c r="C622" s="1049"/>
      <c r="D622" s="1049"/>
      <c r="E622" s="1049"/>
      <c r="F622" s="1050"/>
      <c r="G622" s="1050"/>
    </row>
    <row r="623">
      <c r="A623" s="1049"/>
      <c r="B623" s="1049"/>
      <c r="C623" s="1049"/>
      <c r="D623" s="1049"/>
      <c r="E623" s="1049"/>
      <c r="F623" s="1050"/>
      <c r="G623" s="1050"/>
    </row>
    <row r="624">
      <c r="A624" s="1049"/>
      <c r="B624" s="1049"/>
      <c r="C624" s="1049"/>
      <c r="D624" s="1049"/>
      <c r="E624" s="1049"/>
      <c r="F624" s="1050"/>
      <c r="G624" s="1050"/>
    </row>
    <row r="625">
      <c r="A625" s="1049"/>
      <c r="B625" s="1049"/>
      <c r="C625" s="1049"/>
      <c r="D625" s="1049"/>
      <c r="E625" s="1049"/>
      <c r="F625" s="1050"/>
      <c r="G625" s="1050"/>
    </row>
    <row r="626">
      <c r="A626" s="1049"/>
      <c r="B626" s="1049"/>
      <c r="C626" s="1049"/>
      <c r="D626" s="1049"/>
      <c r="E626" s="1049"/>
      <c r="F626" s="1050"/>
      <c r="G626" s="1050"/>
    </row>
    <row r="627">
      <c r="A627" s="1049"/>
      <c r="B627" s="1049"/>
      <c r="C627" s="1049"/>
      <c r="D627" s="1049"/>
      <c r="E627" s="1049"/>
      <c r="F627" s="1050"/>
      <c r="G627" s="1050"/>
    </row>
    <row r="628">
      <c r="A628" s="1049"/>
      <c r="B628" s="1049"/>
      <c r="C628" s="1049"/>
      <c r="D628" s="1049"/>
      <c r="E628" s="1049"/>
      <c r="F628" s="1050"/>
      <c r="G628" s="1050"/>
    </row>
    <row r="629">
      <c r="A629" s="1049"/>
      <c r="B629" s="1049"/>
      <c r="C629" s="1049"/>
      <c r="D629" s="1049"/>
      <c r="E629" s="1049"/>
      <c r="F629" s="1050"/>
      <c r="G629" s="1050"/>
    </row>
    <row r="630">
      <c r="A630" s="1049"/>
      <c r="B630" s="1049"/>
      <c r="C630" s="1049"/>
      <c r="D630" s="1049"/>
      <c r="E630" s="1049"/>
      <c r="F630" s="1050"/>
      <c r="G630" s="1050"/>
    </row>
    <row r="631">
      <c r="A631" s="1049"/>
      <c r="B631" s="1049"/>
      <c r="C631" s="1049"/>
      <c r="D631" s="1049"/>
      <c r="E631" s="1049"/>
      <c r="F631" s="1050"/>
      <c r="G631" s="1050"/>
    </row>
    <row r="632">
      <c r="A632" s="1049"/>
      <c r="B632" s="1049"/>
      <c r="C632" s="1049"/>
      <c r="D632" s="1049"/>
      <c r="E632" s="1049"/>
      <c r="F632" s="1050"/>
      <c r="G632" s="1050"/>
    </row>
    <row r="633">
      <c r="A633" s="1049"/>
      <c r="B633" s="1049"/>
      <c r="C633" s="1049"/>
      <c r="D633" s="1049"/>
      <c r="E633" s="1049"/>
      <c r="F633" s="1050"/>
      <c r="G633" s="1050"/>
    </row>
    <row r="634">
      <c r="A634" s="1049"/>
      <c r="B634" s="1049"/>
      <c r="C634" s="1049"/>
      <c r="D634" s="1049"/>
      <c r="E634" s="1049"/>
      <c r="F634" s="1050"/>
      <c r="G634" s="1050"/>
    </row>
    <row r="635">
      <c r="A635" s="1049"/>
      <c r="B635" s="1049"/>
      <c r="C635" s="1049"/>
      <c r="D635" s="1049"/>
      <c r="E635" s="1049"/>
      <c r="F635" s="1050"/>
      <c r="G635" s="1050"/>
    </row>
    <row r="636">
      <c r="A636" s="1049"/>
      <c r="B636" s="1049"/>
      <c r="C636" s="1049"/>
      <c r="D636" s="1049"/>
      <c r="E636" s="1049"/>
      <c r="F636" s="1050"/>
      <c r="G636" s="1050"/>
    </row>
    <row r="637">
      <c r="A637" s="1049"/>
      <c r="B637" s="1049"/>
      <c r="C637" s="1049"/>
      <c r="D637" s="1049"/>
      <c r="E637" s="1049"/>
      <c r="F637" s="1050"/>
      <c r="G637" s="1050"/>
    </row>
    <row r="638">
      <c r="A638" s="1049"/>
      <c r="B638" s="1049"/>
      <c r="C638" s="1049"/>
      <c r="D638" s="1049"/>
      <c r="E638" s="1049"/>
      <c r="F638" s="1050"/>
      <c r="G638" s="1050"/>
    </row>
    <row r="639">
      <c r="A639" s="1049"/>
      <c r="B639" s="1049"/>
      <c r="C639" s="1049"/>
      <c r="D639" s="1049"/>
      <c r="E639" s="1049"/>
      <c r="F639" s="1050"/>
      <c r="G639" s="1050"/>
    </row>
    <row r="640">
      <c r="A640" s="1049"/>
      <c r="B640" s="1049"/>
      <c r="C640" s="1049"/>
      <c r="D640" s="1049"/>
      <c r="E640" s="1049"/>
      <c r="F640" s="1050"/>
      <c r="G640" s="1050"/>
    </row>
    <row r="641">
      <c r="A641" s="1049"/>
      <c r="B641" s="1049"/>
      <c r="C641" s="1049"/>
      <c r="D641" s="1049"/>
      <c r="E641" s="1049"/>
      <c r="F641" s="1050"/>
      <c r="G641" s="1050"/>
    </row>
    <row r="642">
      <c r="A642" s="1049"/>
      <c r="B642" s="1049"/>
      <c r="C642" s="1049"/>
      <c r="D642" s="1049"/>
      <c r="E642" s="1049"/>
      <c r="F642" s="1050"/>
      <c r="G642" s="1050"/>
    </row>
    <row r="643">
      <c r="A643" s="1049"/>
      <c r="B643" s="1049"/>
      <c r="C643" s="1049"/>
      <c r="D643" s="1049"/>
      <c r="E643" s="1049"/>
      <c r="F643" s="1050"/>
      <c r="G643" s="1050"/>
    </row>
    <row r="644">
      <c r="A644" s="1049"/>
      <c r="B644" s="1049"/>
      <c r="C644" s="1049"/>
      <c r="D644" s="1049"/>
      <c r="E644" s="1049"/>
      <c r="F644" s="1050"/>
      <c r="G644" s="1050"/>
    </row>
    <row r="645">
      <c r="A645" s="1049"/>
      <c r="B645" s="1049"/>
      <c r="C645" s="1049"/>
      <c r="D645" s="1049"/>
      <c r="E645" s="1049"/>
      <c r="F645" s="1050"/>
      <c r="G645" s="1050"/>
    </row>
    <row r="646">
      <c r="A646" s="1049"/>
      <c r="B646" s="1049"/>
      <c r="C646" s="1049"/>
      <c r="D646" s="1049"/>
      <c r="E646" s="1049"/>
      <c r="F646" s="1050"/>
      <c r="G646" s="1050"/>
    </row>
    <row r="647">
      <c r="A647" s="1049"/>
      <c r="B647" s="1049"/>
      <c r="C647" s="1049"/>
      <c r="D647" s="1049"/>
      <c r="E647" s="1049"/>
      <c r="F647" s="1050"/>
      <c r="G647" s="1050"/>
    </row>
    <row r="648">
      <c r="A648" s="1049"/>
      <c r="B648" s="1049"/>
      <c r="C648" s="1049"/>
      <c r="D648" s="1049"/>
      <c r="E648" s="1049"/>
      <c r="F648" s="1050"/>
      <c r="G648" s="1050"/>
    </row>
    <row r="649">
      <c r="A649" s="1049"/>
      <c r="B649" s="1049"/>
      <c r="C649" s="1049"/>
      <c r="D649" s="1049"/>
      <c r="E649" s="1049"/>
      <c r="F649" s="1050"/>
      <c r="G649" s="1050"/>
    </row>
    <row r="650">
      <c r="A650" s="1049"/>
      <c r="B650" s="1049"/>
      <c r="C650" s="1049"/>
      <c r="D650" s="1049"/>
      <c r="E650" s="1049"/>
      <c r="F650" s="1050"/>
      <c r="G650" s="1050"/>
    </row>
    <row r="651">
      <c r="A651" s="1049"/>
      <c r="B651" s="1049"/>
      <c r="C651" s="1049"/>
      <c r="D651" s="1049"/>
      <c r="E651" s="1049"/>
      <c r="F651" s="1050"/>
      <c r="G651" s="1050"/>
    </row>
    <row r="652">
      <c r="A652" s="1049"/>
      <c r="B652" s="1049"/>
      <c r="C652" s="1049"/>
      <c r="D652" s="1049"/>
      <c r="E652" s="1049"/>
      <c r="F652" s="1050"/>
      <c r="G652" s="1050"/>
    </row>
    <row r="653">
      <c r="A653" s="1049"/>
      <c r="B653" s="1049"/>
      <c r="C653" s="1049"/>
      <c r="D653" s="1049"/>
      <c r="E653" s="1049"/>
      <c r="F653" s="1050"/>
      <c r="G653" s="1050"/>
    </row>
    <row r="654">
      <c r="A654" s="1049"/>
      <c r="B654" s="1049"/>
      <c r="C654" s="1049"/>
      <c r="D654" s="1049"/>
      <c r="E654" s="1049"/>
      <c r="F654" s="1050"/>
      <c r="G654" s="1050"/>
    </row>
    <row r="655">
      <c r="A655" s="1049"/>
      <c r="B655" s="1049"/>
      <c r="C655" s="1049"/>
      <c r="D655" s="1049"/>
      <c r="E655" s="1049"/>
      <c r="F655" s="1050"/>
      <c r="G655" s="1050"/>
    </row>
    <row r="656">
      <c r="A656" s="1049"/>
      <c r="B656" s="1049"/>
      <c r="C656" s="1049"/>
      <c r="D656" s="1049"/>
      <c r="E656" s="1049"/>
      <c r="F656" s="1050"/>
      <c r="G656" s="1050"/>
    </row>
    <row r="657">
      <c r="A657" s="1049"/>
      <c r="B657" s="1049"/>
      <c r="C657" s="1049"/>
      <c r="D657" s="1049"/>
      <c r="E657" s="1049"/>
      <c r="F657" s="1050"/>
      <c r="G657" s="1050"/>
    </row>
    <row r="658">
      <c r="A658" s="1049"/>
      <c r="B658" s="1049"/>
      <c r="C658" s="1049"/>
      <c r="D658" s="1049"/>
      <c r="E658" s="1049"/>
      <c r="F658" s="1050"/>
      <c r="G658" s="1050"/>
    </row>
    <row r="659">
      <c r="A659" s="1049"/>
      <c r="B659" s="1049"/>
      <c r="C659" s="1049"/>
      <c r="D659" s="1049"/>
      <c r="E659" s="1049"/>
      <c r="F659" s="1050"/>
      <c r="G659" s="1050"/>
    </row>
    <row r="660">
      <c r="A660" s="1049"/>
      <c r="B660" s="1049"/>
      <c r="C660" s="1049"/>
      <c r="D660" s="1049"/>
      <c r="E660" s="1049"/>
      <c r="F660" s="1050"/>
      <c r="G660" s="1050"/>
    </row>
    <row r="661">
      <c r="A661" s="1049"/>
      <c r="B661" s="1049"/>
      <c r="C661" s="1049"/>
      <c r="D661" s="1049"/>
      <c r="E661" s="1049"/>
      <c r="F661" s="1050"/>
      <c r="G661" s="1050"/>
    </row>
    <row r="662">
      <c r="A662" s="1049"/>
      <c r="B662" s="1049"/>
      <c r="C662" s="1049"/>
      <c r="D662" s="1049"/>
      <c r="E662" s="1049"/>
      <c r="F662" s="1050"/>
      <c r="G662" s="1050"/>
    </row>
    <row r="663">
      <c r="A663" s="1049"/>
      <c r="B663" s="1049"/>
      <c r="C663" s="1049"/>
      <c r="D663" s="1049"/>
      <c r="E663" s="1049"/>
      <c r="F663" s="1050"/>
      <c r="G663" s="1050"/>
    </row>
    <row r="664">
      <c r="A664" s="1049"/>
      <c r="B664" s="1049"/>
      <c r="C664" s="1049"/>
      <c r="D664" s="1049"/>
      <c r="E664" s="1049"/>
      <c r="F664" s="1050"/>
      <c r="G664" s="1050"/>
    </row>
    <row r="665">
      <c r="A665" s="1049"/>
      <c r="B665" s="1049"/>
      <c r="C665" s="1049"/>
      <c r="D665" s="1049"/>
      <c r="E665" s="1049"/>
      <c r="F665" s="1050"/>
      <c r="G665" s="1050"/>
    </row>
    <row r="666">
      <c r="A666" s="1049"/>
      <c r="B666" s="1049"/>
      <c r="C666" s="1049"/>
      <c r="D666" s="1049"/>
      <c r="E666" s="1049"/>
      <c r="F666" s="1050"/>
      <c r="G666" s="1050"/>
    </row>
    <row r="667">
      <c r="A667" s="1049"/>
      <c r="B667" s="1049"/>
      <c r="C667" s="1049"/>
      <c r="D667" s="1049"/>
      <c r="E667" s="1049"/>
      <c r="F667" s="1050"/>
      <c r="G667" s="1050"/>
    </row>
    <row r="668">
      <c r="A668" s="1049"/>
      <c r="B668" s="1049"/>
      <c r="C668" s="1049"/>
      <c r="D668" s="1049"/>
      <c r="E668" s="1049"/>
      <c r="F668" s="1050"/>
      <c r="G668" s="1050"/>
    </row>
    <row r="669">
      <c r="A669" s="1049"/>
      <c r="B669" s="1049"/>
      <c r="C669" s="1049"/>
      <c r="D669" s="1049"/>
      <c r="E669" s="1049"/>
      <c r="F669" s="1050"/>
      <c r="G669" s="1050"/>
    </row>
    <row r="670">
      <c r="A670" s="1049"/>
      <c r="B670" s="1049"/>
      <c r="C670" s="1049"/>
      <c r="D670" s="1049"/>
      <c r="E670" s="1049"/>
      <c r="F670" s="1050"/>
      <c r="G670" s="1050"/>
    </row>
    <row r="671">
      <c r="A671" s="1049"/>
      <c r="B671" s="1049"/>
      <c r="C671" s="1049"/>
      <c r="D671" s="1049"/>
      <c r="E671" s="1049"/>
      <c r="F671" s="1050"/>
      <c r="G671" s="1050"/>
    </row>
    <row r="672">
      <c r="A672" s="1049"/>
      <c r="B672" s="1049"/>
      <c r="C672" s="1049"/>
      <c r="D672" s="1049"/>
      <c r="E672" s="1049"/>
      <c r="F672" s="1050"/>
      <c r="G672" s="1050"/>
    </row>
    <row r="673">
      <c r="A673" s="1049"/>
      <c r="B673" s="1049"/>
      <c r="C673" s="1049"/>
      <c r="D673" s="1049"/>
      <c r="E673" s="1049"/>
      <c r="F673" s="1050"/>
      <c r="G673" s="1050"/>
    </row>
    <row r="674">
      <c r="A674" s="1049"/>
      <c r="B674" s="1049"/>
      <c r="C674" s="1049"/>
      <c r="D674" s="1049"/>
      <c r="E674" s="1049"/>
      <c r="F674" s="1050"/>
      <c r="G674" s="1050"/>
    </row>
    <row r="675">
      <c r="A675" s="1049"/>
      <c r="B675" s="1049"/>
      <c r="C675" s="1049"/>
      <c r="D675" s="1049"/>
      <c r="E675" s="1049"/>
      <c r="F675" s="1050"/>
      <c r="G675" s="1050"/>
    </row>
    <row r="676">
      <c r="A676" s="1049"/>
      <c r="B676" s="1049"/>
      <c r="C676" s="1049"/>
      <c r="D676" s="1049"/>
      <c r="E676" s="1049"/>
      <c r="F676" s="1050"/>
      <c r="G676" s="1050"/>
    </row>
    <row r="677">
      <c r="A677" s="1049"/>
      <c r="B677" s="1049"/>
      <c r="C677" s="1049"/>
      <c r="D677" s="1049"/>
      <c r="E677" s="1049"/>
      <c r="F677" s="1050"/>
      <c r="G677" s="1050"/>
    </row>
    <row r="678">
      <c r="A678" s="1049"/>
      <c r="B678" s="1049"/>
      <c r="C678" s="1049"/>
      <c r="D678" s="1049"/>
      <c r="E678" s="1049"/>
      <c r="F678" s="1050"/>
      <c r="G678" s="1050"/>
    </row>
    <row r="679">
      <c r="A679" s="1049"/>
      <c r="B679" s="1049"/>
      <c r="C679" s="1049"/>
      <c r="D679" s="1049"/>
      <c r="E679" s="1049"/>
      <c r="F679" s="1050"/>
      <c r="G679" s="1050"/>
    </row>
    <row r="680">
      <c r="A680" s="1049"/>
      <c r="B680" s="1049"/>
      <c r="C680" s="1049"/>
      <c r="D680" s="1049"/>
      <c r="E680" s="1049"/>
      <c r="F680" s="1050"/>
      <c r="G680" s="1050"/>
    </row>
    <row r="681">
      <c r="A681" s="1049"/>
      <c r="B681" s="1049"/>
      <c r="C681" s="1049"/>
      <c r="D681" s="1049"/>
      <c r="E681" s="1049"/>
      <c r="F681" s="1050"/>
      <c r="G681" s="1050"/>
    </row>
    <row r="682">
      <c r="A682" s="1049"/>
      <c r="B682" s="1049"/>
      <c r="C682" s="1049"/>
      <c r="D682" s="1049"/>
      <c r="E682" s="1049"/>
      <c r="F682" s="1050"/>
      <c r="G682" s="1050"/>
    </row>
    <row r="683">
      <c r="A683" s="1049"/>
      <c r="B683" s="1049"/>
      <c r="C683" s="1049"/>
      <c r="D683" s="1049"/>
      <c r="E683" s="1049"/>
      <c r="F683" s="1050"/>
      <c r="G683" s="1050"/>
    </row>
    <row r="684">
      <c r="A684" s="1049"/>
      <c r="B684" s="1049"/>
      <c r="C684" s="1049"/>
      <c r="D684" s="1049"/>
      <c r="E684" s="1049"/>
      <c r="F684" s="1050"/>
      <c r="G684" s="1050"/>
    </row>
    <row r="685">
      <c r="A685" s="1049"/>
      <c r="B685" s="1049"/>
      <c r="C685" s="1049"/>
      <c r="D685" s="1049"/>
      <c r="E685" s="1049"/>
      <c r="F685" s="1050"/>
      <c r="G685" s="1050"/>
    </row>
    <row r="686">
      <c r="A686" s="1049"/>
      <c r="B686" s="1049"/>
      <c r="C686" s="1049"/>
      <c r="D686" s="1049"/>
      <c r="E686" s="1049"/>
      <c r="F686" s="1050"/>
      <c r="G686" s="1050"/>
    </row>
    <row r="687">
      <c r="A687" s="1049"/>
      <c r="B687" s="1049"/>
      <c r="C687" s="1049"/>
      <c r="D687" s="1049"/>
      <c r="E687" s="1049"/>
      <c r="F687" s="1050"/>
      <c r="G687" s="1050"/>
    </row>
    <row r="688">
      <c r="A688" s="1049"/>
      <c r="B688" s="1049"/>
      <c r="C688" s="1049"/>
      <c r="D688" s="1049"/>
      <c r="E688" s="1049"/>
      <c r="F688" s="1050"/>
      <c r="G688" s="1050"/>
    </row>
    <row r="689">
      <c r="A689" s="1049"/>
      <c r="B689" s="1049"/>
      <c r="C689" s="1049"/>
      <c r="D689" s="1049"/>
      <c r="E689" s="1049"/>
      <c r="F689" s="1050"/>
      <c r="G689" s="1050"/>
    </row>
    <row r="690">
      <c r="A690" s="1049"/>
      <c r="B690" s="1049"/>
      <c r="C690" s="1049"/>
      <c r="D690" s="1049"/>
      <c r="E690" s="1049"/>
      <c r="F690" s="1050"/>
      <c r="G690" s="1050"/>
    </row>
    <row r="691">
      <c r="A691" s="1049"/>
      <c r="B691" s="1049"/>
      <c r="C691" s="1049"/>
      <c r="D691" s="1049"/>
      <c r="E691" s="1049"/>
      <c r="F691" s="1050"/>
      <c r="G691" s="1050"/>
    </row>
    <row r="692">
      <c r="A692" s="1049"/>
      <c r="B692" s="1049"/>
      <c r="C692" s="1049"/>
      <c r="D692" s="1049"/>
      <c r="E692" s="1049"/>
      <c r="F692" s="1050"/>
      <c r="G692" s="1050"/>
    </row>
    <row r="693">
      <c r="A693" s="1049"/>
      <c r="B693" s="1049"/>
      <c r="C693" s="1049"/>
      <c r="D693" s="1049"/>
      <c r="E693" s="1049"/>
      <c r="F693" s="1050"/>
      <c r="G693" s="1050"/>
    </row>
    <row r="694">
      <c r="A694" s="1049"/>
      <c r="B694" s="1049"/>
      <c r="C694" s="1049"/>
      <c r="D694" s="1049"/>
      <c r="E694" s="1049"/>
      <c r="F694" s="1050"/>
      <c r="G694" s="1050"/>
    </row>
    <row r="695">
      <c r="A695" s="1049"/>
      <c r="B695" s="1049"/>
      <c r="C695" s="1049"/>
      <c r="D695" s="1049"/>
      <c r="E695" s="1049"/>
      <c r="F695" s="1050"/>
      <c r="G695" s="1050"/>
    </row>
    <row r="696">
      <c r="A696" s="1049"/>
      <c r="B696" s="1049"/>
      <c r="C696" s="1049"/>
      <c r="D696" s="1049"/>
      <c r="E696" s="1049"/>
      <c r="F696" s="1050"/>
      <c r="G696" s="1050"/>
    </row>
    <row r="697">
      <c r="A697" s="1049"/>
      <c r="B697" s="1049"/>
      <c r="C697" s="1049"/>
      <c r="D697" s="1049"/>
      <c r="E697" s="1049"/>
      <c r="F697" s="1050"/>
      <c r="G697" s="1050"/>
    </row>
    <row r="698">
      <c r="A698" s="1049"/>
      <c r="B698" s="1049"/>
      <c r="C698" s="1049"/>
      <c r="D698" s="1049"/>
      <c r="E698" s="1049"/>
      <c r="F698" s="1050"/>
      <c r="G698" s="1050"/>
    </row>
    <row r="699">
      <c r="A699" s="1049"/>
      <c r="B699" s="1049"/>
      <c r="C699" s="1049"/>
      <c r="D699" s="1049"/>
      <c r="E699" s="1049"/>
      <c r="F699" s="1050"/>
      <c r="G699" s="1050"/>
    </row>
    <row r="700">
      <c r="A700" s="1049"/>
      <c r="B700" s="1049"/>
      <c r="C700" s="1049"/>
      <c r="D700" s="1049"/>
      <c r="E700" s="1049"/>
      <c r="F700" s="1050"/>
      <c r="G700" s="1050"/>
    </row>
    <row r="701">
      <c r="A701" s="1049"/>
      <c r="B701" s="1049"/>
      <c r="C701" s="1049"/>
      <c r="D701" s="1049"/>
      <c r="E701" s="1049"/>
      <c r="F701" s="1050"/>
      <c r="G701" s="1050"/>
    </row>
    <row r="702">
      <c r="A702" s="1049"/>
      <c r="B702" s="1049"/>
      <c r="C702" s="1049"/>
      <c r="D702" s="1049"/>
      <c r="E702" s="1049"/>
      <c r="F702" s="1050"/>
      <c r="G702" s="1050"/>
    </row>
    <row r="703">
      <c r="A703" s="1049"/>
      <c r="B703" s="1049"/>
      <c r="C703" s="1049"/>
      <c r="D703" s="1049"/>
      <c r="E703" s="1049"/>
      <c r="F703" s="1050"/>
      <c r="G703" s="1050"/>
    </row>
    <row r="704">
      <c r="A704" s="1049"/>
      <c r="B704" s="1049"/>
      <c r="C704" s="1049"/>
      <c r="D704" s="1049"/>
      <c r="E704" s="1049"/>
      <c r="F704" s="1050"/>
      <c r="G704" s="1050"/>
    </row>
    <row r="705">
      <c r="A705" s="1049"/>
      <c r="B705" s="1049"/>
      <c r="C705" s="1049"/>
      <c r="D705" s="1049"/>
      <c r="E705" s="1049"/>
      <c r="F705" s="1050"/>
      <c r="G705" s="1050"/>
    </row>
    <row r="706">
      <c r="A706" s="1049"/>
      <c r="B706" s="1049"/>
      <c r="C706" s="1049"/>
      <c r="D706" s="1049"/>
      <c r="E706" s="1049"/>
      <c r="F706" s="1050"/>
      <c r="G706" s="1050"/>
    </row>
    <row r="707">
      <c r="A707" s="1049"/>
      <c r="B707" s="1049"/>
      <c r="C707" s="1049"/>
      <c r="D707" s="1049"/>
      <c r="E707" s="1049"/>
      <c r="F707" s="1050"/>
      <c r="G707" s="1050"/>
    </row>
    <row r="708">
      <c r="A708" s="1049"/>
      <c r="B708" s="1049"/>
      <c r="C708" s="1049"/>
      <c r="D708" s="1049"/>
      <c r="E708" s="1049"/>
      <c r="F708" s="1050"/>
      <c r="G708" s="1050"/>
    </row>
    <row r="709">
      <c r="A709" s="1049"/>
      <c r="B709" s="1049"/>
      <c r="C709" s="1049"/>
      <c r="D709" s="1049"/>
      <c r="E709" s="1049"/>
      <c r="F709" s="1050"/>
      <c r="G709" s="1050"/>
    </row>
    <row r="710">
      <c r="A710" s="1049"/>
      <c r="B710" s="1049"/>
      <c r="C710" s="1049"/>
      <c r="D710" s="1049"/>
      <c r="E710" s="1049"/>
      <c r="F710" s="1050"/>
      <c r="G710" s="1050"/>
    </row>
    <row r="711">
      <c r="A711" s="1049"/>
      <c r="B711" s="1049"/>
      <c r="C711" s="1049"/>
      <c r="D711" s="1049"/>
      <c r="E711" s="1049"/>
      <c r="F711" s="1050"/>
      <c r="G711" s="1050"/>
    </row>
    <row r="712">
      <c r="A712" s="1049"/>
      <c r="B712" s="1049"/>
      <c r="C712" s="1049"/>
      <c r="D712" s="1049"/>
      <c r="E712" s="1049"/>
      <c r="F712" s="1050"/>
      <c r="G712" s="1050"/>
    </row>
    <row r="713">
      <c r="A713" s="1049"/>
      <c r="B713" s="1049"/>
      <c r="C713" s="1049"/>
      <c r="D713" s="1049"/>
      <c r="E713" s="1049"/>
      <c r="F713" s="1050"/>
      <c r="G713" s="1050"/>
    </row>
    <row r="714">
      <c r="A714" s="1049"/>
      <c r="B714" s="1049"/>
      <c r="C714" s="1049"/>
      <c r="D714" s="1049"/>
      <c r="E714" s="1049"/>
      <c r="F714" s="1050"/>
      <c r="G714" s="1050"/>
    </row>
    <row r="715">
      <c r="A715" s="1049"/>
      <c r="B715" s="1049"/>
      <c r="C715" s="1049"/>
      <c r="D715" s="1049"/>
      <c r="E715" s="1049"/>
      <c r="F715" s="1050"/>
      <c r="G715" s="1050"/>
    </row>
    <row r="716">
      <c r="A716" s="1049"/>
      <c r="B716" s="1049"/>
      <c r="C716" s="1049"/>
      <c r="D716" s="1049"/>
      <c r="E716" s="1049"/>
      <c r="F716" s="1050"/>
      <c r="G716" s="1050"/>
    </row>
    <row r="717">
      <c r="A717" s="1049"/>
      <c r="B717" s="1049"/>
      <c r="C717" s="1049"/>
      <c r="D717" s="1049"/>
      <c r="E717" s="1049"/>
      <c r="F717" s="1050"/>
      <c r="G717" s="1050"/>
    </row>
    <row r="718">
      <c r="A718" s="1049"/>
      <c r="B718" s="1049"/>
      <c r="C718" s="1049"/>
      <c r="D718" s="1049"/>
      <c r="E718" s="1049"/>
      <c r="F718" s="1050"/>
      <c r="G718" s="1050"/>
    </row>
    <row r="719">
      <c r="A719" s="1049"/>
      <c r="B719" s="1049"/>
      <c r="C719" s="1049"/>
      <c r="D719" s="1049"/>
      <c r="E719" s="1049"/>
      <c r="F719" s="1050"/>
      <c r="G719" s="1050"/>
    </row>
    <row r="720">
      <c r="A720" s="1049"/>
      <c r="B720" s="1049"/>
      <c r="C720" s="1049"/>
      <c r="D720" s="1049"/>
      <c r="E720" s="1049"/>
      <c r="F720" s="1050"/>
      <c r="G720" s="1050"/>
    </row>
    <row r="721">
      <c r="A721" s="1049"/>
      <c r="B721" s="1049"/>
      <c r="C721" s="1049"/>
      <c r="D721" s="1049"/>
      <c r="E721" s="1049"/>
      <c r="F721" s="1050"/>
      <c r="G721" s="1050"/>
    </row>
    <row r="722">
      <c r="A722" s="1049"/>
      <c r="B722" s="1049"/>
      <c r="C722" s="1049"/>
      <c r="D722" s="1049"/>
      <c r="E722" s="1049"/>
      <c r="F722" s="1050"/>
      <c r="G722" s="1050"/>
    </row>
    <row r="723">
      <c r="A723" s="1049"/>
      <c r="B723" s="1049"/>
      <c r="C723" s="1049"/>
      <c r="D723" s="1049"/>
      <c r="E723" s="1049"/>
      <c r="F723" s="1050"/>
      <c r="G723" s="1050"/>
    </row>
    <row r="724">
      <c r="A724" s="1049"/>
      <c r="B724" s="1049"/>
      <c r="C724" s="1049"/>
      <c r="D724" s="1049"/>
      <c r="E724" s="1049"/>
      <c r="F724" s="1050"/>
      <c r="G724" s="1050"/>
    </row>
    <row r="725">
      <c r="A725" s="1049"/>
      <c r="B725" s="1049"/>
      <c r="C725" s="1049"/>
      <c r="D725" s="1049"/>
      <c r="E725" s="1049"/>
      <c r="F725" s="1050"/>
      <c r="G725" s="1050"/>
    </row>
    <row r="726">
      <c r="A726" s="1049"/>
      <c r="B726" s="1049"/>
      <c r="C726" s="1049"/>
      <c r="D726" s="1049"/>
      <c r="E726" s="1049"/>
      <c r="F726" s="1050"/>
      <c r="G726" s="1050"/>
    </row>
    <row r="727">
      <c r="A727" s="1049"/>
      <c r="B727" s="1049"/>
      <c r="C727" s="1049"/>
      <c r="D727" s="1049"/>
      <c r="E727" s="1049"/>
      <c r="F727" s="1050"/>
      <c r="G727" s="1050"/>
    </row>
    <row r="728">
      <c r="A728" s="1049"/>
      <c r="B728" s="1049"/>
      <c r="C728" s="1049"/>
      <c r="D728" s="1049"/>
      <c r="E728" s="1049"/>
      <c r="F728" s="1050"/>
      <c r="G728" s="1050"/>
    </row>
    <row r="729">
      <c r="A729" s="1049"/>
      <c r="B729" s="1049"/>
      <c r="C729" s="1049"/>
      <c r="D729" s="1049"/>
      <c r="E729" s="1049"/>
      <c r="F729" s="1050"/>
      <c r="G729" s="1050"/>
    </row>
    <row r="730">
      <c r="A730" s="1049"/>
      <c r="B730" s="1049"/>
      <c r="C730" s="1049"/>
      <c r="D730" s="1049"/>
      <c r="E730" s="1049"/>
      <c r="F730" s="1050"/>
      <c r="G730" s="1050"/>
    </row>
    <row r="731">
      <c r="A731" s="1049"/>
      <c r="B731" s="1049"/>
      <c r="C731" s="1049"/>
      <c r="D731" s="1049"/>
      <c r="E731" s="1049"/>
      <c r="F731" s="1050"/>
      <c r="G731" s="1050"/>
    </row>
    <row r="732">
      <c r="A732" s="1049"/>
      <c r="B732" s="1049"/>
      <c r="C732" s="1049"/>
      <c r="D732" s="1049"/>
      <c r="E732" s="1049"/>
      <c r="F732" s="1050"/>
      <c r="G732" s="1050"/>
    </row>
    <row r="733">
      <c r="A733" s="1049"/>
      <c r="B733" s="1049"/>
      <c r="C733" s="1049"/>
      <c r="D733" s="1049"/>
      <c r="E733" s="1049"/>
      <c r="F733" s="1050"/>
      <c r="G733" s="1050"/>
    </row>
    <row r="734">
      <c r="A734" s="1049"/>
      <c r="B734" s="1049"/>
      <c r="C734" s="1049"/>
      <c r="D734" s="1049"/>
      <c r="E734" s="1049"/>
      <c r="F734" s="1050"/>
      <c r="G734" s="1050"/>
    </row>
    <row r="735">
      <c r="A735" s="1049"/>
      <c r="B735" s="1049"/>
      <c r="C735" s="1049"/>
      <c r="D735" s="1049"/>
      <c r="E735" s="1049"/>
      <c r="F735" s="1050"/>
      <c r="G735" s="1050"/>
    </row>
    <row r="736">
      <c r="A736" s="1049"/>
      <c r="B736" s="1049"/>
      <c r="C736" s="1049"/>
      <c r="D736" s="1049"/>
      <c r="E736" s="1049"/>
      <c r="F736" s="1050"/>
      <c r="G736" s="1050"/>
    </row>
    <row r="737">
      <c r="A737" s="1049"/>
      <c r="B737" s="1049"/>
      <c r="C737" s="1049"/>
      <c r="D737" s="1049"/>
      <c r="E737" s="1049"/>
      <c r="F737" s="1050"/>
      <c r="G737" s="1050"/>
    </row>
    <row r="738">
      <c r="A738" s="1049"/>
      <c r="B738" s="1049"/>
      <c r="C738" s="1049"/>
      <c r="D738" s="1049"/>
      <c r="E738" s="1049"/>
      <c r="F738" s="1050"/>
      <c r="G738" s="1050"/>
    </row>
    <row r="739">
      <c r="A739" s="1049"/>
      <c r="B739" s="1049"/>
      <c r="C739" s="1049"/>
      <c r="D739" s="1049"/>
      <c r="E739" s="1049"/>
      <c r="F739" s="1050"/>
      <c r="G739" s="1050"/>
    </row>
    <row r="740">
      <c r="A740" s="1049"/>
      <c r="B740" s="1049"/>
      <c r="C740" s="1049"/>
      <c r="D740" s="1049"/>
      <c r="E740" s="1049"/>
      <c r="F740" s="1050"/>
      <c r="G740" s="1050"/>
    </row>
    <row r="741">
      <c r="A741" s="1049"/>
      <c r="B741" s="1049"/>
      <c r="C741" s="1049"/>
      <c r="D741" s="1049"/>
      <c r="E741" s="1049"/>
      <c r="F741" s="1050"/>
      <c r="G741" s="1050"/>
    </row>
    <row r="742">
      <c r="A742" s="1049"/>
      <c r="B742" s="1049"/>
      <c r="C742" s="1049"/>
      <c r="D742" s="1049"/>
      <c r="E742" s="1049"/>
      <c r="F742" s="1050"/>
      <c r="G742" s="1050"/>
    </row>
    <row r="743">
      <c r="A743" s="1049"/>
      <c r="B743" s="1049"/>
      <c r="C743" s="1049"/>
      <c r="D743" s="1049"/>
      <c r="E743" s="1049"/>
      <c r="F743" s="1050"/>
      <c r="G743" s="1050"/>
    </row>
    <row r="744">
      <c r="A744" s="1049"/>
      <c r="B744" s="1049"/>
      <c r="C744" s="1049"/>
      <c r="D744" s="1049"/>
      <c r="E744" s="1049"/>
      <c r="F744" s="1050"/>
      <c r="G744" s="1050"/>
    </row>
    <row r="745">
      <c r="A745" s="1049"/>
      <c r="B745" s="1049"/>
      <c r="C745" s="1049"/>
      <c r="D745" s="1049"/>
      <c r="E745" s="1049"/>
      <c r="F745" s="1050"/>
      <c r="G745" s="1050"/>
    </row>
    <row r="746">
      <c r="A746" s="1049"/>
      <c r="B746" s="1049"/>
      <c r="C746" s="1049"/>
      <c r="D746" s="1049"/>
      <c r="E746" s="1049"/>
      <c r="F746" s="1050"/>
      <c r="G746" s="1050"/>
    </row>
    <row r="747">
      <c r="A747" s="1049"/>
      <c r="B747" s="1049"/>
      <c r="C747" s="1049"/>
      <c r="D747" s="1049"/>
      <c r="E747" s="1049"/>
      <c r="F747" s="1050"/>
      <c r="G747" s="1050"/>
    </row>
    <row r="748">
      <c r="A748" s="1049"/>
      <c r="B748" s="1049"/>
      <c r="C748" s="1049"/>
      <c r="D748" s="1049"/>
      <c r="E748" s="1049"/>
      <c r="F748" s="1050"/>
      <c r="G748" s="1050"/>
    </row>
    <row r="749">
      <c r="A749" s="1049"/>
      <c r="B749" s="1049"/>
      <c r="C749" s="1049"/>
      <c r="D749" s="1049"/>
      <c r="E749" s="1049"/>
      <c r="F749" s="1050"/>
      <c r="G749" s="1050"/>
    </row>
    <row r="750">
      <c r="A750" s="1049"/>
      <c r="B750" s="1049"/>
      <c r="C750" s="1049"/>
      <c r="D750" s="1049"/>
      <c r="E750" s="1049"/>
      <c r="F750" s="1050"/>
      <c r="G750" s="1050"/>
    </row>
    <row r="751">
      <c r="A751" s="1049"/>
      <c r="B751" s="1049"/>
      <c r="C751" s="1049"/>
      <c r="D751" s="1049"/>
      <c r="E751" s="1049"/>
      <c r="F751" s="1050"/>
      <c r="G751" s="1050"/>
    </row>
    <row r="752">
      <c r="A752" s="1049"/>
      <c r="B752" s="1049"/>
      <c r="C752" s="1049"/>
      <c r="D752" s="1049"/>
      <c r="E752" s="1049"/>
      <c r="F752" s="1050"/>
      <c r="G752" s="1050"/>
    </row>
    <row r="753">
      <c r="A753" s="1049"/>
      <c r="B753" s="1049"/>
      <c r="C753" s="1049"/>
      <c r="D753" s="1049"/>
      <c r="E753" s="1049"/>
      <c r="F753" s="1050"/>
      <c r="G753" s="1050"/>
    </row>
    <row r="754">
      <c r="A754" s="1049"/>
      <c r="B754" s="1049"/>
      <c r="C754" s="1049"/>
      <c r="D754" s="1049"/>
      <c r="E754" s="1049"/>
      <c r="F754" s="1050"/>
      <c r="G754" s="1050"/>
    </row>
    <row r="755">
      <c r="A755" s="1049"/>
      <c r="B755" s="1049"/>
      <c r="C755" s="1049"/>
      <c r="D755" s="1049"/>
      <c r="E755" s="1049"/>
      <c r="F755" s="1050"/>
      <c r="G755" s="1050"/>
    </row>
    <row r="756">
      <c r="A756" s="1049"/>
      <c r="B756" s="1049"/>
      <c r="C756" s="1049"/>
      <c r="D756" s="1049"/>
      <c r="E756" s="1049"/>
      <c r="F756" s="1050"/>
      <c r="G756" s="1050"/>
    </row>
    <row r="757">
      <c r="A757" s="1049"/>
      <c r="B757" s="1049"/>
      <c r="C757" s="1049"/>
      <c r="D757" s="1049"/>
      <c r="E757" s="1049"/>
      <c r="F757" s="1050"/>
      <c r="G757" s="1050"/>
    </row>
    <row r="758">
      <c r="A758" s="1049"/>
      <c r="B758" s="1049"/>
      <c r="C758" s="1049"/>
      <c r="D758" s="1049"/>
      <c r="E758" s="1049"/>
      <c r="F758" s="1050"/>
      <c r="G758" s="1050"/>
    </row>
    <row r="759">
      <c r="A759" s="1049"/>
      <c r="B759" s="1049"/>
      <c r="C759" s="1049"/>
      <c r="D759" s="1049"/>
      <c r="E759" s="1049"/>
      <c r="F759" s="1050"/>
      <c r="G759" s="1050"/>
    </row>
    <row r="760">
      <c r="A760" s="1049"/>
      <c r="B760" s="1049"/>
      <c r="C760" s="1049"/>
      <c r="D760" s="1049"/>
      <c r="E760" s="1049"/>
      <c r="F760" s="1050"/>
      <c r="G760" s="1050"/>
    </row>
    <row r="761">
      <c r="A761" s="1049"/>
      <c r="B761" s="1049"/>
      <c r="C761" s="1049"/>
      <c r="D761" s="1049"/>
      <c r="E761" s="1049"/>
      <c r="F761" s="1050"/>
      <c r="G761" s="1050"/>
    </row>
    <row r="762">
      <c r="A762" s="1049"/>
      <c r="B762" s="1049"/>
      <c r="C762" s="1049"/>
      <c r="D762" s="1049"/>
      <c r="E762" s="1049"/>
      <c r="F762" s="1050"/>
      <c r="G762" s="1050"/>
    </row>
    <row r="763">
      <c r="A763" s="1049"/>
      <c r="B763" s="1049"/>
      <c r="C763" s="1049"/>
      <c r="D763" s="1049"/>
      <c r="E763" s="1049"/>
      <c r="F763" s="1050"/>
      <c r="G763" s="1050"/>
    </row>
    <row r="764">
      <c r="A764" s="1049"/>
      <c r="B764" s="1049"/>
      <c r="C764" s="1049"/>
      <c r="D764" s="1049"/>
      <c r="E764" s="1049"/>
      <c r="F764" s="1050"/>
      <c r="G764" s="1050"/>
    </row>
    <row r="765">
      <c r="A765" s="1049"/>
      <c r="B765" s="1049"/>
      <c r="C765" s="1049"/>
      <c r="D765" s="1049"/>
      <c r="E765" s="1049"/>
      <c r="F765" s="1050"/>
      <c r="G765" s="1050"/>
    </row>
    <row r="766">
      <c r="A766" s="1049"/>
      <c r="B766" s="1049"/>
      <c r="C766" s="1049"/>
      <c r="D766" s="1049"/>
      <c r="E766" s="1049"/>
      <c r="F766" s="1050"/>
      <c r="G766" s="1050"/>
    </row>
    <row r="767">
      <c r="A767" s="1049"/>
      <c r="B767" s="1049"/>
      <c r="C767" s="1049"/>
      <c r="D767" s="1049"/>
      <c r="E767" s="1049"/>
      <c r="F767" s="1050"/>
      <c r="G767" s="1050"/>
    </row>
    <row r="768">
      <c r="A768" s="1049"/>
      <c r="B768" s="1049"/>
      <c r="C768" s="1049"/>
      <c r="D768" s="1049"/>
      <c r="E768" s="1049"/>
      <c r="F768" s="1050"/>
      <c r="G768" s="1050"/>
    </row>
    <row r="769">
      <c r="A769" s="1049"/>
      <c r="B769" s="1049"/>
      <c r="C769" s="1049"/>
      <c r="D769" s="1049"/>
      <c r="E769" s="1049"/>
      <c r="F769" s="1050"/>
      <c r="G769" s="1050"/>
    </row>
    <row r="770">
      <c r="A770" s="1049"/>
      <c r="B770" s="1049"/>
      <c r="C770" s="1049"/>
      <c r="D770" s="1049"/>
      <c r="E770" s="1049"/>
      <c r="F770" s="1050"/>
      <c r="G770" s="1050"/>
    </row>
    <row r="771">
      <c r="A771" s="1049"/>
      <c r="B771" s="1049"/>
      <c r="C771" s="1049"/>
      <c r="D771" s="1049"/>
      <c r="E771" s="1049"/>
      <c r="F771" s="1050"/>
      <c r="G771" s="1050"/>
    </row>
    <row r="772">
      <c r="A772" s="1049"/>
      <c r="B772" s="1049"/>
      <c r="C772" s="1049"/>
      <c r="D772" s="1049"/>
      <c r="E772" s="1049"/>
      <c r="F772" s="1050"/>
      <c r="G772" s="1050"/>
    </row>
    <row r="773">
      <c r="A773" s="1049"/>
      <c r="B773" s="1049"/>
      <c r="C773" s="1049"/>
      <c r="D773" s="1049"/>
      <c r="E773" s="1049"/>
      <c r="F773" s="1050"/>
      <c r="G773" s="1050"/>
    </row>
    <row r="774">
      <c r="A774" s="1049"/>
      <c r="B774" s="1049"/>
      <c r="C774" s="1049"/>
      <c r="D774" s="1049"/>
      <c r="E774" s="1049"/>
      <c r="F774" s="1050"/>
      <c r="G774" s="1050"/>
    </row>
    <row r="775">
      <c r="A775" s="1049"/>
      <c r="B775" s="1049"/>
      <c r="C775" s="1049"/>
      <c r="D775" s="1049"/>
      <c r="E775" s="1049"/>
      <c r="F775" s="1050"/>
      <c r="G775" s="1050"/>
    </row>
    <row r="776">
      <c r="A776" s="1049"/>
      <c r="B776" s="1049"/>
      <c r="C776" s="1049"/>
      <c r="D776" s="1049"/>
      <c r="E776" s="1049"/>
      <c r="F776" s="1050"/>
      <c r="G776" s="1050"/>
    </row>
    <row r="777">
      <c r="A777" s="1049"/>
      <c r="B777" s="1049"/>
      <c r="C777" s="1049"/>
      <c r="D777" s="1049"/>
      <c r="E777" s="1049"/>
      <c r="F777" s="1050"/>
      <c r="G777" s="1050"/>
    </row>
    <row r="778">
      <c r="A778" s="1049"/>
      <c r="B778" s="1049"/>
      <c r="C778" s="1049"/>
      <c r="D778" s="1049"/>
      <c r="E778" s="1049"/>
      <c r="F778" s="1050"/>
      <c r="G778" s="1050"/>
    </row>
    <row r="779">
      <c r="A779" s="1049"/>
      <c r="B779" s="1049"/>
      <c r="C779" s="1049"/>
      <c r="D779" s="1049"/>
      <c r="E779" s="1049"/>
      <c r="F779" s="1050"/>
      <c r="G779" s="1050"/>
    </row>
    <row r="780">
      <c r="A780" s="1049"/>
      <c r="B780" s="1049"/>
      <c r="C780" s="1049"/>
      <c r="D780" s="1049"/>
      <c r="E780" s="1049"/>
      <c r="F780" s="1050"/>
      <c r="G780" s="1050"/>
    </row>
    <row r="781">
      <c r="A781" s="1049"/>
      <c r="B781" s="1049"/>
      <c r="C781" s="1049"/>
      <c r="D781" s="1049"/>
      <c r="E781" s="1049"/>
      <c r="F781" s="1050"/>
      <c r="G781" s="1050"/>
    </row>
    <row r="782">
      <c r="A782" s="1049"/>
      <c r="B782" s="1049"/>
      <c r="C782" s="1049"/>
      <c r="D782" s="1049"/>
      <c r="E782" s="1049"/>
      <c r="F782" s="1050"/>
      <c r="G782" s="1050"/>
    </row>
    <row r="783">
      <c r="A783" s="1049"/>
      <c r="B783" s="1049"/>
      <c r="C783" s="1049"/>
      <c r="D783" s="1049"/>
      <c r="E783" s="1049"/>
      <c r="F783" s="1050"/>
      <c r="G783" s="1050"/>
    </row>
    <row r="784">
      <c r="A784" s="1049"/>
      <c r="B784" s="1049"/>
      <c r="C784" s="1049"/>
      <c r="D784" s="1049"/>
      <c r="E784" s="1049"/>
      <c r="F784" s="1050"/>
      <c r="G784" s="1050"/>
    </row>
    <row r="785">
      <c r="A785" s="1049"/>
      <c r="B785" s="1049"/>
      <c r="C785" s="1049"/>
      <c r="D785" s="1049"/>
      <c r="E785" s="1049"/>
      <c r="F785" s="1050"/>
      <c r="G785" s="1050"/>
    </row>
    <row r="786">
      <c r="A786" s="1049"/>
      <c r="B786" s="1049"/>
      <c r="C786" s="1049"/>
      <c r="D786" s="1049"/>
      <c r="E786" s="1049"/>
      <c r="F786" s="1050"/>
      <c r="G786" s="1050"/>
    </row>
    <row r="787">
      <c r="A787" s="1049"/>
      <c r="B787" s="1049"/>
      <c r="C787" s="1049"/>
      <c r="D787" s="1049"/>
      <c r="E787" s="1049"/>
      <c r="F787" s="1050"/>
      <c r="G787" s="1050"/>
    </row>
    <row r="788">
      <c r="A788" s="1049"/>
      <c r="B788" s="1049"/>
      <c r="C788" s="1049"/>
      <c r="D788" s="1049"/>
      <c r="E788" s="1049"/>
      <c r="F788" s="1050"/>
      <c r="G788" s="1050"/>
    </row>
    <row r="789">
      <c r="A789" s="1049"/>
      <c r="B789" s="1049"/>
      <c r="C789" s="1049"/>
      <c r="D789" s="1049"/>
      <c r="E789" s="1049"/>
      <c r="F789" s="1050"/>
      <c r="G789" s="1050"/>
    </row>
    <row r="790">
      <c r="A790" s="1049"/>
      <c r="B790" s="1049"/>
      <c r="C790" s="1049"/>
      <c r="D790" s="1049"/>
      <c r="E790" s="1049"/>
      <c r="F790" s="1050"/>
      <c r="G790" s="1050"/>
    </row>
    <row r="791">
      <c r="A791" s="1049"/>
      <c r="B791" s="1049"/>
      <c r="C791" s="1049"/>
      <c r="D791" s="1049"/>
      <c r="E791" s="1049"/>
      <c r="F791" s="1050"/>
      <c r="G791" s="1050"/>
    </row>
    <row r="792">
      <c r="A792" s="1049"/>
      <c r="B792" s="1049"/>
      <c r="C792" s="1049"/>
      <c r="D792" s="1049"/>
      <c r="E792" s="1049"/>
      <c r="F792" s="1050"/>
      <c r="G792" s="1050"/>
    </row>
    <row r="793">
      <c r="A793" s="1049"/>
      <c r="B793" s="1049"/>
      <c r="C793" s="1049"/>
      <c r="D793" s="1049"/>
      <c r="E793" s="1049"/>
      <c r="F793" s="1050"/>
      <c r="G793" s="1050"/>
    </row>
    <row r="794">
      <c r="A794" s="1049"/>
      <c r="B794" s="1049"/>
      <c r="C794" s="1049"/>
      <c r="D794" s="1049"/>
      <c r="E794" s="1049"/>
      <c r="F794" s="1050"/>
      <c r="G794" s="1050"/>
    </row>
    <row r="795">
      <c r="A795" s="1049"/>
      <c r="B795" s="1049"/>
      <c r="C795" s="1049"/>
      <c r="D795" s="1049"/>
      <c r="E795" s="1049"/>
      <c r="F795" s="1050"/>
      <c r="G795" s="1050"/>
    </row>
    <row r="796">
      <c r="A796" s="1049"/>
      <c r="B796" s="1049"/>
      <c r="C796" s="1049"/>
      <c r="D796" s="1049"/>
      <c r="E796" s="1049"/>
      <c r="F796" s="1050"/>
      <c r="G796" s="1050"/>
    </row>
    <row r="797">
      <c r="A797" s="1049"/>
      <c r="B797" s="1049"/>
      <c r="C797" s="1049"/>
      <c r="D797" s="1049"/>
      <c r="E797" s="1049"/>
      <c r="F797" s="1050"/>
      <c r="G797" s="1050"/>
    </row>
    <row r="798">
      <c r="A798" s="1049"/>
      <c r="B798" s="1049"/>
      <c r="C798" s="1049"/>
      <c r="D798" s="1049"/>
      <c r="E798" s="1049"/>
      <c r="F798" s="1050"/>
      <c r="G798" s="1050"/>
    </row>
    <row r="799">
      <c r="A799" s="1049"/>
      <c r="B799" s="1049"/>
      <c r="C799" s="1049"/>
      <c r="D799" s="1049"/>
      <c r="E799" s="1049"/>
      <c r="F799" s="1050"/>
      <c r="G799" s="1050"/>
    </row>
    <row r="800">
      <c r="A800" s="1049"/>
      <c r="B800" s="1049"/>
      <c r="C800" s="1049"/>
      <c r="D800" s="1049"/>
      <c r="E800" s="1049"/>
      <c r="F800" s="1050"/>
      <c r="G800" s="1050"/>
    </row>
    <row r="801">
      <c r="A801" s="1049"/>
      <c r="B801" s="1049"/>
      <c r="C801" s="1049"/>
      <c r="D801" s="1049"/>
      <c r="E801" s="1049"/>
      <c r="F801" s="1050"/>
      <c r="G801" s="1050"/>
    </row>
    <row r="802">
      <c r="A802" s="1049"/>
      <c r="B802" s="1049"/>
      <c r="C802" s="1049"/>
      <c r="D802" s="1049"/>
      <c r="E802" s="1049"/>
      <c r="F802" s="1050"/>
      <c r="G802" s="1050"/>
    </row>
    <row r="803">
      <c r="A803" s="1049"/>
      <c r="B803" s="1049"/>
      <c r="C803" s="1049"/>
      <c r="D803" s="1049"/>
      <c r="E803" s="1049"/>
      <c r="F803" s="1050"/>
      <c r="G803" s="1050"/>
    </row>
    <row r="804">
      <c r="A804" s="1049"/>
      <c r="B804" s="1049"/>
      <c r="C804" s="1049"/>
      <c r="D804" s="1049"/>
      <c r="E804" s="1049"/>
      <c r="F804" s="1050"/>
      <c r="G804" s="1050"/>
    </row>
    <row r="805">
      <c r="A805" s="1049"/>
      <c r="B805" s="1049"/>
      <c r="C805" s="1049"/>
      <c r="D805" s="1049"/>
      <c r="E805" s="1049"/>
      <c r="F805" s="1050"/>
      <c r="G805" s="1050"/>
    </row>
    <row r="806">
      <c r="A806" s="1049"/>
      <c r="B806" s="1049"/>
      <c r="C806" s="1049"/>
      <c r="D806" s="1049"/>
      <c r="E806" s="1049"/>
      <c r="F806" s="1050"/>
      <c r="G806" s="1050"/>
    </row>
    <row r="807">
      <c r="A807" s="1049"/>
      <c r="B807" s="1049"/>
      <c r="C807" s="1049"/>
      <c r="D807" s="1049"/>
      <c r="E807" s="1049"/>
      <c r="F807" s="1050"/>
      <c r="G807" s="1050"/>
    </row>
    <row r="808">
      <c r="A808" s="1049"/>
      <c r="B808" s="1049"/>
      <c r="C808" s="1049"/>
      <c r="D808" s="1049"/>
      <c r="E808" s="1049"/>
      <c r="F808" s="1050"/>
      <c r="G808" s="1050"/>
    </row>
    <row r="809">
      <c r="A809" s="1049"/>
      <c r="B809" s="1049"/>
      <c r="C809" s="1049"/>
      <c r="D809" s="1049"/>
      <c r="E809" s="1049"/>
      <c r="F809" s="1050"/>
      <c r="G809" s="1050"/>
    </row>
    <row r="810">
      <c r="A810" s="1049"/>
      <c r="B810" s="1049"/>
      <c r="C810" s="1049"/>
      <c r="D810" s="1049"/>
      <c r="E810" s="1049"/>
      <c r="F810" s="1050"/>
      <c r="G810" s="1050"/>
    </row>
    <row r="811">
      <c r="A811" s="1049"/>
      <c r="B811" s="1049"/>
      <c r="C811" s="1049"/>
      <c r="D811" s="1049"/>
      <c r="E811" s="1049"/>
      <c r="F811" s="1050"/>
      <c r="G811" s="1050"/>
    </row>
    <row r="812">
      <c r="A812" s="1049"/>
      <c r="B812" s="1049"/>
      <c r="C812" s="1049"/>
      <c r="D812" s="1049"/>
      <c r="E812" s="1049"/>
      <c r="F812" s="1050"/>
      <c r="G812" s="1050"/>
    </row>
    <row r="813">
      <c r="A813" s="1049"/>
      <c r="B813" s="1049"/>
      <c r="C813" s="1049"/>
      <c r="D813" s="1049"/>
      <c r="E813" s="1049"/>
      <c r="F813" s="1050"/>
      <c r="G813" s="1050"/>
    </row>
    <row r="814">
      <c r="A814" s="1049"/>
      <c r="B814" s="1049"/>
      <c r="C814" s="1049"/>
      <c r="D814" s="1049"/>
      <c r="E814" s="1049"/>
      <c r="F814" s="1050"/>
      <c r="G814" s="1050"/>
    </row>
    <row r="815">
      <c r="A815" s="1049"/>
      <c r="B815" s="1049"/>
      <c r="C815" s="1049"/>
      <c r="D815" s="1049"/>
      <c r="E815" s="1049"/>
      <c r="F815" s="1050"/>
      <c r="G815" s="1050"/>
    </row>
    <row r="816">
      <c r="A816" s="1049"/>
      <c r="B816" s="1049"/>
      <c r="C816" s="1049"/>
      <c r="D816" s="1049"/>
      <c r="E816" s="1049"/>
      <c r="F816" s="1050"/>
      <c r="G816" s="1050"/>
    </row>
    <row r="817">
      <c r="A817" s="1049"/>
      <c r="B817" s="1049"/>
      <c r="C817" s="1049"/>
      <c r="D817" s="1049"/>
      <c r="E817" s="1049"/>
      <c r="F817" s="1050"/>
      <c r="G817" s="1050"/>
    </row>
    <row r="818">
      <c r="A818" s="1049"/>
      <c r="B818" s="1049"/>
      <c r="C818" s="1049"/>
      <c r="D818" s="1049"/>
      <c r="E818" s="1049"/>
      <c r="F818" s="1050"/>
      <c r="G818" s="1050"/>
    </row>
    <row r="819">
      <c r="A819" s="1049"/>
      <c r="B819" s="1049"/>
      <c r="C819" s="1049"/>
      <c r="D819" s="1049"/>
      <c r="E819" s="1049"/>
      <c r="F819" s="1050"/>
      <c r="G819" s="1050"/>
    </row>
    <row r="820">
      <c r="A820" s="1049"/>
      <c r="B820" s="1049"/>
      <c r="C820" s="1049"/>
      <c r="D820" s="1049"/>
      <c r="E820" s="1049"/>
      <c r="F820" s="1050"/>
      <c r="G820" s="1050"/>
    </row>
    <row r="821">
      <c r="A821" s="1049"/>
      <c r="B821" s="1049"/>
      <c r="C821" s="1049"/>
      <c r="D821" s="1049"/>
      <c r="E821" s="1049"/>
      <c r="F821" s="1050"/>
      <c r="G821" s="1050"/>
    </row>
    <row r="822">
      <c r="A822" s="1049"/>
      <c r="B822" s="1049"/>
      <c r="C822" s="1049"/>
      <c r="D822" s="1049"/>
      <c r="E822" s="1049"/>
      <c r="F822" s="1050"/>
      <c r="G822" s="1050"/>
    </row>
    <row r="823">
      <c r="A823" s="1049"/>
      <c r="B823" s="1049"/>
      <c r="C823" s="1049"/>
      <c r="D823" s="1049"/>
      <c r="E823" s="1049"/>
      <c r="F823" s="1050"/>
      <c r="G823" s="1050"/>
    </row>
    <row r="824">
      <c r="A824" s="1049"/>
      <c r="B824" s="1049"/>
      <c r="C824" s="1049"/>
      <c r="D824" s="1049"/>
      <c r="E824" s="1049"/>
      <c r="F824" s="1050"/>
      <c r="G824" s="1050"/>
    </row>
    <row r="825">
      <c r="A825" s="1049"/>
      <c r="B825" s="1049"/>
      <c r="C825" s="1049"/>
      <c r="D825" s="1049"/>
      <c r="E825" s="1049"/>
      <c r="F825" s="1050"/>
      <c r="G825" s="1050"/>
    </row>
    <row r="826">
      <c r="A826" s="1049"/>
      <c r="B826" s="1049"/>
      <c r="C826" s="1049"/>
      <c r="D826" s="1049"/>
      <c r="E826" s="1049"/>
      <c r="F826" s="1050"/>
      <c r="G826" s="1050"/>
    </row>
    <row r="827">
      <c r="A827" s="1049"/>
      <c r="B827" s="1049"/>
      <c r="C827" s="1049"/>
      <c r="D827" s="1049"/>
      <c r="E827" s="1049"/>
      <c r="F827" s="1050"/>
      <c r="G827" s="1050"/>
    </row>
    <row r="828">
      <c r="A828" s="1049"/>
      <c r="B828" s="1049"/>
      <c r="C828" s="1049"/>
      <c r="D828" s="1049"/>
      <c r="E828" s="1049"/>
      <c r="F828" s="1050"/>
      <c r="G828" s="1050"/>
    </row>
    <row r="829">
      <c r="A829" s="1049"/>
      <c r="B829" s="1049"/>
      <c r="C829" s="1049"/>
      <c r="D829" s="1049"/>
      <c r="E829" s="1049"/>
      <c r="F829" s="1050"/>
      <c r="G829" s="1050"/>
    </row>
    <row r="830">
      <c r="A830" s="1049"/>
      <c r="B830" s="1049"/>
      <c r="C830" s="1049"/>
      <c r="D830" s="1049"/>
      <c r="E830" s="1049"/>
      <c r="F830" s="1050"/>
      <c r="G830" s="1050"/>
    </row>
    <row r="831">
      <c r="A831" s="1049"/>
      <c r="B831" s="1049"/>
      <c r="C831" s="1049"/>
      <c r="D831" s="1049"/>
      <c r="E831" s="1049"/>
      <c r="F831" s="1050"/>
      <c r="G831" s="1050"/>
    </row>
    <row r="832">
      <c r="A832" s="1049"/>
      <c r="B832" s="1049"/>
      <c r="C832" s="1049"/>
      <c r="D832" s="1049"/>
      <c r="E832" s="1049"/>
      <c r="F832" s="1050"/>
      <c r="G832" s="1050"/>
    </row>
    <row r="833">
      <c r="A833" s="1049"/>
      <c r="B833" s="1049"/>
      <c r="C833" s="1049"/>
      <c r="D833" s="1049"/>
      <c r="E833" s="1049"/>
      <c r="F833" s="1050"/>
      <c r="G833" s="1050"/>
    </row>
    <row r="834">
      <c r="A834" s="1049"/>
      <c r="B834" s="1049"/>
      <c r="C834" s="1049"/>
      <c r="D834" s="1049"/>
      <c r="E834" s="1049"/>
      <c r="F834" s="1050"/>
      <c r="G834" s="1050"/>
    </row>
    <row r="835">
      <c r="A835" s="1049"/>
      <c r="B835" s="1049"/>
      <c r="C835" s="1049"/>
      <c r="D835" s="1049"/>
      <c r="E835" s="1049"/>
      <c r="F835" s="1050"/>
      <c r="G835" s="1050"/>
    </row>
    <row r="836">
      <c r="A836" s="1049"/>
      <c r="B836" s="1049"/>
      <c r="C836" s="1049"/>
      <c r="D836" s="1049"/>
      <c r="E836" s="1049"/>
      <c r="F836" s="1050"/>
      <c r="G836" s="1050"/>
    </row>
    <row r="837">
      <c r="A837" s="1049"/>
      <c r="B837" s="1049"/>
      <c r="C837" s="1049"/>
      <c r="D837" s="1049"/>
      <c r="E837" s="1049"/>
      <c r="F837" s="1050"/>
      <c r="G837" s="1050"/>
    </row>
    <row r="838">
      <c r="A838" s="1049"/>
      <c r="B838" s="1049"/>
      <c r="C838" s="1049"/>
      <c r="D838" s="1049"/>
      <c r="E838" s="1049"/>
      <c r="F838" s="1050"/>
      <c r="G838" s="1050"/>
    </row>
    <row r="839">
      <c r="A839" s="1049"/>
      <c r="B839" s="1049"/>
      <c r="C839" s="1049"/>
      <c r="D839" s="1049"/>
      <c r="E839" s="1049"/>
      <c r="F839" s="1050"/>
      <c r="G839" s="1050"/>
    </row>
    <row r="840">
      <c r="A840" s="1049"/>
      <c r="B840" s="1049"/>
      <c r="C840" s="1049"/>
      <c r="D840" s="1049"/>
      <c r="E840" s="1049"/>
      <c r="F840" s="1050"/>
      <c r="G840" s="1050"/>
    </row>
    <row r="841">
      <c r="A841" s="1049"/>
      <c r="B841" s="1049"/>
      <c r="C841" s="1049"/>
      <c r="D841" s="1049"/>
      <c r="E841" s="1049"/>
      <c r="F841" s="1050"/>
      <c r="G841" s="1050"/>
    </row>
    <row r="842">
      <c r="A842" s="1049"/>
      <c r="B842" s="1049"/>
      <c r="C842" s="1049"/>
      <c r="D842" s="1049"/>
      <c r="E842" s="1049"/>
      <c r="F842" s="1050"/>
      <c r="G842" s="1050"/>
    </row>
    <row r="843">
      <c r="A843" s="1049"/>
      <c r="B843" s="1049"/>
      <c r="C843" s="1049"/>
      <c r="D843" s="1049"/>
      <c r="E843" s="1049"/>
      <c r="F843" s="1050"/>
      <c r="G843" s="1050"/>
    </row>
    <row r="844">
      <c r="A844" s="1049"/>
      <c r="B844" s="1049"/>
      <c r="C844" s="1049"/>
      <c r="D844" s="1049"/>
      <c r="E844" s="1049"/>
      <c r="F844" s="1050"/>
      <c r="G844" s="1050"/>
    </row>
    <row r="845">
      <c r="A845" s="1049"/>
      <c r="B845" s="1049"/>
      <c r="C845" s="1049"/>
      <c r="D845" s="1049"/>
      <c r="E845" s="1049"/>
      <c r="F845" s="1050"/>
      <c r="G845" s="1050"/>
    </row>
    <row r="846">
      <c r="A846" s="1049"/>
      <c r="B846" s="1049"/>
      <c r="C846" s="1049"/>
      <c r="D846" s="1049"/>
      <c r="E846" s="1049"/>
      <c r="F846" s="1050"/>
      <c r="G846" s="1050"/>
    </row>
    <row r="847">
      <c r="A847" s="1049"/>
      <c r="B847" s="1049"/>
      <c r="C847" s="1049"/>
      <c r="D847" s="1049"/>
      <c r="E847" s="1049"/>
      <c r="F847" s="1050"/>
      <c r="G847" s="1050"/>
    </row>
    <row r="848">
      <c r="A848" s="1049"/>
      <c r="B848" s="1049"/>
      <c r="C848" s="1049"/>
      <c r="D848" s="1049"/>
      <c r="E848" s="1049"/>
      <c r="F848" s="1050"/>
      <c r="G848" s="1050"/>
    </row>
    <row r="849">
      <c r="A849" s="1049"/>
      <c r="B849" s="1049"/>
      <c r="C849" s="1049"/>
      <c r="D849" s="1049"/>
      <c r="E849" s="1049"/>
      <c r="F849" s="1050"/>
      <c r="G849" s="1050"/>
    </row>
    <row r="850">
      <c r="A850" s="1049"/>
      <c r="B850" s="1049"/>
      <c r="C850" s="1049"/>
      <c r="D850" s="1049"/>
      <c r="E850" s="1049"/>
      <c r="F850" s="1050"/>
      <c r="G850" s="1050"/>
    </row>
    <row r="851">
      <c r="A851" s="1049"/>
      <c r="B851" s="1049"/>
      <c r="C851" s="1049"/>
      <c r="D851" s="1049"/>
      <c r="E851" s="1049"/>
      <c r="F851" s="1050"/>
      <c r="G851" s="1050"/>
    </row>
    <row r="852">
      <c r="A852" s="1049"/>
      <c r="B852" s="1049"/>
      <c r="C852" s="1049"/>
      <c r="D852" s="1049"/>
      <c r="E852" s="1049"/>
      <c r="F852" s="1050"/>
      <c r="G852" s="1050"/>
    </row>
    <row r="853">
      <c r="A853" s="1049"/>
      <c r="B853" s="1049"/>
      <c r="C853" s="1049"/>
      <c r="D853" s="1049"/>
      <c r="E853" s="1049"/>
      <c r="F853" s="1050"/>
      <c r="G853" s="1050"/>
    </row>
    <row r="854">
      <c r="A854" s="1049"/>
      <c r="B854" s="1049"/>
      <c r="C854" s="1049"/>
      <c r="D854" s="1049"/>
      <c r="E854" s="1049"/>
      <c r="F854" s="1050"/>
      <c r="G854" s="1050"/>
    </row>
    <row r="855">
      <c r="A855" s="1049"/>
      <c r="B855" s="1049"/>
      <c r="C855" s="1049"/>
      <c r="D855" s="1049"/>
      <c r="E855" s="1049"/>
      <c r="F855" s="1050"/>
      <c r="G855" s="1050"/>
    </row>
    <row r="856">
      <c r="A856" s="1049"/>
      <c r="B856" s="1049"/>
      <c r="C856" s="1049"/>
      <c r="D856" s="1049"/>
      <c r="E856" s="1049"/>
      <c r="F856" s="1050"/>
      <c r="G856" s="1050"/>
    </row>
    <row r="857">
      <c r="A857" s="1049"/>
      <c r="B857" s="1049"/>
      <c r="C857" s="1049"/>
      <c r="D857" s="1049"/>
      <c r="E857" s="1049"/>
      <c r="F857" s="1050"/>
      <c r="G857" s="1050"/>
    </row>
    <row r="858">
      <c r="A858" s="1049"/>
      <c r="B858" s="1049"/>
      <c r="C858" s="1049"/>
      <c r="D858" s="1049"/>
      <c r="E858" s="1049"/>
      <c r="F858" s="1050"/>
      <c r="G858" s="1050"/>
    </row>
    <row r="859">
      <c r="A859" s="1049"/>
      <c r="B859" s="1049"/>
      <c r="C859" s="1049"/>
      <c r="D859" s="1049"/>
      <c r="E859" s="1049"/>
      <c r="F859" s="1050"/>
      <c r="G859" s="1050"/>
    </row>
    <row r="860">
      <c r="A860" s="1049"/>
      <c r="B860" s="1049"/>
      <c r="C860" s="1049"/>
      <c r="D860" s="1049"/>
      <c r="E860" s="1049"/>
      <c r="F860" s="1050"/>
      <c r="G860" s="1050"/>
    </row>
    <row r="861">
      <c r="A861" s="1049"/>
      <c r="B861" s="1049"/>
      <c r="C861" s="1049"/>
      <c r="D861" s="1049"/>
      <c r="E861" s="1049"/>
      <c r="F861" s="1050"/>
      <c r="G861" s="1050"/>
    </row>
    <row r="862">
      <c r="A862" s="1049"/>
      <c r="B862" s="1049"/>
      <c r="C862" s="1049"/>
      <c r="D862" s="1049"/>
      <c r="E862" s="1049"/>
      <c r="F862" s="1050"/>
      <c r="G862" s="1050"/>
    </row>
    <row r="863">
      <c r="A863" s="1049"/>
      <c r="B863" s="1049"/>
      <c r="C863" s="1049"/>
      <c r="D863" s="1049"/>
      <c r="E863" s="1049"/>
      <c r="F863" s="1050"/>
      <c r="G863" s="1050"/>
    </row>
    <row r="864">
      <c r="A864" s="1049"/>
      <c r="B864" s="1049"/>
      <c r="C864" s="1049"/>
      <c r="D864" s="1049"/>
      <c r="E864" s="1049"/>
      <c r="F864" s="1050"/>
      <c r="G864" s="1050"/>
    </row>
    <row r="865">
      <c r="A865" s="1049"/>
      <c r="B865" s="1049"/>
      <c r="C865" s="1049"/>
      <c r="D865" s="1049"/>
      <c r="E865" s="1049"/>
      <c r="F865" s="1050"/>
      <c r="G865" s="1050"/>
    </row>
    <row r="866">
      <c r="A866" s="1049"/>
      <c r="B866" s="1049"/>
      <c r="C866" s="1049"/>
      <c r="D866" s="1049"/>
      <c r="E866" s="1049"/>
      <c r="F866" s="1050"/>
      <c r="G866" s="1050"/>
    </row>
    <row r="867">
      <c r="A867" s="1049"/>
      <c r="B867" s="1049"/>
      <c r="C867" s="1049"/>
      <c r="D867" s="1049"/>
      <c r="E867" s="1049"/>
      <c r="F867" s="1050"/>
      <c r="G867" s="1050"/>
    </row>
    <row r="868">
      <c r="A868" s="1049"/>
      <c r="B868" s="1049"/>
      <c r="C868" s="1049"/>
      <c r="D868" s="1049"/>
      <c r="E868" s="1049"/>
      <c r="F868" s="1050"/>
      <c r="G868" s="1050"/>
    </row>
    <row r="869">
      <c r="A869" s="1049"/>
      <c r="B869" s="1049"/>
      <c r="C869" s="1049"/>
      <c r="D869" s="1049"/>
      <c r="E869" s="1049"/>
      <c r="F869" s="1050"/>
      <c r="G869" s="1050"/>
    </row>
    <row r="870">
      <c r="A870" s="1049"/>
      <c r="B870" s="1049"/>
      <c r="C870" s="1049"/>
      <c r="D870" s="1049"/>
      <c r="E870" s="1049"/>
      <c r="F870" s="1050"/>
      <c r="G870" s="1050"/>
    </row>
    <row r="871">
      <c r="A871" s="1049"/>
      <c r="B871" s="1049"/>
      <c r="C871" s="1049"/>
      <c r="D871" s="1049"/>
      <c r="E871" s="1049"/>
      <c r="F871" s="1050"/>
      <c r="G871" s="1050"/>
    </row>
    <row r="872">
      <c r="A872" s="1049"/>
      <c r="B872" s="1049"/>
      <c r="C872" s="1049"/>
      <c r="D872" s="1049"/>
      <c r="E872" s="1049"/>
      <c r="F872" s="1050"/>
      <c r="G872" s="1050"/>
    </row>
    <row r="873">
      <c r="A873" s="1049"/>
      <c r="B873" s="1049"/>
      <c r="C873" s="1049"/>
      <c r="D873" s="1049"/>
      <c r="E873" s="1049"/>
      <c r="F873" s="1050"/>
      <c r="G873" s="1050"/>
    </row>
    <row r="874">
      <c r="A874" s="1049"/>
      <c r="B874" s="1049"/>
      <c r="C874" s="1049"/>
      <c r="D874" s="1049"/>
      <c r="E874" s="1049"/>
      <c r="F874" s="1050"/>
      <c r="G874" s="1050"/>
    </row>
    <row r="875">
      <c r="A875" s="1049"/>
      <c r="B875" s="1049"/>
      <c r="C875" s="1049"/>
      <c r="D875" s="1049"/>
      <c r="E875" s="1049"/>
      <c r="F875" s="1050"/>
      <c r="G875" s="1050"/>
    </row>
    <row r="876">
      <c r="A876" s="1049"/>
      <c r="B876" s="1049"/>
      <c r="C876" s="1049"/>
      <c r="D876" s="1049"/>
      <c r="E876" s="1049"/>
      <c r="F876" s="1050"/>
      <c r="G876" s="1050"/>
    </row>
    <row r="877">
      <c r="A877" s="1049"/>
      <c r="B877" s="1049"/>
      <c r="C877" s="1049"/>
      <c r="D877" s="1049"/>
      <c r="E877" s="1049"/>
      <c r="F877" s="1050"/>
      <c r="G877" s="1050"/>
    </row>
    <row r="878">
      <c r="A878" s="1049"/>
      <c r="B878" s="1049"/>
      <c r="C878" s="1049"/>
      <c r="D878" s="1049"/>
      <c r="E878" s="1049"/>
      <c r="F878" s="1050"/>
      <c r="G878" s="1050"/>
    </row>
    <row r="879">
      <c r="A879" s="1049"/>
      <c r="B879" s="1049"/>
      <c r="C879" s="1049"/>
      <c r="D879" s="1049"/>
      <c r="E879" s="1049"/>
      <c r="F879" s="1050"/>
      <c r="G879" s="1050"/>
    </row>
    <row r="880">
      <c r="A880" s="1049"/>
      <c r="B880" s="1049"/>
      <c r="C880" s="1049"/>
      <c r="D880" s="1049"/>
      <c r="E880" s="1049"/>
      <c r="F880" s="1050"/>
      <c r="G880" s="1050"/>
    </row>
    <row r="881">
      <c r="A881" s="1049"/>
      <c r="B881" s="1049"/>
      <c r="C881" s="1049"/>
      <c r="D881" s="1049"/>
      <c r="E881" s="1049"/>
      <c r="F881" s="1050"/>
      <c r="G881" s="1050"/>
    </row>
    <row r="882">
      <c r="A882" s="1049"/>
      <c r="B882" s="1049"/>
      <c r="C882" s="1049"/>
      <c r="D882" s="1049"/>
      <c r="E882" s="1049"/>
      <c r="F882" s="1050"/>
      <c r="G882" s="1050"/>
    </row>
    <row r="883">
      <c r="A883" s="1049"/>
      <c r="B883" s="1049"/>
      <c r="C883" s="1049"/>
      <c r="D883" s="1049"/>
      <c r="E883" s="1049"/>
      <c r="F883" s="1050"/>
      <c r="G883" s="1050"/>
    </row>
    <row r="884">
      <c r="A884" s="1049"/>
      <c r="B884" s="1049"/>
      <c r="C884" s="1049"/>
      <c r="D884" s="1049"/>
      <c r="E884" s="1049"/>
      <c r="F884" s="1050"/>
      <c r="G884" s="1050"/>
    </row>
    <row r="885">
      <c r="A885" s="1049"/>
      <c r="B885" s="1049"/>
      <c r="C885" s="1049"/>
      <c r="D885" s="1049"/>
      <c r="E885" s="1049"/>
      <c r="F885" s="1050"/>
      <c r="G885" s="1050"/>
    </row>
    <row r="886">
      <c r="A886" s="1049"/>
      <c r="B886" s="1049"/>
      <c r="C886" s="1049"/>
      <c r="D886" s="1049"/>
      <c r="E886" s="1049"/>
      <c r="F886" s="1050"/>
      <c r="G886" s="1050"/>
    </row>
    <row r="887">
      <c r="A887" s="1049"/>
      <c r="B887" s="1049"/>
      <c r="C887" s="1049"/>
      <c r="D887" s="1049"/>
      <c r="E887" s="1049"/>
      <c r="F887" s="1050"/>
      <c r="G887" s="1050"/>
    </row>
    <row r="888">
      <c r="A888" s="1049"/>
      <c r="B888" s="1049"/>
      <c r="C888" s="1049"/>
      <c r="D888" s="1049"/>
      <c r="E888" s="1049"/>
      <c r="F888" s="1050"/>
      <c r="G888" s="1050"/>
    </row>
    <row r="889">
      <c r="A889" s="1049"/>
      <c r="B889" s="1049"/>
      <c r="C889" s="1049"/>
      <c r="D889" s="1049"/>
      <c r="E889" s="1049"/>
      <c r="F889" s="1050"/>
      <c r="G889" s="1050"/>
    </row>
    <row r="890">
      <c r="A890" s="1049"/>
      <c r="B890" s="1049"/>
      <c r="C890" s="1049"/>
      <c r="D890" s="1049"/>
      <c r="E890" s="1049"/>
      <c r="F890" s="1050"/>
      <c r="G890" s="1050"/>
    </row>
    <row r="891">
      <c r="A891" s="1049"/>
      <c r="B891" s="1049"/>
      <c r="C891" s="1049"/>
      <c r="D891" s="1049"/>
      <c r="E891" s="1049"/>
      <c r="F891" s="1050"/>
      <c r="G891" s="1050"/>
    </row>
    <row r="892">
      <c r="A892" s="1049"/>
      <c r="B892" s="1049"/>
      <c r="C892" s="1049"/>
      <c r="D892" s="1049"/>
      <c r="E892" s="1049"/>
      <c r="F892" s="1050"/>
      <c r="G892" s="1050"/>
    </row>
    <row r="893">
      <c r="A893" s="1049"/>
      <c r="B893" s="1049"/>
      <c r="C893" s="1049"/>
      <c r="D893" s="1049"/>
      <c r="E893" s="1049"/>
      <c r="F893" s="1050"/>
      <c r="G893" s="1050"/>
    </row>
    <row r="894">
      <c r="A894" s="1049"/>
      <c r="B894" s="1049"/>
      <c r="C894" s="1049"/>
      <c r="D894" s="1049"/>
      <c r="E894" s="1049"/>
      <c r="F894" s="1050"/>
      <c r="G894" s="1050"/>
    </row>
    <row r="895">
      <c r="A895" s="1049"/>
      <c r="B895" s="1049"/>
      <c r="C895" s="1049"/>
      <c r="D895" s="1049"/>
      <c r="E895" s="1049"/>
      <c r="F895" s="1050"/>
      <c r="G895" s="1050"/>
    </row>
    <row r="896">
      <c r="A896" s="1049"/>
      <c r="B896" s="1049"/>
      <c r="C896" s="1049"/>
      <c r="D896" s="1049"/>
      <c r="E896" s="1049"/>
      <c r="F896" s="1050"/>
      <c r="G896" s="1050"/>
    </row>
    <row r="897">
      <c r="A897" s="1049"/>
      <c r="B897" s="1049"/>
      <c r="C897" s="1049"/>
      <c r="D897" s="1049"/>
      <c r="E897" s="1049"/>
      <c r="F897" s="1050"/>
      <c r="G897" s="1050"/>
    </row>
    <row r="898">
      <c r="A898" s="1049"/>
      <c r="B898" s="1049"/>
      <c r="C898" s="1049"/>
      <c r="D898" s="1049"/>
      <c r="E898" s="1049"/>
      <c r="F898" s="1050"/>
      <c r="G898" s="1050"/>
    </row>
    <row r="899">
      <c r="A899" s="1049"/>
      <c r="B899" s="1049"/>
      <c r="C899" s="1049"/>
      <c r="D899" s="1049"/>
      <c r="E899" s="1049"/>
      <c r="F899" s="1050"/>
      <c r="G899" s="1050"/>
    </row>
    <row r="900">
      <c r="A900" s="1049"/>
      <c r="B900" s="1049"/>
      <c r="C900" s="1049"/>
      <c r="D900" s="1049"/>
      <c r="E900" s="1049"/>
      <c r="F900" s="1050"/>
      <c r="G900" s="1050"/>
    </row>
    <row r="901">
      <c r="A901" s="1049"/>
      <c r="B901" s="1049"/>
      <c r="C901" s="1049"/>
      <c r="D901" s="1049"/>
      <c r="E901" s="1049"/>
      <c r="F901" s="1050"/>
      <c r="G901" s="1050"/>
    </row>
    <row r="902">
      <c r="A902" s="1049"/>
      <c r="B902" s="1049"/>
      <c r="C902" s="1049"/>
      <c r="D902" s="1049"/>
      <c r="E902" s="1049"/>
      <c r="F902" s="1050"/>
      <c r="G902" s="1050"/>
    </row>
    <row r="903">
      <c r="A903" s="1049"/>
      <c r="B903" s="1049"/>
      <c r="C903" s="1049"/>
      <c r="D903" s="1049"/>
      <c r="E903" s="1049"/>
      <c r="F903" s="1050"/>
      <c r="G903" s="1050"/>
    </row>
    <row r="904">
      <c r="A904" s="1049"/>
      <c r="B904" s="1049"/>
      <c r="C904" s="1049"/>
      <c r="D904" s="1049"/>
      <c r="E904" s="1049"/>
      <c r="F904" s="1050"/>
      <c r="G904" s="1050"/>
    </row>
    <row r="905">
      <c r="A905" s="1049"/>
      <c r="B905" s="1049"/>
      <c r="C905" s="1049"/>
      <c r="D905" s="1049"/>
      <c r="E905" s="1049"/>
      <c r="F905" s="1050"/>
      <c r="G905" s="1050"/>
    </row>
    <row r="906">
      <c r="A906" s="1049"/>
      <c r="B906" s="1049"/>
      <c r="C906" s="1049"/>
      <c r="D906" s="1049"/>
      <c r="E906" s="1049"/>
      <c r="F906" s="1050"/>
      <c r="G906" s="1050"/>
    </row>
    <row r="907">
      <c r="A907" s="1049"/>
      <c r="B907" s="1049"/>
      <c r="C907" s="1049"/>
      <c r="D907" s="1049"/>
      <c r="E907" s="1049"/>
      <c r="F907" s="1050"/>
      <c r="G907" s="1050"/>
    </row>
    <row r="908">
      <c r="A908" s="1049"/>
      <c r="B908" s="1049"/>
      <c r="C908" s="1049"/>
      <c r="D908" s="1049"/>
      <c r="E908" s="1049"/>
      <c r="F908" s="1050"/>
      <c r="G908" s="1050"/>
    </row>
    <row r="909">
      <c r="A909" s="1049"/>
      <c r="B909" s="1049"/>
      <c r="C909" s="1049"/>
      <c r="D909" s="1049"/>
      <c r="E909" s="1049"/>
      <c r="F909" s="1050"/>
      <c r="G909" s="1050"/>
    </row>
    <row r="910">
      <c r="A910" s="1049"/>
      <c r="B910" s="1049"/>
      <c r="C910" s="1049"/>
      <c r="D910" s="1049"/>
      <c r="E910" s="1049"/>
      <c r="F910" s="1050"/>
      <c r="G910" s="1050"/>
    </row>
    <row r="911">
      <c r="A911" s="1049"/>
      <c r="B911" s="1049"/>
      <c r="C911" s="1049"/>
      <c r="D911" s="1049"/>
      <c r="E911" s="1049"/>
      <c r="F911" s="1050"/>
      <c r="G911" s="1050"/>
    </row>
    <row r="912">
      <c r="A912" s="1049"/>
      <c r="B912" s="1049"/>
      <c r="C912" s="1049"/>
      <c r="D912" s="1049"/>
      <c r="E912" s="1049"/>
      <c r="F912" s="1050"/>
      <c r="G912" s="1050"/>
    </row>
    <row r="913">
      <c r="A913" s="1049"/>
      <c r="B913" s="1049"/>
      <c r="C913" s="1049"/>
      <c r="D913" s="1049"/>
      <c r="E913" s="1049"/>
      <c r="F913" s="1050"/>
      <c r="G913" s="1050"/>
    </row>
    <row r="914">
      <c r="A914" s="1049"/>
      <c r="B914" s="1049"/>
      <c r="C914" s="1049"/>
      <c r="D914" s="1049"/>
      <c r="E914" s="1049"/>
      <c r="F914" s="1050"/>
      <c r="G914" s="1050"/>
    </row>
    <row r="915">
      <c r="A915" s="1049"/>
      <c r="B915" s="1049"/>
      <c r="C915" s="1049"/>
      <c r="D915" s="1049"/>
      <c r="E915" s="1049"/>
      <c r="F915" s="1050"/>
      <c r="G915" s="1050"/>
    </row>
    <row r="916">
      <c r="A916" s="1049"/>
      <c r="B916" s="1049"/>
      <c r="C916" s="1049"/>
      <c r="D916" s="1049"/>
      <c r="E916" s="1049"/>
      <c r="F916" s="1050"/>
      <c r="G916" s="1050"/>
    </row>
    <row r="917">
      <c r="A917" s="1049"/>
      <c r="B917" s="1049"/>
      <c r="C917" s="1049"/>
      <c r="D917" s="1049"/>
      <c r="E917" s="1049"/>
      <c r="F917" s="1050"/>
      <c r="G917" s="1050"/>
    </row>
    <row r="918">
      <c r="A918" s="1049"/>
      <c r="B918" s="1049"/>
      <c r="C918" s="1049"/>
      <c r="D918" s="1049"/>
      <c r="E918" s="1049"/>
      <c r="F918" s="1050"/>
      <c r="G918" s="1050"/>
    </row>
    <row r="919">
      <c r="A919" s="1049"/>
      <c r="B919" s="1049"/>
      <c r="C919" s="1049"/>
      <c r="D919" s="1049"/>
      <c r="E919" s="1049"/>
      <c r="F919" s="1050"/>
      <c r="G919" s="1050"/>
    </row>
    <row r="920">
      <c r="A920" s="1049"/>
      <c r="B920" s="1049"/>
      <c r="C920" s="1049"/>
      <c r="D920" s="1049"/>
      <c r="E920" s="1049"/>
      <c r="F920" s="1050"/>
      <c r="G920" s="1050"/>
    </row>
    <row r="921">
      <c r="A921" s="1049"/>
      <c r="B921" s="1049"/>
      <c r="C921" s="1049"/>
      <c r="D921" s="1049"/>
      <c r="E921" s="1049"/>
      <c r="F921" s="1050"/>
      <c r="G921" s="1050"/>
    </row>
    <row r="922">
      <c r="A922" s="1049"/>
      <c r="B922" s="1049"/>
      <c r="C922" s="1049"/>
      <c r="D922" s="1049"/>
      <c r="E922" s="1049"/>
      <c r="F922" s="1050"/>
      <c r="G922" s="1050"/>
    </row>
    <row r="923">
      <c r="A923" s="1049"/>
      <c r="B923" s="1049"/>
      <c r="C923" s="1049"/>
      <c r="D923" s="1049"/>
      <c r="E923" s="1049"/>
      <c r="F923" s="1050"/>
      <c r="G923" s="1050"/>
    </row>
    <row r="924">
      <c r="A924" s="1049"/>
      <c r="B924" s="1049"/>
      <c r="C924" s="1049"/>
      <c r="D924" s="1049"/>
      <c r="E924" s="1049"/>
      <c r="F924" s="1050"/>
      <c r="G924" s="1050"/>
    </row>
    <row r="925">
      <c r="A925" s="1049"/>
      <c r="B925" s="1049"/>
      <c r="C925" s="1049"/>
      <c r="D925" s="1049"/>
      <c r="E925" s="1049"/>
      <c r="F925" s="1050"/>
      <c r="G925" s="1050"/>
    </row>
    <row r="926">
      <c r="A926" s="1049"/>
      <c r="B926" s="1049"/>
      <c r="C926" s="1049"/>
      <c r="D926" s="1049"/>
      <c r="E926" s="1049"/>
      <c r="F926" s="1050"/>
      <c r="G926" s="1050"/>
    </row>
    <row r="927">
      <c r="A927" s="1049"/>
      <c r="B927" s="1049"/>
      <c r="C927" s="1049"/>
      <c r="D927" s="1049"/>
      <c r="E927" s="1049"/>
      <c r="F927" s="1050"/>
      <c r="G927" s="1050"/>
    </row>
    <row r="928">
      <c r="A928" s="1049"/>
      <c r="B928" s="1049"/>
      <c r="C928" s="1049"/>
      <c r="D928" s="1049"/>
      <c r="E928" s="1049"/>
      <c r="F928" s="1050"/>
      <c r="G928" s="1050"/>
    </row>
    <row r="929">
      <c r="A929" s="1049"/>
      <c r="B929" s="1049"/>
      <c r="C929" s="1049"/>
      <c r="D929" s="1049"/>
      <c r="E929" s="1049"/>
      <c r="F929" s="1050"/>
      <c r="G929" s="1050"/>
    </row>
    <row r="930">
      <c r="A930" s="1049"/>
      <c r="B930" s="1049"/>
      <c r="C930" s="1049"/>
      <c r="D930" s="1049"/>
      <c r="E930" s="1049"/>
      <c r="F930" s="1050"/>
      <c r="G930" s="1050"/>
    </row>
    <row r="931">
      <c r="A931" s="1049"/>
      <c r="B931" s="1049"/>
      <c r="C931" s="1049"/>
      <c r="D931" s="1049"/>
      <c r="E931" s="1049"/>
      <c r="F931" s="1050"/>
      <c r="G931" s="1050"/>
    </row>
    <row r="932">
      <c r="A932" s="1049"/>
      <c r="B932" s="1049"/>
      <c r="C932" s="1049"/>
      <c r="D932" s="1049"/>
      <c r="E932" s="1049"/>
      <c r="F932" s="1050"/>
      <c r="G932" s="1050"/>
    </row>
    <row r="933">
      <c r="A933" s="1049"/>
      <c r="B933" s="1049"/>
      <c r="C933" s="1049"/>
      <c r="D933" s="1049"/>
      <c r="E933" s="1049"/>
      <c r="F933" s="1050"/>
      <c r="G933" s="1050"/>
    </row>
    <row r="934">
      <c r="A934" s="1049"/>
      <c r="B934" s="1049"/>
      <c r="C934" s="1049"/>
      <c r="D934" s="1049"/>
      <c r="E934" s="1049"/>
      <c r="F934" s="1050"/>
      <c r="G934" s="1050"/>
    </row>
    <row r="935">
      <c r="A935" s="1049"/>
      <c r="B935" s="1049"/>
      <c r="C935" s="1049"/>
      <c r="D935" s="1049"/>
      <c r="E935" s="1049"/>
      <c r="F935" s="1050"/>
      <c r="G935" s="1050"/>
    </row>
    <row r="936">
      <c r="A936" s="1049"/>
      <c r="B936" s="1049"/>
      <c r="C936" s="1049"/>
      <c r="D936" s="1049"/>
      <c r="E936" s="1049"/>
      <c r="F936" s="1050"/>
      <c r="G936" s="1050"/>
    </row>
    <row r="937">
      <c r="A937" s="1049"/>
      <c r="B937" s="1049"/>
      <c r="C937" s="1049"/>
      <c r="D937" s="1049"/>
      <c r="E937" s="1049"/>
      <c r="F937" s="1050"/>
      <c r="G937" s="1050"/>
    </row>
    <row r="938">
      <c r="A938" s="1049"/>
      <c r="B938" s="1049"/>
      <c r="C938" s="1049"/>
      <c r="D938" s="1049"/>
      <c r="E938" s="1049"/>
      <c r="F938" s="1050"/>
      <c r="G938" s="1050"/>
    </row>
    <row r="939">
      <c r="A939" s="1049"/>
      <c r="B939" s="1049"/>
      <c r="C939" s="1049"/>
      <c r="D939" s="1049"/>
      <c r="E939" s="1049"/>
      <c r="F939" s="1050"/>
      <c r="G939" s="1050"/>
    </row>
    <row r="940">
      <c r="A940" s="1049"/>
      <c r="B940" s="1049"/>
      <c r="C940" s="1049"/>
      <c r="D940" s="1049"/>
      <c r="E940" s="1049"/>
      <c r="F940" s="1050"/>
      <c r="G940" s="1050"/>
    </row>
    <row r="941">
      <c r="A941" s="1049"/>
      <c r="B941" s="1049"/>
      <c r="C941" s="1049"/>
      <c r="D941" s="1049"/>
      <c r="E941" s="1049"/>
      <c r="F941" s="1050"/>
      <c r="G941" s="1050"/>
    </row>
    <row r="942">
      <c r="A942" s="1049"/>
      <c r="B942" s="1049"/>
      <c r="C942" s="1049"/>
      <c r="D942" s="1049"/>
      <c r="E942" s="1049"/>
      <c r="F942" s="1050"/>
      <c r="G942" s="1050"/>
    </row>
    <row r="943">
      <c r="A943" s="1049"/>
      <c r="B943" s="1049"/>
      <c r="C943" s="1049"/>
      <c r="D943" s="1049"/>
      <c r="E943" s="1049"/>
      <c r="F943" s="1050"/>
      <c r="G943" s="1050"/>
    </row>
    <row r="944">
      <c r="A944" s="1049"/>
      <c r="B944" s="1049"/>
      <c r="C944" s="1049"/>
      <c r="D944" s="1049"/>
      <c r="E944" s="1049"/>
      <c r="F944" s="1050"/>
      <c r="G944" s="1050"/>
    </row>
    <row r="945">
      <c r="A945" s="1049"/>
      <c r="B945" s="1049"/>
      <c r="C945" s="1049"/>
      <c r="D945" s="1049"/>
      <c r="E945" s="1049"/>
      <c r="F945" s="1050"/>
      <c r="G945" s="1050"/>
    </row>
    <row r="946">
      <c r="A946" s="1049"/>
      <c r="B946" s="1049"/>
      <c r="C946" s="1049"/>
      <c r="D946" s="1049"/>
      <c r="E946" s="1049"/>
      <c r="F946" s="1050"/>
      <c r="G946" s="1050"/>
    </row>
    <row r="947">
      <c r="A947" s="1049"/>
      <c r="B947" s="1049"/>
      <c r="C947" s="1049"/>
      <c r="D947" s="1049"/>
      <c r="E947" s="1049"/>
      <c r="F947" s="1050"/>
      <c r="G947" s="1050"/>
    </row>
    <row r="948">
      <c r="A948" s="1049"/>
      <c r="B948" s="1049"/>
      <c r="C948" s="1049"/>
      <c r="D948" s="1049"/>
      <c r="E948" s="1049"/>
      <c r="F948" s="1050"/>
      <c r="G948" s="1050"/>
    </row>
    <row r="949">
      <c r="A949" s="1049"/>
      <c r="B949" s="1049"/>
      <c r="C949" s="1049"/>
      <c r="D949" s="1049"/>
      <c r="E949" s="1049"/>
      <c r="F949" s="1050"/>
      <c r="G949" s="1050"/>
    </row>
    <row r="950">
      <c r="A950" s="1049"/>
      <c r="B950" s="1049"/>
      <c r="C950" s="1049"/>
      <c r="D950" s="1049"/>
      <c r="E950" s="1049"/>
      <c r="F950" s="1050"/>
      <c r="G950" s="1050"/>
    </row>
    <row r="951">
      <c r="A951" s="1049"/>
      <c r="B951" s="1049"/>
      <c r="C951" s="1049"/>
      <c r="D951" s="1049"/>
      <c r="E951" s="1049"/>
      <c r="F951" s="1050"/>
      <c r="G951" s="1050"/>
    </row>
    <row r="952">
      <c r="A952" s="1049"/>
      <c r="B952" s="1049"/>
      <c r="C952" s="1049"/>
      <c r="D952" s="1049"/>
      <c r="E952" s="1049"/>
      <c r="F952" s="1050"/>
      <c r="G952" s="1050"/>
    </row>
    <row r="953">
      <c r="A953" s="1049"/>
      <c r="B953" s="1049"/>
      <c r="C953" s="1049"/>
      <c r="D953" s="1049"/>
      <c r="E953" s="1049"/>
      <c r="F953" s="1050"/>
      <c r="G953" s="1050"/>
    </row>
    <row r="954">
      <c r="A954" s="1049"/>
      <c r="B954" s="1049"/>
      <c r="C954" s="1049"/>
      <c r="D954" s="1049"/>
      <c r="E954" s="1049"/>
      <c r="F954" s="1050"/>
      <c r="G954" s="1050"/>
    </row>
    <row r="955">
      <c r="A955" s="1049"/>
      <c r="B955" s="1049"/>
      <c r="C955" s="1049"/>
      <c r="D955" s="1049"/>
      <c r="E955" s="1049"/>
      <c r="F955" s="1050"/>
      <c r="G955" s="1050"/>
    </row>
    <row r="956">
      <c r="A956" s="1049"/>
      <c r="B956" s="1049"/>
      <c r="C956" s="1049"/>
      <c r="D956" s="1049"/>
      <c r="E956" s="1049"/>
      <c r="F956" s="1050"/>
      <c r="G956" s="1050"/>
    </row>
    <row r="957">
      <c r="A957" s="1049"/>
      <c r="B957" s="1049"/>
      <c r="C957" s="1049"/>
      <c r="D957" s="1049"/>
      <c r="E957" s="1049"/>
      <c r="F957" s="1050"/>
      <c r="G957" s="1050"/>
    </row>
    <row r="958">
      <c r="A958" s="1049"/>
      <c r="B958" s="1049"/>
      <c r="C958" s="1049"/>
      <c r="D958" s="1049"/>
      <c r="E958" s="1049"/>
      <c r="F958" s="1050"/>
      <c r="G958" s="1050"/>
    </row>
    <row r="959">
      <c r="A959" s="1049"/>
      <c r="B959" s="1049"/>
      <c r="C959" s="1049"/>
      <c r="D959" s="1049"/>
      <c r="E959" s="1049"/>
      <c r="F959" s="1050"/>
      <c r="G959" s="1050"/>
    </row>
    <row r="960">
      <c r="A960" s="1049"/>
      <c r="B960" s="1049"/>
      <c r="C960" s="1049"/>
      <c r="D960" s="1049"/>
      <c r="E960" s="1049"/>
      <c r="F960" s="1050"/>
      <c r="G960" s="1050"/>
    </row>
    <row r="961">
      <c r="A961" s="1049"/>
      <c r="B961" s="1049"/>
      <c r="C961" s="1049"/>
      <c r="D961" s="1049"/>
      <c r="E961" s="1049"/>
      <c r="F961" s="1050"/>
      <c r="G961" s="1050"/>
    </row>
    <row r="962">
      <c r="A962" s="1049"/>
      <c r="B962" s="1049"/>
      <c r="C962" s="1049"/>
      <c r="D962" s="1049"/>
      <c r="E962" s="1049"/>
      <c r="F962" s="1050"/>
      <c r="G962" s="1050"/>
    </row>
    <row r="963">
      <c r="A963" s="1049"/>
      <c r="B963" s="1049"/>
      <c r="C963" s="1049"/>
      <c r="D963" s="1049"/>
      <c r="E963" s="1049"/>
      <c r="F963" s="1050"/>
      <c r="G963" s="1050"/>
    </row>
    <row r="964">
      <c r="A964" s="1049"/>
      <c r="B964" s="1049"/>
      <c r="C964" s="1049"/>
      <c r="D964" s="1049"/>
      <c r="E964" s="1049"/>
      <c r="F964" s="1050"/>
      <c r="G964" s="1050"/>
    </row>
    <row r="965">
      <c r="A965" s="1049"/>
      <c r="B965" s="1049"/>
      <c r="C965" s="1049"/>
      <c r="D965" s="1049"/>
      <c r="E965" s="1049"/>
      <c r="F965" s="1050"/>
      <c r="G965" s="1050"/>
    </row>
    <row r="966">
      <c r="A966" s="1049"/>
      <c r="B966" s="1049"/>
      <c r="C966" s="1049"/>
      <c r="D966" s="1049"/>
      <c r="E966" s="1049"/>
      <c r="F966" s="1050"/>
      <c r="G966" s="1050"/>
    </row>
    <row r="967">
      <c r="A967" s="1049"/>
      <c r="B967" s="1049"/>
      <c r="C967" s="1049"/>
      <c r="D967" s="1049"/>
      <c r="E967" s="1049"/>
      <c r="F967" s="1050"/>
      <c r="G967" s="1050"/>
    </row>
    <row r="968">
      <c r="A968" s="1049"/>
      <c r="B968" s="1049"/>
      <c r="C968" s="1049"/>
      <c r="D968" s="1049"/>
      <c r="E968" s="1049"/>
      <c r="F968" s="1050"/>
      <c r="G968" s="1050"/>
    </row>
    <row r="969">
      <c r="A969" s="1049"/>
      <c r="B969" s="1049"/>
      <c r="C969" s="1049"/>
      <c r="D969" s="1049"/>
      <c r="E969" s="1049"/>
      <c r="F969" s="1050"/>
      <c r="G969" s="1050"/>
    </row>
    <row r="970">
      <c r="A970" s="1049"/>
      <c r="B970" s="1049"/>
      <c r="C970" s="1049"/>
      <c r="D970" s="1049"/>
      <c r="E970" s="1049"/>
      <c r="F970" s="1050"/>
      <c r="G970" s="1050"/>
    </row>
    <row r="971">
      <c r="A971" s="1049"/>
      <c r="B971" s="1049"/>
      <c r="C971" s="1049"/>
      <c r="D971" s="1049"/>
      <c r="E971" s="1049"/>
      <c r="F971" s="1050"/>
      <c r="G971" s="1050"/>
    </row>
    <row r="972">
      <c r="A972" s="1049"/>
      <c r="B972" s="1049"/>
      <c r="C972" s="1049"/>
      <c r="D972" s="1049"/>
      <c r="E972" s="1049"/>
      <c r="F972" s="1050"/>
      <c r="G972" s="1050"/>
    </row>
    <row r="973">
      <c r="A973" s="1049"/>
      <c r="B973" s="1049"/>
      <c r="C973" s="1049"/>
      <c r="D973" s="1049"/>
      <c r="E973" s="1049"/>
      <c r="F973" s="1050"/>
      <c r="G973" s="1050"/>
    </row>
    <row r="974">
      <c r="A974" s="1049"/>
      <c r="B974" s="1049"/>
      <c r="C974" s="1049"/>
      <c r="D974" s="1049"/>
      <c r="E974" s="1049"/>
      <c r="F974" s="1050"/>
      <c r="G974" s="1050"/>
    </row>
    <row r="975">
      <c r="A975" s="1049"/>
      <c r="B975" s="1049"/>
      <c r="C975" s="1049"/>
      <c r="D975" s="1049"/>
      <c r="E975" s="1049"/>
      <c r="F975" s="1050"/>
      <c r="G975" s="1050"/>
    </row>
    <row r="976">
      <c r="A976" s="1049"/>
      <c r="B976" s="1049"/>
      <c r="C976" s="1049"/>
      <c r="D976" s="1049"/>
      <c r="E976" s="1049"/>
      <c r="F976" s="1050"/>
      <c r="G976" s="1050"/>
    </row>
    <row r="977">
      <c r="A977" s="1049"/>
      <c r="B977" s="1049"/>
      <c r="C977" s="1049"/>
      <c r="D977" s="1049"/>
      <c r="E977" s="1049"/>
      <c r="F977" s="1050"/>
      <c r="G977" s="1050"/>
    </row>
  </sheetData>
  <mergeCells count="8">
    <mergeCell ref="A1:A2"/>
    <mergeCell ref="C1:C2"/>
    <mergeCell ref="D1:D2"/>
    <mergeCell ref="E1:E2"/>
    <mergeCell ref="F1:V1"/>
    <mergeCell ref="W1:Y1"/>
    <mergeCell ref="Z1:AC1"/>
    <mergeCell ref="AD1:AH1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71"/>
    <col customWidth="1" min="3" max="3" width="11.14"/>
    <col customWidth="1" min="4" max="4" width="12.0"/>
    <col customWidth="1" min="5" max="5" width="17.43"/>
    <col customWidth="1" min="6" max="6" width="18.71"/>
    <col customWidth="1" min="7" max="7" width="13.86"/>
  </cols>
  <sheetData>
    <row r="1" ht="15.0" customHeight="1">
      <c r="A1" s="1058" t="s">
        <v>2476</v>
      </c>
      <c r="B1" s="737"/>
      <c r="C1" s="737"/>
      <c r="D1" s="737"/>
      <c r="E1" s="737"/>
      <c r="F1" s="737"/>
      <c r="G1" s="738"/>
      <c r="H1" s="1059"/>
      <c r="I1" s="1060" t="s">
        <v>2477</v>
      </c>
      <c r="J1" s="737"/>
      <c r="K1" s="737"/>
      <c r="L1" s="737"/>
      <c r="M1" s="737"/>
      <c r="N1" s="737"/>
      <c r="O1" s="73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ht="15.0" customHeight="1">
      <c r="A2" s="739"/>
      <c r="B2" s="740"/>
      <c r="C2" s="740"/>
      <c r="D2" s="740"/>
      <c r="E2" s="740"/>
      <c r="F2" s="740"/>
      <c r="G2" s="741"/>
      <c r="H2" s="1059"/>
      <c r="I2" s="739"/>
      <c r="J2" s="740"/>
      <c r="K2" s="740"/>
      <c r="L2" s="740"/>
      <c r="M2" s="740"/>
      <c r="N2" s="740"/>
      <c r="O2" s="741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>
      <c r="A3" s="1061" t="s">
        <v>2293</v>
      </c>
      <c r="B3" s="439"/>
      <c r="C3" s="439"/>
      <c r="D3" s="439"/>
      <c r="E3" s="439"/>
      <c r="F3" s="439"/>
      <c r="G3" s="440"/>
      <c r="H3" s="760"/>
      <c r="I3" s="1062" t="s">
        <v>2293</v>
      </c>
      <c r="J3" s="439"/>
      <c r="K3" s="439"/>
      <c r="L3" s="439"/>
      <c r="M3" s="439"/>
      <c r="N3" s="439"/>
      <c r="O3" s="440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</row>
    <row r="4">
      <c r="A4" s="1063"/>
      <c r="B4" s="1064" t="s">
        <v>289</v>
      </c>
      <c r="C4" s="751" t="s">
        <v>290</v>
      </c>
      <c r="D4" s="751" t="s">
        <v>291</v>
      </c>
      <c r="E4" s="751" t="s">
        <v>292</v>
      </c>
      <c r="F4" s="751" t="s">
        <v>293</v>
      </c>
      <c r="G4" s="751" t="s">
        <v>294</v>
      </c>
      <c r="H4" s="760"/>
      <c r="I4" s="1065"/>
      <c r="J4" s="1066" t="s">
        <v>289</v>
      </c>
      <c r="K4" s="1066" t="s">
        <v>290</v>
      </c>
      <c r="L4" s="1066" t="s">
        <v>291</v>
      </c>
      <c r="M4" s="1067" t="s">
        <v>292</v>
      </c>
      <c r="N4" s="1067" t="s">
        <v>293</v>
      </c>
      <c r="O4" s="1067" t="s">
        <v>294</v>
      </c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</row>
    <row r="5">
      <c r="A5" s="1068" t="s">
        <v>172</v>
      </c>
      <c r="B5" s="1069">
        <v>61000.0</v>
      </c>
      <c r="C5" s="1069">
        <v>160000.0</v>
      </c>
      <c r="D5" s="1069">
        <v>187000.0</v>
      </c>
      <c r="E5" s="1069">
        <v>220000.0</v>
      </c>
      <c r="F5" s="1069">
        <v>286000.0</v>
      </c>
      <c r="G5" s="1069">
        <v>420000.0</v>
      </c>
      <c r="H5" s="760"/>
      <c r="I5" s="1070" t="s">
        <v>172</v>
      </c>
      <c r="J5" s="1071">
        <v>55000.0</v>
      </c>
      <c r="K5" s="1071">
        <v>145000.0</v>
      </c>
      <c r="L5" s="1071">
        <v>170000.0</v>
      </c>
      <c r="M5" s="1071">
        <v>200000.0</v>
      </c>
      <c r="N5" s="1071">
        <v>260000.0</v>
      </c>
      <c r="O5" s="1071">
        <v>380000.0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</row>
    <row r="6">
      <c r="A6" s="1068" t="s">
        <v>2478</v>
      </c>
      <c r="B6" s="1069">
        <v>200000.0</v>
      </c>
      <c r="C6" s="1069">
        <v>300000.0</v>
      </c>
      <c r="D6" s="1069">
        <v>350000.0</v>
      </c>
      <c r="E6" s="1069">
        <v>600000.0</v>
      </c>
      <c r="F6" s="1072">
        <v>720000.0</v>
      </c>
      <c r="G6" s="1072">
        <v>890000.0</v>
      </c>
      <c r="H6" s="760"/>
      <c r="I6" s="1070" t="s">
        <v>2478</v>
      </c>
      <c r="J6" s="1073">
        <v>150000.0</v>
      </c>
      <c r="K6" s="1071">
        <v>280000.0</v>
      </c>
      <c r="L6" s="1071">
        <v>320000.0</v>
      </c>
      <c r="M6" s="1071">
        <v>500000.0</v>
      </c>
      <c r="N6" s="1071">
        <v>720000.0</v>
      </c>
      <c r="O6" s="1071">
        <v>890000.0</v>
      </c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</row>
    <row r="7">
      <c r="A7" s="1068" t="s">
        <v>79</v>
      </c>
      <c r="B7" s="1072">
        <f t="shared" ref="B7:G7" si="1">B6-B5</f>
        <v>139000</v>
      </c>
      <c r="C7" s="1072">
        <f t="shared" si="1"/>
        <v>140000</v>
      </c>
      <c r="D7" s="1072">
        <f t="shared" si="1"/>
        <v>163000</v>
      </c>
      <c r="E7" s="1072">
        <f t="shared" si="1"/>
        <v>380000</v>
      </c>
      <c r="F7" s="1072">
        <f t="shared" si="1"/>
        <v>434000</v>
      </c>
      <c r="G7" s="1072">
        <f t="shared" si="1"/>
        <v>470000</v>
      </c>
      <c r="H7" s="760"/>
      <c r="I7" s="1070" t="s">
        <v>79</v>
      </c>
      <c r="J7" s="1071">
        <v>95000.0</v>
      </c>
      <c r="K7" s="1071">
        <v>135000.0</v>
      </c>
      <c r="L7" s="1071">
        <v>150000.0</v>
      </c>
      <c r="M7" s="1071">
        <v>300000.0</v>
      </c>
      <c r="N7" s="1071">
        <v>460000.0</v>
      </c>
      <c r="O7" s="1071">
        <v>510000.0</v>
      </c>
      <c r="P7" s="28"/>
      <c r="Q7" s="28"/>
      <c r="R7" s="28"/>
      <c r="S7" s="28"/>
      <c r="T7" s="1074" t="s">
        <v>2479</v>
      </c>
      <c r="U7" s="1075">
        <v>280000.0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</row>
    <row r="8">
      <c r="A8" s="1063"/>
      <c r="B8" s="1076"/>
      <c r="C8" s="1076"/>
      <c r="D8" s="1076"/>
      <c r="E8" s="1076"/>
      <c r="F8" s="1076"/>
      <c r="G8" s="1076"/>
      <c r="H8" s="760"/>
      <c r="I8" s="1065"/>
      <c r="J8" s="1077"/>
      <c r="K8" s="1077"/>
      <c r="L8" s="1077"/>
      <c r="M8" s="1078"/>
      <c r="N8" s="1079"/>
      <c r="O8" s="1079"/>
      <c r="P8" s="28"/>
      <c r="Q8" s="28"/>
      <c r="R8" s="28"/>
      <c r="S8" s="28"/>
      <c r="T8" s="1074" t="s">
        <v>2480</v>
      </c>
      <c r="U8" s="1075">
        <v>150000.0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</row>
    <row r="9">
      <c r="A9" s="1061" t="s">
        <v>2481</v>
      </c>
      <c r="B9" s="439"/>
      <c r="C9" s="439"/>
      <c r="D9" s="439"/>
      <c r="E9" s="439"/>
      <c r="F9" s="439"/>
      <c r="G9" s="440"/>
      <c r="H9" s="760"/>
      <c r="I9" s="1062" t="s">
        <v>2481</v>
      </c>
      <c r="J9" s="439"/>
      <c r="K9" s="439"/>
      <c r="L9" s="439"/>
      <c r="M9" s="439"/>
      <c r="N9" s="439"/>
      <c r="O9" s="440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</row>
    <row r="10">
      <c r="A10" s="1063"/>
      <c r="B10" s="751" t="s">
        <v>289</v>
      </c>
      <c r="C10" s="751" t="s">
        <v>290</v>
      </c>
      <c r="D10" s="751" t="s">
        <v>291</v>
      </c>
      <c r="E10" s="751" t="s">
        <v>292</v>
      </c>
      <c r="F10" s="751" t="s">
        <v>293</v>
      </c>
      <c r="G10" s="751" t="s">
        <v>294</v>
      </c>
      <c r="H10" s="760"/>
      <c r="I10" s="1065"/>
      <c r="J10" s="1066" t="s">
        <v>289</v>
      </c>
      <c r="K10" s="1066" t="s">
        <v>290</v>
      </c>
      <c r="L10" s="1066" t="s">
        <v>291</v>
      </c>
      <c r="M10" s="1067" t="s">
        <v>292</v>
      </c>
      <c r="N10" s="1067" t="s">
        <v>293</v>
      </c>
      <c r="O10" s="1067" t="s">
        <v>294</v>
      </c>
      <c r="P10" s="28"/>
      <c r="Q10" s="1080">
        <f>L5*2</f>
        <v>340000</v>
      </c>
      <c r="R10" s="1080">
        <f>Q10*1.6</f>
        <v>544000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</row>
    <row r="11">
      <c r="A11" s="1063" t="s">
        <v>172</v>
      </c>
      <c r="B11" s="1081">
        <f>66000*2</f>
        <v>132000</v>
      </c>
      <c r="C11" s="1081">
        <f>132000*2</f>
        <v>264000</v>
      </c>
      <c r="D11" s="1081">
        <f t="shared" ref="D11:E11" si="2">165000*2</f>
        <v>330000</v>
      </c>
      <c r="E11" s="1081">
        <f t="shared" si="2"/>
        <v>330000</v>
      </c>
      <c r="F11" s="1081">
        <f>275000*2</f>
        <v>550000</v>
      </c>
      <c r="G11" s="1082">
        <f>330000*2</f>
        <v>660000</v>
      </c>
      <c r="H11" s="760"/>
      <c r="I11" s="1083" t="s">
        <v>172</v>
      </c>
      <c r="J11" s="1084">
        <v>120000.0</v>
      </c>
      <c r="K11" s="1084">
        <v>240000.0</v>
      </c>
      <c r="L11" s="1084">
        <v>300000.0</v>
      </c>
      <c r="M11" s="1084">
        <v>360000.0</v>
      </c>
      <c r="N11" s="1084">
        <v>500000.0</v>
      </c>
      <c r="O11" s="1084">
        <v>600000.0</v>
      </c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</row>
    <row r="12">
      <c r="A12" s="1063" t="s">
        <v>2478</v>
      </c>
      <c r="B12" s="1085">
        <v>200000.0</v>
      </c>
      <c r="C12" s="1081">
        <v>360000.0</v>
      </c>
      <c r="D12" s="1085">
        <v>440000.0</v>
      </c>
      <c r="E12" s="1085">
        <v>550000.0</v>
      </c>
      <c r="F12" s="1085">
        <v>840000.0</v>
      </c>
      <c r="G12" s="1085">
        <v>1000000.0</v>
      </c>
      <c r="H12" s="760"/>
      <c r="I12" s="1083" t="s">
        <v>2478</v>
      </c>
      <c r="J12" s="1086">
        <v>200000.0</v>
      </c>
      <c r="K12" s="1084">
        <v>360000.0</v>
      </c>
      <c r="L12" s="1086">
        <v>440000.0</v>
      </c>
      <c r="M12" s="1087">
        <v>550000.0</v>
      </c>
      <c r="N12" s="1087">
        <v>840000.0</v>
      </c>
      <c r="O12" s="1087">
        <v>1000000.0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</row>
    <row r="13">
      <c r="A13" s="1063" t="s">
        <v>79</v>
      </c>
      <c r="B13" s="1081">
        <f t="shared" ref="B13:G13" si="3">B12-B11</f>
        <v>68000</v>
      </c>
      <c r="C13" s="1081">
        <f t="shared" si="3"/>
        <v>96000</v>
      </c>
      <c r="D13" s="1081">
        <f t="shared" si="3"/>
        <v>110000</v>
      </c>
      <c r="E13" s="1081">
        <f t="shared" si="3"/>
        <v>220000</v>
      </c>
      <c r="F13" s="1081">
        <f t="shared" si="3"/>
        <v>290000</v>
      </c>
      <c r="G13" s="1081">
        <f t="shared" si="3"/>
        <v>340000</v>
      </c>
      <c r="H13" s="760"/>
      <c r="I13" s="1083" t="s">
        <v>79</v>
      </c>
      <c r="J13" s="1084">
        <v>80000.0</v>
      </c>
      <c r="K13" s="1084">
        <v>120000.0</v>
      </c>
      <c r="L13" s="1084">
        <v>140000.0</v>
      </c>
      <c r="M13" s="1084">
        <v>190000.0</v>
      </c>
      <c r="N13" s="1084">
        <v>340000.0</v>
      </c>
      <c r="O13" s="1084">
        <v>400000.0</v>
      </c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</row>
    <row r="14">
      <c r="A14" s="1063"/>
      <c r="B14" s="1076"/>
      <c r="C14" s="1076"/>
      <c r="D14" s="1076"/>
      <c r="E14" s="1076"/>
      <c r="F14" s="1076"/>
      <c r="G14" s="1076"/>
      <c r="H14" s="760"/>
      <c r="I14" s="1065"/>
      <c r="J14" s="1077"/>
      <c r="K14" s="1077"/>
      <c r="L14" s="1077"/>
      <c r="M14" s="1079"/>
      <c r="N14" s="1079"/>
      <c r="O14" s="1079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</row>
    <row r="15">
      <c r="A15" s="1063"/>
      <c r="B15" s="1076"/>
      <c r="C15" s="1076"/>
      <c r="D15" s="1076"/>
      <c r="E15" s="1076"/>
      <c r="F15" s="1076"/>
      <c r="G15" s="1076"/>
      <c r="H15" s="1088"/>
      <c r="I15" s="1065"/>
      <c r="J15" s="1077"/>
      <c r="K15" s="1077"/>
      <c r="L15" s="1077"/>
      <c r="M15" s="1079"/>
      <c r="N15" s="1079"/>
      <c r="O15" s="1079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>
      <c r="A16" s="1061" t="s">
        <v>2482</v>
      </c>
      <c r="B16" s="439"/>
      <c r="C16" s="439"/>
      <c r="D16" s="439"/>
      <c r="E16" s="439"/>
      <c r="F16" s="439"/>
      <c r="G16" s="440"/>
      <c r="H16" s="760"/>
      <c r="I16" s="1062" t="s">
        <v>2482</v>
      </c>
      <c r="J16" s="439"/>
      <c r="K16" s="439"/>
      <c r="L16" s="439"/>
      <c r="M16" s="439"/>
      <c r="N16" s="439"/>
      <c r="O16" s="440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</row>
    <row r="17">
      <c r="A17" s="1063"/>
      <c r="B17" s="751" t="s">
        <v>289</v>
      </c>
      <c r="C17" s="751" t="s">
        <v>290</v>
      </c>
      <c r="D17" s="751" t="s">
        <v>291</v>
      </c>
      <c r="E17" s="751" t="s">
        <v>292</v>
      </c>
      <c r="F17" s="751" t="s">
        <v>293</v>
      </c>
      <c r="G17" s="751" t="s">
        <v>294</v>
      </c>
      <c r="H17" s="760"/>
      <c r="I17" s="1065"/>
      <c r="J17" s="1066" t="s">
        <v>289</v>
      </c>
      <c r="K17" s="1066" t="s">
        <v>290</v>
      </c>
      <c r="L17" s="1066" t="s">
        <v>291</v>
      </c>
      <c r="M17" s="1067" t="s">
        <v>292</v>
      </c>
      <c r="N17" s="1067" t="s">
        <v>293</v>
      </c>
      <c r="O17" s="1067" t="s">
        <v>294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</row>
    <row r="18">
      <c r="A18" s="1063" t="s">
        <v>172</v>
      </c>
      <c r="B18" s="1082">
        <v>275000.0</v>
      </c>
      <c r="C18" s="1082">
        <v>385000.0</v>
      </c>
      <c r="D18" s="1082">
        <v>440000.0</v>
      </c>
      <c r="E18" s="1082">
        <v>550000.0</v>
      </c>
      <c r="F18" s="1082">
        <v>660000.0</v>
      </c>
      <c r="G18" s="1082">
        <v>770000.0</v>
      </c>
      <c r="H18" s="760"/>
      <c r="I18" s="1083" t="s">
        <v>172</v>
      </c>
      <c r="J18" s="1084">
        <v>250000.0</v>
      </c>
      <c r="K18" s="1084">
        <v>350000.0</v>
      </c>
      <c r="L18" s="1084">
        <v>400000.0</v>
      </c>
      <c r="M18" s="1084">
        <v>500000.0</v>
      </c>
      <c r="N18" s="1084">
        <v>600000.0</v>
      </c>
      <c r="O18" s="1084">
        <v>700000.0</v>
      </c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</row>
    <row r="19">
      <c r="A19" s="1063" t="s">
        <v>2478</v>
      </c>
      <c r="B19" s="1081">
        <v>330000.0</v>
      </c>
      <c r="C19" s="1081">
        <v>480000.0</v>
      </c>
      <c r="D19" s="1085">
        <v>590000.0</v>
      </c>
      <c r="E19" s="1085">
        <v>780000.0</v>
      </c>
      <c r="F19" s="1081">
        <v>1100000.0</v>
      </c>
      <c r="G19" s="1085">
        <v>1400000.0</v>
      </c>
      <c r="H19" s="760"/>
      <c r="I19" s="1083" t="s">
        <v>2478</v>
      </c>
      <c r="J19" s="1084">
        <v>330000.0</v>
      </c>
      <c r="K19" s="1084">
        <v>480000.0</v>
      </c>
      <c r="L19" s="1086">
        <v>590000.0</v>
      </c>
      <c r="M19" s="1087">
        <v>780000.0</v>
      </c>
      <c r="N19" s="1084">
        <v>1100000.0</v>
      </c>
      <c r="O19" s="1087">
        <v>1400000.0</v>
      </c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>
      <c r="A20" s="1063" t="s">
        <v>79</v>
      </c>
      <c r="B20" s="1081">
        <f t="shared" ref="B20:G20" si="4">B19-B18</f>
        <v>55000</v>
      </c>
      <c r="C20" s="1081">
        <f t="shared" si="4"/>
        <v>95000</v>
      </c>
      <c r="D20" s="1081">
        <f t="shared" si="4"/>
        <v>150000</v>
      </c>
      <c r="E20" s="1081">
        <f t="shared" si="4"/>
        <v>230000</v>
      </c>
      <c r="F20" s="1081">
        <f t="shared" si="4"/>
        <v>440000</v>
      </c>
      <c r="G20" s="1081">
        <f t="shared" si="4"/>
        <v>630000</v>
      </c>
      <c r="H20" s="760"/>
      <c r="I20" s="1083" t="s">
        <v>79</v>
      </c>
      <c r="J20" s="1084">
        <v>80000.0</v>
      </c>
      <c r="K20" s="1084">
        <v>130000.0</v>
      </c>
      <c r="L20" s="1084">
        <v>190000.0</v>
      </c>
      <c r="M20" s="1084">
        <v>280000.0</v>
      </c>
      <c r="N20" s="1084">
        <v>500000.0</v>
      </c>
      <c r="O20" s="1084">
        <v>700000.0</v>
      </c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</row>
    <row r="21">
      <c r="A21" s="1063"/>
      <c r="B21" s="760"/>
      <c r="C21" s="1063"/>
      <c r="D21" s="1076"/>
      <c r="E21" s="1076"/>
      <c r="F21" s="1076"/>
      <c r="G21" s="1076"/>
      <c r="H21" s="760"/>
      <c r="I21" s="1065"/>
      <c r="J21" s="1089"/>
      <c r="K21" s="1065"/>
      <c r="L21" s="1078"/>
      <c r="M21" s="1079"/>
      <c r="N21" s="1079"/>
      <c r="O21" s="1079"/>
      <c r="P21" s="28"/>
      <c r="Q21" s="28"/>
      <c r="R21" s="28"/>
      <c r="S21" s="28"/>
      <c r="T21" s="1090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</row>
    <row r="22">
      <c r="A22" s="1061" t="s">
        <v>2483</v>
      </c>
      <c r="B22" s="439"/>
      <c r="C22" s="439"/>
      <c r="D22" s="439"/>
      <c r="E22" s="439"/>
      <c r="F22" s="439"/>
      <c r="G22" s="440"/>
      <c r="H22" s="760"/>
      <c r="I22" s="1062" t="s">
        <v>2483</v>
      </c>
      <c r="J22" s="439"/>
      <c r="K22" s="439"/>
      <c r="L22" s="439"/>
      <c r="M22" s="439"/>
      <c r="N22" s="439"/>
      <c r="O22" s="440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</row>
    <row r="23">
      <c r="A23" s="1063"/>
      <c r="B23" s="751" t="s">
        <v>289</v>
      </c>
      <c r="C23" s="751" t="s">
        <v>290</v>
      </c>
      <c r="D23" s="751" t="s">
        <v>291</v>
      </c>
      <c r="E23" s="751" t="s">
        <v>292</v>
      </c>
      <c r="F23" s="751" t="s">
        <v>293</v>
      </c>
      <c r="G23" s="751" t="s">
        <v>294</v>
      </c>
      <c r="H23" s="1088"/>
      <c r="I23" s="1065"/>
      <c r="J23" s="1066" t="s">
        <v>289</v>
      </c>
      <c r="K23" s="1066" t="s">
        <v>290</v>
      </c>
      <c r="L23" s="1066" t="s">
        <v>291</v>
      </c>
      <c r="M23" s="1067" t="s">
        <v>292</v>
      </c>
      <c r="N23" s="1067" t="s">
        <v>293</v>
      </c>
      <c r="O23" s="1067" t="s">
        <v>294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</row>
    <row r="24">
      <c r="A24" s="1063" t="s">
        <v>172</v>
      </c>
      <c r="B24" s="1081">
        <f>310000*2</f>
        <v>620000</v>
      </c>
      <c r="C24" s="1081">
        <f>484000*2</f>
        <v>968000</v>
      </c>
      <c r="D24" s="1081">
        <f>726000*2</f>
        <v>1452000</v>
      </c>
      <c r="E24" s="1081">
        <f>880000*2</f>
        <v>1760000</v>
      </c>
      <c r="F24" s="1082">
        <f>990000*2</f>
        <v>1980000</v>
      </c>
      <c r="G24" s="1081">
        <f>1210000*2</f>
        <v>2420000</v>
      </c>
      <c r="H24" s="760"/>
      <c r="I24" s="1083" t="s">
        <v>172</v>
      </c>
      <c r="J24" s="1084">
        <v>560000.0</v>
      </c>
      <c r="K24" s="1084">
        <v>880000.0</v>
      </c>
      <c r="L24" s="1084">
        <v>1320000.0</v>
      </c>
      <c r="M24" s="1084">
        <v>1600000.0</v>
      </c>
      <c r="N24" s="1084">
        <v>1800000.0</v>
      </c>
      <c r="O24" s="1084">
        <v>2200000.0</v>
      </c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</row>
    <row r="25">
      <c r="A25" s="1063" t="s">
        <v>2478</v>
      </c>
      <c r="B25" s="1081">
        <v>700000.0</v>
      </c>
      <c r="C25" s="1081">
        <v>1280000.0</v>
      </c>
      <c r="D25" s="1081">
        <v>1890000.0</v>
      </c>
      <c r="E25" s="1081">
        <v>2300000.0</v>
      </c>
      <c r="F25" s="1085">
        <v>2600000.0</v>
      </c>
      <c r="G25" s="1085">
        <v>3200000.0</v>
      </c>
      <c r="H25" s="760"/>
      <c r="I25" s="1083" t="s">
        <v>2478</v>
      </c>
      <c r="J25" s="1084">
        <v>700000.0</v>
      </c>
      <c r="K25" s="1084">
        <v>1280000.0</v>
      </c>
      <c r="L25" s="1084">
        <v>1890000.0</v>
      </c>
      <c r="M25" s="1084">
        <v>2300000.0</v>
      </c>
      <c r="N25" s="1087">
        <v>2600000.0</v>
      </c>
      <c r="O25" s="1087">
        <v>3200000.0</v>
      </c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</row>
    <row r="26">
      <c r="A26" s="1063" t="s">
        <v>79</v>
      </c>
      <c r="B26" s="1081">
        <f t="shared" ref="B26:G26" si="5">B25-B24</f>
        <v>80000</v>
      </c>
      <c r="C26" s="1081">
        <f t="shared" si="5"/>
        <v>312000</v>
      </c>
      <c r="D26" s="1081">
        <f t="shared" si="5"/>
        <v>438000</v>
      </c>
      <c r="E26" s="1081">
        <f t="shared" si="5"/>
        <v>540000</v>
      </c>
      <c r="F26" s="1081">
        <f t="shared" si="5"/>
        <v>620000</v>
      </c>
      <c r="G26" s="1081">
        <f t="shared" si="5"/>
        <v>780000</v>
      </c>
      <c r="H26" s="760"/>
      <c r="I26" s="1083" t="s">
        <v>79</v>
      </c>
      <c r="J26" s="1084">
        <v>140000.0</v>
      </c>
      <c r="K26" s="1084">
        <v>400000.0</v>
      </c>
      <c r="L26" s="1084">
        <v>570000.0</v>
      </c>
      <c r="M26" s="1084">
        <v>700000.0</v>
      </c>
      <c r="N26" s="1084">
        <v>800000.0</v>
      </c>
      <c r="O26" s="1084">
        <v>1000000.0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</row>
    <row r="27">
      <c r="A27" s="1063"/>
      <c r="B27" s="1076"/>
      <c r="C27" s="1076"/>
      <c r="D27" s="1076"/>
      <c r="E27" s="1076"/>
      <c r="F27" s="1076"/>
      <c r="G27" s="1076"/>
      <c r="H27" s="760"/>
      <c r="I27" s="1065"/>
      <c r="J27" s="1077"/>
      <c r="K27" s="1077"/>
      <c r="L27" s="1077"/>
      <c r="M27" s="1079"/>
      <c r="N27" s="1079"/>
      <c r="O27" s="1079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</row>
    <row r="28">
      <c r="A28" s="760"/>
      <c r="B28" s="760"/>
      <c r="C28" s="760"/>
      <c r="D28" s="760"/>
      <c r="E28" s="760"/>
      <c r="F28" s="760"/>
      <c r="G28" s="760"/>
      <c r="H28" s="760"/>
      <c r="I28" s="1089"/>
      <c r="J28" s="1089"/>
      <c r="K28" s="1089"/>
      <c r="L28" s="1089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</row>
    <row r="29" ht="21.0" customHeight="1">
      <c r="A29" s="1061" t="s">
        <v>2484</v>
      </c>
      <c r="B29" s="439"/>
      <c r="C29" s="439"/>
      <c r="D29" s="439"/>
      <c r="E29" s="439"/>
      <c r="F29" s="439"/>
      <c r="G29" s="440"/>
      <c r="H29" s="760"/>
      <c r="I29" s="1062" t="s">
        <v>2484</v>
      </c>
      <c r="J29" s="439"/>
      <c r="K29" s="439"/>
      <c r="L29" s="439"/>
      <c r="M29" s="439"/>
      <c r="N29" s="439"/>
      <c r="O29" s="440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</row>
    <row r="30">
      <c r="A30" s="1063"/>
      <c r="B30" s="751" t="s">
        <v>289</v>
      </c>
      <c r="C30" s="751" t="s">
        <v>290</v>
      </c>
      <c r="D30" s="751" t="s">
        <v>291</v>
      </c>
      <c r="E30" s="751" t="s">
        <v>292</v>
      </c>
      <c r="F30" s="751" t="s">
        <v>293</v>
      </c>
      <c r="G30" s="751" t="s">
        <v>294</v>
      </c>
      <c r="H30" s="760"/>
      <c r="I30" s="1065"/>
      <c r="J30" s="1066" t="s">
        <v>289</v>
      </c>
      <c r="K30" s="1066" t="s">
        <v>290</v>
      </c>
      <c r="L30" s="1066" t="s">
        <v>291</v>
      </c>
      <c r="M30" s="1067" t="s">
        <v>292</v>
      </c>
      <c r="N30" s="1067" t="s">
        <v>293</v>
      </c>
      <c r="O30" s="1067" t="s">
        <v>294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</row>
    <row r="31">
      <c r="A31" s="1091" t="s">
        <v>172</v>
      </c>
      <c r="B31" s="1092">
        <v>385000.0</v>
      </c>
      <c r="C31" s="1092">
        <v>550000.0</v>
      </c>
      <c r="D31" s="1092">
        <v>660000.0</v>
      </c>
      <c r="E31" s="1092">
        <v>880000.0</v>
      </c>
      <c r="F31" s="1092">
        <v>990000.0</v>
      </c>
      <c r="G31" s="1092">
        <v>1100000.0</v>
      </c>
      <c r="H31" s="760"/>
      <c r="I31" s="1093" t="s">
        <v>172</v>
      </c>
      <c r="J31" s="1094">
        <v>350000.0</v>
      </c>
      <c r="K31" s="1094">
        <v>500000.0</v>
      </c>
      <c r="L31" s="1094">
        <v>600000.0</v>
      </c>
      <c r="M31" s="1094">
        <v>800000.0</v>
      </c>
      <c r="N31" s="1094">
        <v>900000.0</v>
      </c>
      <c r="O31" s="1094">
        <v>1000000.0</v>
      </c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</row>
    <row r="32">
      <c r="A32" s="1063" t="s">
        <v>2478</v>
      </c>
      <c r="B32" s="1081">
        <v>580000.0</v>
      </c>
      <c r="C32" s="1081">
        <v>780000.0</v>
      </c>
      <c r="D32" s="1085">
        <v>900000.0</v>
      </c>
      <c r="E32" s="1085">
        <v>1200000.0</v>
      </c>
      <c r="F32" s="1085">
        <v>1500000.0</v>
      </c>
      <c r="G32" s="1085">
        <v>2300000.0</v>
      </c>
      <c r="H32" s="760"/>
      <c r="I32" s="1083" t="s">
        <v>2478</v>
      </c>
      <c r="J32" s="1084">
        <v>580000.0</v>
      </c>
      <c r="K32" s="1084">
        <v>780000.0</v>
      </c>
      <c r="L32" s="1086">
        <v>900000.0</v>
      </c>
      <c r="M32" s="1087">
        <v>1200000.0</v>
      </c>
      <c r="N32" s="1087">
        <v>1500000.0</v>
      </c>
      <c r="O32" s="1087">
        <v>2300000.0</v>
      </c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</row>
    <row r="33">
      <c r="A33" s="1063" t="s">
        <v>79</v>
      </c>
      <c r="B33" s="1081">
        <f t="shared" ref="B33:G33" si="6">B32-B31</f>
        <v>195000</v>
      </c>
      <c r="C33" s="1081">
        <f t="shared" si="6"/>
        <v>230000</v>
      </c>
      <c r="D33" s="1081">
        <f t="shared" si="6"/>
        <v>240000</v>
      </c>
      <c r="E33" s="1081">
        <f t="shared" si="6"/>
        <v>320000</v>
      </c>
      <c r="F33" s="1081">
        <f t="shared" si="6"/>
        <v>510000</v>
      </c>
      <c r="G33" s="1081">
        <f t="shared" si="6"/>
        <v>1200000</v>
      </c>
      <c r="H33" s="760"/>
      <c r="I33" s="1083" t="s">
        <v>79</v>
      </c>
      <c r="J33" s="1084">
        <v>230000.0</v>
      </c>
      <c r="K33" s="1084">
        <v>280000.0</v>
      </c>
      <c r="L33" s="1084">
        <v>300000.0</v>
      </c>
      <c r="M33" s="1084">
        <v>400000.0</v>
      </c>
      <c r="N33" s="1084">
        <v>600000.0</v>
      </c>
      <c r="O33" s="1084">
        <v>1300000.0</v>
      </c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</row>
    <row r="34">
      <c r="A34" s="1063"/>
      <c r="B34" s="1076"/>
      <c r="C34" s="1076"/>
      <c r="D34" s="1076"/>
      <c r="E34" s="1076"/>
      <c r="F34" s="1076"/>
      <c r="G34" s="1076"/>
      <c r="H34" s="760"/>
      <c r="I34" s="1065"/>
      <c r="J34" s="1077"/>
      <c r="K34" s="1077"/>
      <c r="L34" s="1077"/>
      <c r="M34" s="1079"/>
      <c r="N34" s="1079"/>
      <c r="O34" s="1079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</row>
    <row r="35"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</row>
    <row r="36" ht="21.0" customHeight="1">
      <c r="A36" s="1095" t="s">
        <v>2485</v>
      </c>
      <c r="B36" s="439"/>
      <c r="C36" s="439"/>
      <c r="D36" s="439"/>
      <c r="E36" s="439"/>
      <c r="F36" s="439"/>
      <c r="G36" s="440"/>
      <c r="H36" s="760"/>
      <c r="I36" s="1062" t="s">
        <v>2485</v>
      </c>
      <c r="J36" s="439"/>
      <c r="K36" s="439"/>
      <c r="L36" s="439"/>
      <c r="M36" s="439"/>
      <c r="N36" s="439"/>
      <c r="O36" s="440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</row>
    <row r="37">
      <c r="A37" s="1096"/>
      <c r="B37" s="751" t="s">
        <v>289</v>
      </c>
      <c r="C37" s="751" t="s">
        <v>290</v>
      </c>
      <c r="D37" s="751" t="s">
        <v>291</v>
      </c>
      <c r="E37" s="751" t="s">
        <v>292</v>
      </c>
      <c r="F37" s="751" t="s">
        <v>293</v>
      </c>
      <c r="G37" s="751" t="s">
        <v>294</v>
      </c>
      <c r="H37" s="760"/>
      <c r="I37" s="1089"/>
      <c r="J37" s="1066" t="s">
        <v>289</v>
      </c>
      <c r="K37" s="1066" t="s">
        <v>290</v>
      </c>
      <c r="L37" s="1066" t="s">
        <v>291</v>
      </c>
      <c r="M37" s="1067" t="s">
        <v>292</v>
      </c>
      <c r="N37" s="1067" t="s">
        <v>293</v>
      </c>
      <c r="O37" s="1067" t="s">
        <v>294</v>
      </c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</row>
    <row r="38">
      <c r="A38" s="1091" t="s">
        <v>172</v>
      </c>
      <c r="B38" s="1092">
        <v>100000.0</v>
      </c>
      <c r="C38" s="1092">
        <v>200000.0</v>
      </c>
      <c r="D38" s="1092">
        <v>220000.0</v>
      </c>
      <c r="E38" s="1092">
        <v>286000.0</v>
      </c>
      <c r="F38" s="1092">
        <v>330000.0</v>
      </c>
      <c r="G38" s="1092">
        <v>495000.0</v>
      </c>
      <c r="H38" s="760"/>
      <c r="I38" s="1093" t="s">
        <v>172</v>
      </c>
      <c r="J38" s="1094">
        <v>90000.0</v>
      </c>
      <c r="K38" s="1094">
        <v>180000.0</v>
      </c>
      <c r="L38" s="1094">
        <v>200000.0</v>
      </c>
      <c r="M38" s="1094">
        <v>260000.0</v>
      </c>
      <c r="N38" s="1094">
        <v>300000.0</v>
      </c>
      <c r="O38" s="1094">
        <v>450000.0</v>
      </c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</row>
    <row r="39">
      <c r="A39" s="1063" t="s">
        <v>2478</v>
      </c>
      <c r="B39" s="1082">
        <v>170000.0</v>
      </c>
      <c r="C39" s="1082">
        <v>320000.0</v>
      </c>
      <c r="D39" s="1097">
        <v>350000.0</v>
      </c>
      <c r="E39" s="1097">
        <v>550000.0</v>
      </c>
      <c r="F39" s="1097">
        <v>750000.0</v>
      </c>
      <c r="G39" s="1097">
        <v>950000.0</v>
      </c>
      <c r="H39" s="760"/>
      <c r="I39" s="1083" t="s">
        <v>2478</v>
      </c>
      <c r="J39" s="1084">
        <v>170000.0</v>
      </c>
      <c r="K39" s="1084">
        <v>320000.0</v>
      </c>
      <c r="L39" s="1086">
        <v>350000.0</v>
      </c>
      <c r="M39" s="1087">
        <v>550000.0</v>
      </c>
      <c r="N39" s="1087">
        <v>750000.0</v>
      </c>
      <c r="O39" s="1087">
        <v>950000.0</v>
      </c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</row>
    <row r="40">
      <c r="A40" s="1063" t="s">
        <v>79</v>
      </c>
      <c r="B40" s="1081">
        <f t="shared" ref="B40:G40" si="7">B39-B38</f>
        <v>70000</v>
      </c>
      <c r="C40" s="1081">
        <f t="shared" si="7"/>
        <v>120000</v>
      </c>
      <c r="D40" s="1081">
        <f t="shared" si="7"/>
        <v>130000</v>
      </c>
      <c r="E40" s="1081">
        <f t="shared" si="7"/>
        <v>264000</v>
      </c>
      <c r="F40" s="1081">
        <f t="shared" si="7"/>
        <v>420000</v>
      </c>
      <c r="G40" s="1081">
        <f t="shared" si="7"/>
        <v>455000</v>
      </c>
      <c r="H40" s="760"/>
      <c r="I40" s="1083" t="s">
        <v>79</v>
      </c>
      <c r="J40" s="1084">
        <f t="shared" ref="J40:O40" si="8">J39-J38</f>
        <v>80000</v>
      </c>
      <c r="K40" s="1084">
        <f t="shared" si="8"/>
        <v>140000</v>
      </c>
      <c r="L40" s="1084">
        <f t="shared" si="8"/>
        <v>150000</v>
      </c>
      <c r="M40" s="1084">
        <f t="shared" si="8"/>
        <v>290000</v>
      </c>
      <c r="N40" s="1084">
        <f t="shared" si="8"/>
        <v>450000</v>
      </c>
      <c r="O40" s="1084">
        <f t="shared" si="8"/>
        <v>500000</v>
      </c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</row>
    <row r="41">
      <c r="A41" s="1063"/>
      <c r="B41" s="1076"/>
      <c r="C41" s="1076"/>
      <c r="D41" s="1076"/>
      <c r="E41" s="1076"/>
      <c r="F41" s="1076"/>
      <c r="G41" s="1076"/>
      <c r="H41" s="760"/>
      <c r="I41" s="1065"/>
      <c r="J41" s="1077"/>
      <c r="K41" s="1077"/>
      <c r="L41" s="1077"/>
      <c r="M41" s="1079"/>
      <c r="N41" s="1079"/>
      <c r="O41" s="1079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  <row r="45"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</row>
    <row r="46"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</row>
    <row r="47"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</row>
    <row r="48"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</row>
    <row r="49"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</row>
    <row r="50"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</row>
    <row r="51"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</row>
    <row r="52"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</row>
    <row r="53"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</row>
    <row r="54"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</row>
    <row r="55"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</row>
    <row r="56"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</row>
    <row r="57"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</row>
    <row r="58"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</row>
    <row r="59"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</row>
    <row r="60"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</row>
    <row r="61"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</row>
    <row r="62"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</row>
    <row r="63"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</row>
    <row r="64"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</row>
    <row r="65"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</row>
    <row r="66"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</row>
    <row r="67"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</row>
    <row r="68"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</row>
    <row r="69"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</row>
    <row r="70"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</row>
    <row r="71"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</row>
    <row r="72"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</row>
    <row r="73"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</row>
    <row r="74"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</row>
    <row r="75"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</row>
    <row r="76"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</row>
    <row r="77"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</row>
    <row r="78"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</row>
    <row r="79"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</row>
    <row r="80"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</row>
    <row r="81"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</row>
    <row r="82"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</row>
    <row r="83"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</row>
    <row r="84"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</row>
    <row r="85"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</row>
    <row r="86"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</row>
    <row r="87"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</row>
    <row r="88"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</row>
    <row r="89"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</row>
    <row r="90"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</row>
    <row r="91"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</row>
    <row r="92"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</row>
    <row r="93"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</row>
    <row r="94"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</row>
    <row r="95"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</row>
    <row r="96"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</row>
    <row r="97"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</row>
    <row r="98"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</row>
    <row r="99"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</row>
    <row r="100"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</row>
    <row r="101"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</row>
    <row r="102"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</row>
    <row r="103"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</row>
    <row r="104"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</row>
    <row r="105"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</row>
    <row r="106"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</row>
    <row r="107"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</row>
    <row r="108"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</row>
    <row r="109"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</row>
    <row r="110"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</row>
    <row r="111"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</row>
    <row r="112"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</row>
    <row r="113"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</row>
    <row r="114"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</row>
    <row r="115"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</row>
    <row r="116"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</row>
    <row r="117"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</row>
    <row r="118"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</row>
    <row r="119"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</row>
    <row r="120"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</row>
    <row r="121"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</row>
    <row r="122"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</row>
    <row r="123"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</row>
    <row r="124"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</row>
    <row r="125"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</row>
    <row r="126"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</row>
    <row r="127"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</row>
    <row r="128"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</row>
    <row r="129"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</row>
    <row r="130"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</row>
    <row r="131"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</row>
    <row r="132"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</row>
    <row r="133"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</row>
    <row r="134"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</row>
    <row r="135"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</row>
    <row r="136"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</row>
    <row r="137"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</row>
    <row r="138"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</row>
    <row r="139"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</row>
    <row r="140"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</row>
    <row r="141"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</row>
    <row r="142"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</row>
    <row r="143"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</row>
    <row r="144"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</row>
    <row r="145"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</row>
    <row r="146"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</row>
    <row r="147"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</row>
    <row r="148"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</row>
    <row r="149"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</row>
    <row r="150"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</row>
    <row r="151"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</row>
    <row r="152"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</row>
    <row r="153"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</row>
    <row r="154"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</row>
    <row r="155"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</row>
    <row r="156"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</row>
    <row r="157"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</row>
    <row r="158"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</row>
    <row r="159"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</row>
    <row r="160"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</row>
    <row r="161"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</row>
    <row r="162"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</row>
    <row r="163"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</row>
    <row r="164"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</row>
    <row r="165"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</row>
    <row r="166"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</row>
    <row r="167"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</row>
    <row r="168"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</row>
    <row r="169"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</row>
    <row r="170"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</row>
    <row r="171"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</row>
    <row r="172"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</row>
    <row r="173"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</row>
    <row r="174"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</row>
    <row r="175"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</row>
    <row r="176"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</row>
    <row r="177"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</row>
    <row r="178"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</row>
    <row r="179"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</row>
    <row r="180"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</row>
    <row r="181"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</row>
    <row r="182"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</row>
    <row r="183"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</row>
    <row r="184"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</row>
    <row r="185"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</row>
    <row r="186"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</row>
    <row r="187"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</row>
    <row r="188"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</row>
    <row r="189"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</row>
    <row r="190"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</row>
    <row r="191"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</row>
    <row r="192"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</row>
    <row r="193"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</row>
    <row r="194"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</row>
    <row r="195"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</row>
    <row r="196"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</row>
    <row r="197"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</row>
    <row r="198"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</row>
    <row r="199"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</row>
    <row r="200"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</row>
    <row r="201"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</row>
    <row r="202"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</row>
    <row r="203"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</row>
    <row r="204"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</row>
    <row r="205"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</row>
    <row r="206"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</row>
    <row r="207"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</row>
    <row r="208"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</row>
    <row r="209"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</row>
    <row r="210"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</row>
    <row r="211"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</row>
    <row r="212"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</row>
    <row r="213"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</row>
    <row r="214"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</row>
    <row r="215"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</row>
    <row r="216"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</row>
    <row r="217"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</row>
    <row r="218"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</row>
    <row r="219"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</row>
    <row r="220"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</row>
    <row r="221"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</row>
    <row r="222"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</row>
    <row r="223"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</row>
    <row r="224"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</row>
    <row r="225"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</row>
    <row r="226"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</row>
    <row r="227"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</row>
    <row r="228"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</row>
    <row r="229"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</row>
    <row r="230"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</row>
    <row r="231"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</row>
    <row r="232"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</row>
    <row r="233"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</row>
    <row r="234"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</row>
    <row r="235"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</row>
    <row r="236"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</row>
    <row r="237"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</row>
    <row r="238"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</row>
    <row r="239"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</row>
    <row r="240"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</row>
    <row r="241"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</row>
    <row r="242"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</row>
    <row r="243"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</row>
    <row r="244"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</row>
    <row r="245"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</row>
    <row r="246"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</row>
    <row r="247"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</row>
    <row r="248"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</row>
    <row r="249"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</row>
    <row r="250"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</row>
    <row r="251"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</row>
    <row r="252"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</row>
    <row r="253"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</row>
    <row r="254"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</row>
    <row r="255"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</row>
    <row r="256"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</row>
    <row r="257"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</row>
    <row r="258"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</row>
    <row r="259"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</row>
    <row r="260"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</row>
    <row r="261"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</row>
    <row r="262"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</row>
    <row r="263"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</row>
    <row r="264"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</row>
    <row r="265"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</row>
    <row r="266"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</row>
    <row r="267"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</row>
    <row r="268"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</row>
    <row r="269"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</row>
    <row r="270"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</row>
    <row r="271"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</row>
    <row r="272"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</row>
    <row r="273"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</row>
    <row r="274"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</row>
    <row r="275"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</row>
    <row r="276"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</row>
    <row r="277"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</row>
    <row r="278"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</row>
    <row r="279"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</row>
    <row r="280"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</row>
    <row r="281"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</row>
    <row r="282"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</row>
    <row r="283"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</row>
    <row r="284"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</row>
    <row r="285"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</row>
    <row r="286"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</row>
    <row r="287"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</row>
    <row r="288"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</row>
    <row r="289"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</row>
    <row r="290"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</row>
    <row r="291"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</row>
    <row r="292"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</row>
    <row r="293"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</row>
    <row r="294"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</row>
    <row r="295"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</row>
    <row r="296"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</row>
    <row r="297"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</row>
    <row r="298"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</row>
    <row r="299"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</row>
    <row r="300"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</row>
    <row r="301"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</row>
    <row r="302"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</row>
    <row r="303"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</row>
    <row r="304"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</row>
    <row r="305"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</row>
    <row r="306"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</row>
    <row r="307"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</row>
    <row r="308"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</row>
    <row r="309"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</row>
    <row r="310"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</row>
    <row r="311"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</row>
    <row r="312"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</row>
    <row r="313"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</row>
    <row r="314"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</row>
    <row r="315"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</row>
    <row r="316"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</row>
    <row r="317"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</row>
    <row r="318"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</row>
    <row r="319"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</row>
    <row r="320"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</row>
    <row r="321"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</row>
    <row r="322"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</row>
    <row r="323"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</row>
    <row r="324"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</row>
    <row r="325"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</row>
    <row r="326"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</row>
    <row r="327"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</row>
    <row r="328"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</row>
    <row r="329"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</row>
    <row r="330"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</row>
    <row r="331"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</row>
    <row r="332"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</row>
    <row r="333"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</row>
    <row r="334"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</row>
    <row r="335"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</row>
    <row r="336"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</row>
    <row r="337"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</row>
    <row r="338"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</row>
    <row r="339"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</row>
    <row r="340"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</row>
    <row r="341"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</row>
    <row r="342"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</row>
    <row r="343"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</row>
    <row r="344"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</row>
    <row r="345"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</row>
    <row r="346"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</row>
    <row r="347"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</row>
    <row r="348"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</row>
    <row r="349"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</row>
    <row r="350"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</row>
    <row r="351"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</row>
    <row r="352"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</row>
    <row r="353"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</row>
    <row r="354"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</row>
    <row r="355"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</row>
    <row r="356"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</row>
    <row r="357"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</row>
    <row r="358"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</row>
    <row r="359"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</row>
    <row r="360"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</row>
    <row r="361"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</row>
    <row r="362"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</row>
    <row r="363"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</row>
    <row r="364"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</row>
    <row r="365"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</row>
    <row r="366"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</row>
    <row r="367"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</row>
    <row r="368"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</row>
    <row r="369"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</row>
    <row r="370"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</row>
    <row r="371"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</row>
    <row r="372"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</row>
    <row r="373"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</row>
    <row r="374"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</row>
    <row r="375"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</row>
    <row r="376"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</row>
    <row r="377"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</row>
    <row r="378"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</row>
    <row r="379"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</row>
    <row r="380"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</row>
    <row r="381"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</row>
    <row r="382"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</row>
    <row r="383"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</row>
    <row r="384"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</row>
    <row r="385"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</row>
    <row r="386"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</row>
    <row r="387"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</row>
    <row r="388"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</row>
    <row r="389"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</row>
    <row r="390"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</row>
    <row r="391"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</row>
    <row r="392"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</row>
    <row r="393"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</row>
    <row r="394"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</row>
    <row r="395"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</row>
    <row r="396"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</row>
    <row r="397"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</row>
    <row r="398"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</row>
    <row r="399"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</row>
    <row r="400"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</row>
    <row r="401"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</row>
    <row r="402"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</row>
    <row r="403"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</row>
    <row r="404"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</row>
    <row r="405"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</row>
    <row r="406"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</row>
    <row r="407"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</row>
    <row r="408"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</row>
    <row r="409"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</row>
    <row r="410"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</row>
    <row r="411"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</row>
    <row r="412"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</row>
    <row r="413"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</row>
    <row r="414"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</row>
    <row r="415"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</row>
    <row r="416"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</row>
    <row r="417"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</row>
    <row r="418"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</row>
    <row r="419"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</row>
    <row r="420"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</row>
    <row r="421"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</row>
    <row r="422"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</row>
    <row r="423"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</row>
    <row r="424"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</row>
    <row r="425"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</row>
    <row r="426"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</row>
    <row r="427"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</row>
    <row r="428"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</row>
    <row r="429"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</row>
    <row r="430"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</row>
    <row r="431"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</row>
    <row r="432"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</row>
    <row r="433"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</row>
    <row r="434"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</row>
    <row r="435"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</row>
    <row r="436"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</row>
    <row r="437"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</row>
    <row r="438"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</row>
    <row r="439"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</row>
    <row r="440"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</row>
    <row r="441"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</row>
    <row r="442"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</row>
    <row r="443"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</row>
    <row r="444"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</row>
    <row r="445"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</row>
    <row r="446"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</row>
    <row r="447"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</row>
    <row r="448"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</row>
    <row r="449"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</row>
    <row r="450"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</row>
    <row r="451"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</row>
    <row r="452"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</row>
    <row r="453"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</row>
    <row r="454"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</row>
    <row r="455"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</row>
    <row r="456"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</row>
    <row r="457"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</row>
    <row r="458"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</row>
    <row r="459"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</row>
    <row r="460"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</row>
    <row r="461"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</row>
    <row r="462"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</row>
    <row r="463"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</row>
    <row r="464"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</row>
    <row r="465"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</row>
    <row r="466"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</row>
    <row r="467"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</row>
    <row r="468"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</row>
    <row r="469"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</row>
    <row r="470"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</row>
    <row r="471"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</row>
    <row r="472"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</row>
    <row r="473"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</row>
    <row r="474"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</row>
    <row r="475"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</row>
    <row r="476"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</row>
    <row r="477"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</row>
    <row r="478"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</row>
    <row r="479"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</row>
    <row r="480"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</row>
    <row r="481"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</row>
    <row r="482"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</row>
    <row r="483"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</row>
    <row r="484"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</row>
    <row r="485"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</row>
    <row r="486"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</row>
    <row r="487"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</row>
    <row r="488"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</row>
    <row r="489"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</row>
    <row r="490"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</row>
    <row r="491"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</row>
    <row r="492"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</row>
    <row r="493"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</row>
    <row r="494"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</row>
    <row r="495"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</row>
    <row r="496"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</row>
    <row r="497"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</row>
    <row r="498"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</row>
    <row r="499"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</row>
    <row r="500"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</row>
    <row r="501"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</row>
    <row r="502"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</row>
    <row r="503"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</row>
    <row r="504"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</row>
    <row r="505"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</row>
    <row r="506"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</row>
    <row r="507"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</row>
    <row r="508"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</row>
    <row r="509"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</row>
    <row r="510"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</row>
    <row r="511"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</row>
    <row r="512"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</row>
    <row r="513"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</row>
    <row r="514"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</row>
    <row r="515"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</row>
    <row r="516"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</row>
    <row r="517"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</row>
    <row r="518"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</row>
    <row r="519"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</row>
    <row r="520"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</row>
    <row r="521"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</row>
    <row r="522"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</row>
    <row r="523"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</row>
    <row r="524"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</row>
    <row r="525"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</row>
    <row r="526"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</row>
    <row r="527"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</row>
    <row r="528"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</row>
    <row r="529"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</row>
    <row r="530"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</row>
    <row r="531"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</row>
    <row r="532"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</row>
    <row r="533"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</row>
    <row r="534"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</row>
    <row r="535"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</row>
    <row r="536"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</row>
    <row r="537"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</row>
    <row r="538"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</row>
    <row r="539"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</row>
    <row r="540"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</row>
    <row r="541"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</row>
    <row r="542"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</row>
    <row r="543"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</row>
    <row r="544"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</row>
    <row r="545"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</row>
    <row r="546"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</row>
    <row r="547"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</row>
    <row r="548"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</row>
    <row r="549"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</row>
    <row r="550"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</row>
    <row r="551"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</row>
    <row r="552"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</row>
    <row r="553"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</row>
    <row r="554"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</row>
    <row r="555"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</row>
    <row r="556"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</row>
    <row r="557"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</row>
    <row r="558"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</row>
    <row r="559"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</row>
    <row r="560"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</row>
    <row r="561"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</row>
    <row r="562"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</row>
    <row r="563"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</row>
    <row r="564"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</row>
    <row r="565"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</row>
    <row r="566"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</row>
    <row r="567"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</row>
    <row r="568"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</row>
    <row r="569"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</row>
    <row r="570"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</row>
    <row r="571"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</row>
    <row r="572"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</row>
    <row r="573"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</row>
    <row r="574"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</row>
    <row r="575"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</row>
    <row r="576"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</row>
    <row r="577"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</row>
    <row r="578"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</row>
    <row r="579"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</row>
    <row r="580"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</row>
    <row r="581"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</row>
    <row r="582"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</row>
    <row r="583"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</row>
    <row r="584"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</row>
    <row r="585"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</row>
    <row r="586"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</row>
    <row r="587"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</row>
    <row r="588"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</row>
    <row r="589"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</row>
    <row r="590"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</row>
    <row r="591"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</row>
    <row r="592"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</row>
    <row r="593"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</row>
    <row r="594"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</row>
    <row r="595"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</row>
    <row r="596"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</row>
    <row r="597"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</row>
    <row r="598"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</row>
    <row r="599"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</row>
    <row r="600"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</row>
    <row r="601"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</row>
    <row r="602"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</row>
    <row r="603"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</row>
    <row r="604"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</row>
    <row r="605"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</row>
    <row r="606"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</row>
    <row r="607"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</row>
    <row r="608"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</row>
    <row r="609"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</row>
    <row r="610"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</row>
    <row r="611"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</row>
    <row r="612"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</row>
    <row r="613"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</row>
    <row r="614"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</row>
    <row r="615"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</row>
    <row r="616"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</row>
    <row r="617"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</row>
    <row r="618"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</row>
    <row r="619"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</row>
    <row r="620"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</row>
    <row r="621"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</row>
    <row r="622"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</row>
    <row r="623"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</row>
    <row r="624"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</row>
    <row r="625"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</row>
    <row r="626"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</row>
    <row r="627"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</row>
    <row r="628"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</row>
    <row r="629"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</row>
    <row r="630"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</row>
    <row r="631"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</row>
    <row r="632"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</row>
    <row r="633"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</row>
    <row r="634"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</row>
    <row r="635"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</row>
    <row r="636"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</row>
    <row r="637"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</row>
    <row r="638"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</row>
    <row r="639"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</row>
    <row r="640"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</row>
    <row r="641"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</row>
    <row r="642"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</row>
    <row r="643"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</row>
    <row r="644"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</row>
    <row r="645"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</row>
    <row r="646"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</row>
    <row r="647"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</row>
    <row r="648"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</row>
    <row r="649"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</row>
    <row r="650"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</row>
    <row r="651"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</row>
    <row r="652"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</row>
    <row r="653"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</row>
    <row r="654"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</row>
    <row r="655"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</row>
    <row r="656"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</row>
    <row r="657"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</row>
    <row r="658"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</row>
    <row r="659"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</row>
    <row r="660"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</row>
    <row r="661"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</row>
    <row r="662"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</row>
    <row r="663"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</row>
    <row r="664"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</row>
    <row r="665"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</row>
    <row r="666"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</row>
    <row r="667"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</row>
    <row r="668"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</row>
    <row r="669"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</row>
    <row r="670"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</row>
    <row r="671"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</row>
    <row r="672"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</row>
    <row r="673"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</row>
    <row r="674"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</row>
    <row r="675"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</row>
    <row r="676"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</row>
    <row r="677"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</row>
    <row r="678"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</row>
    <row r="679"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</row>
    <row r="680"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</row>
    <row r="681"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</row>
    <row r="682"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</row>
    <row r="683"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</row>
    <row r="684"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</row>
    <row r="685"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</row>
    <row r="686"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</row>
    <row r="687"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</row>
    <row r="688"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</row>
    <row r="689"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</row>
    <row r="690"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</row>
    <row r="691"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</row>
    <row r="692"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</row>
    <row r="693"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</row>
    <row r="694"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</row>
    <row r="695"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</row>
    <row r="696"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</row>
    <row r="697"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</row>
    <row r="698"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</row>
    <row r="699"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</row>
    <row r="700"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</row>
    <row r="701"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</row>
    <row r="702"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</row>
    <row r="703"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</row>
    <row r="704"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</row>
    <row r="705"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</row>
    <row r="706"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</row>
    <row r="707"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</row>
    <row r="708"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</row>
    <row r="709"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</row>
    <row r="710"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</row>
    <row r="711"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</row>
    <row r="712"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</row>
    <row r="713"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</row>
    <row r="714"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</row>
    <row r="715"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</row>
    <row r="716"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</row>
    <row r="717"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</row>
    <row r="718"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</row>
    <row r="719"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</row>
    <row r="720"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</row>
    <row r="721"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</row>
    <row r="722"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</row>
    <row r="723"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</row>
    <row r="724"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</row>
    <row r="725"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</row>
    <row r="726"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</row>
    <row r="727"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</row>
    <row r="728"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</row>
    <row r="729"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</row>
    <row r="730"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</row>
    <row r="731"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</row>
    <row r="732"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</row>
    <row r="733"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</row>
    <row r="734"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</row>
    <row r="735"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</row>
    <row r="736"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</row>
    <row r="737"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</row>
    <row r="738"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</row>
    <row r="739"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</row>
    <row r="740"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</row>
    <row r="741"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</row>
    <row r="742"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</row>
    <row r="743"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</row>
    <row r="744"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</row>
    <row r="745"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</row>
    <row r="746"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</row>
    <row r="747"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</row>
    <row r="748"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</row>
    <row r="749"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</row>
    <row r="750"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</row>
    <row r="751"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</row>
    <row r="752"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</row>
    <row r="753"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</row>
    <row r="754"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</row>
    <row r="755"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</row>
    <row r="756"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</row>
    <row r="757"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</row>
    <row r="758"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</row>
    <row r="759"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</row>
    <row r="760"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</row>
    <row r="761"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</row>
    <row r="762"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</row>
    <row r="763"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</row>
    <row r="764"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</row>
    <row r="765"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</row>
    <row r="766"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</row>
    <row r="767"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</row>
    <row r="768"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</row>
    <row r="769"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</row>
    <row r="770"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</row>
    <row r="771"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</row>
    <row r="772"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</row>
    <row r="773"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</row>
    <row r="774"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</row>
    <row r="775"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</row>
    <row r="776"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</row>
    <row r="777"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</row>
    <row r="778"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</row>
    <row r="779"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</row>
    <row r="780"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</row>
    <row r="781"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</row>
    <row r="782"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</row>
    <row r="783"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</row>
    <row r="784"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</row>
    <row r="785"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</row>
    <row r="786"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</row>
    <row r="787"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</row>
    <row r="788"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</row>
    <row r="789"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</row>
    <row r="790"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</row>
    <row r="791"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</row>
    <row r="792"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</row>
    <row r="793"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</row>
    <row r="794"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</row>
    <row r="795"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</row>
    <row r="796"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</row>
    <row r="797"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</row>
    <row r="798"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</row>
    <row r="799"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</row>
    <row r="800"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</row>
    <row r="801"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</row>
    <row r="802"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</row>
    <row r="803"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</row>
    <row r="804"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</row>
    <row r="805"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</row>
    <row r="806"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</row>
    <row r="807"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</row>
    <row r="808"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</row>
    <row r="809"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</row>
    <row r="810"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</row>
    <row r="811"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</row>
    <row r="812"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</row>
    <row r="813"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</row>
    <row r="814"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</row>
    <row r="815"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</row>
    <row r="816"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</row>
    <row r="817"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</row>
    <row r="818"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</row>
    <row r="819"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</row>
    <row r="820"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</row>
    <row r="821"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</row>
    <row r="822"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</row>
    <row r="823"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</row>
    <row r="824"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</row>
    <row r="825"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</row>
    <row r="826"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</row>
    <row r="827"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</row>
    <row r="828"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</row>
    <row r="829"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</row>
    <row r="830"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</row>
    <row r="831"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</row>
    <row r="832"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</row>
    <row r="833"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</row>
    <row r="834"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</row>
    <row r="835"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</row>
    <row r="836"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</row>
    <row r="837"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</row>
    <row r="838"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</row>
    <row r="839"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</row>
    <row r="840"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</row>
    <row r="841"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</row>
    <row r="842"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</row>
    <row r="843"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</row>
    <row r="844"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</row>
    <row r="845"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</row>
    <row r="846"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</row>
    <row r="847"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</row>
    <row r="848"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</row>
    <row r="849"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</row>
    <row r="850"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</row>
    <row r="851"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</row>
    <row r="852"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</row>
    <row r="853"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</row>
    <row r="854"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</row>
    <row r="855"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</row>
    <row r="856"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</row>
    <row r="857"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</row>
    <row r="858"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</row>
    <row r="859"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</row>
    <row r="860"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</row>
    <row r="861"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</row>
    <row r="862"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</row>
    <row r="863"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</row>
    <row r="864"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</row>
    <row r="865"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</row>
    <row r="866"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</row>
    <row r="867"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</row>
    <row r="868"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</row>
    <row r="869"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</row>
    <row r="870"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</row>
    <row r="871"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</row>
    <row r="872"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</row>
    <row r="873"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</row>
    <row r="874"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</row>
    <row r="875"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</row>
    <row r="876"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</row>
    <row r="877"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</row>
    <row r="878"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</row>
    <row r="879"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</row>
    <row r="880"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</row>
    <row r="881"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</row>
    <row r="882"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</row>
    <row r="883"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</row>
    <row r="884"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</row>
    <row r="885"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</row>
    <row r="886"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</row>
    <row r="887"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</row>
    <row r="888"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</row>
    <row r="889"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</row>
    <row r="890"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</row>
    <row r="891"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</row>
    <row r="892"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</row>
    <row r="893"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</row>
    <row r="894"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</row>
    <row r="895"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</row>
    <row r="896"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</row>
    <row r="897"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</row>
    <row r="898"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</row>
    <row r="899"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</row>
    <row r="900"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</row>
    <row r="901"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</row>
    <row r="902"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</row>
    <row r="903"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</row>
    <row r="904"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</row>
    <row r="905"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</row>
    <row r="906"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</row>
    <row r="907"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</row>
    <row r="908"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</row>
    <row r="909"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</row>
    <row r="910"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</row>
    <row r="911"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</row>
    <row r="912"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</row>
    <row r="913"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</row>
    <row r="914"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</row>
    <row r="915"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</row>
    <row r="916"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</row>
    <row r="917"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</row>
    <row r="918"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</row>
    <row r="919"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</row>
    <row r="920"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</row>
    <row r="921"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</row>
    <row r="922"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</row>
    <row r="923"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</row>
    <row r="924"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</row>
    <row r="925"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</row>
    <row r="926"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</row>
    <row r="927"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</row>
    <row r="928"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</row>
    <row r="929"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</row>
    <row r="930"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</row>
    <row r="931"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</row>
    <row r="932"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</row>
    <row r="933"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</row>
    <row r="934"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</row>
    <row r="935"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</row>
    <row r="936"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</row>
    <row r="937"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</row>
    <row r="938"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</row>
    <row r="939"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</row>
    <row r="940"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</row>
    <row r="941"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</row>
    <row r="942"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</row>
    <row r="943"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</row>
    <row r="944"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</row>
    <row r="945"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</row>
    <row r="946"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</row>
    <row r="947"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</row>
    <row r="948"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</row>
    <row r="949"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</row>
    <row r="950"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</row>
    <row r="951"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</row>
    <row r="952"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</row>
    <row r="953"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</row>
    <row r="954"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</row>
    <row r="955"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</row>
    <row r="956"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</row>
    <row r="957"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</row>
    <row r="958"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</row>
    <row r="959"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</row>
    <row r="960"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</row>
    <row r="961"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</row>
    <row r="962"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</row>
    <row r="963"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</row>
    <row r="964"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</row>
    <row r="965"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</row>
    <row r="966"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</row>
    <row r="967"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</row>
    <row r="968"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</row>
    <row r="969"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</row>
    <row r="970"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</row>
    <row r="971"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</row>
    <row r="972"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</row>
    <row r="973"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</row>
    <row r="974"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</row>
    <row r="975"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</row>
    <row r="976"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</row>
    <row r="977"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</row>
    <row r="978"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</row>
    <row r="979"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</row>
    <row r="980"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</row>
    <row r="981"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</row>
    <row r="982"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</row>
    <row r="983"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</row>
    <row r="984"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</row>
    <row r="985"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</row>
    <row r="986"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</row>
    <row r="987"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</row>
    <row r="988"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</row>
    <row r="989"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</row>
    <row r="990"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</row>
    <row r="991"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</row>
    <row r="992"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</row>
    <row r="993"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</row>
    <row r="994"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</row>
    <row r="995"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</row>
    <row r="996"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</row>
    <row r="997"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</row>
    <row r="998"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</row>
    <row r="999"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</row>
    <row r="1000"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</row>
  </sheetData>
  <mergeCells count="14">
    <mergeCell ref="A16:G16"/>
    <mergeCell ref="A22:G22"/>
    <mergeCell ref="I22:O22"/>
    <mergeCell ref="A29:G29"/>
    <mergeCell ref="I29:O29"/>
    <mergeCell ref="A36:G36"/>
    <mergeCell ref="I36:O36"/>
    <mergeCell ref="A1:G2"/>
    <mergeCell ref="I1:O2"/>
    <mergeCell ref="A3:G3"/>
    <mergeCell ref="I3:O3"/>
    <mergeCell ref="A9:G9"/>
    <mergeCell ref="I9:O9"/>
    <mergeCell ref="I16:O16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FF"/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7.86"/>
    <col customWidth="1" min="3" max="3" width="56.43"/>
    <col customWidth="1" min="4" max="4" width="33.0"/>
    <col customWidth="1" min="5" max="5" width="18.14"/>
    <col customWidth="1" min="6" max="26" width="10.71"/>
  </cols>
  <sheetData>
    <row r="1" ht="14.25" customHeight="1">
      <c r="A1" s="1098" t="s">
        <v>2486</v>
      </c>
      <c r="B1" s="1099"/>
      <c r="C1" s="1098" t="s">
        <v>2486</v>
      </c>
      <c r="D1" s="1100" t="s">
        <v>2487</v>
      </c>
      <c r="E1" s="1101" t="s">
        <v>1999</v>
      </c>
    </row>
    <row r="2" ht="21.0" hidden="1" customHeight="1">
      <c r="A2" s="1102">
        <v>45168.0</v>
      </c>
      <c r="B2" s="1103" t="s">
        <v>2488</v>
      </c>
      <c r="C2" s="1103" t="s">
        <v>1255</v>
      </c>
      <c r="D2" s="1104" t="s">
        <v>2489</v>
      </c>
      <c r="E2" s="1105" t="s">
        <v>1144</v>
      </c>
    </row>
    <row r="3" ht="15.0" hidden="1" customHeight="1">
      <c r="A3" s="1102">
        <v>45170.0</v>
      </c>
      <c r="B3" s="1106" t="s">
        <v>2490</v>
      </c>
      <c r="C3" s="1106" t="s">
        <v>2491</v>
      </c>
      <c r="D3" s="1107" t="s">
        <v>1298</v>
      </c>
      <c r="E3" s="1108" t="s">
        <v>1144</v>
      </c>
    </row>
    <row r="4" ht="16.5" hidden="1" customHeight="1">
      <c r="A4" s="1102">
        <v>45174.0</v>
      </c>
      <c r="B4" s="1109" t="s">
        <v>2492</v>
      </c>
      <c r="C4" s="1109" t="s">
        <v>2491</v>
      </c>
      <c r="D4" s="1110" t="s">
        <v>1298</v>
      </c>
      <c r="E4" s="1108" t="s">
        <v>1144</v>
      </c>
    </row>
    <row r="5" ht="15.0" hidden="1" customHeight="1">
      <c r="A5" s="1102">
        <v>45177.0</v>
      </c>
      <c r="B5" s="1106" t="s">
        <v>2493</v>
      </c>
      <c r="C5" s="1106" t="s">
        <v>2491</v>
      </c>
      <c r="D5" s="1107" t="s">
        <v>1298</v>
      </c>
      <c r="E5" s="1108" t="s">
        <v>1144</v>
      </c>
    </row>
    <row r="6" ht="15.0" hidden="1" customHeight="1">
      <c r="A6" s="1102">
        <v>45180.0</v>
      </c>
      <c r="B6" s="1111" t="s">
        <v>2494</v>
      </c>
      <c r="C6" s="1112" t="s">
        <v>1255</v>
      </c>
      <c r="D6" s="1113" t="s">
        <v>2489</v>
      </c>
      <c r="E6" s="1114" t="s">
        <v>2495</v>
      </c>
    </row>
    <row r="7" ht="15.0" hidden="1" customHeight="1">
      <c r="A7" s="1102">
        <v>45185.0</v>
      </c>
      <c r="B7" s="466" t="s">
        <v>2496</v>
      </c>
      <c r="C7" s="1106" t="s">
        <v>2491</v>
      </c>
      <c r="D7" s="1107" t="s">
        <v>1298</v>
      </c>
      <c r="E7" s="1108" t="s">
        <v>1144</v>
      </c>
    </row>
    <row r="8" ht="15.0" hidden="1" customHeight="1">
      <c r="A8" s="1102">
        <v>45187.0</v>
      </c>
      <c r="B8" s="1106" t="s">
        <v>2497</v>
      </c>
      <c r="C8" s="1106" t="s">
        <v>2498</v>
      </c>
      <c r="D8" s="1107" t="s">
        <v>2499</v>
      </c>
      <c r="E8" s="1108" t="s">
        <v>1144</v>
      </c>
    </row>
    <row r="9" ht="15.0" hidden="1" customHeight="1">
      <c r="A9" s="1102">
        <v>45192.0</v>
      </c>
      <c r="B9" s="1106" t="s">
        <v>2500</v>
      </c>
      <c r="C9" s="1106" t="s">
        <v>2491</v>
      </c>
      <c r="D9" s="1107" t="s">
        <v>1298</v>
      </c>
      <c r="E9" s="1108" t="s">
        <v>1144</v>
      </c>
    </row>
    <row r="10" ht="15.0" hidden="1" customHeight="1">
      <c r="A10" s="1102">
        <v>45198.0</v>
      </c>
      <c r="B10" s="1106" t="s">
        <v>2501</v>
      </c>
      <c r="C10" s="1115" t="s">
        <v>1255</v>
      </c>
      <c r="D10" s="1116" t="s">
        <v>2489</v>
      </c>
      <c r="E10" s="1105" t="s">
        <v>1144</v>
      </c>
    </row>
    <row r="11" ht="15.0" hidden="1" customHeight="1">
      <c r="A11" s="1102">
        <v>45199.0</v>
      </c>
      <c r="B11" s="463" t="s">
        <v>2502</v>
      </c>
      <c r="C11" s="1115" t="s">
        <v>1255</v>
      </c>
      <c r="D11" s="1117" t="s">
        <v>2489</v>
      </c>
      <c r="E11" s="1105" t="s">
        <v>1144</v>
      </c>
    </row>
    <row r="12" ht="14.25" hidden="1" customHeight="1">
      <c r="A12" s="1102">
        <v>45200.0</v>
      </c>
      <c r="B12" s="463" t="s">
        <v>2503</v>
      </c>
      <c r="C12" s="1115" t="s">
        <v>1255</v>
      </c>
      <c r="D12" s="1117" t="s">
        <v>2489</v>
      </c>
      <c r="E12" s="1105" t="s">
        <v>1144</v>
      </c>
    </row>
    <row r="13" ht="14.25" hidden="1" customHeight="1">
      <c r="A13" s="1102">
        <v>45232.0</v>
      </c>
      <c r="B13" s="1118" t="s">
        <v>2504</v>
      </c>
      <c r="C13" s="463" t="s">
        <v>2505</v>
      </c>
      <c r="D13" s="1119" t="s">
        <v>1289</v>
      </c>
      <c r="E13" s="1108" t="s">
        <v>1144</v>
      </c>
    </row>
    <row r="14" ht="14.25" hidden="1" customHeight="1">
      <c r="A14" s="1102">
        <v>45236.0</v>
      </c>
      <c r="B14" s="463" t="s">
        <v>2506</v>
      </c>
      <c r="C14" s="1106" t="s">
        <v>2491</v>
      </c>
      <c r="D14" s="1119" t="s">
        <v>1298</v>
      </c>
      <c r="E14" s="1108" t="s">
        <v>1144</v>
      </c>
    </row>
    <row r="15" ht="14.25" hidden="1" customHeight="1">
      <c r="A15" s="1102">
        <v>45236.0</v>
      </c>
      <c r="B15" s="463" t="s">
        <v>2507</v>
      </c>
      <c r="C15" s="1120" t="s">
        <v>1175</v>
      </c>
      <c r="D15" s="1119" t="s">
        <v>2508</v>
      </c>
      <c r="E15" s="1108" t="s">
        <v>1144</v>
      </c>
    </row>
    <row r="16" ht="14.25" hidden="1" customHeight="1">
      <c r="A16" s="1102">
        <v>45238.0</v>
      </c>
      <c r="B16" s="463" t="s">
        <v>2509</v>
      </c>
      <c r="C16" s="1115" t="s">
        <v>1255</v>
      </c>
      <c r="D16" s="1117" t="s">
        <v>2489</v>
      </c>
      <c r="E16" s="1105" t="s">
        <v>1144</v>
      </c>
    </row>
    <row r="17" ht="14.25" hidden="1" customHeight="1">
      <c r="A17" s="1102">
        <v>45241.0</v>
      </c>
      <c r="B17" s="463" t="s">
        <v>2510</v>
      </c>
      <c r="C17" s="465" t="s">
        <v>2511</v>
      </c>
      <c r="D17" s="520" t="s">
        <v>2512</v>
      </c>
      <c r="E17" s="1105" t="s">
        <v>1144</v>
      </c>
    </row>
    <row r="18" ht="14.25" hidden="1" customHeight="1">
      <c r="A18" s="1102">
        <v>45243.0</v>
      </c>
      <c r="B18" s="463" t="s">
        <v>2513</v>
      </c>
      <c r="C18" s="1106" t="s">
        <v>2491</v>
      </c>
      <c r="D18" s="1119" t="s">
        <v>1298</v>
      </c>
      <c r="E18" s="1108" t="s">
        <v>1144</v>
      </c>
    </row>
    <row r="19" ht="14.25" hidden="1" customHeight="1">
      <c r="A19" s="1102">
        <v>45247.0</v>
      </c>
      <c r="B19" s="463" t="s">
        <v>2514</v>
      </c>
      <c r="C19" s="463" t="s">
        <v>2515</v>
      </c>
      <c r="D19" s="1119" t="s">
        <v>2516</v>
      </c>
      <c r="E19" s="1108" t="s">
        <v>1144</v>
      </c>
    </row>
    <row r="20" ht="14.25" hidden="1" customHeight="1">
      <c r="A20" s="1102">
        <v>45250.0</v>
      </c>
      <c r="B20" s="451" t="s">
        <v>2517</v>
      </c>
      <c r="C20" s="1106" t="s">
        <v>2491</v>
      </c>
      <c r="D20" s="1119" t="s">
        <v>1298</v>
      </c>
      <c r="E20" s="1108" t="s">
        <v>1144</v>
      </c>
    </row>
    <row r="21" ht="14.25" hidden="1" customHeight="1">
      <c r="A21" s="1102">
        <v>45252.0</v>
      </c>
      <c r="B21" s="463" t="s">
        <v>2518</v>
      </c>
      <c r="C21" s="465" t="s">
        <v>2519</v>
      </c>
      <c r="D21" s="520" t="s">
        <v>2520</v>
      </c>
      <c r="E21" s="1105" t="s">
        <v>1144</v>
      </c>
    </row>
    <row r="22" ht="14.25" hidden="1" customHeight="1">
      <c r="A22" s="1102">
        <v>45252.0</v>
      </c>
      <c r="B22" s="466" t="s">
        <v>2521</v>
      </c>
      <c r="C22" s="1106" t="s">
        <v>2491</v>
      </c>
      <c r="D22" s="1119" t="s">
        <v>1298</v>
      </c>
      <c r="E22" s="1108" t="s">
        <v>1144</v>
      </c>
    </row>
    <row r="23" ht="14.25" hidden="1" customHeight="1">
      <c r="A23" s="1102">
        <v>45255.0</v>
      </c>
      <c r="B23" s="463" t="s">
        <v>2522</v>
      </c>
      <c r="C23" s="463" t="s">
        <v>2515</v>
      </c>
      <c r="D23" s="1119" t="s">
        <v>2523</v>
      </c>
      <c r="E23" s="1108" t="s">
        <v>1144</v>
      </c>
    </row>
    <row r="24" ht="14.25" hidden="1" customHeight="1">
      <c r="A24" s="1102">
        <v>45295.0</v>
      </c>
      <c r="B24" s="451" t="s">
        <v>1209</v>
      </c>
      <c r="C24" s="466" t="s">
        <v>1210</v>
      </c>
      <c r="D24" s="520" t="s">
        <v>2524</v>
      </c>
      <c r="E24" s="1108" t="s">
        <v>1144</v>
      </c>
    </row>
    <row r="25" ht="14.25" hidden="1" customHeight="1">
      <c r="A25" s="1102">
        <v>45318.0</v>
      </c>
      <c r="B25" s="463" t="s">
        <v>1252</v>
      </c>
      <c r="C25" s="1115" t="s">
        <v>1255</v>
      </c>
      <c r="D25" s="1116" t="s">
        <v>2525</v>
      </c>
      <c r="E25" s="1108" t="s">
        <v>1144</v>
      </c>
    </row>
    <row r="26" ht="31.5" customHeight="1">
      <c r="A26" s="1121"/>
      <c r="B26" s="1122"/>
      <c r="C26" s="1123" t="s">
        <v>2526</v>
      </c>
      <c r="D26" s="1122"/>
      <c r="E26" s="1124"/>
    </row>
    <row r="27" ht="14.25" customHeight="1">
      <c r="A27" s="477"/>
      <c r="B27" s="456"/>
      <c r="C27" s="456"/>
      <c r="D27" s="1125"/>
      <c r="E27" s="1126"/>
    </row>
    <row r="28" ht="14.25" customHeight="1">
      <c r="A28" s="477"/>
      <c r="B28" s="456"/>
      <c r="C28" s="456"/>
      <c r="D28" s="1125"/>
      <c r="E28" s="1126"/>
    </row>
    <row r="29" ht="31.5" customHeight="1">
      <c r="A29" s="1121"/>
      <c r="B29" s="1122"/>
      <c r="C29" s="1124" t="s">
        <v>2527</v>
      </c>
      <c r="D29" s="1122"/>
      <c r="E29" s="1124"/>
    </row>
    <row r="30" ht="15.0" customHeight="1">
      <c r="A30" s="477"/>
      <c r="B30" s="456"/>
      <c r="C30" s="490"/>
      <c r="D30" s="1125"/>
      <c r="E30" s="1127"/>
    </row>
    <row r="31" ht="14.25" customHeight="1">
      <c r="A31" s="459"/>
      <c r="B31" s="462"/>
      <c r="C31" s="462"/>
      <c r="D31" s="491"/>
      <c r="E31" s="1126"/>
      <c r="F31" s="469"/>
      <c r="G31" s="469"/>
      <c r="H31" s="469"/>
      <c r="I31" s="469"/>
      <c r="J31" s="469"/>
      <c r="K31" s="469"/>
      <c r="L31" s="469"/>
      <c r="M31" s="469"/>
      <c r="N31" s="469"/>
      <c r="O31" s="469"/>
      <c r="P31" s="469"/>
      <c r="Q31" s="469"/>
      <c r="R31" s="469"/>
      <c r="S31" s="469"/>
      <c r="T31" s="469"/>
      <c r="U31" s="469"/>
      <c r="V31" s="469"/>
      <c r="W31" s="469"/>
      <c r="X31" s="469"/>
      <c r="Y31" s="469"/>
      <c r="Z31" s="469"/>
    </row>
    <row r="32" ht="14.25" customHeight="1">
      <c r="A32" s="459"/>
      <c r="B32" s="491"/>
      <c r="C32" s="459"/>
      <c r="D32" s="491"/>
      <c r="E32" s="491"/>
      <c r="F32" s="469"/>
      <c r="G32" s="469"/>
      <c r="H32" s="469"/>
      <c r="I32" s="469"/>
      <c r="J32" s="469"/>
      <c r="K32" s="469"/>
      <c r="L32" s="469"/>
      <c r="M32" s="469"/>
      <c r="N32" s="469"/>
      <c r="O32" s="469"/>
      <c r="P32" s="469"/>
      <c r="Q32" s="469"/>
      <c r="R32" s="469"/>
      <c r="S32" s="469"/>
      <c r="T32" s="469"/>
      <c r="U32" s="469"/>
      <c r="V32" s="469"/>
      <c r="W32" s="469"/>
      <c r="X32" s="469"/>
      <c r="Y32" s="469"/>
      <c r="Z32" s="469"/>
    </row>
    <row r="33" ht="14.25" customHeight="1">
      <c r="A33" s="459"/>
      <c r="B33" s="491"/>
      <c r="C33" s="491"/>
      <c r="D33" s="491"/>
      <c r="E33" s="491"/>
      <c r="F33" s="469"/>
      <c r="G33" s="469"/>
      <c r="H33" s="469"/>
      <c r="I33" s="469"/>
      <c r="J33" s="469"/>
      <c r="K33" s="469"/>
      <c r="L33" s="469"/>
      <c r="M33" s="469"/>
      <c r="N33" s="469"/>
      <c r="O33" s="469"/>
      <c r="P33" s="469"/>
      <c r="Q33" s="469"/>
      <c r="R33" s="469"/>
      <c r="S33" s="469"/>
      <c r="T33" s="469"/>
      <c r="U33" s="469"/>
      <c r="V33" s="469"/>
      <c r="W33" s="469"/>
      <c r="X33" s="469"/>
      <c r="Y33" s="469"/>
      <c r="Z33" s="469"/>
    </row>
    <row r="34" ht="14.25" customHeight="1">
      <c r="A34" s="459"/>
      <c r="B34" s="491"/>
      <c r="C34" s="499"/>
      <c r="D34" s="491"/>
      <c r="E34" s="1126"/>
      <c r="F34" s="469"/>
      <c r="G34" s="469"/>
      <c r="H34" s="469"/>
      <c r="I34" s="469"/>
      <c r="J34" s="469"/>
      <c r="K34" s="469"/>
      <c r="L34" s="469"/>
      <c r="M34" s="469"/>
      <c r="N34" s="469"/>
      <c r="O34" s="469"/>
      <c r="P34" s="469"/>
      <c r="Q34" s="469"/>
      <c r="R34" s="469"/>
      <c r="S34" s="469"/>
      <c r="T34" s="469"/>
      <c r="U34" s="469"/>
      <c r="V34" s="469"/>
      <c r="W34" s="469"/>
      <c r="X34" s="469"/>
      <c r="Y34" s="469"/>
      <c r="Z34" s="469"/>
    </row>
    <row r="35" ht="31.5" customHeight="1">
      <c r="A35" s="1121"/>
      <c r="B35" s="1122"/>
      <c r="C35" s="1124" t="s">
        <v>2528</v>
      </c>
      <c r="D35" s="1122"/>
      <c r="E35" s="1124"/>
    </row>
    <row r="36" ht="15.0" customHeight="1">
      <c r="A36" s="477"/>
      <c r="B36" s="450"/>
      <c r="C36" s="450"/>
      <c r="D36" s="1125"/>
      <c r="E36" s="1127"/>
    </row>
    <row r="37" ht="14.25" customHeight="1">
      <c r="A37" s="459"/>
      <c r="B37" s="462"/>
      <c r="C37" s="462"/>
      <c r="D37" s="491"/>
      <c r="E37" s="491"/>
      <c r="F37" s="469"/>
      <c r="G37" s="469"/>
      <c r="H37" s="469"/>
      <c r="I37" s="469"/>
      <c r="J37" s="469"/>
      <c r="K37" s="469"/>
      <c r="L37" s="469"/>
      <c r="M37" s="469"/>
      <c r="N37" s="469"/>
      <c r="O37" s="469"/>
      <c r="P37" s="469"/>
      <c r="Q37" s="469"/>
      <c r="R37" s="469"/>
      <c r="S37" s="469"/>
      <c r="T37" s="469"/>
      <c r="U37" s="469"/>
      <c r="V37" s="469"/>
      <c r="W37" s="469"/>
      <c r="X37" s="469"/>
      <c r="Y37" s="469"/>
      <c r="Z37" s="469"/>
    </row>
    <row r="38" ht="14.25" customHeight="1">
      <c r="A38" s="459"/>
      <c r="B38" s="491"/>
      <c r="C38" s="462"/>
      <c r="D38" s="491"/>
      <c r="E38" s="1126"/>
      <c r="F38" s="469"/>
      <c r="G38" s="469"/>
      <c r="H38" s="469"/>
      <c r="I38" s="469"/>
      <c r="J38" s="469"/>
      <c r="K38" s="469"/>
      <c r="L38" s="469"/>
      <c r="M38" s="469"/>
      <c r="N38" s="469"/>
      <c r="O38" s="469"/>
      <c r="P38" s="469"/>
      <c r="Q38" s="469"/>
      <c r="R38" s="469"/>
      <c r="S38" s="469"/>
      <c r="T38" s="469"/>
      <c r="U38" s="469"/>
      <c r="V38" s="469"/>
      <c r="W38" s="469"/>
      <c r="X38" s="469"/>
      <c r="Y38" s="469"/>
      <c r="Z38" s="469"/>
    </row>
    <row r="39" ht="14.25" customHeight="1">
      <c r="A39" s="459"/>
      <c r="B39" s="491"/>
      <c r="C39" s="462"/>
      <c r="D39" s="491"/>
      <c r="E39" s="1126"/>
      <c r="F39" s="469"/>
      <c r="G39" s="469"/>
      <c r="H39" s="469"/>
      <c r="I39" s="469"/>
      <c r="J39" s="469"/>
      <c r="K39" s="469"/>
      <c r="L39" s="469"/>
      <c r="M39" s="469"/>
      <c r="N39" s="469"/>
      <c r="O39" s="469"/>
      <c r="P39" s="469"/>
      <c r="Q39" s="469"/>
      <c r="R39" s="469"/>
      <c r="S39" s="469"/>
      <c r="T39" s="469"/>
      <c r="U39" s="469"/>
      <c r="V39" s="469"/>
      <c r="W39" s="469"/>
      <c r="X39" s="469"/>
      <c r="Y39" s="469"/>
      <c r="Z39" s="469"/>
    </row>
    <row r="40" ht="14.25" customHeight="1">
      <c r="A40" s="459"/>
      <c r="B40" s="491"/>
      <c r="C40" s="462"/>
      <c r="D40" s="491"/>
      <c r="E40" s="1126"/>
      <c r="F40" s="469"/>
      <c r="G40" s="469"/>
      <c r="H40" s="469"/>
      <c r="I40" s="469"/>
      <c r="J40" s="469"/>
      <c r="K40" s="469"/>
      <c r="L40" s="469"/>
      <c r="M40" s="469"/>
      <c r="N40" s="469"/>
      <c r="O40" s="469"/>
      <c r="P40" s="469"/>
      <c r="Q40" s="469"/>
      <c r="R40" s="469"/>
      <c r="S40" s="469"/>
      <c r="T40" s="469"/>
      <c r="U40" s="469"/>
      <c r="V40" s="469"/>
      <c r="W40" s="469"/>
      <c r="X40" s="469"/>
      <c r="Y40" s="469"/>
      <c r="Z40" s="469"/>
    </row>
    <row r="41" ht="14.25" customHeight="1">
      <c r="A41" s="459"/>
      <c r="B41" s="462"/>
      <c r="C41" s="491"/>
      <c r="D41" s="491"/>
      <c r="E41" s="491"/>
      <c r="F41" s="469"/>
      <c r="G41" s="469"/>
      <c r="H41" s="469"/>
      <c r="I41" s="469"/>
      <c r="J41" s="469"/>
      <c r="K41" s="469"/>
      <c r="L41" s="469"/>
      <c r="M41" s="469"/>
      <c r="N41" s="469"/>
      <c r="O41" s="469"/>
      <c r="P41" s="469"/>
      <c r="Q41" s="469"/>
      <c r="R41" s="469"/>
      <c r="S41" s="469"/>
      <c r="T41" s="469"/>
      <c r="U41" s="469"/>
      <c r="V41" s="469"/>
      <c r="W41" s="469"/>
      <c r="X41" s="469"/>
      <c r="Y41" s="469"/>
      <c r="Z41" s="469"/>
    </row>
    <row r="42" ht="14.25" customHeight="1">
      <c r="A42" s="459"/>
      <c r="B42" s="491"/>
      <c r="C42" s="462"/>
      <c r="D42" s="491"/>
      <c r="E42" s="1126"/>
      <c r="F42" s="469"/>
      <c r="G42" s="469"/>
      <c r="H42" s="469"/>
      <c r="I42" s="469"/>
      <c r="J42" s="469"/>
      <c r="K42" s="469"/>
      <c r="L42" s="469"/>
      <c r="M42" s="469"/>
      <c r="N42" s="469"/>
      <c r="O42" s="469"/>
      <c r="P42" s="469"/>
      <c r="Q42" s="469"/>
      <c r="R42" s="469"/>
      <c r="S42" s="469"/>
      <c r="T42" s="469"/>
      <c r="U42" s="469"/>
      <c r="V42" s="469"/>
      <c r="W42" s="469"/>
      <c r="X42" s="469"/>
      <c r="Y42" s="469"/>
      <c r="Z42" s="469"/>
    </row>
    <row r="43" ht="14.25" customHeight="1">
      <c r="A43" s="459"/>
      <c r="B43" s="462"/>
      <c r="C43" s="491"/>
      <c r="D43" s="491"/>
      <c r="E43" s="1126"/>
      <c r="F43" s="469"/>
      <c r="G43" s="469"/>
      <c r="H43" s="469"/>
      <c r="I43" s="469"/>
      <c r="J43" s="469"/>
      <c r="K43" s="469"/>
      <c r="L43" s="469"/>
      <c r="M43" s="469"/>
      <c r="N43" s="469"/>
      <c r="O43" s="469"/>
      <c r="P43" s="469"/>
      <c r="Q43" s="469"/>
      <c r="R43" s="469"/>
      <c r="S43" s="469"/>
      <c r="T43" s="469"/>
      <c r="U43" s="469"/>
      <c r="V43" s="469"/>
      <c r="W43" s="469"/>
      <c r="X43" s="469"/>
      <c r="Y43" s="469"/>
      <c r="Z43" s="469"/>
    </row>
    <row r="44" ht="14.25" customHeight="1">
      <c r="A44" s="459"/>
      <c r="B44" s="1128"/>
      <c r="C44" s="462"/>
      <c r="D44" s="491"/>
      <c r="E44" s="1126"/>
      <c r="F44" s="469"/>
      <c r="G44" s="469"/>
      <c r="H44" s="469"/>
      <c r="I44" s="469"/>
      <c r="J44" s="469"/>
      <c r="K44" s="469"/>
      <c r="L44" s="469"/>
      <c r="M44" s="469"/>
      <c r="N44" s="469"/>
      <c r="O44" s="469"/>
      <c r="P44" s="469"/>
      <c r="Q44" s="469"/>
      <c r="R44" s="469"/>
      <c r="S44" s="469"/>
      <c r="T44" s="469"/>
      <c r="U44" s="469"/>
      <c r="V44" s="469"/>
      <c r="W44" s="469"/>
      <c r="X44" s="469"/>
      <c r="Y44" s="469"/>
      <c r="Z44" s="469"/>
    </row>
    <row r="45" ht="14.25" customHeight="1">
      <c r="A45" s="459"/>
      <c r="B45" s="462"/>
      <c r="C45" s="499"/>
      <c r="D45" s="491"/>
      <c r="E45" s="1126"/>
      <c r="F45" s="469"/>
      <c r="G45" s="469"/>
      <c r="H45" s="469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69"/>
      <c r="X45" s="469"/>
      <c r="Y45" s="469"/>
      <c r="Z45" s="469"/>
    </row>
    <row r="46" ht="14.25" customHeight="1">
      <c r="A46" s="459"/>
      <c r="B46" s="491"/>
      <c r="C46" s="459"/>
      <c r="D46" s="491"/>
      <c r="E46" s="1126"/>
      <c r="F46" s="469"/>
      <c r="G46" s="469"/>
      <c r="H46" s="469"/>
      <c r="I46" s="469"/>
      <c r="J46" s="469"/>
      <c r="K46" s="469"/>
      <c r="L46" s="469"/>
      <c r="M46" s="469"/>
      <c r="N46" s="469"/>
      <c r="O46" s="469"/>
      <c r="P46" s="469"/>
      <c r="Q46" s="469"/>
      <c r="R46" s="469"/>
      <c r="S46" s="469"/>
      <c r="T46" s="469"/>
      <c r="U46" s="469"/>
      <c r="V46" s="469"/>
      <c r="W46" s="469"/>
      <c r="X46" s="469"/>
      <c r="Y46" s="469"/>
      <c r="Z46" s="469"/>
    </row>
    <row r="47" ht="15.0" customHeight="1">
      <c r="A47" s="459"/>
      <c r="B47" s="462"/>
      <c r="C47" s="462"/>
      <c r="D47" s="1129"/>
      <c r="E47" s="1126"/>
      <c r="F47" s="469"/>
      <c r="G47" s="469"/>
      <c r="H47" s="469"/>
      <c r="I47" s="469"/>
      <c r="J47" s="469"/>
      <c r="K47" s="469"/>
      <c r="L47" s="469"/>
      <c r="M47" s="469"/>
      <c r="N47" s="469"/>
      <c r="O47" s="469"/>
      <c r="P47" s="469"/>
      <c r="Q47" s="469"/>
      <c r="R47" s="469"/>
      <c r="S47" s="469"/>
      <c r="T47" s="469"/>
      <c r="U47" s="469"/>
      <c r="V47" s="469"/>
      <c r="W47" s="469"/>
      <c r="X47" s="469"/>
      <c r="Y47" s="469"/>
      <c r="Z47" s="469"/>
    </row>
    <row r="48" ht="15.0" customHeight="1">
      <c r="A48" s="459"/>
      <c r="B48" s="462"/>
      <c r="C48" s="491"/>
      <c r="D48" s="1129"/>
      <c r="E48" s="1126"/>
      <c r="F48" s="469"/>
      <c r="G48" s="469"/>
      <c r="H48" s="469"/>
      <c r="I48" s="469"/>
      <c r="J48" s="469"/>
      <c r="K48" s="469"/>
      <c r="L48" s="469"/>
      <c r="M48" s="469"/>
      <c r="N48" s="469"/>
      <c r="O48" s="469"/>
      <c r="P48" s="469"/>
      <c r="Q48" s="469"/>
      <c r="R48" s="469"/>
      <c r="S48" s="469"/>
      <c r="T48" s="469"/>
      <c r="U48" s="469"/>
      <c r="V48" s="469"/>
      <c r="W48" s="469"/>
      <c r="X48" s="469"/>
      <c r="Y48" s="469"/>
      <c r="Z48" s="469"/>
    </row>
    <row r="49" ht="15.0" customHeight="1">
      <c r="A49" s="459"/>
      <c r="B49" s="491"/>
      <c r="C49" s="462"/>
      <c r="D49" s="1129"/>
      <c r="E49" s="1126"/>
      <c r="F49" s="469"/>
      <c r="G49" s="469"/>
      <c r="H49" s="469"/>
      <c r="I49" s="469"/>
      <c r="J49" s="469"/>
      <c r="K49" s="469"/>
      <c r="L49" s="469"/>
      <c r="M49" s="469"/>
      <c r="N49" s="469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  <c r="Z49" s="469"/>
    </row>
    <row r="50" ht="15.0" customHeight="1">
      <c r="A50" s="449"/>
      <c r="B50" s="462"/>
      <c r="C50" s="462"/>
      <c r="D50" s="1130"/>
      <c r="E50" s="1126"/>
      <c r="F50" s="469"/>
      <c r="G50" s="469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</row>
    <row r="51" ht="14.25" customHeight="1">
      <c r="A51" s="1131"/>
      <c r="B51" s="451"/>
      <c r="C51" s="1132"/>
      <c r="D51" s="1133"/>
      <c r="E51" s="1134"/>
      <c r="F51" s="469"/>
      <c r="G51" s="469"/>
      <c r="H51" s="469"/>
      <c r="I51" s="469"/>
      <c r="J51" s="469"/>
      <c r="K51" s="469"/>
      <c r="L51" s="469"/>
      <c r="M51" s="469"/>
      <c r="N51" s="469"/>
      <c r="O51" s="469"/>
      <c r="P51" s="469"/>
      <c r="Q51" s="469"/>
      <c r="R51" s="469"/>
      <c r="S51" s="469"/>
      <c r="T51" s="469"/>
      <c r="U51" s="469"/>
      <c r="V51" s="469"/>
      <c r="W51" s="469"/>
      <c r="X51" s="469"/>
      <c r="Y51" s="469"/>
      <c r="Z51" s="469"/>
    </row>
    <row r="52" ht="14.25" customHeight="1">
      <c r="A52" s="1131"/>
      <c r="B52" s="457"/>
      <c r="C52" s="451"/>
      <c r="D52" s="1133"/>
      <c r="E52" s="1133"/>
      <c r="F52" s="469"/>
      <c r="G52" s="469"/>
      <c r="H52" s="469"/>
      <c r="I52" s="469"/>
      <c r="J52" s="469"/>
      <c r="K52" s="469"/>
      <c r="L52" s="469"/>
      <c r="M52" s="469"/>
      <c r="N52" s="469"/>
      <c r="O52" s="469"/>
      <c r="P52" s="469"/>
      <c r="Q52" s="469"/>
      <c r="R52" s="469"/>
      <c r="S52" s="469"/>
      <c r="T52" s="469"/>
      <c r="U52" s="469"/>
      <c r="V52" s="469"/>
      <c r="W52" s="469"/>
      <c r="X52" s="469"/>
      <c r="Y52" s="469"/>
      <c r="Z52" s="469"/>
    </row>
    <row r="53" ht="14.25" customHeight="1">
      <c r="A53" s="1135"/>
      <c r="B53" s="1136"/>
      <c r="C53" s="1136"/>
      <c r="D53" s="1137"/>
      <c r="E53" s="1134"/>
      <c r="F53" s="469"/>
      <c r="G53" s="469"/>
      <c r="H53" s="469"/>
      <c r="I53" s="469"/>
      <c r="J53" s="469"/>
      <c r="K53" s="469"/>
      <c r="L53" s="469"/>
      <c r="M53" s="469"/>
      <c r="N53" s="469"/>
      <c r="O53" s="469"/>
      <c r="P53" s="469"/>
      <c r="Q53" s="469"/>
      <c r="R53" s="469"/>
      <c r="S53" s="469"/>
      <c r="T53" s="469"/>
      <c r="U53" s="469"/>
      <c r="V53" s="469"/>
      <c r="W53" s="469"/>
      <c r="X53" s="469"/>
      <c r="Y53" s="469"/>
      <c r="Z53" s="469"/>
    </row>
    <row r="54" ht="14.25" customHeight="1">
      <c r="A54" s="1131"/>
      <c r="B54" s="451"/>
      <c r="C54" s="451"/>
      <c r="D54" s="1133"/>
      <c r="E54" s="1133"/>
      <c r="F54" s="469"/>
      <c r="G54" s="469"/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</row>
    <row r="55" ht="14.25" customHeight="1">
      <c r="A55" s="1131"/>
      <c r="B55" s="451"/>
      <c r="C55" s="451"/>
      <c r="D55" s="1134"/>
      <c r="E55" s="1133"/>
      <c r="F55" s="469"/>
      <c r="G55" s="469"/>
      <c r="H55" s="469"/>
      <c r="I55" s="469"/>
      <c r="J55" s="469"/>
      <c r="K55" s="469"/>
      <c r="L55" s="469"/>
      <c r="M55" s="469"/>
      <c r="N55" s="469"/>
      <c r="O55" s="469"/>
      <c r="P55" s="469"/>
      <c r="Q55" s="469"/>
      <c r="R55" s="469"/>
      <c r="S55" s="469"/>
      <c r="T55" s="469"/>
      <c r="U55" s="469"/>
      <c r="V55" s="469"/>
      <c r="W55" s="469"/>
      <c r="X55" s="469"/>
      <c r="Y55" s="469"/>
      <c r="Z55" s="469"/>
    </row>
    <row r="56" ht="14.25" customHeight="1">
      <c r="A56" s="1138"/>
      <c r="B56" s="451"/>
      <c r="C56" s="451"/>
      <c r="D56" s="1133"/>
      <c r="E56" s="1139"/>
      <c r="F56" s="469"/>
      <c r="G56" s="469"/>
      <c r="H56" s="469"/>
      <c r="I56" s="469"/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69"/>
      <c r="W56" s="469"/>
      <c r="X56" s="469"/>
      <c r="Y56" s="469"/>
      <c r="Z56" s="469"/>
    </row>
    <row r="57" ht="14.25" customHeight="1">
      <c r="A57" s="1131"/>
      <c r="B57" s="457"/>
      <c r="C57" s="457"/>
      <c r="D57" s="1140"/>
      <c r="E57" s="1133"/>
      <c r="F57" s="469"/>
      <c r="G57" s="469"/>
      <c r="H57" s="469"/>
      <c r="I57" s="469"/>
      <c r="J57" s="469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</row>
    <row r="58" ht="14.25" customHeight="1">
      <c r="A58" s="1131"/>
      <c r="B58" s="1136"/>
      <c r="C58" s="1131"/>
      <c r="D58" s="1133"/>
      <c r="E58" s="1133"/>
      <c r="F58" s="469"/>
      <c r="G58" s="469"/>
      <c r="H58" s="469"/>
      <c r="I58" s="469"/>
      <c r="J58" s="469"/>
      <c r="K58" s="469"/>
      <c r="L58" s="469"/>
      <c r="M58" s="469"/>
      <c r="N58" s="469"/>
      <c r="O58" s="469"/>
      <c r="P58" s="469"/>
      <c r="Q58" s="469"/>
      <c r="R58" s="469"/>
      <c r="S58" s="469"/>
      <c r="T58" s="469"/>
      <c r="U58" s="469"/>
      <c r="V58" s="469"/>
      <c r="W58" s="469"/>
      <c r="X58" s="469"/>
      <c r="Y58" s="469"/>
      <c r="Z58" s="469"/>
    </row>
    <row r="59" ht="14.25" customHeight="1">
      <c r="A59" s="1131"/>
      <c r="B59" s="457"/>
      <c r="C59" s="451"/>
      <c r="D59" s="1133"/>
      <c r="E59" s="1133"/>
      <c r="F59" s="469"/>
      <c r="G59" s="469"/>
      <c r="H59" s="469"/>
      <c r="I59" s="469"/>
      <c r="J59" s="469"/>
      <c r="K59" s="469"/>
      <c r="L59" s="469"/>
      <c r="M59" s="469"/>
      <c r="N59" s="469"/>
      <c r="O59" s="469"/>
      <c r="P59" s="469"/>
      <c r="Q59" s="469"/>
      <c r="R59" s="469"/>
      <c r="S59" s="469"/>
      <c r="T59" s="469"/>
      <c r="U59" s="469"/>
      <c r="V59" s="469"/>
      <c r="W59" s="469"/>
      <c r="X59" s="469"/>
      <c r="Y59" s="469"/>
      <c r="Z59" s="469"/>
    </row>
    <row r="60" ht="14.25" customHeight="1">
      <c r="A60" s="1133"/>
      <c r="B60" s="457"/>
      <c r="C60" s="451"/>
      <c r="D60" s="1134"/>
      <c r="E60" s="1133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</row>
    <row r="61" ht="14.25" customHeight="1">
      <c r="A61" s="1131"/>
      <c r="B61" s="457"/>
      <c r="C61" s="451"/>
      <c r="D61" s="1134"/>
      <c r="E61" s="1133"/>
      <c r="F61" s="469"/>
      <c r="G61" s="469"/>
      <c r="H61" s="469"/>
      <c r="I61" s="469"/>
      <c r="J61" s="469"/>
      <c r="K61" s="469"/>
      <c r="L61" s="469"/>
      <c r="M61" s="469"/>
      <c r="N61" s="469"/>
      <c r="O61" s="469"/>
      <c r="P61" s="469"/>
      <c r="Q61" s="469"/>
      <c r="R61" s="469"/>
      <c r="S61" s="469"/>
      <c r="T61" s="469"/>
      <c r="U61" s="469"/>
      <c r="V61" s="469"/>
      <c r="W61" s="469"/>
      <c r="X61" s="469"/>
      <c r="Y61" s="469"/>
      <c r="Z61" s="469"/>
    </row>
    <row r="62" ht="14.25" customHeight="1">
      <c r="A62" s="1131"/>
      <c r="B62" s="457"/>
      <c r="C62" s="451"/>
      <c r="D62" s="1134"/>
      <c r="E62" s="1139"/>
      <c r="F62" s="469"/>
      <c r="G62" s="469"/>
      <c r="H62" s="469"/>
      <c r="I62" s="469"/>
      <c r="J62" s="469"/>
      <c r="K62" s="469"/>
      <c r="L62" s="469"/>
      <c r="M62" s="469"/>
      <c r="N62" s="469"/>
      <c r="O62" s="469"/>
      <c r="P62" s="469"/>
      <c r="Q62" s="469"/>
      <c r="R62" s="469"/>
      <c r="S62" s="469"/>
      <c r="T62" s="469"/>
      <c r="U62" s="469"/>
      <c r="V62" s="469"/>
      <c r="W62" s="469"/>
      <c r="X62" s="469"/>
      <c r="Y62" s="469"/>
      <c r="Z62" s="469"/>
    </row>
    <row r="63" ht="14.25" customHeight="1">
      <c r="A63" s="1131"/>
      <c r="B63" s="457"/>
      <c r="C63" s="451"/>
      <c r="D63" s="1141"/>
      <c r="E63" s="1139"/>
      <c r="F63" s="469"/>
      <c r="G63" s="469"/>
      <c r="H63" s="469"/>
      <c r="I63" s="469"/>
      <c r="J63" s="469"/>
      <c r="K63" s="469"/>
      <c r="L63" s="469"/>
      <c r="M63" s="469"/>
      <c r="N63" s="469"/>
      <c r="O63" s="469"/>
      <c r="P63" s="469"/>
      <c r="Q63" s="469"/>
      <c r="R63" s="469"/>
      <c r="S63" s="469"/>
      <c r="T63" s="469"/>
      <c r="U63" s="469"/>
      <c r="V63" s="469"/>
      <c r="W63" s="469"/>
      <c r="X63" s="469"/>
      <c r="Y63" s="469"/>
      <c r="Z63" s="469"/>
    </row>
    <row r="64" ht="14.25" customHeight="1">
      <c r="A64" s="1131"/>
      <c r="B64" s="457"/>
      <c r="C64" s="451"/>
      <c r="D64" s="1134"/>
      <c r="E64" s="1139"/>
      <c r="F64" s="469"/>
      <c r="G64" s="469"/>
      <c r="H64" s="469"/>
      <c r="I64" s="469"/>
      <c r="J64" s="469"/>
      <c r="K64" s="469"/>
      <c r="L64" s="469"/>
      <c r="M64" s="469"/>
      <c r="N64" s="469"/>
      <c r="O64" s="469"/>
      <c r="P64" s="469"/>
      <c r="Q64" s="469"/>
      <c r="R64" s="469"/>
      <c r="S64" s="469"/>
      <c r="T64" s="469"/>
      <c r="U64" s="469"/>
      <c r="V64" s="469"/>
      <c r="W64" s="469"/>
      <c r="X64" s="469"/>
      <c r="Y64" s="469"/>
      <c r="Z64" s="469"/>
    </row>
    <row r="65" ht="14.25" customHeight="1">
      <c r="A65" s="1131"/>
      <c r="B65" s="1132"/>
      <c r="C65" s="1142"/>
      <c r="D65" s="1133"/>
      <c r="E65" s="1143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</row>
    <row r="66" ht="14.25" customHeight="1">
      <c r="A66" s="1131"/>
      <c r="B66" s="1132"/>
      <c r="C66" s="1142"/>
      <c r="D66" s="1133"/>
      <c r="E66" s="1143"/>
      <c r="F66" s="469"/>
      <c r="G66" s="469"/>
      <c r="H66" s="469"/>
      <c r="I66" s="469"/>
      <c r="J66" s="469"/>
      <c r="K66" s="469"/>
      <c r="L66" s="469"/>
      <c r="M66" s="469"/>
      <c r="N66" s="469"/>
      <c r="O66" s="469"/>
      <c r="P66" s="469"/>
      <c r="Q66" s="469"/>
      <c r="R66" s="469"/>
      <c r="S66" s="469"/>
      <c r="T66" s="469"/>
      <c r="U66" s="469"/>
      <c r="V66" s="469"/>
      <c r="W66" s="469"/>
      <c r="X66" s="469"/>
      <c r="Y66" s="469"/>
      <c r="Z66" s="469"/>
    </row>
    <row r="67" ht="14.25" customHeight="1">
      <c r="A67" s="1131"/>
      <c r="B67" s="1132"/>
      <c r="C67" s="1142"/>
      <c r="D67" s="1133"/>
      <c r="E67" s="1143"/>
      <c r="F67" s="469"/>
      <c r="G67" s="469"/>
      <c r="H67" s="469"/>
      <c r="I67" s="469"/>
      <c r="J67" s="469"/>
      <c r="K67" s="469"/>
      <c r="L67" s="469"/>
      <c r="M67" s="469"/>
      <c r="N67" s="469"/>
      <c r="O67" s="469"/>
      <c r="P67" s="469"/>
      <c r="Q67" s="469"/>
      <c r="R67" s="469"/>
      <c r="S67" s="469"/>
      <c r="T67" s="469"/>
      <c r="U67" s="469"/>
      <c r="V67" s="469"/>
      <c r="W67" s="469"/>
      <c r="X67" s="469"/>
      <c r="Y67" s="469"/>
      <c r="Z67" s="469"/>
    </row>
    <row r="68" ht="14.25" customHeight="1">
      <c r="A68" s="1131"/>
      <c r="B68" s="1132"/>
      <c r="C68" s="1142"/>
      <c r="D68" s="1133"/>
      <c r="E68" s="1143"/>
      <c r="F68" s="469"/>
      <c r="G68" s="469"/>
      <c r="H68" s="469"/>
      <c r="I68" s="469"/>
      <c r="J68" s="469"/>
      <c r="K68" s="469"/>
      <c r="L68" s="469"/>
      <c r="M68" s="469"/>
      <c r="N68" s="469"/>
      <c r="O68" s="469"/>
      <c r="P68" s="469"/>
      <c r="Q68" s="469"/>
      <c r="R68" s="469"/>
      <c r="S68" s="469"/>
      <c r="T68" s="469"/>
      <c r="U68" s="469"/>
      <c r="V68" s="469"/>
      <c r="W68" s="469"/>
      <c r="X68" s="469"/>
      <c r="Y68" s="469"/>
      <c r="Z68" s="469"/>
    </row>
    <row r="69" ht="14.25" customHeight="1">
      <c r="A69" s="1131"/>
      <c r="B69" s="1132"/>
      <c r="C69" s="1142"/>
      <c r="D69" s="1133"/>
      <c r="E69" s="1143"/>
      <c r="F69" s="469"/>
      <c r="G69" s="469"/>
      <c r="H69" s="469"/>
      <c r="I69" s="469"/>
      <c r="J69" s="469"/>
      <c r="K69" s="469"/>
      <c r="L69" s="469"/>
      <c r="M69" s="469"/>
      <c r="N69" s="469"/>
      <c r="O69" s="469"/>
      <c r="P69" s="469"/>
      <c r="Q69" s="469"/>
      <c r="R69" s="469"/>
      <c r="S69" s="469"/>
      <c r="T69" s="469"/>
      <c r="U69" s="469"/>
      <c r="V69" s="469"/>
      <c r="W69" s="469"/>
      <c r="X69" s="469"/>
      <c r="Y69" s="469"/>
      <c r="Z69" s="469"/>
    </row>
    <row r="70" ht="14.25" customHeight="1">
      <c r="A70" s="1131"/>
      <c r="B70" s="1132"/>
      <c r="C70" s="1142"/>
      <c r="D70" s="1133"/>
      <c r="E70" s="1143"/>
      <c r="F70" s="469"/>
      <c r="G70" s="469"/>
      <c r="H70" s="469"/>
      <c r="I70" s="469"/>
      <c r="J70" s="469"/>
      <c r="K70" s="469"/>
      <c r="L70" s="469"/>
      <c r="M70" s="469"/>
      <c r="N70" s="469"/>
      <c r="O70" s="469"/>
      <c r="P70" s="469"/>
      <c r="Q70" s="469"/>
      <c r="R70" s="469"/>
      <c r="S70" s="469"/>
      <c r="T70" s="469"/>
      <c r="U70" s="469"/>
      <c r="V70" s="469"/>
      <c r="W70" s="469"/>
      <c r="X70" s="469"/>
      <c r="Y70" s="469"/>
      <c r="Z70" s="469"/>
    </row>
    <row r="71" ht="14.25" customHeight="1">
      <c r="A71" s="1131"/>
      <c r="B71" s="1132"/>
      <c r="C71" s="1142"/>
      <c r="D71" s="1133"/>
      <c r="E71" s="1143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69"/>
      <c r="Q71" s="469"/>
      <c r="R71" s="469"/>
      <c r="S71" s="469"/>
      <c r="T71" s="469"/>
      <c r="U71" s="469"/>
      <c r="V71" s="469"/>
      <c r="W71" s="469"/>
      <c r="X71" s="469"/>
      <c r="Y71" s="469"/>
      <c r="Z71" s="469"/>
    </row>
    <row r="72" ht="14.25" customHeight="1">
      <c r="A72" s="1131"/>
      <c r="B72" s="1132"/>
      <c r="C72" s="1142"/>
      <c r="D72" s="1133"/>
      <c r="E72" s="1143"/>
      <c r="F72" s="469"/>
      <c r="G72" s="469"/>
      <c r="H72" s="469"/>
      <c r="I72" s="469"/>
      <c r="J72" s="469"/>
      <c r="K72" s="469"/>
      <c r="L72" s="469"/>
      <c r="M72" s="469"/>
      <c r="N72" s="469"/>
      <c r="O72" s="469"/>
      <c r="P72" s="469"/>
      <c r="Q72" s="469"/>
      <c r="R72" s="469"/>
      <c r="S72" s="469"/>
      <c r="T72" s="469"/>
      <c r="U72" s="469"/>
      <c r="V72" s="469"/>
      <c r="W72" s="469"/>
      <c r="X72" s="469"/>
      <c r="Y72" s="469"/>
      <c r="Z72" s="469"/>
    </row>
    <row r="73" ht="14.25" customHeight="1">
      <c r="A73" s="1131"/>
      <c r="B73" s="1132"/>
      <c r="C73" s="1142"/>
      <c r="D73" s="1133"/>
      <c r="E73" s="1143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69"/>
      <c r="Q73" s="469"/>
      <c r="R73" s="469"/>
      <c r="S73" s="469"/>
      <c r="T73" s="469"/>
      <c r="U73" s="469"/>
      <c r="V73" s="469"/>
      <c r="W73" s="469"/>
      <c r="X73" s="469"/>
      <c r="Y73" s="469"/>
      <c r="Z73" s="469"/>
    </row>
    <row r="74" ht="14.25" customHeight="1">
      <c r="A74" s="1131"/>
      <c r="B74" s="1132"/>
      <c r="C74" s="1142"/>
      <c r="D74" s="1133"/>
      <c r="E74" s="1143"/>
      <c r="F74" s="469"/>
      <c r="G74" s="469"/>
      <c r="H74" s="469"/>
      <c r="I74" s="469"/>
      <c r="J74" s="469"/>
      <c r="K74" s="469"/>
      <c r="L74" s="469"/>
      <c r="M74" s="469"/>
      <c r="N74" s="469"/>
      <c r="O74" s="469"/>
      <c r="P74" s="469"/>
      <c r="Q74" s="469"/>
      <c r="R74" s="469"/>
      <c r="S74" s="469"/>
      <c r="T74" s="469"/>
      <c r="U74" s="469"/>
      <c r="V74" s="469"/>
      <c r="W74" s="469"/>
      <c r="X74" s="469"/>
      <c r="Y74" s="469"/>
      <c r="Z74" s="469"/>
    </row>
    <row r="75" ht="14.25" customHeight="1">
      <c r="A75" s="1131"/>
      <c r="B75" s="1132"/>
      <c r="C75" s="1142"/>
      <c r="D75" s="1133"/>
      <c r="E75" s="1143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69"/>
      <c r="Q75" s="469"/>
      <c r="R75" s="469"/>
      <c r="S75" s="469"/>
      <c r="T75" s="469"/>
      <c r="U75" s="469"/>
      <c r="V75" s="469"/>
      <c r="W75" s="469"/>
      <c r="X75" s="469"/>
      <c r="Y75" s="469"/>
      <c r="Z75" s="469"/>
    </row>
    <row r="76" ht="14.25" customHeight="1">
      <c r="A76" s="1131"/>
      <c r="B76" s="1132"/>
      <c r="C76" s="1142"/>
      <c r="D76" s="1133"/>
      <c r="E76" s="1143"/>
      <c r="F76" s="469"/>
      <c r="G76" s="469"/>
      <c r="H76" s="469"/>
      <c r="I76" s="469"/>
      <c r="J76" s="469"/>
      <c r="K76" s="469"/>
      <c r="L76" s="469"/>
      <c r="M76" s="469"/>
      <c r="N76" s="469"/>
      <c r="O76" s="469"/>
      <c r="P76" s="469"/>
      <c r="Q76" s="469"/>
      <c r="R76" s="469"/>
      <c r="S76" s="469"/>
      <c r="T76" s="469"/>
      <c r="U76" s="469"/>
      <c r="V76" s="469"/>
      <c r="W76" s="469"/>
      <c r="X76" s="469"/>
      <c r="Y76" s="469"/>
      <c r="Z76" s="469"/>
    </row>
    <row r="77" ht="14.25" customHeight="1">
      <c r="A77" s="1102"/>
      <c r="B77" s="1106"/>
      <c r="C77" s="1144"/>
      <c r="D77" s="1119"/>
      <c r="E77" s="591"/>
    </row>
    <row r="78" ht="14.25" customHeight="1">
      <c r="A78" s="1102"/>
      <c r="B78" s="1106"/>
      <c r="C78" s="1144"/>
      <c r="D78" s="1119"/>
      <c r="E78" s="591"/>
    </row>
    <row r="79" ht="14.25" customHeight="1">
      <c r="A79" s="1102"/>
      <c r="B79" s="1106"/>
      <c r="C79" s="1144"/>
      <c r="D79" s="1119"/>
      <c r="E79" s="591"/>
    </row>
    <row r="80" ht="14.25" customHeight="1">
      <c r="A80" s="1102"/>
      <c r="B80" s="1106"/>
      <c r="C80" s="1144"/>
      <c r="D80" s="1119"/>
      <c r="E80" s="591"/>
    </row>
    <row r="81" ht="14.25" customHeight="1">
      <c r="A81" s="1102"/>
      <c r="B81" s="1106"/>
      <c r="C81" s="1144"/>
      <c r="D81" s="1119"/>
      <c r="E81" s="591"/>
    </row>
    <row r="82" ht="14.25" customHeight="1">
      <c r="A82" s="1102"/>
      <c r="B82" s="1106"/>
      <c r="C82" s="1144"/>
      <c r="D82" s="1119"/>
      <c r="E82" s="591"/>
    </row>
    <row r="83" ht="14.25" customHeight="1">
      <c r="A83" s="1102"/>
      <c r="B83" s="1106"/>
      <c r="C83" s="1144"/>
      <c r="D83" s="1119"/>
      <c r="E83" s="591"/>
    </row>
    <row r="84" ht="14.25" customHeight="1">
      <c r="A84" s="1102"/>
      <c r="B84" s="1106"/>
      <c r="C84" s="1144"/>
      <c r="D84" s="1119"/>
      <c r="E84" s="591"/>
    </row>
    <row r="85" ht="14.25" customHeight="1">
      <c r="A85" s="1102"/>
      <c r="B85" s="1106"/>
      <c r="C85" s="1144"/>
      <c r="D85" s="1119"/>
      <c r="E85" s="591"/>
    </row>
    <row r="86" ht="14.25" customHeight="1">
      <c r="A86" s="1102"/>
      <c r="B86" s="1106"/>
      <c r="C86" s="1144"/>
      <c r="D86" s="1119"/>
      <c r="E86" s="591"/>
    </row>
    <row r="87" ht="14.25" customHeight="1">
      <c r="A87" s="1102"/>
      <c r="B87" s="1106"/>
      <c r="C87" s="1144"/>
      <c r="D87" s="1119"/>
      <c r="E87" s="591"/>
    </row>
    <row r="88" ht="14.25" customHeight="1">
      <c r="A88" s="1102"/>
      <c r="B88" s="1106"/>
      <c r="C88" s="1144"/>
      <c r="D88" s="1119"/>
      <c r="E88" s="591"/>
    </row>
    <row r="89" ht="14.25" customHeight="1">
      <c r="A89" s="1102"/>
      <c r="B89" s="1106"/>
      <c r="C89" s="1144"/>
      <c r="D89" s="1119"/>
      <c r="E89" s="591"/>
    </row>
    <row r="90" ht="14.25" customHeight="1">
      <c r="A90" s="1102"/>
      <c r="B90" s="1106"/>
      <c r="C90" s="1144"/>
      <c r="D90" s="1119"/>
      <c r="E90" s="591"/>
    </row>
    <row r="91" ht="14.25" customHeight="1">
      <c r="A91" s="1102"/>
      <c r="B91" s="1106"/>
      <c r="C91" s="1144"/>
      <c r="D91" s="1119"/>
      <c r="E91" s="591"/>
    </row>
    <row r="92" ht="14.25" customHeight="1">
      <c r="A92" s="1102"/>
      <c r="B92" s="1106"/>
      <c r="C92" s="1144"/>
      <c r="D92" s="1119"/>
      <c r="E92" s="591"/>
    </row>
    <row r="93" ht="14.25" customHeight="1">
      <c r="A93" s="1102"/>
      <c r="B93" s="1106"/>
      <c r="C93" s="1144"/>
      <c r="D93" s="1119"/>
      <c r="E93" s="591"/>
    </row>
    <row r="94" ht="14.25" customHeight="1">
      <c r="A94" s="1102"/>
      <c r="B94" s="1106"/>
      <c r="C94" s="1144"/>
      <c r="D94" s="1119"/>
      <c r="E94" s="591"/>
    </row>
    <row r="95" ht="14.25" customHeight="1">
      <c r="A95" s="1102"/>
      <c r="B95" s="1106"/>
      <c r="C95" s="1144"/>
      <c r="D95" s="1119"/>
      <c r="E95" s="591"/>
    </row>
    <row r="96" ht="14.25" customHeight="1">
      <c r="A96" s="1102"/>
      <c r="B96" s="1106"/>
      <c r="C96" s="1144"/>
      <c r="D96" s="1119"/>
      <c r="E96" s="591"/>
    </row>
    <row r="97" ht="14.25" customHeight="1">
      <c r="A97" s="1102"/>
      <c r="B97" s="1106"/>
      <c r="C97" s="1144"/>
      <c r="D97" s="1119"/>
      <c r="E97" s="591"/>
    </row>
    <row r="98" ht="14.25" customHeight="1">
      <c r="A98" s="1102"/>
      <c r="B98" s="1106"/>
      <c r="C98" s="1144"/>
      <c r="D98" s="1119"/>
      <c r="E98" s="591"/>
    </row>
    <row r="99" ht="14.25" customHeight="1">
      <c r="A99" s="1102"/>
      <c r="B99" s="1106"/>
      <c r="C99" s="1144"/>
      <c r="D99" s="1119"/>
      <c r="E99" s="591"/>
    </row>
    <row r="100" ht="14.25" customHeight="1">
      <c r="A100" s="1102"/>
      <c r="B100" s="1106"/>
      <c r="C100" s="1144"/>
      <c r="D100" s="1119"/>
      <c r="E100" s="591"/>
    </row>
    <row r="101" ht="14.25" customHeight="1">
      <c r="A101" s="1102"/>
      <c r="B101" s="1106"/>
      <c r="C101" s="1144"/>
      <c r="D101" s="1119"/>
      <c r="E101" s="591"/>
    </row>
    <row r="102" ht="14.25" customHeight="1">
      <c r="A102" s="1102"/>
      <c r="B102" s="1106"/>
      <c r="C102" s="1144"/>
      <c r="D102" s="1119"/>
      <c r="E102" s="591"/>
    </row>
    <row r="103" ht="14.25" customHeight="1">
      <c r="A103" s="1102"/>
      <c r="B103" s="1106"/>
      <c r="C103" s="1144"/>
      <c r="D103" s="591"/>
      <c r="E103" s="591"/>
    </row>
    <row r="104" ht="14.25" customHeight="1">
      <c r="A104" s="1102"/>
      <c r="B104" s="1106"/>
      <c r="C104" s="1144"/>
      <c r="D104" s="591"/>
      <c r="E104" s="591"/>
    </row>
    <row r="105" ht="14.25" customHeight="1">
      <c r="A105" s="1102"/>
      <c r="B105" s="1106"/>
      <c r="C105" s="1144"/>
      <c r="D105" s="591"/>
      <c r="E105" s="591"/>
    </row>
    <row r="106" ht="14.25" customHeight="1">
      <c r="A106" s="1102"/>
      <c r="B106" s="1106"/>
      <c r="C106" s="1144"/>
      <c r="D106" s="591"/>
      <c r="E106" s="591"/>
    </row>
    <row r="107" ht="14.25" customHeight="1">
      <c r="A107" s="1102"/>
      <c r="B107" s="1106"/>
      <c r="C107" s="1144"/>
      <c r="D107" s="591"/>
      <c r="E107" s="591"/>
    </row>
    <row r="108" ht="14.25" customHeight="1">
      <c r="A108" s="1102"/>
      <c r="B108" s="1106"/>
      <c r="C108" s="1144"/>
      <c r="D108" s="591"/>
      <c r="E108" s="591"/>
    </row>
    <row r="109" ht="14.25" customHeight="1">
      <c r="A109" s="1102"/>
      <c r="B109" s="1106"/>
      <c r="C109" s="1144"/>
      <c r="D109" s="591"/>
      <c r="E109" s="591"/>
    </row>
    <row r="110" ht="14.25" customHeight="1">
      <c r="A110" s="1102"/>
      <c r="B110" s="1106"/>
      <c r="C110" s="1144"/>
      <c r="D110" s="591"/>
      <c r="E110" s="591"/>
    </row>
    <row r="111" ht="14.25" customHeight="1">
      <c r="A111" s="1102"/>
      <c r="B111" s="1106"/>
      <c r="C111" s="1144"/>
      <c r="D111" s="591"/>
      <c r="E111" s="591"/>
    </row>
    <row r="112" ht="14.25" customHeight="1">
      <c r="A112" s="1102"/>
      <c r="B112" s="1106"/>
      <c r="C112" s="1144"/>
      <c r="D112" s="591"/>
      <c r="E112" s="591"/>
    </row>
    <row r="113" ht="14.25" customHeight="1">
      <c r="A113" s="1102"/>
      <c r="B113" s="1106"/>
      <c r="C113" s="1144"/>
      <c r="D113" s="591"/>
      <c r="E113" s="591"/>
    </row>
    <row r="114" ht="14.25" customHeight="1">
      <c r="A114" s="1102"/>
      <c r="B114" s="1106"/>
      <c r="C114" s="1144"/>
      <c r="D114" s="591"/>
      <c r="E114" s="591"/>
    </row>
    <row r="115" ht="14.25" customHeight="1">
      <c r="A115" s="1102"/>
      <c r="B115" s="1106"/>
      <c r="C115" s="1144"/>
      <c r="D115" s="591"/>
      <c r="E115" s="591"/>
    </row>
    <row r="116" ht="14.25" customHeight="1">
      <c r="A116" s="1102"/>
      <c r="B116" s="1106"/>
      <c r="C116" s="1144"/>
      <c r="D116" s="591"/>
      <c r="E116" s="591"/>
    </row>
    <row r="117" ht="14.25" customHeight="1">
      <c r="A117" s="1102"/>
      <c r="B117" s="1106"/>
      <c r="C117" s="1144"/>
      <c r="D117" s="591"/>
      <c r="E117" s="591"/>
    </row>
    <row r="118" ht="14.25" customHeight="1">
      <c r="A118" s="1102"/>
      <c r="B118" s="1106"/>
      <c r="C118" s="1144"/>
      <c r="D118" s="591"/>
      <c r="E118" s="591"/>
    </row>
    <row r="119" ht="14.25" customHeight="1">
      <c r="A119" s="1102"/>
      <c r="B119" s="1106"/>
      <c r="C119" s="1144"/>
      <c r="D119" s="591"/>
      <c r="E119" s="591"/>
    </row>
    <row r="120" ht="14.25" customHeight="1">
      <c r="A120" s="1102"/>
      <c r="B120" s="1106"/>
      <c r="C120" s="1144"/>
      <c r="D120" s="591"/>
      <c r="E120" s="591"/>
    </row>
    <row r="121" ht="14.25" customHeight="1">
      <c r="A121" s="1102"/>
      <c r="B121" s="1106"/>
      <c r="C121" s="1144"/>
      <c r="D121" s="591"/>
      <c r="E121" s="591"/>
    </row>
    <row r="122" ht="14.25" customHeight="1">
      <c r="A122" s="1102"/>
      <c r="B122" s="1106"/>
      <c r="C122" s="1144"/>
      <c r="D122" s="591"/>
      <c r="E122" s="591"/>
    </row>
    <row r="123" ht="14.25" customHeight="1">
      <c r="A123" s="1102"/>
      <c r="B123" s="1106"/>
      <c r="C123" s="1144"/>
      <c r="D123" s="591"/>
      <c r="E123" s="591"/>
    </row>
    <row r="124" ht="14.25" customHeight="1">
      <c r="A124" s="1102"/>
      <c r="B124" s="1106"/>
      <c r="C124" s="1144"/>
      <c r="D124" s="591"/>
      <c r="E124" s="591"/>
    </row>
    <row r="125" ht="14.25" customHeight="1">
      <c r="A125" s="1102"/>
      <c r="B125" s="1106"/>
      <c r="C125" s="1144"/>
      <c r="D125" s="591"/>
      <c r="E125" s="591"/>
    </row>
    <row r="126" ht="14.25" customHeight="1">
      <c r="A126" s="1102"/>
      <c r="B126" s="1106"/>
      <c r="C126" s="1144"/>
      <c r="D126" s="591"/>
      <c r="E126" s="591"/>
    </row>
    <row r="127" ht="14.25" customHeight="1">
      <c r="A127" s="1102"/>
      <c r="B127" s="1106"/>
      <c r="C127" s="1144"/>
      <c r="D127" s="591"/>
      <c r="E127" s="591"/>
    </row>
    <row r="128" ht="14.25" customHeight="1">
      <c r="A128" s="1102"/>
      <c r="B128" s="1106"/>
      <c r="C128" s="1144"/>
      <c r="D128" s="591"/>
      <c r="E128" s="591"/>
    </row>
    <row r="129" ht="14.25" customHeight="1">
      <c r="A129" s="1102"/>
      <c r="B129" s="1106"/>
      <c r="C129" s="1144"/>
      <c r="D129" s="591"/>
      <c r="E129" s="591"/>
    </row>
    <row r="130" ht="14.25" customHeight="1">
      <c r="A130" s="1102"/>
      <c r="B130" s="1106"/>
      <c r="C130" s="1144"/>
      <c r="D130" s="591"/>
      <c r="E130" s="591"/>
    </row>
    <row r="131" ht="14.25" customHeight="1">
      <c r="A131" s="1102"/>
      <c r="B131" s="1106"/>
      <c r="C131" s="1144"/>
      <c r="D131" s="591"/>
      <c r="E131" s="591"/>
    </row>
    <row r="132" ht="14.25" customHeight="1">
      <c r="A132" s="1102"/>
      <c r="B132" s="1106"/>
      <c r="C132" s="1144"/>
      <c r="D132" s="591"/>
      <c r="E132" s="591"/>
    </row>
    <row r="133" ht="14.25" customHeight="1">
      <c r="A133" s="1102"/>
      <c r="B133" s="1106"/>
      <c r="C133" s="1144"/>
      <c r="D133" s="591"/>
      <c r="E133" s="591"/>
    </row>
    <row r="134" ht="14.25" customHeight="1">
      <c r="A134" s="1102"/>
      <c r="B134" s="1106"/>
      <c r="C134" s="1144"/>
      <c r="D134" s="591"/>
      <c r="E134" s="591"/>
    </row>
    <row r="135" ht="14.25" customHeight="1">
      <c r="A135" s="1102"/>
      <c r="B135" s="1106"/>
      <c r="C135" s="1144"/>
      <c r="D135" s="591"/>
      <c r="E135" s="591"/>
    </row>
    <row r="136" ht="14.25" customHeight="1">
      <c r="A136" s="1102"/>
      <c r="B136" s="1106"/>
      <c r="C136" s="1144"/>
      <c r="D136" s="591"/>
      <c r="E136" s="591"/>
    </row>
    <row r="137" ht="14.25" customHeight="1">
      <c r="A137" s="1102"/>
      <c r="B137" s="1106"/>
      <c r="C137" s="1144"/>
      <c r="D137" s="591"/>
      <c r="E137" s="591"/>
    </row>
    <row r="138" ht="14.25" customHeight="1">
      <c r="A138" s="1102"/>
      <c r="B138" s="1106"/>
      <c r="C138" s="1144"/>
      <c r="D138" s="591"/>
      <c r="E138" s="591"/>
    </row>
    <row r="139" ht="14.25" customHeight="1">
      <c r="A139" s="1102"/>
      <c r="B139" s="1106"/>
      <c r="C139" s="1144"/>
      <c r="D139" s="591"/>
      <c r="E139" s="591"/>
    </row>
    <row r="140" ht="14.25" customHeight="1">
      <c r="A140" s="1102"/>
      <c r="B140" s="1106"/>
      <c r="C140" s="1144"/>
      <c r="D140" s="591"/>
      <c r="E140" s="591"/>
    </row>
    <row r="141" ht="14.25" customHeight="1">
      <c r="A141" s="1102"/>
      <c r="B141" s="1106"/>
      <c r="C141" s="1144"/>
      <c r="D141" s="591"/>
      <c r="E141" s="591"/>
    </row>
    <row r="142" ht="14.25" customHeight="1">
      <c r="A142" s="1102"/>
      <c r="B142" s="1106"/>
      <c r="C142" s="1144"/>
      <c r="D142" s="591"/>
      <c r="E142" s="591"/>
    </row>
    <row r="143" ht="14.25" customHeight="1">
      <c r="A143" s="1102"/>
      <c r="B143" s="1106"/>
      <c r="C143" s="455"/>
      <c r="E143" s="591"/>
    </row>
    <row r="144" ht="14.25" customHeight="1">
      <c r="A144" s="1102"/>
      <c r="B144" s="1106"/>
      <c r="C144" s="455"/>
      <c r="E144" s="591"/>
    </row>
    <row r="145" ht="14.25" customHeight="1">
      <c r="A145" s="1102"/>
      <c r="B145" s="1106"/>
      <c r="C145" s="455"/>
      <c r="E145" s="591"/>
    </row>
    <row r="146" ht="14.25" customHeight="1">
      <c r="A146" s="1102"/>
      <c r="B146" s="1106"/>
      <c r="C146" s="455"/>
      <c r="E146" s="591"/>
    </row>
    <row r="147" ht="14.25" customHeight="1">
      <c r="A147" s="1102"/>
      <c r="B147" s="1106"/>
      <c r="C147" s="455"/>
      <c r="E147" s="591"/>
    </row>
    <row r="148" ht="14.25" customHeight="1">
      <c r="A148" s="1102"/>
      <c r="B148" s="1106"/>
      <c r="C148" s="455"/>
      <c r="E148" s="591"/>
    </row>
    <row r="149" ht="14.25" customHeight="1">
      <c r="A149" s="1102"/>
      <c r="B149" s="1106"/>
      <c r="C149" s="455"/>
      <c r="E149" s="591"/>
    </row>
    <row r="150" ht="14.25" customHeight="1">
      <c r="A150" s="1102"/>
      <c r="B150" s="1106"/>
      <c r="C150" s="455"/>
      <c r="E150" s="591"/>
    </row>
    <row r="151" ht="14.25" customHeight="1">
      <c r="A151" s="1102"/>
      <c r="B151" s="1106"/>
      <c r="C151" s="455"/>
      <c r="E151" s="591"/>
    </row>
    <row r="152" ht="14.25" customHeight="1">
      <c r="A152" s="1102"/>
      <c r="B152" s="1106"/>
      <c r="C152" s="455"/>
      <c r="E152" s="591"/>
    </row>
    <row r="153" ht="14.25" customHeight="1">
      <c r="A153" s="1102"/>
      <c r="B153" s="1106"/>
      <c r="C153" s="455"/>
      <c r="E153" s="591"/>
    </row>
    <row r="154" ht="14.25" customHeight="1">
      <c r="A154" s="1102"/>
      <c r="B154" s="1106"/>
      <c r="C154" s="455"/>
      <c r="E154" s="591"/>
    </row>
    <row r="155" ht="14.25" customHeight="1">
      <c r="A155" s="1102"/>
      <c r="B155" s="1106"/>
      <c r="C155" s="455"/>
      <c r="E155" s="591"/>
    </row>
    <row r="156" ht="14.25" customHeight="1">
      <c r="A156" s="1102"/>
      <c r="B156" s="1106"/>
      <c r="C156" s="455"/>
      <c r="E156" s="591"/>
    </row>
    <row r="157" ht="14.25" customHeight="1">
      <c r="A157" s="1102"/>
      <c r="B157" s="1106"/>
      <c r="C157" s="455"/>
      <c r="E157" s="591"/>
    </row>
    <row r="158" ht="14.25" customHeight="1">
      <c r="A158" s="1102"/>
      <c r="B158" s="1106"/>
      <c r="C158" s="455"/>
      <c r="E158" s="591"/>
    </row>
    <row r="159" ht="14.25" customHeight="1">
      <c r="A159" s="1102"/>
      <c r="B159" s="1106"/>
      <c r="C159" s="455"/>
      <c r="E159" s="591"/>
    </row>
    <row r="160" ht="14.25" customHeight="1">
      <c r="A160" s="1102"/>
      <c r="B160" s="1106"/>
      <c r="C160" s="455"/>
      <c r="E160" s="591"/>
    </row>
    <row r="161" ht="14.25" customHeight="1">
      <c r="A161" s="1102"/>
      <c r="B161" s="1106"/>
      <c r="C161" s="455"/>
      <c r="E161" s="591"/>
    </row>
    <row r="162" ht="14.25" customHeight="1">
      <c r="A162" s="1102"/>
      <c r="B162" s="1106"/>
      <c r="C162" s="455"/>
      <c r="E162" s="591"/>
    </row>
    <row r="163" ht="14.25" customHeight="1">
      <c r="A163" s="1102"/>
      <c r="B163" s="1106"/>
      <c r="C163" s="455"/>
      <c r="E163" s="591"/>
    </row>
    <row r="164" ht="14.25" customHeight="1">
      <c r="A164" s="1102"/>
      <c r="B164" s="1106"/>
      <c r="C164" s="455"/>
      <c r="E164" s="591"/>
    </row>
    <row r="165" ht="14.25" customHeight="1">
      <c r="A165" s="1102"/>
      <c r="B165" s="1106"/>
      <c r="C165" s="455"/>
      <c r="E165" s="591"/>
    </row>
    <row r="166" ht="14.25" customHeight="1">
      <c r="A166" s="1102"/>
      <c r="B166" s="1106"/>
      <c r="C166" s="455"/>
      <c r="E166" s="591"/>
    </row>
    <row r="167" ht="14.25" customHeight="1">
      <c r="A167" s="1102"/>
      <c r="B167" s="1106"/>
      <c r="C167" s="455"/>
      <c r="E167" s="591"/>
    </row>
    <row r="168" ht="14.25" customHeight="1">
      <c r="A168" s="1102"/>
      <c r="B168" s="1106"/>
      <c r="C168" s="455"/>
      <c r="E168" s="591"/>
    </row>
    <row r="169" ht="14.25" customHeight="1">
      <c r="A169" s="1102"/>
      <c r="B169" s="1106"/>
      <c r="C169" s="455"/>
      <c r="E169" s="591"/>
    </row>
    <row r="170" ht="14.25" customHeight="1">
      <c r="A170" s="1102"/>
      <c r="B170" s="1106"/>
      <c r="C170" s="455"/>
      <c r="E170" s="591"/>
    </row>
    <row r="171" ht="14.25" customHeight="1">
      <c r="A171" s="1102"/>
      <c r="B171" s="1106"/>
      <c r="C171" s="455"/>
      <c r="E171" s="591"/>
    </row>
    <row r="172" ht="14.25" customHeight="1">
      <c r="A172" s="1102"/>
      <c r="B172" s="1106"/>
      <c r="C172" s="455"/>
      <c r="E172" s="591"/>
    </row>
    <row r="173" ht="14.25" customHeight="1">
      <c r="A173" s="1102"/>
      <c r="B173" s="1106"/>
      <c r="C173" s="455"/>
      <c r="E173" s="591"/>
    </row>
    <row r="174" ht="14.25" customHeight="1">
      <c r="A174" s="1102"/>
      <c r="B174" s="1106"/>
      <c r="C174" s="455"/>
      <c r="E174" s="591"/>
    </row>
    <row r="175" ht="14.25" customHeight="1">
      <c r="A175" s="1102"/>
      <c r="B175" s="1106"/>
      <c r="C175" s="455"/>
      <c r="E175" s="591"/>
    </row>
    <row r="176" ht="14.25" customHeight="1">
      <c r="A176" s="1102"/>
      <c r="B176" s="1106"/>
      <c r="C176" s="455"/>
      <c r="E176" s="591"/>
    </row>
    <row r="177" ht="14.25" customHeight="1">
      <c r="A177" s="1102"/>
      <c r="B177" s="1106"/>
      <c r="C177" s="455"/>
      <c r="E177" s="591"/>
    </row>
    <row r="178" ht="14.25" customHeight="1">
      <c r="A178" s="1102"/>
      <c r="B178" s="1106"/>
      <c r="C178" s="455"/>
      <c r="E178" s="591"/>
    </row>
    <row r="179" ht="14.25" customHeight="1">
      <c r="A179" s="1102"/>
      <c r="B179" s="1106"/>
      <c r="C179" s="455"/>
      <c r="E179" s="591"/>
    </row>
    <row r="180" ht="14.25" customHeight="1">
      <c r="A180" s="1102"/>
      <c r="B180" s="1106"/>
      <c r="C180" s="455"/>
      <c r="E180" s="591"/>
    </row>
    <row r="181" ht="14.25" customHeight="1">
      <c r="A181" s="1102"/>
      <c r="B181" s="1106"/>
      <c r="C181" s="455"/>
      <c r="E181" s="591"/>
    </row>
    <row r="182" ht="14.25" customHeight="1">
      <c r="A182" s="1102"/>
      <c r="B182" s="1106"/>
      <c r="C182" s="455"/>
      <c r="E182" s="591"/>
    </row>
    <row r="183" ht="14.25" customHeight="1">
      <c r="A183" s="1102"/>
      <c r="B183" s="1106"/>
      <c r="C183" s="455"/>
      <c r="E183" s="591"/>
    </row>
    <row r="184" ht="14.25" customHeight="1">
      <c r="A184" s="1102"/>
      <c r="B184" s="1106"/>
      <c r="C184" s="455"/>
      <c r="E184" s="591"/>
    </row>
    <row r="185" ht="14.25" customHeight="1">
      <c r="A185" s="1102"/>
      <c r="B185" s="1106"/>
      <c r="C185" s="455"/>
      <c r="E185" s="591"/>
    </row>
    <row r="186" ht="14.25" customHeight="1">
      <c r="A186" s="1102"/>
      <c r="B186" s="1106"/>
      <c r="C186" s="455"/>
      <c r="E186" s="591"/>
    </row>
    <row r="187" ht="14.25" customHeight="1">
      <c r="A187" s="1102"/>
      <c r="B187" s="1106"/>
      <c r="C187" s="455"/>
      <c r="E187" s="591"/>
    </row>
    <row r="188" ht="14.25" customHeight="1">
      <c r="A188" s="1102"/>
      <c r="B188" s="1106"/>
      <c r="C188" s="455"/>
      <c r="E188" s="591"/>
    </row>
    <row r="189" ht="14.25" customHeight="1">
      <c r="A189" s="1102"/>
      <c r="B189" s="1106"/>
      <c r="C189" s="455"/>
      <c r="E189" s="591"/>
    </row>
    <row r="190" ht="14.25" customHeight="1">
      <c r="A190" s="1102"/>
      <c r="B190" s="1106"/>
      <c r="C190" s="455"/>
      <c r="E190" s="591"/>
    </row>
    <row r="191" ht="14.25" customHeight="1">
      <c r="A191" s="1102"/>
      <c r="B191" s="1106"/>
      <c r="C191" s="455"/>
      <c r="E191" s="591"/>
    </row>
    <row r="192" ht="14.25" customHeight="1">
      <c r="A192" s="1102"/>
      <c r="B192" s="1106"/>
      <c r="C192" s="455"/>
      <c r="E192" s="591"/>
    </row>
    <row r="193" ht="14.25" customHeight="1">
      <c r="A193" s="1102"/>
      <c r="B193" s="1106"/>
      <c r="C193" s="455"/>
      <c r="E193" s="591"/>
    </row>
    <row r="194" ht="14.25" customHeight="1">
      <c r="A194" s="1102"/>
      <c r="B194" s="1106"/>
      <c r="C194" s="455"/>
      <c r="E194" s="591"/>
    </row>
    <row r="195" ht="14.25" customHeight="1">
      <c r="A195" s="1102"/>
      <c r="B195" s="1106"/>
      <c r="C195" s="455"/>
      <c r="E195" s="591"/>
    </row>
    <row r="196" ht="14.25" customHeight="1">
      <c r="A196" s="1102"/>
      <c r="B196" s="1106"/>
      <c r="C196" s="455"/>
      <c r="E196" s="591"/>
    </row>
    <row r="197" ht="14.25" customHeight="1">
      <c r="A197" s="1102"/>
      <c r="B197" s="1106"/>
      <c r="C197" s="455"/>
      <c r="E197" s="591"/>
    </row>
    <row r="198" ht="14.25" customHeight="1">
      <c r="A198" s="1102"/>
      <c r="B198" s="1106"/>
      <c r="C198" s="455"/>
      <c r="E198" s="591"/>
    </row>
    <row r="199" ht="14.25" customHeight="1">
      <c r="A199" s="1102"/>
      <c r="B199" s="1106"/>
      <c r="C199" s="455"/>
      <c r="E199" s="591"/>
    </row>
    <row r="200" ht="14.25" customHeight="1">
      <c r="A200" s="1102"/>
      <c r="B200" s="1106"/>
      <c r="C200" s="455"/>
      <c r="E200" s="591"/>
    </row>
    <row r="201" ht="14.25" customHeight="1">
      <c r="A201" s="1102"/>
      <c r="B201" s="1106"/>
      <c r="C201" s="455"/>
      <c r="E201" s="591"/>
    </row>
    <row r="202" ht="14.25" customHeight="1">
      <c r="A202" s="1102"/>
      <c r="B202" s="1106"/>
      <c r="C202" s="455"/>
      <c r="E202" s="591"/>
    </row>
    <row r="203" ht="14.25" customHeight="1">
      <c r="A203" s="1102"/>
      <c r="B203" s="1106"/>
      <c r="C203" s="455"/>
      <c r="E203" s="591"/>
    </row>
    <row r="204" ht="14.25" customHeight="1">
      <c r="A204" s="1102"/>
      <c r="B204" s="1106"/>
      <c r="C204" s="455"/>
      <c r="E204" s="591"/>
    </row>
    <row r="205" ht="14.25" customHeight="1">
      <c r="A205" s="1102"/>
      <c r="B205" s="1106"/>
      <c r="C205" s="455"/>
      <c r="E205" s="591"/>
    </row>
    <row r="206" ht="14.25" customHeight="1">
      <c r="A206" s="1102"/>
      <c r="B206" s="1106"/>
      <c r="C206" s="455"/>
      <c r="E206" s="591"/>
    </row>
    <row r="207" ht="14.25" customHeight="1">
      <c r="A207" s="1102"/>
      <c r="B207" s="1106"/>
      <c r="C207" s="455"/>
      <c r="E207" s="591"/>
    </row>
    <row r="208" ht="14.25" customHeight="1">
      <c r="A208" s="1102"/>
      <c r="B208" s="1106"/>
      <c r="C208" s="455"/>
      <c r="E208" s="591"/>
    </row>
    <row r="209" ht="14.25" customHeight="1">
      <c r="A209" s="1102"/>
      <c r="B209" s="1106"/>
      <c r="C209" s="455"/>
      <c r="E209" s="591"/>
    </row>
    <row r="210" ht="14.25" customHeight="1">
      <c r="A210" s="1102"/>
      <c r="B210" s="1106"/>
      <c r="C210" s="455"/>
      <c r="E210" s="591"/>
    </row>
    <row r="211" ht="14.25" customHeight="1">
      <c r="A211" s="1102"/>
      <c r="B211" s="1106"/>
      <c r="C211" s="455"/>
      <c r="E211" s="591"/>
    </row>
    <row r="212" ht="14.25" customHeight="1">
      <c r="A212" s="1102"/>
      <c r="B212" s="1106"/>
      <c r="C212" s="455"/>
      <c r="E212" s="591"/>
    </row>
    <row r="213" ht="14.25" customHeight="1">
      <c r="A213" s="1102"/>
      <c r="B213" s="1106"/>
      <c r="C213" s="455"/>
      <c r="E213" s="591"/>
    </row>
    <row r="214" ht="14.25" customHeight="1">
      <c r="A214" s="1102"/>
      <c r="B214" s="1106"/>
      <c r="C214" s="455"/>
      <c r="E214" s="591"/>
    </row>
    <row r="215" ht="14.25" customHeight="1">
      <c r="A215" s="1102"/>
      <c r="B215" s="1106"/>
      <c r="C215" s="455"/>
      <c r="E215" s="591"/>
    </row>
    <row r="216" ht="14.25" customHeight="1">
      <c r="A216" s="1102"/>
      <c r="B216" s="1106"/>
      <c r="C216" s="455"/>
      <c r="E216" s="591"/>
    </row>
    <row r="217" ht="14.25" customHeight="1">
      <c r="A217" s="1102"/>
      <c r="B217" s="1106"/>
      <c r="C217" s="455"/>
      <c r="E217" s="591"/>
    </row>
    <row r="218" ht="14.25" customHeight="1">
      <c r="A218" s="1102"/>
      <c r="B218" s="1106"/>
      <c r="C218" s="455"/>
      <c r="E218" s="591"/>
    </row>
    <row r="219" ht="14.25" customHeight="1">
      <c r="A219" s="1102"/>
      <c r="B219" s="1106"/>
      <c r="C219" s="455"/>
      <c r="E219" s="591"/>
    </row>
    <row r="220" ht="14.25" customHeight="1">
      <c r="A220" s="1102"/>
      <c r="B220" s="1106"/>
      <c r="C220" s="455"/>
      <c r="E220" s="591"/>
    </row>
    <row r="221" ht="14.25" customHeight="1">
      <c r="A221" s="1102"/>
      <c r="B221" s="1106"/>
      <c r="C221" s="455"/>
      <c r="E221" s="591"/>
    </row>
    <row r="222" ht="14.25" customHeight="1">
      <c r="A222" s="1102"/>
      <c r="B222" s="1106"/>
      <c r="C222" s="455"/>
      <c r="E222" s="591"/>
    </row>
    <row r="223" ht="14.25" customHeight="1">
      <c r="A223" s="1102"/>
      <c r="B223" s="1106"/>
      <c r="C223" s="455"/>
      <c r="E223" s="591"/>
    </row>
    <row r="224" ht="14.25" customHeight="1">
      <c r="A224" s="1102"/>
      <c r="B224" s="1106"/>
      <c r="C224" s="455"/>
      <c r="E224" s="591"/>
    </row>
    <row r="225" ht="14.25" customHeight="1">
      <c r="A225" s="1102"/>
      <c r="B225" s="1106"/>
      <c r="C225" s="455"/>
      <c r="E225" s="591"/>
    </row>
    <row r="226" ht="14.25" customHeight="1">
      <c r="A226" s="1102"/>
      <c r="B226" s="1106"/>
      <c r="C226" s="455"/>
      <c r="E226" s="591"/>
    </row>
    <row r="227" ht="14.25" customHeight="1">
      <c r="A227" s="1102"/>
      <c r="B227" s="1106"/>
      <c r="C227" s="455"/>
      <c r="E227" s="591"/>
    </row>
    <row r="228" ht="14.25" customHeight="1">
      <c r="A228" s="1102"/>
      <c r="B228" s="1106"/>
      <c r="C228" s="455"/>
      <c r="E228" s="591"/>
    </row>
    <row r="229" ht="14.25" customHeight="1">
      <c r="A229" s="1102"/>
      <c r="B229" s="1106"/>
      <c r="C229" s="455"/>
      <c r="E229" s="591"/>
    </row>
    <row r="230" ht="14.25" customHeight="1">
      <c r="A230" s="1102"/>
      <c r="B230" s="1106"/>
      <c r="C230" s="455"/>
      <c r="E230" s="591"/>
    </row>
    <row r="231" ht="14.25" customHeight="1">
      <c r="A231" s="1102"/>
      <c r="B231" s="1106"/>
      <c r="C231" s="455"/>
      <c r="E231" s="591"/>
    </row>
    <row r="232" ht="14.25" customHeight="1">
      <c r="A232" s="1102"/>
      <c r="B232" s="1106"/>
      <c r="C232" s="455"/>
      <c r="E232" s="591"/>
    </row>
    <row r="233" ht="14.25" customHeight="1">
      <c r="A233" s="1102"/>
      <c r="B233" s="1106"/>
      <c r="C233" s="455"/>
      <c r="E233" s="591"/>
    </row>
    <row r="234" ht="14.25" customHeight="1">
      <c r="A234" s="1102"/>
      <c r="B234" s="1106"/>
      <c r="C234" s="455"/>
      <c r="E234" s="591"/>
    </row>
    <row r="235" ht="14.25" customHeight="1">
      <c r="A235" s="1102"/>
      <c r="B235" s="1106"/>
      <c r="C235" s="455"/>
      <c r="E235" s="591"/>
    </row>
    <row r="236" ht="14.25" customHeight="1">
      <c r="A236" s="1102"/>
      <c r="B236" s="1106"/>
      <c r="C236" s="455"/>
      <c r="E236" s="591"/>
    </row>
    <row r="237" ht="14.25" customHeight="1">
      <c r="A237" s="1102"/>
      <c r="B237" s="1106"/>
      <c r="C237" s="455"/>
      <c r="E237" s="591"/>
    </row>
    <row r="238" ht="14.25" customHeight="1">
      <c r="A238" s="1102"/>
      <c r="B238" s="1106"/>
      <c r="C238" s="455"/>
      <c r="E238" s="591"/>
    </row>
    <row r="239" ht="14.25" customHeight="1">
      <c r="A239" s="1102"/>
      <c r="B239" s="1106"/>
      <c r="C239" s="455"/>
      <c r="E239" s="591"/>
    </row>
    <row r="240" ht="14.25" customHeight="1">
      <c r="A240" s="1102"/>
      <c r="B240" s="1106"/>
      <c r="C240" s="455"/>
      <c r="E240" s="591"/>
    </row>
    <row r="241" ht="14.25" customHeight="1">
      <c r="A241" s="1102"/>
      <c r="B241" s="1106"/>
      <c r="C241" s="455"/>
      <c r="E241" s="591"/>
    </row>
    <row r="242" ht="14.25" customHeight="1">
      <c r="A242" s="1102"/>
      <c r="B242" s="1106"/>
      <c r="C242" s="455"/>
      <c r="E242" s="591"/>
    </row>
    <row r="243" ht="14.25" customHeight="1">
      <c r="A243" s="1102"/>
      <c r="B243" s="1106"/>
      <c r="C243" s="455"/>
      <c r="E243" s="591"/>
    </row>
    <row r="244" ht="14.25" customHeight="1">
      <c r="A244" s="1102"/>
      <c r="B244" s="1106"/>
      <c r="C244" s="455"/>
      <c r="E244" s="591"/>
    </row>
    <row r="245" ht="14.25" customHeight="1">
      <c r="A245" s="1102"/>
      <c r="B245" s="1106"/>
      <c r="C245" s="455"/>
      <c r="E245" s="591"/>
    </row>
    <row r="246" ht="14.25" customHeight="1">
      <c r="A246" s="1102"/>
      <c r="B246" s="1106"/>
      <c r="C246" s="455"/>
      <c r="E246" s="591"/>
    </row>
    <row r="247" ht="14.25" customHeight="1">
      <c r="A247" s="1102"/>
      <c r="B247" s="1106"/>
      <c r="C247" s="455"/>
      <c r="E247" s="591"/>
    </row>
    <row r="248" ht="14.25" customHeight="1">
      <c r="A248" s="1102"/>
      <c r="B248" s="1106"/>
      <c r="C248" s="455"/>
      <c r="E248" s="591"/>
    </row>
    <row r="249" ht="14.25" customHeight="1">
      <c r="A249" s="1102"/>
      <c r="B249" s="1106"/>
      <c r="C249" s="455"/>
      <c r="E249" s="591"/>
    </row>
    <row r="250" ht="14.25" customHeight="1">
      <c r="A250" s="1102"/>
      <c r="B250" s="1106"/>
      <c r="C250" s="455"/>
      <c r="E250" s="591"/>
    </row>
    <row r="251" ht="14.25" customHeight="1">
      <c r="A251" s="1102"/>
      <c r="B251" s="1106"/>
      <c r="C251" s="455"/>
      <c r="E251" s="591"/>
    </row>
    <row r="252" ht="14.25" customHeight="1">
      <c r="A252" s="1102"/>
      <c r="B252" s="1106"/>
      <c r="C252" s="455"/>
      <c r="E252" s="591"/>
    </row>
    <row r="253" ht="14.25" customHeight="1">
      <c r="A253" s="1102"/>
      <c r="B253" s="1106"/>
      <c r="C253" s="455"/>
      <c r="E253" s="591"/>
    </row>
    <row r="254" ht="14.25" customHeight="1">
      <c r="A254" s="1102"/>
      <c r="B254" s="1106"/>
      <c r="C254" s="455"/>
      <c r="E254" s="591"/>
    </row>
    <row r="255" ht="14.25" customHeight="1">
      <c r="A255" s="1102"/>
      <c r="B255" s="1106"/>
      <c r="C255" s="455"/>
      <c r="E255" s="591"/>
    </row>
    <row r="256" ht="14.25" customHeight="1">
      <c r="A256" s="1102"/>
      <c r="B256" s="1106"/>
      <c r="C256" s="455"/>
      <c r="E256" s="591"/>
    </row>
    <row r="257" ht="14.25" customHeight="1">
      <c r="A257" s="1102"/>
      <c r="B257" s="1106"/>
      <c r="C257" s="455"/>
      <c r="E257" s="591"/>
    </row>
    <row r="258" ht="14.25" customHeight="1">
      <c r="A258" s="1102"/>
      <c r="B258" s="1106"/>
      <c r="C258" s="455"/>
      <c r="E258" s="591"/>
    </row>
    <row r="259" ht="14.25" customHeight="1">
      <c r="A259" s="1102"/>
      <c r="B259" s="1106"/>
      <c r="C259" s="455"/>
      <c r="E259" s="591"/>
    </row>
    <row r="260" ht="14.25" customHeight="1">
      <c r="A260" s="1102"/>
      <c r="B260" s="1106"/>
      <c r="C260" s="455"/>
      <c r="E260" s="591"/>
    </row>
    <row r="261" ht="14.25" customHeight="1">
      <c r="A261" s="1102"/>
      <c r="B261" s="1106"/>
      <c r="C261" s="455"/>
      <c r="E261" s="591"/>
    </row>
    <row r="262" ht="14.25" customHeight="1">
      <c r="A262" s="1102"/>
      <c r="B262" s="1106"/>
      <c r="C262" s="455"/>
      <c r="E262" s="591"/>
    </row>
    <row r="263" ht="14.25" customHeight="1">
      <c r="A263" s="1102"/>
      <c r="B263" s="1106"/>
      <c r="C263" s="455"/>
      <c r="E263" s="591"/>
    </row>
    <row r="264" ht="14.25" customHeight="1">
      <c r="A264" s="1102"/>
      <c r="B264" s="1106"/>
      <c r="C264" s="455"/>
      <c r="E264" s="591"/>
    </row>
    <row r="265" ht="14.25" customHeight="1">
      <c r="A265" s="1102"/>
      <c r="B265" s="1106"/>
      <c r="C265" s="455"/>
      <c r="E265" s="591"/>
    </row>
    <row r="266" ht="14.25" customHeight="1">
      <c r="A266" s="1102"/>
      <c r="B266" s="1106"/>
      <c r="C266" s="455"/>
      <c r="E266" s="591"/>
    </row>
    <row r="267" ht="14.25" customHeight="1">
      <c r="A267" s="1102"/>
      <c r="B267" s="1106"/>
      <c r="C267" s="455"/>
      <c r="E267" s="591"/>
    </row>
    <row r="268" ht="14.25" customHeight="1">
      <c r="A268" s="1102"/>
      <c r="B268" s="1106"/>
      <c r="C268" s="455"/>
      <c r="E268" s="591"/>
    </row>
    <row r="269" ht="14.25" customHeight="1">
      <c r="A269" s="1102"/>
      <c r="B269" s="1106"/>
      <c r="C269" s="455"/>
      <c r="E269" s="591"/>
    </row>
    <row r="270" ht="14.25" customHeight="1">
      <c r="A270" s="1102"/>
      <c r="B270" s="1106"/>
      <c r="C270" s="455"/>
      <c r="E270" s="591"/>
    </row>
    <row r="271" ht="14.25" customHeight="1">
      <c r="A271" s="1102"/>
      <c r="B271" s="1106"/>
      <c r="C271" s="455"/>
      <c r="E271" s="591"/>
    </row>
    <row r="272" ht="14.25" customHeight="1">
      <c r="A272" s="1102"/>
      <c r="B272" s="1106"/>
      <c r="C272" s="455"/>
      <c r="E272" s="591"/>
    </row>
    <row r="273" ht="14.25" customHeight="1">
      <c r="A273" s="1102"/>
      <c r="B273" s="1106"/>
      <c r="C273" s="455"/>
      <c r="E273" s="591"/>
    </row>
    <row r="274" ht="14.25" customHeight="1">
      <c r="A274" s="1102"/>
      <c r="B274" s="1106"/>
      <c r="C274" s="455"/>
      <c r="E274" s="591"/>
    </row>
    <row r="275" ht="14.25" customHeight="1">
      <c r="A275" s="1102"/>
      <c r="B275" s="1106"/>
      <c r="C275" s="455"/>
      <c r="E275" s="591"/>
    </row>
    <row r="276" ht="14.25" customHeight="1">
      <c r="A276" s="1102"/>
      <c r="B276" s="1106"/>
      <c r="C276" s="455"/>
      <c r="E276" s="591"/>
    </row>
    <row r="277" ht="14.25" customHeight="1">
      <c r="A277" s="1102"/>
      <c r="B277" s="1106"/>
      <c r="C277" s="455"/>
      <c r="E277" s="591"/>
    </row>
    <row r="278" ht="14.25" customHeight="1">
      <c r="A278" s="1102"/>
      <c r="B278" s="1106"/>
      <c r="C278" s="455"/>
      <c r="E278" s="591"/>
    </row>
    <row r="279" ht="14.25" customHeight="1">
      <c r="A279" s="1102"/>
      <c r="B279" s="1106"/>
      <c r="C279" s="455"/>
      <c r="E279" s="591"/>
    </row>
    <row r="280" ht="14.25" customHeight="1">
      <c r="A280" s="1102"/>
      <c r="B280" s="1106"/>
      <c r="C280" s="455"/>
      <c r="E280" s="591"/>
    </row>
    <row r="281" ht="14.25" customHeight="1">
      <c r="A281" s="1102"/>
      <c r="B281" s="1106"/>
      <c r="C281" s="455"/>
      <c r="E281" s="591"/>
    </row>
    <row r="282" ht="14.25" customHeight="1">
      <c r="A282" s="1102"/>
      <c r="B282" s="1106"/>
      <c r="C282" s="455"/>
      <c r="E282" s="591"/>
    </row>
    <row r="283" ht="14.25" customHeight="1">
      <c r="A283" s="1102"/>
      <c r="B283" s="1106"/>
      <c r="C283" s="455"/>
      <c r="E283" s="591"/>
    </row>
    <row r="284" ht="14.25" customHeight="1">
      <c r="A284" s="1102"/>
      <c r="B284" s="1106"/>
      <c r="C284" s="455"/>
      <c r="E284" s="591"/>
    </row>
    <row r="285" ht="14.25" customHeight="1">
      <c r="A285" s="1102"/>
      <c r="B285" s="1106"/>
      <c r="C285" s="455"/>
      <c r="E285" s="591"/>
    </row>
    <row r="286" ht="14.25" customHeight="1">
      <c r="A286" s="1102"/>
      <c r="B286" s="1106"/>
      <c r="C286" s="455"/>
      <c r="E286" s="591"/>
    </row>
    <row r="287" ht="14.25" customHeight="1">
      <c r="A287" s="1102"/>
      <c r="B287" s="1106"/>
      <c r="C287" s="455"/>
      <c r="E287" s="591"/>
    </row>
    <row r="288" ht="14.25" customHeight="1">
      <c r="A288" s="1102"/>
      <c r="B288" s="1106"/>
      <c r="C288" s="455"/>
      <c r="E288" s="591"/>
    </row>
    <row r="289" ht="14.25" customHeight="1">
      <c r="A289" s="1102"/>
      <c r="B289" s="1106"/>
      <c r="C289" s="455"/>
      <c r="E289" s="591"/>
    </row>
    <row r="290" ht="14.25" customHeight="1">
      <c r="A290" s="1102"/>
      <c r="B290" s="1106"/>
      <c r="C290" s="455"/>
      <c r="E290" s="591"/>
    </row>
    <row r="291" ht="14.25" customHeight="1">
      <c r="A291" s="1102"/>
      <c r="B291" s="1106"/>
      <c r="C291" s="455"/>
      <c r="E291" s="591"/>
    </row>
    <row r="292" ht="14.25" customHeight="1">
      <c r="A292" s="1102"/>
      <c r="B292" s="1106"/>
      <c r="C292" s="455"/>
      <c r="E292" s="591"/>
    </row>
    <row r="293" ht="14.25" customHeight="1">
      <c r="A293" s="1102"/>
      <c r="B293" s="1106"/>
      <c r="C293" s="455"/>
      <c r="E293" s="591"/>
    </row>
    <row r="294" ht="14.25" customHeight="1">
      <c r="A294" s="1102"/>
      <c r="B294" s="1106"/>
      <c r="C294" s="455"/>
      <c r="E294" s="591"/>
    </row>
    <row r="295" ht="14.25" customHeight="1">
      <c r="A295" s="1102"/>
      <c r="B295" s="1106"/>
      <c r="C295" s="455"/>
      <c r="E295" s="591"/>
    </row>
    <row r="296" ht="14.25" customHeight="1">
      <c r="A296" s="1102"/>
      <c r="B296" s="1106"/>
      <c r="C296" s="455"/>
      <c r="E296" s="591"/>
    </row>
    <row r="297" ht="14.25" customHeight="1">
      <c r="A297" s="1102"/>
      <c r="B297" s="1106"/>
      <c r="C297" s="455"/>
      <c r="E297" s="591"/>
    </row>
    <row r="298" ht="14.25" customHeight="1">
      <c r="A298" s="1102"/>
      <c r="B298" s="1106"/>
      <c r="C298" s="455"/>
      <c r="E298" s="591"/>
    </row>
    <row r="299" ht="14.25" customHeight="1">
      <c r="A299" s="1102"/>
      <c r="B299" s="1106"/>
      <c r="C299" s="455"/>
      <c r="E299" s="591"/>
    </row>
    <row r="300" ht="14.25" customHeight="1">
      <c r="A300" s="1102"/>
      <c r="B300" s="1106"/>
      <c r="C300" s="455"/>
      <c r="E300" s="591"/>
    </row>
    <row r="301" ht="14.25" customHeight="1">
      <c r="A301" s="1102"/>
      <c r="B301" s="1106"/>
      <c r="C301" s="455"/>
      <c r="E301" s="591"/>
    </row>
    <row r="302" ht="14.25" customHeight="1">
      <c r="A302" s="1102"/>
      <c r="B302" s="1106"/>
      <c r="C302" s="455"/>
      <c r="E302" s="591"/>
    </row>
    <row r="303" ht="14.25" customHeight="1">
      <c r="A303" s="1102"/>
      <c r="B303" s="1106"/>
      <c r="C303" s="455"/>
      <c r="E303" s="591"/>
    </row>
    <row r="304" ht="14.25" customHeight="1">
      <c r="A304" s="1102"/>
      <c r="B304" s="1106"/>
      <c r="C304" s="455"/>
      <c r="E304" s="591"/>
    </row>
    <row r="305" ht="14.25" customHeight="1">
      <c r="A305" s="1102"/>
      <c r="B305" s="1106"/>
      <c r="C305" s="455"/>
      <c r="E305" s="591"/>
    </row>
    <row r="306" ht="14.25" customHeight="1">
      <c r="A306" s="1102"/>
      <c r="B306" s="1106"/>
      <c r="C306" s="455"/>
      <c r="E306" s="591"/>
    </row>
    <row r="307" ht="14.25" customHeight="1">
      <c r="A307" s="1102"/>
      <c r="B307" s="1106"/>
      <c r="C307" s="455"/>
      <c r="E307" s="591"/>
    </row>
    <row r="308" ht="14.25" customHeight="1">
      <c r="A308" s="1102"/>
      <c r="B308" s="1106"/>
      <c r="C308" s="455"/>
      <c r="E308" s="591"/>
    </row>
    <row r="309" ht="14.25" customHeight="1">
      <c r="A309" s="1102"/>
      <c r="B309" s="1106"/>
      <c r="C309" s="455"/>
      <c r="E309" s="591"/>
    </row>
    <row r="310" ht="14.25" customHeight="1">
      <c r="A310" s="1102"/>
      <c r="B310" s="1106"/>
      <c r="C310" s="455"/>
      <c r="E310" s="591"/>
    </row>
    <row r="311" ht="14.25" customHeight="1">
      <c r="A311" s="1102"/>
      <c r="B311" s="1106"/>
      <c r="C311" s="455"/>
      <c r="E311" s="591"/>
    </row>
    <row r="312" ht="14.25" customHeight="1">
      <c r="A312" s="1102"/>
      <c r="B312" s="1106"/>
      <c r="C312" s="455"/>
      <c r="E312" s="591"/>
    </row>
    <row r="313" ht="14.25" customHeight="1">
      <c r="A313" s="1102"/>
      <c r="B313" s="1106"/>
      <c r="C313" s="455"/>
      <c r="E313" s="591"/>
    </row>
    <row r="314" ht="14.25" customHeight="1">
      <c r="A314" s="1102"/>
      <c r="B314" s="1106"/>
      <c r="C314" s="455"/>
      <c r="E314" s="591"/>
    </row>
    <row r="315" ht="14.25" customHeight="1">
      <c r="A315" s="1102"/>
      <c r="B315" s="1106"/>
      <c r="C315" s="455"/>
      <c r="E315" s="591"/>
    </row>
    <row r="316" ht="14.25" customHeight="1">
      <c r="A316" s="1102"/>
      <c r="B316" s="1106"/>
      <c r="C316" s="455"/>
      <c r="E316" s="591"/>
    </row>
    <row r="317" ht="14.25" customHeight="1">
      <c r="A317" s="1102"/>
      <c r="B317" s="1106"/>
      <c r="C317" s="455"/>
      <c r="E317" s="591"/>
    </row>
    <row r="318" ht="14.25" customHeight="1">
      <c r="A318" s="1102"/>
      <c r="B318" s="1106"/>
      <c r="C318" s="455"/>
      <c r="E318" s="591"/>
    </row>
    <row r="319" ht="14.25" customHeight="1">
      <c r="A319" s="1102"/>
      <c r="B319" s="1106"/>
      <c r="C319" s="455"/>
      <c r="E319" s="591"/>
    </row>
    <row r="320" ht="14.25" customHeight="1">
      <c r="A320" s="1102"/>
      <c r="B320" s="1106"/>
      <c r="C320" s="455"/>
      <c r="E320" s="591"/>
    </row>
    <row r="321" ht="14.25" customHeight="1">
      <c r="A321" s="1102"/>
      <c r="B321" s="1106"/>
      <c r="C321" s="455"/>
      <c r="E321" s="591"/>
    </row>
    <row r="322" ht="14.25" customHeight="1">
      <c r="A322" s="1102"/>
      <c r="B322" s="1106"/>
      <c r="C322" s="455"/>
      <c r="E322" s="591"/>
    </row>
    <row r="323" ht="14.25" customHeight="1">
      <c r="A323" s="1102"/>
      <c r="B323" s="1106"/>
      <c r="C323" s="455"/>
      <c r="E323" s="591"/>
    </row>
    <row r="324" ht="14.25" customHeight="1">
      <c r="A324" s="1102"/>
      <c r="B324" s="1106"/>
      <c r="C324" s="455"/>
      <c r="E324" s="591"/>
    </row>
    <row r="325" ht="14.25" customHeight="1">
      <c r="A325" s="1102"/>
      <c r="B325" s="1106"/>
      <c r="C325" s="455"/>
      <c r="E325" s="591"/>
    </row>
    <row r="326" ht="14.25" customHeight="1">
      <c r="A326" s="1102"/>
      <c r="B326" s="1106"/>
      <c r="C326" s="455"/>
      <c r="E326" s="591"/>
    </row>
    <row r="327" ht="14.25" customHeight="1">
      <c r="A327" s="1102"/>
      <c r="B327" s="1106"/>
      <c r="C327" s="455"/>
      <c r="E327" s="591"/>
    </row>
    <row r="328" ht="14.25" customHeight="1">
      <c r="A328" s="1102"/>
      <c r="B328" s="1106"/>
      <c r="C328" s="455"/>
      <c r="E328" s="591"/>
    </row>
    <row r="329" ht="14.25" customHeight="1">
      <c r="A329" s="1102"/>
      <c r="B329" s="1106"/>
      <c r="C329" s="455"/>
      <c r="E329" s="591"/>
    </row>
    <row r="330" ht="14.25" customHeight="1">
      <c r="A330" s="1102"/>
      <c r="B330" s="1106"/>
      <c r="C330" s="455"/>
      <c r="E330" s="591"/>
    </row>
    <row r="331" ht="14.25" customHeight="1">
      <c r="A331" s="1102"/>
      <c r="B331" s="1106"/>
      <c r="C331" s="455"/>
      <c r="E331" s="591"/>
    </row>
    <row r="332" ht="14.25" customHeight="1">
      <c r="A332" s="1102"/>
      <c r="B332" s="1106"/>
      <c r="C332" s="455"/>
      <c r="E332" s="591"/>
    </row>
    <row r="333" ht="14.25" customHeight="1">
      <c r="A333" s="1102"/>
      <c r="B333" s="1106"/>
      <c r="C333" s="455"/>
      <c r="E333" s="591"/>
    </row>
    <row r="334" ht="14.25" customHeight="1">
      <c r="A334" s="1102"/>
      <c r="B334" s="1106"/>
      <c r="C334" s="455"/>
      <c r="E334" s="591"/>
    </row>
    <row r="335" ht="14.25" customHeight="1">
      <c r="A335" s="1102"/>
      <c r="B335" s="1106"/>
      <c r="C335" s="455"/>
      <c r="E335" s="591"/>
    </row>
    <row r="336" ht="14.25" customHeight="1">
      <c r="A336" s="1102"/>
      <c r="B336" s="1106"/>
      <c r="C336" s="455"/>
      <c r="E336" s="591"/>
    </row>
    <row r="337" ht="14.25" customHeight="1">
      <c r="A337" s="1102"/>
      <c r="B337" s="1106"/>
      <c r="C337" s="455"/>
      <c r="E337" s="591"/>
    </row>
    <row r="338" ht="14.25" customHeight="1">
      <c r="A338" s="1102"/>
      <c r="B338" s="1106"/>
      <c r="C338" s="455"/>
      <c r="E338" s="591"/>
    </row>
    <row r="339" ht="14.25" customHeight="1">
      <c r="A339" s="1102"/>
      <c r="B339" s="1106"/>
      <c r="C339" s="455"/>
      <c r="E339" s="591"/>
    </row>
    <row r="340" ht="14.25" customHeight="1">
      <c r="A340" s="1102"/>
      <c r="B340" s="1106"/>
      <c r="C340" s="455"/>
      <c r="E340" s="591"/>
    </row>
    <row r="341" ht="14.25" customHeight="1">
      <c r="A341" s="1102"/>
      <c r="B341" s="1106"/>
      <c r="C341" s="455"/>
      <c r="E341" s="591"/>
    </row>
    <row r="342" ht="14.25" customHeight="1">
      <c r="A342" s="1102"/>
      <c r="B342" s="1106"/>
      <c r="C342" s="455"/>
      <c r="E342" s="591"/>
    </row>
    <row r="343" ht="14.25" customHeight="1">
      <c r="A343" s="1102"/>
      <c r="B343" s="1106"/>
      <c r="C343" s="455"/>
      <c r="E343" s="591"/>
    </row>
    <row r="344" ht="14.25" customHeight="1">
      <c r="A344" s="1102"/>
      <c r="B344" s="1106"/>
      <c r="C344" s="455"/>
      <c r="E344" s="591"/>
    </row>
    <row r="345" ht="14.25" customHeight="1">
      <c r="A345" s="1102"/>
      <c r="B345" s="1106"/>
      <c r="C345" s="455"/>
      <c r="E345" s="591"/>
    </row>
    <row r="346" ht="14.25" customHeight="1">
      <c r="A346" s="1102"/>
      <c r="B346" s="1106"/>
      <c r="C346" s="455"/>
      <c r="E346" s="591"/>
    </row>
    <row r="347" ht="14.25" customHeight="1">
      <c r="A347" s="1102"/>
      <c r="B347" s="1106"/>
      <c r="C347" s="455"/>
      <c r="E347" s="591"/>
    </row>
    <row r="348" ht="14.25" customHeight="1">
      <c r="A348" s="1102"/>
      <c r="B348" s="1106"/>
      <c r="C348" s="455"/>
      <c r="E348" s="591"/>
    </row>
    <row r="349" ht="14.25" customHeight="1">
      <c r="A349" s="1102"/>
      <c r="B349" s="1106"/>
      <c r="C349" s="455"/>
      <c r="E349" s="591"/>
    </row>
    <row r="350" ht="14.25" customHeight="1">
      <c r="A350" s="1102"/>
      <c r="B350" s="1106"/>
      <c r="C350" s="455"/>
      <c r="E350" s="591"/>
    </row>
    <row r="351" ht="14.25" customHeight="1">
      <c r="A351" s="1102"/>
      <c r="B351" s="1106"/>
      <c r="C351" s="455"/>
      <c r="E351" s="591"/>
    </row>
    <row r="352" ht="14.25" customHeight="1">
      <c r="A352" s="1102"/>
      <c r="B352" s="1106"/>
      <c r="C352" s="455"/>
      <c r="E352" s="591"/>
    </row>
    <row r="353" ht="14.25" customHeight="1">
      <c r="A353" s="1102"/>
      <c r="B353" s="1106"/>
      <c r="C353" s="455"/>
      <c r="E353" s="591"/>
    </row>
    <row r="354" ht="14.25" customHeight="1">
      <c r="A354" s="1102"/>
      <c r="B354" s="1106"/>
      <c r="C354" s="455"/>
      <c r="E354" s="591"/>
    </row>
    <row r="355" ht="14.25" customHeight="1">
      <c r="A355" s="1102"/>
      <c r="B355" s="1106"/>
      <c r="C355" s="455"/>
      <c r="E355" s="591"/>
    </row>
    <row r="356" ht="14.25" customHeight="1">
      <c r="A356" s="1102"/>
      <c r="B356" s="1106"/>
      <c r="C356" s="455"/>
      <c r="E356" s="591"/>
    </row>
    <row r="357" ht="14.25" customHeight="1">
      <c r="A357" s="1102"/>
      <c r="B357" s="1106"/>
      <c r="C357" s="455"/>
      <c r="E357" s="591"/>
    </row>
    <row r="358" ht="14.25" customHeight="1">
      <c r="A358" s="1102"/>
      <c r="B358" s="1106"/>
      <c r="C358" s="455"/>
      <c r="E358" s="591"/>
    </row>
    <row r="359" ht="14.25" customHeight="1">
      <c r="A359" s="1102"/>
      <c r="B359" s="1106"/>
      <c r="C359" s="455"/>
      <c r="E359" s="591"/>
    </row>
    <row r="360" ht="14.25" customHeight="1">
      <c r="A360" s="1102"/>
      <c r="B360" s="1106"/>
      <c r="C360" s="455"/>
      <c r="E360" s="591"/>
    </row>
    <row r="361" ht="14.25" customHeight="1">
      <c r="A361" s="1102"/>
      <c r="B361" s="1106"/>
      <c r="C361" s="455"/>
      <c r="E361" s="591"/>
    </row>
    <row r="362" ht="14.25" customHeight="1">
      <c r="A362" s="1102"/>
      <c r="B362" s="1106"/>
      <c r="C362" s="455"/>
      <c r="E362" s="591"/>
    </row>
    <row r="363" ht="14.25" customHeight="1">
      <c r="A363" s="1102"/>
      <c r="B363" s="1106"/>
      <c r="C363" s="455"/>
      <c r="E363" s="591"/>
    </row>
    <row r="364" ht="14.25" customHeight="1">
      <c r="A364" s="1102"/>
      <c r="B364" s="1106"/>
      <c r="C364" s="455"/>
      <c r="E364" s="591"/>
    </row>
    <row r="365" ht="14.25" customHeight="1">
      <c r="A365" s="1102"/>
      <c r="B365" s="1106"/>
      <c r="C365" s="455"/>
      <c r="E365" s="591"/>
    </row>
    <row r="366" ht="14.25" customHeight="1">
      <c r="A366" s="1102"/>
      <c r="B366" s="1106"/>
      <c r="C366" s="455"/>
      <c r="E366" s="591"/>
    </row>
    <row r="367" ht="14.25" customHeight="1">
      <c r="A367" s="1102"/>
      <c r="B367" s="1106"/>
      <c r="C367" s="455"/>
      <c r="E367" s="591"/>
    </row>
    <row r="368" ht="14.25" customHeight="1">
      <c r="A368" s="1102"/>
      <c r="B368" s="1106"/>
      <c r="C368" s="455"/>
      <c r="E368" s="591"/>
    </row>
    <row r="369" ht="14.25" customHeight="1">
      <c r="A369" s="1102"/>
      <c r="B369" s="1106"/>
      <c r="C369" s="455"/>
      <c r="E369" s="591"/>
    </row>
    <row r="370" ht="14.25" customHeight="1">
      <c r="A370" s="1102"/>
      <c r="B370" s="1106"/>
      <c r="C370" s="455"/>
      <c r="E370" s="591"/>
    </row>
    <row r="371" ht="14.25" customHeight="1">
      <c r="A371" s="1102"/>
      <c r="B371" s="1106"/>
      <c r="C371" s="455"/>
      <c r="E371" s="591"/>
    </row>
    <row r="372" ht="14.25" customHeight="1">
      <c r="A372" s="1102"/>
      <c r="B372" s="1106"/>
      <c r="C372" s="455"/>
      <c r="E372" s="591"/>
    </row>
    <row r="373" ht="14.25" customHeight="1">
      <c r="A373" s="1102"/>
      <c r="B373" s="1106"/>
      <c r="C373" s="455"/>
      <c r="E373" s="591"/>
    </row>
    <row r="374" ht="14.25" customHeight="1">
      <c r="A374" s="1102"/>
      <c r="B374" s="1106"/>
      <c r="C374" s="455"/>
      <c r="E374" s="591"/>
    </row>
    <row r="375" ht="14.25" customHeight="1">
      <c r="A375" s="1102"/>
      <c r="B375" s="1106"/>
      <c r="C375" s="455"/>
      <c r="E375" s="591"/>
    </row>
    <row r="376" ht="14.25" customHeight="1">
      <c r="A376" s="1102"/>
      <c r="B376" s="1106"/>
      <c r="C376" s="455"/>
      <c r="E376" s="591"/>
    </row>
    <row r="377" ht="14.25" customHeight="1">
      <c r="A377" s="1102"/>
      <c r="B377" s="1106"/>
      <c r="C377" s="455"/>
      <c r="E377" s="591"/>
    </row>
    <row r="378" ht="14.25" customHeight="1">
      <c r="A378" s="1102"/>
      <c r="B378" s="1106"/>
      <c r="C378" s="455"/>
      <c r="E378" s="591"/>
    </row>
    <row r="379" ht="14.25" customHeight="1">
      <c r="A379" s="1102"/>
      <c r="B379" s="1106"/>
      <c r="C379" s="455"/>
      <c r="E379" s="591"/>
    </row>
    <row r="380" ht="14.25" customHeight="1">
      <c r="A380" s="1102"/>
      <c r="B380" s="1106"/>
      <c r="C380" s="455"/>
      <c r="E380" s="591"/>
    </row>
    <row r="381" ht="14.25" customHeight="1">
      <c r="A381" s="1102"/>
      <c r="B381" s="1106"/>
      <c r="C381" s="455"/>
      <c r="E381" s="591"/>
    </row>
    <row r="382" ht="14.25" customHeight="1">
      <c r="A382" s="1102"/>
      <c r="B382" s="1106"/>
      <c r="C382" s="455"/>
      <c r="E382" s="591"/>
    </row>
    <row r="383" ht="14.25" customHeight="1">
      <c r="A383" s="1102"/>
      <c r="B383" s="1106"/>
      <c r="C383" s="455"/>
      <c r="E383" s="591"/>
    </row>
    <row r="384" ht="14.25" customHeight="1">
      <c r="A384" s="1102"/>
      <c r="B384" s="1106"/>
      <c r="C384" s="455"/>
      <c r="E384" s="591"/>
    </row>
    <row r="385" ht="14.25" customHeight="1">
      <c r="A385" s="1102"/>
      <c r="B385" s="1106"/>
      <c r="C385" s="455"/>
      <c r="E385" s="591"/>
    </row>
    <row r="386" ht="14.25" customHeight="1">
      <c r="A386" s="1102"/>
      <c r="B386" s="1106"/>
      <c r="C386" s="455"/>
      <c r="E386" s="591"/>
    </row>
    <row r="387" ht="14.25" customHeight="1">
      <c r="A387" s="1102"/>
      <c r="B387" s="1106"/>
      <c r="C387" s="455"/>
      <c r="E387" s="591"/>
    </row>
    <row r="388" ht="14.25" customHeight="1">
      <c r="A388" s="1102"/>
      <c r="B388" s="1106"/>
      <c r="C388" s="455"/>
      <c r="E388" s="591"/>
    </row>
    <row r="389" ht="14.25" customHeight="1">
      <c r="A389" s="1102"/>
      <c r="B389" s="1106"/>
      <c r="C389" s="455"/>
      <c r="E389" s="591"/>
    </row>
    <row r="390" ht="14.25" customHeight="1">
      <c r="A390" s="1102"/>
      <c r="B390" s="1106"/>
      <c r="C390" s="455"/>
      <c r="E390" s="591"/>
    </row>
    <row r="391" ht="14.25" customHeight="1">
      <c r="A391" s="1102"/>
      <c r="B391" s="1106"/>
      <c r="C391" s="455"/>
      <c r="E391" s="591"/>
    </row>
    <row r="392" ht="14.25" customHeight="1">
      <c r="A392" s="1102"/>
      <c r="B392" s="1106"/>
      <c r="C392" s="455"/>
      <c r="E392" s="591"/>
    </row>
    <row r="393" ht="14.25" customHeight="1">
      <c r="A393" s="1102"/>
      <c r="B393" s="1106"/>
      <c r="C393" s="455"/>
      <c r="E393" s="591"/>
    </row>
    <row r="394" ht="14.25" customHeight="1">
      <c r="A394" s="1102"/>
      <c r="B394" s="1106"/>
      <c r="C394" s="455"/>
      <c r="E394" s="591"/>
    </row>
    <row r="395" ht="14.25" customHeight="1">
      <c r="A395" s="1102"/>
      <c r="B395" s="1106"/>
      <c r="C395" s="455"/>
      <c r="E395" s="591"/>
    </row>
    <row r="396" ht="14.25" customHeight="1">
      <c r="A396" s="1102"/>
      <c r="B396" s="1106"/>
      <c r="C396" s="455"/>
      <c r="E396" s="591"/>
    </row>
    <row r="397" ht="14.25" customHeight="1">
      <c r="A397" s="1102"/>
      <c r="B397" s="1106"/>
      <c r="C397" s="455"/>
      <c r="E397" s="591"/>
    </row>
    <row r="398" ht="14.25" customHeight="1">
      <c r="A398" s="1102"/>
      <c r="B398" s="1106"/>
      <c r="C398" s="455"/>
      <c r="E398" s="591"/>
    </row>
    <row r="399" ht="14.25" customHeight="1">
      <c r="A399" s="1102"/>
      <c r="B399" s="1106"/>
      <c r="C399" s="455"/>
      <c r="E399" s="591"/>
    </row>
    <row r="400" ht="14.25" customHeight="1">
      <c r="A400" s="1102"/>
      <c r="B400" s="1106"/>
      <c r="C400" s="455"/>
      <c r="E400" s="591"/>
    </row>
    <row r="401" ht="14.25" customHeight="1">
      <c r="A401" s="1102"/>
      <c r="B401" s="1106"/>
      <c r="C401" s="455"/>
      <c r="E401" s="591"/>
    </row>
    <row r="402" ht="14.25" customHeight="1">
      <c r="A402" s="1102"/>
      <c r="B402" s="1106"/>
      <c r="C402" s="455"/>
      <c r="E402" s="591"/>
    </row>
    <row r="403" ht="14.25" customHeight="1">
      <c r="A403" s="1102"/>
      <c r="B403" s="1106"/>
      <c r="C403" s="455"/>
      <c r="E403" s="591"/>
    </row>
    <row r="404" ht="14.25" customHeight="1">
      <c r="A404" s="1102"/>
      <c r="B404" s="1106"/>
      <c r="C404" s="455"/>
      <c r="E404" s="591"/>
    </row>
    <row r="405" ht="14.25" customHeight="1">
      <c r="A405" s="1102"/>
      <c r="B405" s="1106"/>
      <c r="C405" s="455"/>
      <c r="E405" s="591"/>
    </row>
    <row r="406" ht="14.25" customHeight="1">
      <c r="A406" s="1102"/>
      <c r="B406" s="1106"/>
      <c r="C406" s="455"/>
      <c r="E406" s="591"/>
    </row>
    <row r="407" ht="14.25" customHeight="1">
      <c r="A407" s="1102"/>
      <c r="B407" s="1106"/>
      <c r="C407" s="455"/>
      <c r="E407" s="591"/>
    </row>
    <row r="408" ht="14.25" customHeight="1">
      <c r="A408" s="1102"/>
      <c r="B408" s="1106"/>
      <c r="C408" s="455"/>
      <c r="E408" s="591"/>
    </row>
    <row r="409" ht="14.25" customHeight="1">
      <c r="A409" s="1102"/>
      <c r="B409" s="1106"/>
      <c r="C409" s="455"/>
      <c r="E409" s="591"/>
    </row>
    <row r="410" ht="14.25" customHeight="1">
      <c r="A410" s="1102"/>
      <c r="B410" s="1106"/>
      <c r="C410" s="455"/>
      <c r="E410" s="591"/>
    </row>
    <row r="411" ht="14.25" customHeight="1">
      <c r="A411" s="1102"/>
      <c r="B411" s="1106"/>
      <c r="C411" s="455"/>
      <c r="E411" s="591"/>
    </row>
    <row r="412" ht="14.25" customHeight="1">
      <c r="A412" s="1102"/>
      <c r="B412" s="1106"/>
      <c r="C412" s="455"/>
      <c r="E412" s="591"/>
    </row>
    <row r="413" ht="14.25" customHeight="1">
      <c r="A413" s="1102"/>
      <c r="B413" s="1106"/>
      <c r="C413" s="455"/>
      <c r="E413" s="591"/>
    </row>
    <row r="414" ht="14.25" customHeight="1">
      <c r="A414" s="1102"/>
      <c r="B414" s="1106"/>
      <c r="C414" s="455"/>
      <c r="E414" s="591"/>
    </row>
    <row r="415" ht="14.25" customHeight="1">
      <c r="A415" s="1102"/>
      <c r="B415" s="1106"/>
      <c r="C415" s="455"/>
      <c r="E415" s="591"/>
    </row>
    <row r="416" ht="14.25" customHeight="1">
      <c r="A416" s="1102"/>
      <c r="B416" s="1106"/>
      <c r="C416" s="455"/>
      <c r="E416" s="591"/>
    </row>
    <row r="417" ht="14.25" customHeight="1">
      <c r="A417" s="1102"/>
      <c r="B417" s="1106"/>
      <c r="C417" s="455"/>
      <c r="E417" s="591"/>
    </row>
    <row r="418" ht="14.25" customHeight="1">
      <c r="A418" s="1102"/>
      <c r="B418" s="1106"/>
      <c r="C418" s="455"/>
      <c r="E418" s="591"/>
    </row>
    <row r="419" ht="14.25" customHeight="1">
      <c r="A419" s="1102"/>
      <c r="B419" s="1106"/>
      <c r="C419" s="455"/>
      <c r="E419" s="591"/>
    </row>
    <row r="420" ht="14.25" customHeight="1">
      <c r="A420" s="1102"/>
      <c r="B420" s="1106"/>
      <c r="C420" s="455"/>
      <c r="E420" s="591"/>
    </row>
    <row r="421" ht="14.25" customHeight="1">
      <c r="A421" s="1102"/>
      <c r="B421" s="1106"/>
      <c r="C421" s="455"/>
      <c r="E421" s="591"/>
    </row>
    <row r="422" ht="14.25" customHeight="1">
      <c r="A422" s="1102"/>
      <c r="B422" s="1106"/>
      <c r="C422" s="455"/>
      <c r="E422" s="591"/>
    </row>
    <row r="423" ht="14.25" customHeight="1">
      <c r="A423" s="1102"/>
      <c r="B423" s="1106"/>
      <c r="C423" s="455"/>
      <c r="E423" s="591"/>
    </row>
    <row r="424" ht="14.25" customHeight="1">
      <c r="A424" s="1102"/>
      <c r="B424" s="1106"/>
      <c r="C424" s="455"/>
      <c r="E424" s="591"/>
    </row>
    <row r="425" ht="14.25" customHeight="1">
      <c r="A425" s="1102"/>
      <c r="B425" s="1106"/>
      <c r="C425" s="455"/>
      <c r="E425" s="591"/>
    </row>
    <row r="426" ht="14.25" customHeight="1">
      <c r="A426" s="1102"/>
      <c r="B426" s="1106"/>
      <c r="C426" s="455"/>
      <c r="E426" s="591"/>
    </row>
    <row r="427" ht="14.25" customHeight="1">
      <c r="A427" s="1102"/>
      <c r="B427" s="1106"/>
      <c r="C427" s="455"/>
      <c r="E427" s="591"/>
    </row>
    <row r="428" ht="14.25" customHeight="1">
      <c r="A428" s="1102"/>
      <c r="B428" s="1106"/>
      <c r="C428" s="455"/>
      <c r="E428" s="591"/>
    </row>
    <row r="429" ht="14.25" customHeight="1">
      <c r="A429" s="1102"/>
      <c r="B429" s="1106"/>
      <c r="C429" s="455"/>
      <c r="E429" s="591"/>
    </row>
    <row r="430" ht="14.25" customHeight="1">
      <c r="A430" s="1102"/>
      <c r="B430" s="1106"/>
      <c r="C430" s="455"/>
      <c r="E430" s="591"/>
    </row>
    <row r="431" ht="14.25" customHeight="1">
      <c r="A431" s="1102"/>
      <c r="B431" s="1106"/>
      <c r="C431" s="455"/>
      <c r="E431" s="591"/>
    </row>
    <row r="432" ht="14.25" customHeight="1">
      <c r="A432" s="1102"/>
      <c r="B432" s="1106"/>
      <c r="C432" s="455"/>
      <c r="E432" s="591"/>
    </row>
    <row r="433" ht="14.25" customHeight="1">
      <c r="A433" s="1102"/>
      <c r="B433" s="1106"/>
      <c r="C433" s="455"/>
      <c r="E433" s="591"/>
    </row>
    <row r="434" ht="14.25" customHeight="1">
      <c r="A434" s="1102"/>
      <c r="B434" s="1106"/>
      <c r="C434" s="455"/>
      <c r="E434" s="591"/>
    </row>
    <row r="435" ht="14.25" customHeight="1">
      <c r="A435" s="1102"/>
      <c r="B435" s="1106"/>
      <c r="C435" s="455"/>
      <c r="E435" s="591"/>
    </row>
    <row r="436" ht="14.25" customHeight="1">
      <c r="A436" s="1102"/>
      <c r="B436" s="1106"/>
      <c r="C436" s="455"/>
      <c r="E436" s="591"/>
    </row>
    <row r="437" ht="14.25" customHeight="1">
      <c r="A437" s="1102"/>
      <c r="B437" s="1106"/>
      <c r="C437" s="455"/>
      <c r="E437" s="591"/>
    </row>
    <row r="438" ht="14.25" customHeight="1">
      <c r="A438" s="1102"/>
      <c r="B438" s="1106"/>
      <c r="C438" s="455"/>
      <c r="E438" s="591"/>
    </row>
    <row r="439" ht="14.25" customHeight="1">
      <c r="A439" s="1102"/>
      <c r="B439" s="1106"/>
      <c r="C439" s="455"/>
      <c r="E439" s="591"/>
    </row>
    <row r="440" ht="14.25" customHeight="1">
      <c r="A440" s="1102"/>
      <c r="B440" s="1106"/>
      <c r="C440" s="455"/>
      <c r="E440" s="591"/>
    </row>
    <row r="441" ht="14.25" customHeight="1">
      <c r="A441" s="1102"/>
      <c r="B441" s="1106"/>
      <c r="C441" s="455"/>
      <c r="E441" s="591"/>
    </row>
    <row r="442" ht="14.25" customHeight="1">
      <c r="A442" s="1102"/>
      <c r="B442" s="1106"/>
      <c r="C442" s="455"/>
      <c r="E442" s="591"/>
    </row>
    <row r="443" ht="14.25" customHeight="1">
      <c r="A443" s="1102"/>
      <c r="B443" s="1106"/>
      <c r="C443" s="455"/>
      <c r="E443" s="591"/>
    </row>
    <row r="444" ht="14.25" customHeight="1">
      <c r="A444" s="1102"/>
      <c r="B444" s="1106"/>
      <c r="C444" s="455"/>
      <c r="E444" s="591"/>
    </row>
    <row r="445" ht="14.25" customHeight="1">
      <c r="A445" s="1102"/>
      <c r="B445" s="1106"/>
      <c r="C445" s="455"/>
      <c r="E445" s="591"/>
    </row>
    <row r="446" ht="14.25" customHeight="1">
      <c r="A446" s="1102"/>
      <c r="B446" s="1106"/>
      <c r="C446" s="455"/>
      <c r="E446" s="591"/>
    </row>
    <row r="447" ht="14.25" customHeight="1">
      <c r="A447" s="1102"/>
      <c r="B447" s="1106"/>
      <c r="C447" s="455"/>
      <c r="E447" s="591"/>
    </row>
    <row r="448" ht="14.25" customHeight="1">
      <c r="A448" s="1102"/>
      <c r="B448" s="1106"/>
      <c r="C448" s="455"/>
      <c r="E448" s="591"/>
    </row>
    <row r="449" ht="14.25" customHeight="1">
      <c r="A449" s="1102"/>
      <c r="B449" s="1106"/>
      <c r="C449" s="455"/>
      <c r="E449" s="591"/>
    </row>
    <row r="450" ht="14.25" customHeight="1">
      <c r="A450" s="1102"/>
      <c r="B450" s="1106"/>
      <c r="C450" s="455"/>
      <c r="E450" s="591"/>
    </row>
    <row r="451" ht="14.25" customHeight="1">
      <c r="A451" s="1102"/>
      <c r="B451" s="1106"/>
      <c r="C451" s="455"/>
      <c r="E451" s="591"/>
    </row>
    <row r="452" ht="14.25" customHeight="1">
      <c r="A452" s="1102"/>
      <c r="B452" s="1106"/>
      <c r="C452" s="455"/>
      <c r="E452" s="591"/>
    </row>
    <row r="453" ht="14.25" customHeight="1">
      <c r="A453" s="1102"/>
      <c r="B453" s="1106"/>
      <c r="C453" s="455"/>
      <c r="E453" s="591"/>
    </row>
    <row r="454" ht="14.25" customHeight="1">
      <c r="A454" s="1102"/>
      <c r="B454" s="1106"/>
      <c r="C454" s="455"/>
      <c r="E454" s="591"/>
    </row>
    <row r="455" ht="14.25" customHeight="1">
      <c r="A455" s="1102"/>
      <c r="B455" s="1106"/>
      <c r="C455" s="455"/>
      <c r="E455" s="591"/>
    </row>
    <row r="456" ht="14.25" customHeight="1">
      <c r="A456" s="1102"/>
      <c r="B456" s="1106"/>
      <c r="C456" s="455"/>
      <c r="E456" s="591"/>
    </row>
    <row r="457" ht="14.25" customHeight="1">
      <c r="A457" s="1102"/>
      <c r="B457" s="1106"/>
      <c r="C457" s="455"/>
      <c r="E457" s="591"/>
    </row>
    <row r="458" ht="14.25" customHeight="1">
      <c r="A458" s="1102"/>
      <c r="B458" s="1106"/>
      <c r="C458" s="455"/>
      <c r="E458" s="591"/>
    </row>
    <row r="459" ht="14.25" customHeight="1">
      <c r="A459" s="1102"/>
      <c r="B459" s="1106"/>
      <c r="C459" s="455"/>
      <c r="E459" s="591"/>
    </row>
    <row r="460" ht="14.25" customHeight="1">
      <c r="A460" s="1102"/>
      <c r="B460" s="1106"/>
      <c r="C460" s="455"/>
      <c r="E460" s="591"/>
    </row>
    <row r="461" ht="14.25" customHeight="1">
      <c r="A461" s="1102"/>
      <c r="B461" s="1106"/>
      <c r="C461" s="455"/>
      <c r="E461" s="591"/>
    </row>
    <row r="462" ht="14.25" customHeight="1">
      <c r="A462" s="1102"/>
      <c r="B462" s="1106"/>
      <c r="C462" s="455"/>
      <c r="E462" s="591"/>
    </row>
    <row r="463" ht="14.25" customHeight="1">
      <c r="A463" s="1102"/>
      <c r="B463" s="1106"/>
      <c r="C463" s="455"/>
      <c r="E463" s="591"/>
    </row>
    <row r="464" ht="14.25" customHeight="1">
      <c r="A464" s="1102"/>
      <c r="B464" s="1106"/>
      <c r="C464" s="455"/>
      <c r="E464" s="591"/>
    </row>
    <row r="465" ht="14.25" customHeight="1">
      <c r="A465" s="1102"/>
      <c r="B465" s="1106"/>
      <c r="C465" s="455"/>
      <c r="E465" s="591"/>
    </row>
    <row r="466" ht="14.25" customHeight="1">
      <c r="A466" s="1102"/>
      <c r="B466" s="1106"/>
      <c r="C466" s="455"/>
      <c r="E466" s="591"/>
    </row>
    <row r="467" ht="14.25" customHeight="1">
      <c r="A467" s="1102"/>
      <c r="B467" s="1106"/>
      <c r="C467" s="455"/>
      <c r="E467" s="591"/>
    </row>
    <row r="468" ht="14.25" customHeight="1">
      <c r="A468" s="1102"/>
      <c r="B468" s="1106"/>
      <c r="C468" s="455"/>
      <c r="E468" s="591"/>
    </row>
    <row r="469" ht="14.25" customHeight="1">
      <c r="A469" s="1102"/>
      <c r="B469" s="1106"/>
      <c r="C469" s="455"/>
      <c r="E469" s="591"/>
    </row>
    <row r="470" ht="14.25" customHeight="1">
      <c r="A470" s="1102"/>
      <c r="B470" s="1106"/>
      <c r="C470" s="455"/>
      <c r="E470" s="591"/>
    </row>
    <row r="471" ht="14.25" customHeight="1">
      <c r="A471" s="1102"/>
      <c r="B471" s="1106"/>
      <c r="C471" s="455"/>
      <c r="E471" s="591"/>
    </row>
    <row r="472" ht="14.25" customHeight="1">
      <c r="A472" s="1102"/>
      <c r="B472" s="1106"/>
      <c r="C472" s="455"/>
      <c r="E472" s="591"/>
    </row>
    <row r="473" ht="14.25" customHeight="1">
      <c r="A473" s="1102"/>
      <c r="B473" s="1106"/>
      <c r="C473" s="455"/>
      <c r="E473" s="591"/>
    </row>
    <row r="474" ht="14.25" customHeight="1">
      <c r="A474" s="1102"/>
      <c r="B474" s="1106"/>
      <c r="C474" s="455"/>
      <c r="E474" s="591"/>
    </row>
    <row r="475" ht="14.25" customHeight="1">
      <c r="A475" s="1102"/>
      <c r="B475" s="1106"/>
      <c r="C475" s="455"/>
      <c r="E475" s="591"/>
    </row>
    <row r="476" ht="14.25" customHeight="1">
      <c r="A476" s="1102"/>
      <c r="B476" s="1106"/>
      <c r="C476" s="455"/>
      <c r="E476" s="591"/>
    </row>
    <row r="477" ht="14.25" customHeight="1">
      <c r="A477" s="1102"/>
      <c r="B477" s="1106"/>
      <c r="C477" s="455"/>
      <c r="E477" s="591"/>
    </row>
    <row r="478" ht="14.25" customHeight="1">
      <c r="A478" s="1102"/>
      <c r="B478" s="1106"/>
      <c r="C478" s="455"/>
      <c r="E478" s="591"/>
    </row>
    <row r="479" ht="14.25" customHeight="1">
      <c r="A479" s="1102"/>
      <c r="B479" s="1106"/>
      <c r="C479" s="455"/>
      <c r="E479" s="591"/>
    </row>
    <row r="480" ht="14.25" customHeight="1">
      <c r="A480" s="1102"/>
      <c r="B480" s="1106"/>
      <c r="C480" s="455"/>
      <c r="E480" s="591"/>
    </row>
    <row r="481" ht="14.25" customHeight="1">
      <c r="A481" s="1102"/>
      <c r="B481" s="1106"/>
      <c r="C481" s="455"/>
      <c r="E481" s="591"/>
    </row>
    <row r="482" ht="14.25" customHeight="1">
      <c r="A482" s="1102"/>
      <c r="B482" s="1106"/>
      <c r="C482" s="455"/>
      <c r="E482" s="591"/>
    </row>
    <row r="483" ht="14.25" customHeight="1">
      <c r="A483" s="1102"/>
      <c r="B483" s="1106"/>
      <c r="C483" s="455"/>
      <c r="E483" s="591"/>
    </row>
    <row r="484" ht="14.25" customHeight="1">
      <c r="A484" s="1102"/>
      <c r="B484" s="1106"/>
      <c r="C484" s="455"/>
      <c r="E484" s="591"/>
    </row>
    <row r="485" ht="14.25" customHeight="1">
      <c r="A485" s="1102"/>
      <c r="B485" s="1106"/>
      <c r="C485" s="455"/>
      <c r="E485" s="591"/>
    </row>
    <row r="486" ht="14.25" customHeight="1">
      <c r="A486" s="1102"/>
      <c r="B486" s="1106"/>
      <c r="C486" s="455"/>
      <c r="E486" s="591"/>
    </row>
    <row r="487" ht="14.25" customHeight="1">
      <c r="A487" s="1102"/>
      <c r="B487" s="1106"/>
      <c r="C487" s="455"/>
      <c r="E487" s="591"/>
    </row>
    <row r="488" ht="14.25" customHeight="1">
      <c r="A488" s="1102"/>
      <c r="B488" s="1106"/>
      <c r="C488" s="455"/>
      <c r="E488" s="591"/>
    </row>
    <row r="489" ht="14.25" customHeight="1">
      <c r="A489" s="1102"/>
      <c r="B489" s="1106"/>
      <c r="C489" s="455"/>
      <c r="E489" s="591"/>
    </row>
    <row r="490" ht="14.25" customHeight="1">
      <c r="A490" s="1102"/>
      <c r="B490" s="1106"/>
      <c r="C490" s="455"/>
      <c r="E490" s="591"/>
    </row>
    <row r="491" ht="14.25" customHeight="1">
      <c r="A491" s="1102"/>
      <c r="B491" s="1106"/>
      <c r="C491" s="455"/>
      <c r="E491" s="591"/>
    </row>
    <row r="492" ht="14.25" customHeight="1">
      <c r="A492" s="1102"/>
      <c r="B492" s="1106"/>
      <c r="C492" s="455"/>
      <c r="E492" s="591"/>
    </row>
    <row r="493" ht="14.25" customHeight="1">
      <c r="A493" s="1102"/>
      <c r="B493" s="1106"/>
      <c r="C493" s="455"/>
      <c r="E493" s="591"/>
    </row>
    <row r="494" ht="14.25" customHeight="1">
      <c r="A494" s="1102"/>
      <c r="B494" s="1106"/>
      <c r="C494" s="455"/>
      <c r="E494" s="591"/>
    </row>
    <row r="495" ht="14.25" customHeight="1">
      <c r="A495" s="1102"/>
      <c r="B495" s="1106"/>
      <c r="C495" s="455"/>
      <c r="E495" s="591"/>
    </row>
    <row r="496" ht="14.25" customHeight="1">
      <c r="A496" s="1102"/>
      <c r="B496" s="1106"/>
      <c r="C496" s="455"/>
      <c r="E496" s="591"/>
    </row>
    <row r="497" ht="14.25" customHeight="1">
      <c r="A497" s="1102"/>
      <c r="B497" s="1106"/>
      <c r="C497" s="455"/>
      <c r="E497" s="591"/>
    </row>
    <row r="498" ht="14.25" customHeight="1">
      <c r="A498" s="1102"/>
      <c r="B498" s="1106"/>
      <c r="C498" s="455"/>
      <c r="E498" s="591"/>
    </row>
    <row r="499" ht="14.25" customHeight="1">
      <c r="A499" s="1102"/>
      <c r="B499" s="1106"/>
      <c r="C499" s="455"/>
      <c r="E499" s="591"/>
    </row>
    <row r="500" ht="14.25" customHeight="1">
      <c r="A500" s="1102"/>
      <c r="B500" s="1106"/>
      <c r="C500" s="455"/>
      <c r="E500" s="591"/>
    </row>
    <row r="501" ht="14.25" customHeight="1">
      <c r="A501" s="1102"/>
      <c r="B501" s="1106"/>
      <c r="C501" s="455"/>
      <c r="E501" s="591"/>
    </row>
    <row r="502" ht="14.25" customHeight="1">
      <c r="A502" s="1102"/>
      <c r="B502" s="1106"/>
      <c r="C502" s="455"/>
      <c r="E502" s="591"/>
    </row>
    <row r="503" ht="14.25" customHeight="1">
      <c r="A503" s="1102"/>
      <c r="B503" s="1106"/>
      <c r="C503" s="455"/>
      <c r="E503" s="591"/>
    </row>
    <row r="504" ht="14.25" customHeight="1">
      <c r="A504" s="1102"/>
      <c r="B504" s="1106"/>
      <c r="C504" s="455"/>
      <c r="E504" s="591"/>
    </row>
    <row r="505" ht="14.25" customHeight="1">
      <c r="A505" s="1102"/>
      <c r="B505" s="1106"/>
      <c r="C505" s="455"/>
      <c r="E505" s="591"/>
    </row>
    <row r="506" ht="14.25" customHeight="1">
      <c r="A506" s="1102"/>
      <c r="B506" s="1106"/>
      <c r="C506" s="455"/>
      <c r="E506" s="591"/>
    </row>
    <row r="507" ht="14.25" customHeight="1">
      <c r="A507" s="1102"/>
      <c r="B507" s="1106"/>
      <c r="C507" s="455"/>
      <c r="E507" s="591"/>
    </row>
    <row r="508" ht="14.25" customHeight="1">
      <c r="A508" s="1102"/>
      <c r="B508" s="1106"/>
      <c r="C508" s="455"/>
      <c r="E508" s="591"/>
    </row>
    <row r="509" ht="14.25" customHeight="1">
      <c r="A509" s="1102"/>
      <c r="B509" s="1106"/>
      <c r="C509" s="455"/>
      <c r="E509" s="591"/>
    </row>
    <row r="510" ht="14.25" customHeight="1">
      <c r="A510" s="1102"/>
      <c r="B510" s="1106"/>
      <c r="C510" s="455"/>
      <c r="E510" s="591"/>
    </row>
    <row r="511" ht="14.25" customHeight="1">
      <c r="A511" s="1102"/>
      <c r="B511" s="1106"/>
      <c r="C511" s="455"/>
      <c r="E511" s="591"/>
    </row>
    <row r="512" ht="14.25" customHeight="1">
      <c r="A512" s="1102"/>
      <c r="B512" s="1106"/>
      <c r="C512" s="455"/>
      <c r="E512" s="591"/>
    </row>
    <row r="513" ht="14.25" customHeight="1">
      <c r="A513" s="1102"/>
      <c r="B513" s="1106"/>
      <c r="C513" s="455"/>
      <c r="E513" s="591"/>
    </row>
    <row r="514" ht="14.25" customHeight="1">
      <c r="A514" s="1102"/>
      <c r="B514" s="1106"/>
      <c r="C514" s="455"/>
      <c r="E514" s="591"/>
    </row>
    <row r="515" ht="14.25" customHeight="1">
      <c r="A515" s="1102"/>
      <c r="B515" s="1106"/>
      <c r="C515" s="455"/>
      <c r="E515" s="591"/>
    </row>
    <row r="516" ht="14.25" customHeight="1">
      <c r="A516" s="1102"/>
      <c r="B516" s="1106"/>
      <c r="C516" s="455"/>
      <c r="E516" s="591"/>
    </row>
    <row r="517" ht="14.25" customHeight="1">
      <c r="A517" s="1102"/>
      <c r="B517" s="1106"/>
      <c r="C517" s="455"/>
      <c r="E517" s="591"/>
    </row>
    <row r="518" ht="14.25" customHeight="1">
      <c r="A518" s="1102"/>
      <c r="B518" s="1106"/>
      <c r="C518" s="455"/>
      <c r="E518" s="591"/>
    </row>
    <row r="519" ht="14.25" customHeight="1">
      <c r="A519" s="1102"/>
      <c r="B519" s="1106"/>
      <c r="C519" s="455"/>
      <c r="E519" s="591"/>
    </row>
    <row r="520" ht="14.25" customHeight="1">
      <c r="A520" s="1102"/>
      <c r="B520" s="1106"/>
      <c r="C520" s="455"/>
      <c r="E520" s="591"/>
    </row>
    <row r="521" ht="14.25" customHeight="1">
      <c r="A521" s="1102"/>
      <c r="B521" s="1106"/>
      <c r="C521" s="455"/>
      <c r="E521" s="591"/>
    </row>
    <row r="522" ht="14.25" customHeight="1">
      <c r="A522" s="1102"/>
      <c r="B522" s="1106"/>
      <c r="C522" s="455"/>
      <c r="E522" s="591"/>
    </row>
    <row r="523" ht="14.25" customHeight="1">
      <c r="A523" s="1102"/>
      <c r="B523" s="1106"/>
      <c r="C523" s="455"/>
      <c r="E523" s="591"/>
    </row>
    <row r="524" ht="14.25" customHeight="1">
      <c r="A524" s="1102"/>
      <c r="B524" s="1106"/>
      <c r="C524" s="455"/>
      <c r="E524" s="591"/>
    </row>
    <row r="525" ht="14.25" customHeight="1">
      <c r="A525" s="1102"/>
      <c r="B525" s="1106"/>
      <c r="C525" s="455"/>
      <c r="E525" s="591"/>
    </row>
    <row r="526" ht="14.25" customHeight="1">
      <c r="A526" s="1102"/>
      <c r="B526" s="1106"/>
      <c r="C526" s="455"/>
      <c r="E526" s="591"/>
    </row>
    <row r="527" ht="14.25" customHeight="1">
      <c r="A527" s="1102"/>
      <c r="B527" s="1106"/>
      <c r="C527" s="455"/>
      <c r="E527" s="591"/>
    </row>
    <row r="528" ht="14.25" customHeight="1">
      <c r="A528" s="1102"/>
      <c r="B528" s="1106"/>
      <c r="C528" s="455"/>
      <c r="E528" s="591"/>
    </row>
    <row r="529" ht="14.25" customHeight="1">
      <c r="A529" s="1102"/>
      <c r="B529" s="1106"/>
      <c r="C529" s="455"/>
      <c r="E529" s="591"/>
    </row>
    <row r="530" ht="14.25" customHeight="1">
      <c r="A530" s="1102"/>
      <c r="B530" s="1106"/>
      <c r="C530" s="455"/>
      <c r="E530" s="591"/>
    </row>
    <row r="531" ht="14.25" customHeight="1">
      <c r="A531" s="1102"/>
      <c r="B531" s="1106"/>
      <c r="C531" s="455"/>
      <c r="E531" s="591"/>
    </row>
    <row r="532" ht="14.25" customHeight="1">
      <c r="A532" s="1102"/>
      <c r="B532" s="1106"/>
      <c r="C532" s="455"/>
      <c r="E532" s="591"/>
    </row>
    <row r="533" ht="14.25" customHeight="1">
      <c r="A533" s="1102"/>
      <c r="B533" s="1106"/>
      <c r="C533" s="455"/>
      <c r="E533" s="591"/>
    </row>
    <row r="534" ht="14.25" customHeight="1">
      <c r="A534" s="1102"/>
      <c r="B534" s="1106"/>
      <c r="C534" s="455"/>
      <c r="E534" s="591"/>
    </row>
    <row r="535" ht="14.25" customHeight="1">
      <c r="A535" s="1102"/>
      <c r="B535" s="1106"/>
      <c r="C535" s="455"/>
      <c r="E535" s="591"/>
    </row>
    <row r="536" ht="14.25" customHeight="1">
      <c r="A536" s="1102"/>
      <c r="B536" s="1106"/>
      <c r="C536" s="455"/>
      <c r="E536" s="591"/>
    </row>
    <row r="537" ht="14.25" customHeight="1">
      <c r="A537" s="1102"/>
      <c r="B537" s="1106"/>
      <c r="C537" s="455"/>
      <c r="E537" s="591"/>
    </row>
    <row r="538" ht="14.25" customHeight="1">
      <c r="A538" s="1102"/>
      <c r="B538" s="1106"/>
      <c r="C538" s="455"/>
      <c r="E538" s="591"/>
    </row>
    <row r="539" ht="14.25" customHeight="1">
      <c r="A539" s="1102"/>
      <c r="B539" s="1106"/>
      <c r="C539" s="455"/>
      <c r="E539" s="591"/>
    </row>
    <row r="540" ht="14.25" customHeight="1">
      <c r="A540" s="1102"/>
      <c r="B540" s="1106"/>
      <c r="C540" s="455"/>
      <c r="E540" s="591"/>
    </row>
    <row r="541" ht="14.25" customHeight="1">
      <c r="A541" s="1102"/>
      <c r="B541" s="1106"/>
      <c r="C541" s="455"/>
      <c r="E541" s="591"/>
    </row>
    <row r="542" ht="14.25" customHeight="1">
      <c r="A542" s="1102"/>
      <c r="B542" s="1106"/>
      <c r="C542" s="455"/>
      <c r="E542" s="591"/>
    </row>
    <row r="543" ht="14.25" customHeight="1">
      <c r="A543" s="1102"/>
      <c r="B543" s="1106"/>
      <c r="C543" s="455"/>
      <c r="E543" s="591"/>
    </row>
    <row r="544" ht="14.25" customHeight="1">
      <c r="A544" s="1102"/>
      <c r="B544" s="1106"/>
      <c r="C544" s="455"/>
      <c r="E544" s="591"/>
    </row>
    <row r="545" ht="14.25" customHeight="1">
      <c r="A545" s="1102"/>
      <c r="B545" s="1106"/>
      <c r="C545" s="455"/>
      <c r="E545" s="591"/>
    </row>
    <row r="546" ht="14.25" customHeight="1">
      <c r="A546" s="1102"/>
      <c r="B546" s="1106"/>
      <c r="C546" s="455"/>
      <c r="E546" s="591"/>
    </row>
    <row r="547" ht="14.25" customHeight="1">
      <c r="A547" s="1102"/>
      <c r="B547" s="1106"/>
      <c r="C547" s="455"/>
      <c r="E547" s="591"/>
    </row>
    <row r="548" ht="14.25" customHeight="1">
      <c r="A548" s="1102"/>
      <c r="B548" s="1106"/>
      <c r="C548" s="455"/>
      <c r="E548" s="591"/>
    </row>
    <row r="549" ht="14.25" customHeight="1">
      <c r="A549" s="1102"/>
      <c r="B549" s="1106"/>
      <c r="C549" s="455"/>
      <c r="E549" s="591"/>
    </row>
    <row r="550" ht="14.25" customHeight="1">
      <c r="A550" s="1102"/>
      <c r="B550" s="1106"/>
      <c r="C550" s="455"/>
      <c r="E550" s="591"/>
    </row>
    <row r="551" ht="14.25" customHeight="1">
      <c r="A551" s="1102"/>
      <c r="B551" s="1106"/>
      <c r="C551" s="455"/>
      <c r="E551" s="591"/>
    </row>
    <row r="552" ht="14.25" customHeight="1">
      <c r="A552" s="1102"/>
      <c r="B552" s="1106"/>
      <c r="C552" s="455"/>
      <c r="E552" s="591"/>
    </row>
    <row r="553" ht="14.25" customHeight="1">
      <c r="A553" s="1102"/>
      <c r="B553" s="1106"/>
      <c r="C553" s="455"/>
      <c r="E553" s="591"/>
    </row>
    <row r="554" ht="14.25" customHeight="1">
      <c r="A554" s="1102"/>
      <c r="B554" s="1106"/>
      <c r="C554" s="455"/>
      <c r="E554" s="591"/>
    </row>
    <row r="555" ht="14.25" customHeight="1">
      <c r="A555" s="1102"/>
      <c r="B555" s="1106"/>
      <c r="C555" s="455"/>
      <c r="E555" s="591"/>
    </row>
    <row r="556" ht="14.25" customHeight="1">
      <c r="A556" s="1102"/>
      <c r="B556" s="1106"/>
      <c r="C556" s="455"/>
      <c r="E556" s="591"/>
    </row>
    <row r="557" ht="14.25" customHeight="1">
      <c r="A557" s="1102"/>
      <c r="B557" s="1106"/>
      <c r="C557" s="455"/>
      <c r="E557" s="591"/>
    </row>
    <row r="558" ht="14.25" customHeight="1">
      <c r="A558" s="1102"/>
      <c r="B558" s="1106"/>
      <c r="C558" s="455"/>
      <c r="E558" s="591"/>
    </row>
    <row r="559" ht="14.25" customHeight="1">
      <c r="A559" s="1102"/>
      <c r="B559" s="1106"/>
      <c r="C559" s="455"/>
      <c r="E559" s="591"/>
    </row>
    <row r="560" ht="14.25" customHeight="1">
      <c r="A560" s="1102"/>
      <c r="B560" s="1106"/>
      <c r="C560" s="455"/>
      <c r="E560" s="591"/>
    </row>
    <row r="561" ht="14.25" customHeight="1">
      <c r="A561" s="1102"/>
      <c r="B561" s="1106"/>
      <c r="C561" s="455"/>
      <c r="E561" s="591"/>
    </row>
    <row r="562" ht="14.25" customHeight="1">
      <c r="A562" s="1102"/>
      <c r="B562" s="1106"/>
      <c r="C562" s="455"/>
      <c r="E562" s="591"/>
    </row>
    <row r="563" ht="14.25" customHeight="1">
      <c r="A563" s="1102"/>
      <c r="B563" s="1106"/>
      <c r="C563" s="455"/>
      <c r="E563" s="591"/>
    </row>
    <row r="564" ht="14.25" customHeight="1">
      <c r="A564" s="1102"/>
      <c r="B564" s="1106"/>
      <c r="C564" s="455"/>
      <c r="E564" s="591"/>
    </row>
    <row r="565" ht="14.25" customHeight="1">
      <c r="A565" s="1102"/>
      <c r="B565" s="1106"/>
      <c r="C565" s="455"/>
      <c r="E565" s="591"/>
    </row>
    <row r="566" ht="14.25" customHeight="1">
      <c r="A566" s="1102"/>
      <c r="B566" s="1106"/>
      <c r="C566" s="455"/>
      <c r="E566" s="591"/>
    </row>
    <row r="567" ht="14.25" customHeight="1">
      <c r="A567" s="1102"/>
      <c r="B567" s="1106"/>
      <c r="C567" s="455"/>
      <c r="E567" s="591"/>
    </row>
    <row r="568" ht="14.25" customHeight="1">
      <c r="A568" s="1102"/>
      <c r="B568" s="1106"/>
      <c r="C568" s="455"/>
      <c r="E568" s="591"/>
    </row>
    <row r="569" ht="14.25" customHeight="1">
      <c r="A569" s="1102"/>
      <c r="B569" s="1106"/>
      <c r="C569" s="455"/>
      <c r="E569" s="591"/>
    </row>
    <row r="570" ht="14.25" customHeight="1">
      <c r="A570" s="1102"/>
      <c r="B570" s="1106"/>
      <c r="C570" s="455"/>
      <c r="E570" s="591"/>
    </row>
    <row r="571" ht="14.25" customHeight="1">
      <c r="A571" s="1102"/>
      <c r="B571" s="1106"/>
      <c r="C571" s="455"/>
      <c r="E571" s="591"/>
    </row>
    <row r="572" ht="14.25" customHeight="1">
      <c r="A572" s="1102"/>
      <c r="B572" s="1106"/>
      <c r="C572" s="455"/>
      <c r="E572" s="591"/>
    </row>
    <row r="573" ht="14.25" customHeight="1">
      <c r="A573" s="1102"/>
      <c r="B573" s="1106"/>
      <c r="C573" s="455"/>
      <c r="E573" s="591"/>
    </row>
    <row r="574" ht="14.25" customHeight="1">
      <c r="A574" s="1102"/>
      <c r="B574" s="1106"/>
      <c r="C574" s="455"/>
      <c r="E574" s="591"/>
    </row>
    <row r="575" ht="14.25" customHeight="1">
      <c r="A575" s="1102"/>
      <c r="B575" s="1106"/>
      <c r="C575" s="455"/>
      <c r="E575" s="591"/>
    </row>
    <row r="576" ht="14.25" customHeight="1">
      <c r="A576" s="1102"/>
      <c r="B576" s="1106"/>
      <c r="C576" s="455"/>
      <c r="E576" s="591"/>
    </row>
    <row r="577" ht="14.25" customHeight="1">
      <c r="A577" s="1102"/>
      <c r="B577" s="1106"/>
      <c r="C577" s="455"/>
      <c r="E577" s="591"/>
    </row>
    <row r="578" ht="14.25" customHeight="1">
      <c r="A578" s="1102"/>
      <c r="B578" s="1106"/>
      <c r="C578" s="455"/>
      <c r="E578" s="591"/>
    </row>
    <row r="579" ht="14.25" customHeight="1">
      <c r="A579" s="1102"/>
      <c r="B579" s="1106"/>
      <c r="C579" s="455"/>
      <c r="E579" s="591"/>
    </row>
    <row r="580" ht="14.25" customHeight="1">
      <c r="A580" s="1102"/>
      <c r="B580" s="1106"/>
      <c r="C580" s="455"/>
      <c r="E580" s="591"/>
    </row>
    <row r="581" ht="14.25" customHeight="1">
      <c r="A581" s="1102"/>
      <c r="B581" s="1106"/>
      <c r="C581" s="455"/>
      <c r="E581" s="591"/>
    </row>
    <row r="582" ht="14.25" customHeight="1">
      <c r="A582" s="1102"/>
      <c r="B582" s="1106"/>
      <c r="C582" s="455"/>
      <c r="E582" s="591"/>
    </row>
    <row r="583" ht="14.25" customHeight="1">
      <c r="A583" s="1102"/>
      <c r="B583" s="1106"/>
      <c r="C583" s="455"/>
      <c r="E583" s="591"/>
    </row>
    <row r="584" ht="14.25" customHeight="1">
      <c r="A584" s="1102"/>
      <c r="B584" s="1106"/>
      <c r="C584" s="455"/>
      <c r="E584" s="591"/>
    </row>
    <row r="585" ht="14.25" customHeight="1">
      <c r="A585" s="1102"/>
      <c r="B585" s="1106"/>
      <c r="C585" s="455"/>
      <c r="E585" s="591"/>
    </row>
    <row r="586" ht="14.25" customHeight="1">
      <c r="A586" s="1102"/>
      <c r="B586" s="1106"/>
      <c r="C586" s="455"/>
      <c r="E586" s="591"/>
    </row>
    <row r="587" ht="14.25" customHeight="1">
      <c r="A587" s="1102"/>
      <c r="B587" s="1106"/>
      <c r="C587" s="455"/>
      <c r="E587" s="591"/>
    </row>
    <row r="588" ht="14.25" customHeight="1">
      <c r="A588" s="1102"/>
      <c r="B588" s="1106"/>
      <c r="C588" s="455"/>
      <c r="E588" s="591"/>
    </row>
    <row r="589" ht="14.25" customHeight="1">
      <c r="A589" s="1102"/>
      <c r="B589" s="1106"/>
      <c r="C589" s="455"/>
      <c r="E589" s="591"/>
    </row>
    <row r="590" ht="14.25" customHeight="1">
      <c r="A590" s="1102"/>
      <c r="B590" s="1106"/>
      <c r="C590" s="455"/>
      <c r="E590" s="591"/>
    </row>
    <row r="591" ht="14.25" customHeight="1">
      <c r="A591" s="1102"/>
      <c r="B591" s="1106"/>
      <c r="C591" s="455"/>
      <c r="E591" s="591"/>
    </row>
    <row r="592" ht="14.25" customHeight="1">
      <c r="A592" s="1102"/>
      <c r="B592" s="1106"/>
      <c r="C592" s="455"/>
      <c r="E592" s="591"/>
    </row>
    <row r="593" ht="14.25" customHeight="1">
      <c r="A593" s="1102"/>
      <c r="B593" s="1106"/>
      <c r="C593" s="455"/>
      <c r="E593" s="591"/>
    </row>
    <row r="594" ht="14.25" customHeight="1">
      <c r="A594" s="1102"/>
      <c r="B594" s="1106"/>
      <c r="C594" s="455"/>
      <c r="E594" s="591"/>
    </row>
    <row r="595" ht="14.25" customHeight="1">
      <c r="A595" s="1102"/>
      <c r="B595" s="1106"/>
      <c r="C595" s="455"/>
      <c r="E595" s="591"/>
    </row>
    <row r="596" ht="14.25" customHeight="1">
      <c r="A596" s="1102"/>
      <c r="B596" s="1106"/>
      <c r="C596" s="455"/>
      <c r="E596" s="591"/>
    </row>
    <row r="597" ht="14.25" customHeight="1">
      <c r="A597" s="1102"/>
      <c r="B597" s="1106"/>
      <c r="C597" s="455"/>
      <c r="E597" s="591"/>
    </row>
    <row r="598" ht="14.25" customHeight="1">
      <c r="A598" s="1102"/>
      <c r="B598" s="1106"/>
      <c r="C598" s="455"/>
      <c r="E598" s="591"/>
    </row>
    <row r="599" ht="14.25" customHeight="1">
      <c r="A599" s="1102"/>
      <c r="B599" s="1106"/>
      <c r="C599" s="455"/>
      <c r="E599" s="591"/>
    </row>
    <row r="600" ht="14.25" customHeight="1">
      <c r="A600" s="1102"/>
      <c r="B600" s="1106"/>
      <c r="C600" s="455"/>
      <c r="E600" s="591"/>
    </row>
    <row r="601" ht="14.25" customHeight="1">
      <c r="A601" s="1102"/>
      <c r="B601" s="1106"/>
      <c r="C601" s="455"/>
      <c r="E601" s="591"/>
    </row>
    <row r="602" ht="14.25" customHeight="1">
      <c r="A602" s="1102"/>
      <c r="B602" s="1106"/>
      <c r="C602" s="455"/>
      <c r="E602" s="591"/>
    </row>
    <row r="603" ht="14.25" customHeight="1">
      <c r="A603" s="1102"/>
      <c r="B603" s="1106"/>
      <c r="C603" s="455"/>
      <c r="E603" s="591"/>
    </row>
    <row r="604" ht="14.25" customHeight="1">
      <c r="A604" s="1102"/>
      <c r="B604" s="1106"/>
      <c r="C604" s="455"/>
      <c r="E604" s="591"/>
    </row>
    <row r="605" ht="14.25" customHeight="1">
      <c r="A605" s="1102"/>
      <c r="B605" s="1106"/>
      <c r="C605" s="455"/>
      <c r="E605" s="591"/>
    </row>
    <row r="606" ht="14.25" customHeight="1">
      <c r="A606" s="1102"/>
      <c r="B606" s="1106"/>
      <c r="C606" s="455"/>
      <c r="E606" s="591"/>
    </row>
    <row r="607" ht="14.25" customHeight="1">
      <c r="A607" s="1102"/>
      <c r="B607" s="1106"/>
      <c r="C607" s="455"/>
      <c r="E607" s="591"/>
    </row>
    <row r="608" ht="14.25" customHeight="1">
      <c r="A608" s="1102"/>
      <c r="B608" s="1106"/>
      <c r="C608" s="455"/>
      <c r="E608" s="591"/>
    </row>
    <row r="609" ht="14.25" customHeight="1">
      <c r="A609" s="1102"/>
      <c r="B609" s="1106"/>
      <c r="C609" s="455"/>
      <c r="E609" s="591"/>
    </row>
    <row r="610" ht="14.25" customHeight="1">
      <c r="A610" s="1102"/>
      <c r="B610" s="1106"/>
      <c r="C610" s="455"/>
      <c r="E610" s="591"/>
    </row>
    <row r="611" ht="14.25" customHeight="1">
      <c r="A611" s="1102"/>
      <c r="B611" s="1106"/>
      <c r="C611" s="455"/>
      <c r="E611" s="591"/>
    </row>
    <row r="612" ht="14.25" customHeight="1">
      <c r="A612" s="1102"/>
      <c r="B612" s="1106"/>
      <c r="C612" s="455"/>
      <c r="E612" s="591"/>
    </row>
    <row r="613" ht="14.25" customHeight="1">
      <c r="A613" s="1102"/>
      <c r="B613" s="1106"/>
      <c r="C613" s="455"/>
      <c r="E613" s="591"/>
    </row>
    <row r="614" ht="14.25" customHeight="1">
      <c r="A614" s="1102"/>
      <c r="B614" s="1106"/>
      <c r="C614" s="455"/>
      <c r="E614" s="591"/>
    </row>
    <row r="615" ht="14.25" customHeight="1">
      <c r="A615" s="1102"/>
      <c r="B615" s="1106"/>
      <c r="C615" s="455"/>
      <c r="E615" s="591"/>
    </row>
    <row r="616" ht="14.25" customHeight="1">
      <c r="A616" s="1102"/>
      <c r="B616" s="1106"/>
      <c r="C616" s="455"/>
      <c r="E616" s="591"/>
    </row>
    <row r="617" ht="14.25" customHeight="1">
      <c r="A617" s="1102"/>
      <c r="B617" s="1106"/>
      <c r="C617" s="455"/>
      <c r="E617" s="591"/>
    </row>
    <row r="618" ht="14.25" customHeight="1">
      <c r="A618" s="1102"/>
      <c r="B618" s="1106"/>
      <c r="C618" s="455"/>
      <c r="E618" s="591"/>
    </row>
    <row r="619" ht="14.25" customHeight="1">
      <c r="A619" s="1102"/>
      <c r="B619" s="1106"/>
      <c r="C619" s="455"/>
      <c r="E619" s="591"/>
    </row>
    <row r="620" ht="14.25" customHeight="1">
      <c r="A620" s="1102"/>
      <c r="B620" s="1106"/>
      <c r="C620" s="455"/>
      <c r="E620" s="591"/>
    </row>
    <row r="621" ht="14.25" customHeight="1">
      <c r="A621" s="1102"/>
      <c r="B621" s="1106"/>
      <c r="C621" s="455"/>
      <c r="E621" s="591"/>
    </row>
    <row r="622" ht="14.25" customHeight="1">
      <c r="A622" s="1102"/>
      <c r="B622" s="1106"/>
      <c r="C622" s="455"/>
      <c r="E622" s="591"/>
    </row>
    <row r="623" ht="14.25" customHeight="1">
      <c r="A623" s="1102"/>
      <c r="B623" s="1106"/>
      <c r="C623" s="455"/>
      <c r="E623" s="591"/>
    </row>
    <row r="624" ht="14.25" customHeight="1">
      <c r="A624" s="1102"/>
      <c r="B624" s="1106"/>
      <c r="C624" s="455"/>
      <c r="E624" s="591"/>
    </row>
    <row r="625" ht="14.25" customHeight="1">
      <c r="A625" s="1102"/>
      <c r="B625" s="1106"/>
      <c r="C625" s="455"/>
      <c r="E625" s="591"/>
    </row>
    <row r="626" ht="14.25" customHeight="1">
      <c r="A626" s="1102"/>
      <c r="B626" s="1106"/>
      <c r="C626" s="455"/>
      <c r="E626" s="591"/>
    </row>
    <row r="627" ht="14.25" customHeight="1">
      <c r="A627" s="1102"/>
      <c r="B627" s="1106"/>
      <c r="C627" s="455"/>
      <c r="E627" s="591"/>
    </row>
    <row r="628" ht="14.25" customHeight="1">
      <c r="A628" s="1102"/>
      <c r="B628" s="1106"/>
      <c r="C628" s="455"/>
      <c r="E628" s="591"/>
    </row>
    <row r="629" ht="14.25" customHeight="1">
      <c r="A629" s="1102"/>
      <c r="B629" s="1106"/>
      <c r="C629" s="455"/>
      <c r="E629" s="591"/>
    </row>
    <row r="630" ht="14.25" customHeight="1">
      <c r="A630" s="1102"/>
      <c r="B630" s="1106"/>
      <c r="C630" s="455"/>
      <c r="E630" s="591"/>
    </row>
    <row r="631" ht="14.25" customHeight="1">
      <c r="A631" s="1102"/>
      <c r="B631" s="1106"/>
      <c r="C631" s="455"/>
      <c r="E631" s="591"/>
    </row>
    <row r="632" ht="14.25" customHeight="1">
      <c r="A632" s="1102"/>
      <c r="B632" s="1106"/>
      <c r="C632" s="455"/>
      <c r="E632" s="591"/>
    </row>
    <row r="633" ht="14.25" customHeight="1">
      <c r="A633" s="1102"/>
      <c r="B633" s="1106"/>
      <c r="C633" s="455"/>
      <c r="E633" s="591"/>
    </row>
    <row r="634" ht="14.25" customHeight="1">
      <c r="A634" s="1102"/>
      <c r="B634" s="1106"/>
      <c r="C634" s="455"/>
      <c r="E634" s="591"/>
    </row>
    <row r="635" ht="14.25" customHeight="1">
      <c r="A635" s="1102"/>
      <c r="B635" s="1106"/>
      <c r="C635" s="455"/>
      <c r="E635" s="591"/>
    </row>
    <row r="636" ht="14.25" customHeight="1">
      <c r="A636" s="1102"/>
      <c r="B636" s="1106"/>
      <c r="C636" s="455"/>
      <c r="E636" s="591"/>
    </row>
    <row r="637" ht="14.25" customHeight="1">
      <c r="A637" s="1102"/>
      <c r="B637" s="1106"/>
      <c r="C637" s="455"/>
      <c r="E637" s="591"/>
    </row>
    <row r="638" ht="14.25" customHeight="1">
      <c r="A638" s="1102"/>
      <c r="B638" s="1106"/>
      <c r="C638" s="455"/>
      <c r="E638" s="591"/>
    </row>
    <row r="639" ht="14.25" customHeight="1">
      <c r="A639" s="1102"/>
      <c r="B639" s="1106"/>
      <c r="C639" s="455"/>
      <c r="E639" s="591"/>
    </row>
    <row r="640" ht="14.25" customHeight="1">
      <c r="A640" s="1102"/>
      <c r="B640" s="1106"/>
      <c r="C640" s="455"/>
      <c r="E640" s="591"/>
    </row>
    <row r="641" ht="14.25" customHeight="1">
      <c r="A641" s="1102"/>
      <c r="B641" s="1106"/>
      <c r="C641" s="455"/>
      <c r="E641" s="591"/>
    </row>
    <row r="642" ht="14.25" customHeight="1">
      <c r="A642" s="1102"/>
      <c r="B642" s="1106"/>
      <c r="C642" s="455"/>
      <c r="E642" s="591"/>
    </row>
    <row r="643" ht="14.25" customHeight="1">
      <c r="A643" s="1102"/>
      <c r="B643" s="1106"/>
      <c r="C643" s="455"/>
      <c r="E643" s="591"/>
    </row>
    <row r="644" ht="14.25" customHeight="1">
      <c r="A644" s="1102"/>
      <c r="B644" s="1106"/>
      <c r="C644" s="455"/>
      <c r="E644" s="591"/>
    </row>
    <row r="645" ht="14.25" customHeight="1">
      <c r="A645" s="1102"/>
      <c r="B645" s="1106"/>
      <c r="C645" s="455"/>
      <c r="E645" s="591"/>
    </row>
    <row r="646" ht="14.25" customHeight="1">
      <c r="A646" s="1102"/>
      <c r="B646" s="1106"/>
      <c r="C646" s="455"/>
      <c r="E646" s="591"/>
    </row>
    <row r="647" ht="14.25" customHeight="1">
      <c r="A647" s="1102"/>
      <c r="B647" s="1106"/>
      <c r="C647" s="455"/>
      <c r="E647" s="591"/>
    </row>
    <row r="648" ht="14.25" customHeight="1">
      <c r="A648" s="1102"/>
      <c r="B648" s="1106"/>
      <c r="C648" s="455"/>
      <c r="E648" s="591"/>
    </row>
    <row r="649" ht="14.25" customHeight="1">
      <c r="A649" s="1102"/>
      <c r="B649" s="1106"/>
      <c r="C649" s="455"/>
      <c r="E649" s="591"/>
    </row>
    <row r="650" ht="14.25" customHeight="1">
      <c r="A650" s="1102"/>
      <c r="B650" s="1106"/>
      <c r="C650" s="455"/>
      <c r="E650" s="591"/>
    </row>
    <row r="651" ht="14.25" customHeight="1">
      <c r="A651" s="1102"/>
      <c r="B651" s="1106"/>
      <c r="C651" s="455"/>
      <c r="E651" s="591"/>
    </row>
    <row r="652" ht="14.25" customHeight="1">
      <c r="A652" s="1102"/>
      <c r="B652" s="1106"/>
      <c r="C652" s="455"/>
      <c r="E652" s="591"/>
    </row>
    <row r="653" ht="14.25" customHeight="1">
      <c r="A653" s="1102"/>
      <c r="B653" s="1106"/>
      <c r="C653" s="455"/>
      <c r="E653" s="591"/>
    </row>
    <row r="654" ht="14.25" customHeight="1">
      <c r="A654" s="1102"/>
      <c r="B654" s="1106"/>
      <c r="C654" s="455"/>
      <c r="E654" s="591"/>
    </row>
    <row r="655" ht="14.25" customHeight="1">
      <c r="A655" s="1102"/>
      <c r="B655" s="1106"/>
      <c r="C655" s="455"/>
      <c r="E655" s="591"/>
    </row>
    <row r="656" ht="14.25" customHeight="1">
      <c r="A656" s="1102"/>
      <c r="B656" s="1106"/>
      <c r="C656" s="455"/>
      <c r="E656" s="591"/>
    </row>
    <row r="657" ht="14.25" customHeight="1">
      <c r="A657" s="1102"/>
      <c r="B657" s="1106"/>
      <c r="C657" s="455"/>
      <c r="E657" s="591"/>
    </row>
    <row r="658" ht="14.25" customHeight="1">
      <c r="A658" s="1102"/>
      <c r="B658" s="1106"/>
      <c r="C658" s="455"/>
      <c r="E658" s="591"/>
    </row>
    <row r="659" ht="14.25" customHeight="1">
      <c r="A659" s="1102"/>
      <c r="B659" s="1106"/>
      <c r="C659" s="455"/>
      <c r="E659" s="591"/>
    </row>
    <row r="660" ht="14.25" customHeight="1">
      <c r="A660" s="1102"/>
      <c r="B660" s="1106"/>
      <c r="C660" s="455"/>
      <c r="E660" s="591"/>
    </row>
    <row r="661" ht="14.25" customHeight="1">
      <c r="A661" s="1102"/>
      <c r="B661" s="1106"/>
      <c r="C661" s="455"/>
      <c r="E661" s="591"/>
    </row>
    <row r="662" ht="14.25" customHeight="1">
      <c r="A662" s="1102"/>
      <c r="B662" s="1106"/>
      <c r="C662" s="455"/>
      <c r="E662" s="591"/>
    </row>
    <row r="663" ht="14.25" customHeight="1">
      <c r="A663" s="1102"/>
      <c r="B663" s="1106"/>
      <c r="C663" s="455"/>
      <c r="E663" s="591"/>
    </row>
    <row r="664" ht="14.25" customHeight="1">
      <c r="A664" s="1102"/>
      <c r="B664" s="1106"/>
      <c r="C664" s="455"/>
      <c r="E664" s="591"/>
    </row>
    <row r="665" ht="14.25" customHeight="1">
      <c r="A665" s="1102"/>
      <c r="B665" s="1106"/>
      <c r="C665" s="455"/>
      <c r="E665" s="591"/>
    </row>
    <row r="666" ht="14.25" customHeight="1">
      <c r="A666" s="1102"/>
      <c r="B666" s="1106"/>
      <c r="C666" s="455"/>
      <c r="E666" s="591"/>
    </row>
    <row r="667" ht="14.25" customHeight="1">
      <c r="A667" s="1102"/>
      <c r="B667" s="1106"/>
      <c r="C667" s="455"/>
      <c r="E667" s="591"/>
    </row>
    <row r="668" ht="14.25" customHeight="1">
      <c r="A668" s="1102"/>
      <c r="B668" s="1106"/>
      <c r="C668" s="455"/>
      <c r="E668" s="591"/>
    </row>
    <row r="669" ht="14.25" customHeight="1">
      <c r="A669" s="1102"/>
      <c r="B669" s="1106"/>
      <c r="C669" s="455"/>
      <c r="E669" s="591"/>
    </row>
    <row r="670" ht="14.25" customHeight="1">
      <c r="A670" s="1102"/>
      <c r="B670" s="1106"/>
      <c r="C670" s="455"/>
      <c r="E670" s="591"/>
    </row>
    <row r="671" ht="14.25" customHeight="1">
      <c r="A671" s="1102"/>
      <c r="B671" s="1106"/>
      <c r="C671" s="455"/>
      <c r="E671" s="591"/>
    </row>
    <row r="672" ht="14.25" customHeight="1">
      <c r="A672" s="1102"/>
      <c r="B672" s="1106"/>
      <c r="C672" s="455"/>
      <c r="E672" s="591"/>
    </row>
    <row r="673" ht="14.25" customHeight="1">
      <c r="A673" s="1102"/>
      <c r="B673" s="1106"/>
      <c r="C673" s="455"/>
      <c r="E673" s="591"/>
    </row>
    <row r="674" ht="14.25" customHeight="1">
      <c r="A674" s="1102"/>
      <c r="B674" s="1106"/>
      <c r="C674" s="455"/>
      <c r="E674" s="591"/>
    </row>
    <row r="675" ht="14.25" customHeight="1">
      <c r="A675" s="1102"/>
      <c r="B675" s="1106"/>
      <c r="C675" s="455"/>
      <c r="E675" s="591"/>
    </row>
    <row r="676" ht="14.25" customHeight="1">
      <c r="A676" s="1102"/>
      <c r="B676" s="1106"/>
      <c r="C676" s="455"/>
      <c r="E676" s="591"/>
    </row>
    <row r="677" ht="14.25" customHeight="1">
      <c r="A677" s="1102"/>
      <c r="B677" s="1106"/>
      <c r="C677" s="455"/>
      <c r="E677" s="591"/>
    </row>
    <row r="678" ht="14.25" customHeight="1">
      <c r="A678" s="1102"/>
      <c r="B678" s="1106"/>
      <c r="C678" s="455"/>
      <c r="E678" s="591"/>
    </row>
    <row r="679" ht="14.25" customHeight="1">
      <c r="A679" s="1102"/>
      <c r="B679" s="1106"/>
      <c r="C679" s="455"/>
      <c r="E679" s="591"/>
    </row>
    <row r="680" ht="14.25" customHeight="1">
      <c r="A680" s="1102"/>
      <c r="B680" s="1106"/>
      <c r="C680" s="455"/>
      <c r="E680" s="591"/>
    </row>
    <row r="681" ht="14.25" customHeight="1">
      <c r="A681" s="1102"/>
      <c r="B681" s="1106"/>
      <c r="C681" s="455"/>
      <c r="E681" s="591"/>
    </row>
    <row r="682" ht="14.25" customHeight="1">
      <c r="A682" s="1102"/>
      <c r="B682" s="1106"/>
      <c r="C682" s="455"/>
      <c r="E682" s="591"/>
    </row>
    <row r="683" ht="14.25" customHeight="1">
      <c r="A683" s="1102"/>
      <c r="B683" s="1106"/>
      <c r="C683" s="455"/>
      <c r="E683" s="591"/>
    </row>
    <row r="684" ht="14.25" customHeight="1">
      <c r="A684" s="1102"/>
      <c r="B684" s="1106"/>
      <c r="C684" s="455"/>
      <c r="E684" s="591"/>
    </row>
    <row r="685" ht="14.25" customHeight="1">
      <c r="A685" s="1102"/>
      <c r="B685" s="1106"/>
      <c r="C685" s="455"/>
      <c r="E685" s="591"/>
    </row>
    <row r="686" ht="14.25" customHeight="1">
      <c r="A686" s="1102"/>
      <c r="B686" s="1106"/>
      <c r="C686" s="455"/>
      <c r="E686" s="591"/>
    </row>
    <row r="687" ht="14.25" customHeight="1">
      <c r="A687" s="1102"/>
      <c r="B687" s="1106"/>
      <c r="C687" s="455"/>
      <c r="E687" s="591"/>
    </row>
    <row r="688" ht="14.25" customHeight="1">
      <c r="A688" s="1102"/>
      <c r="B688" s="1106"/>
      <c r="C688" s="455"/>
      <c r="E688" s="591"/>
    </row>
    <row r="689" ht="14.25" customHeight="1">
      <c r="A689" s="1102"/>
      <c r="B689" s="1106"/>
      <c r="C689" s="455"/>
      <c r="E689" s="591"/>
    </row>
    <row r="690" ht="14.25" customHeight="1">
      <c r="A690" s="1102"/>
      <c r="B690" s="1106"/>
      <c r="C690" s="455"/>
      <c r="E690" s="591"/>
    </row>
    <row r="691" ht="14.25" customHeight="1">
      <c r="A691" s="1102"/>
      <c r="B691" s="1106"/>
      <c r="C691" s="455"/>
      <c r="E691" s="591"/>
    </row>
    <row r="692" ht="14.25" customHeight="1">
      <c r="A692" s="1102"/>
      <c r="B692" s="1106"/>
      <c r="C692" s="455"/>
      <c r="E692" s="591"/>
    </row>
    <row r="693" ht="14.25" customHeight="1">
      <c r="A693" s="1102"/>
      <c r="B693" s="1106"/>
      <c r="C693" s="455"/>
      <c r="E693" s="591"/>
    </row>
    <row r="694" ht="14.25" customHeight="1">
      <c r="A694" s="1102"/>
      <c r="B694" s="1106"/>
      <c r="C694" s="455"/>
      <c r="E694" s="591"/>
    </row>
    <row r="695" ht="14.25" customHeight="1">
      <c r="A695" s="1102"/>
      <c r="B695" s="1106"/>
      <c r="C695" s="455"/>
      <c r="E695" s="591"/>
    </row>
    <row r="696" ht="14.25" customHeight="1">
      <c r="A696" s="1102"/>
      <c r="B696" s="1106"/>
      <c r="C696" s="455"/>
      <c r="E696" s="591"/>
    </row>
    <row r="697" ht="14.25" customHeight="1">
      <c r="A697" s="1102"/>
      <c r="B697" s="1106"/>
      <c r="C697" s="455"/>
      <c r="E697" s="591"/>
    </row>
    <row r="698" ht="14.25" customHeight="1">
      <c r="A698" s="1102"/>
      <c r="B698" s="1106"/>
      <c r="C698" s="455"/>
      <c r="E698" s="591"/>
    </row>
    <row r="699" ht="14.25" customHeight="1">
      <c r="A699" s="1102"/>
      <c r="B699" s="1106"/>
      <c r="C699" s="455"/>
      <c r="E699" s="591"/>
    </row>
    <row r="700" ht="14.25" customHeight="1">
      <c r="A700" s="1102"/>
      <c r="B700" s="1106"/>
      <c r="C700" s="455"/>
      <c r="E700" s="591"/>
    </row>
    <row r="701" ht="14.25" customHeight="1">
      <c r="A701" s="1102"/>
      <c r="B701" s="1106"/>
      <c r="C701" s="455"/>
      <c r="E701" s="591"/>
    </row>
    <row r="702" ht="14.25" customHeight="1">
      <c r="A702" s="1102"/>
      <c r="B702" s="1106"/>
      <c r="C702" s="455"/>
      <c r="E702" s="591"/>
    </row>
    <row r="703" ht="14.25" customHeight="1">
      <c r="A703" s="1102"/>
      <c r="B703" s="1106"/>
      <c r="C703" s="455"/>
      <c r="E703" s="591"/>
    </row>
    <row r="704" ht="14.25" customHeight="1">
      <c r="A704" s="1102"/>
      <c r="B704" s="1106"/>
      <c r="C704" s="455"/>
      <c r="E704" s="591"/>
    </row>
    <row r="705" ht="14.25" customHeight="1">
      <c r="A705" s="1102"/>
      <c r="B705" s="1106"/>
      <c r="C705" s="455"/>
      <c r="E705" s="591"/>
    </row>
    <row r="706" ht="14.25" customHeight="1">
      <c r="A706" s="1102"/>
      <c r="B706" s="1106"/>
      <c r="C706" s="455"/>
      <c r="E706" s="591"/>
    </row>
    <row r="707" ht="14.25" customHeight="1">
      <c r="A707" s="1102"/>
      <c r="B707" s="1106"/>
      <c r="C707" s="455"/>
      <c r="E707" s="591"/>
    </row>
    <row r="708" ht="14.25" customHeight="1">
      <c r="A708" s="1102"/>
      <c r="B708" s="1106"/>
      <c r="C708" s="455"/>
      <c r="E708" s="591"/>
    </row>
    <row r="709" ht="14.25" customHeight="1">
      <c r="A709" s="1102"/>
      <c r="B709" s="1106"/>
      <c r="C709" s="455"/>
      <c r="E709" s="591"/>
    </row>
    <row r="710" ht="14.25" customHeight="1">
      <c r="A710" s="1102"/>
      <c r="B710" s="1106"/>
      <c r="C710" s="455"/>
      <c r="E710" s="591"/>
    </row>
    <row r="711" ht="14.25" customHeight="1">
      <c r="A711" s="1102"/>
      <c r="B711" s="1106"/>
      <c r="C711" s="455"/>
      <c r="E711" s="591"/>
    </row>
    <row r="712" ht="14.25" customHeight="1">
      <c r="A712" s="1102"/>
      <c r="B712" s="1106"/>
      <c r="C712" s="455"/>
      <c r="E712" s="591"/>
    </row>
    <row r="713" ht="14.25" customHeight="1">
      <c r="A713" s="1102"/>
      <c r="B713" s="1106"/>
      <c r="C713" s="455"/>
      <c r="E713" s="591"/>
    </row>
    <row r="714" ht="14.25" customHeight="1">
      <c r="A714" s="1102"/>
      <c r="B714" s="1106"/>
      <c r="C714" s="455"/>
      <c r="E714" s="591"/>
    </row>
    <row r="715" ht="14.25" customHeight="1">
      <c r="A715" s="1102"/>
      <c r="B715" s="1106"/>
      <c r="C715" s="455"/>
      <c r="E715" s="591"/>
    </row>
    <row r="716" ht="14.25" customHeight="1">
      <c r="A716" s="1102"/>
      <c r="B716" s="1106"/>
      <c r="C716" s="455"/>
      <c r="E716" s="591"/>
    </row>
    <row r="717" ht="14.25" customHeight="1">
      <c r="A717" s="1102"/>
      <c r="B717" s="1106"/>
      <c r="C717" s="455"/>
      <c r="E717" s="591"/>
    </row>
    <row r="718" ht="14.25" customHeight="1">
      <c r="A718" s="1102"/>
      <c r="B718" s="1106"/>
      <c r="C718" s="455"/>
      <c r="E718" s="591"/>
    </row>
    <row r="719" ht="14.25" customHeight="1">
      <c r="A719" s="1102"/>
      <c r="B719" s="1106"/>
      <c r="C719" s="455"/>
      <c r="E719" s="591"/>
    </row>
    <row r="720" ht="14.25" customHeight="1">
      <c r="A720" s="1102"/>
      <c r="B720" s="1106"/>
      <c r="C720" s="455"/>
      <c r="E720" s="591"/>
    </row>
    <row r="721" ht="14.25" customHeight="1">
      <c r="A721" s="1102"/>
      <c r="B721" s="1106"/>
      <c r="C721" s="455"/>
      <c r="E721" s="591"/>
    </row>
    <row r="722" ht="14.25" customHeight="1">
      <c r="A722" s="1102"/>
      <c r="B722" s="1106"/>
      <c r="C722" s="455"/>
      <c r="E722" s="591"/>
    </row>
    <row r="723" ht="14.25" customHeight="1">
      <c r="A723" s="1102"/>
      <c r="B723" s="1106"/>
      <c r="C723" s="455"/>
      <c r="E723" s="591"/>
    </row>
    <row r="724" ht="14.25" customHeight="1">
      <c r="A724" s="1102"/>
      <c r="B724" s="1106"/>
      <c r="C724" s="455"/>
      <c r="E724" s="591"/>
    </row>
    <row r="725" ht="14.25" customHeight="1">
      <c r="A725" s="1102"/>
      <c r="B725" s="1106"/>
      <c r="C725" s="455"/>
      <c r="E725" s="591"/>
    </row>
    <row r="726" ht="14.25" customHeight="1">
      <c r="A726" s="1102"/>
      <c r="B726" s="1106"/>
      <c r="C726" s="455"/>
      <c r="E726" s="591"/>
    </row>
    <row r="727" ht="14.25" customHeight="1">
      <c r="A727" s="1102"/>
      <c r="B727" s="1106"/>
      <c r="C727" s="455"/>
      <c r="E727" s="591"/>
    </row>
    <row r="728" ht="14.25" customHeight="1">
      <c r="A728" s="1102"/>
      <c r="B728" s="1106"/>
      <c r="C728" s="455"/>
      <c r="E728" s="591"/>
    </row>
    <row r="729" ht="14.25" customHeight="1">
      <c r="A729" s="1102"/>
      <c r="B729" s="1106"/>
      <c r="C729" s="455"/>
      <c r="E729" s="591"/>
    </row>
    <row r="730" ht="14.25" customHeight="1">
      <c r="A730" s="1102"/>
      <c r="B730" s="1106"/>
      <c r="C730" s="455"/>
      <c r="E730" s="591"/>
    </row>
    <row r="731" ht="14.25" customHeight="1">
      <c r="A731" s="1102"/>
      <c r="B731" s="1106"/>
      <c r="C731" s="455"/>
      <c r="E731" s="591"/>
    </row>
    <row r="732" ht="14.25" customHeight="1">
      <c r="A732" s="1102"/>
      <c r="B732" s="1106"/>
      <c r="C732" s="455"/>
      <c r="E732" s="591"/>
    </row>
    <row r="733" ht="14.25" customHeight="1">
      <c r="A733" s="1102"/>
      <c r="B733" s="1106"/>
      <c r="C733" s="455"/>
      <c r="E733" s="591"/>
    </row>
    <row r="734" ht="14.25" customHeight="1">
      <c r="A734" s="1102"/>
      <c r="B734" s="1106"/>
      <c r="C734" s="455"/>
      <c r="E734" s="591"/>
    </row>
    <row r="735" ht="14.25" customHeight="1">
      <c r="A735" s="1102"/>
      <c r="B735" s="1106"/>
      <c r="C735" s="455"/>
      <c r="E735" s="591"/>
    </row>
    <row r="736" ht="14.25" customHeight="1">
      <c r="A736" s="1102"/>
      <c r="B736" s="1106"/>
      <c r="C736" s="455"/>
      <c r="E736" s="591"/>
    </row>
    <row r="737" ht="14.25" customHeight="1">
      <c r="A737" s="1102"/>
      <c r="B737" s="1106"/>
      <c r="C737" s="455"/>
      <c r="E737" s="591"/>
    </row>
    <row r="738" ht="14.25" customHeight="1">
      <c r="A738" s="1102"/>
      <c r="B738" s="1106"/>
      <c r="C738" s="455"/>
      <c r="E738" s="591"/>
    </row>
    <row r="739" ht="14.25" customHeight="1">
      <c r="A739" s="1102"/>
      <c r="B739" s="1106"/>
      <c r="C739" s="455"/>
      <c r="E739" s="591"/>
    </row>
    <row r="740" ht="14.25" customHeight="1">
      <c r="A740" s="1102"/>
      <c r="B740" s="1106"/>
      <c r="C740" s="455"/>
      <c r="E740" s="591"/>
    </row>
    <row r="741" ht="14.25" customHeight="1">
      <c r="A741" s="1102"/>
      <c r="B741" s="1106"/>
      <c r="C741" s="455"/>
      <c r="E741" s="591"/>
    </row>
    <row r="742" ht="14.25" customHeight="1">
      <c r="A742" s="1102"/>
      <c r="B742" s="1106"/>
      <c r="C742" s="455"/>
      <c r="E742" s="591"/>
    </row>
    <row r="743" ht="14.25" customHeight="1">
      <c r="A743" s="1102"/>
      <c r="B743" s="1106"/>
      <c r="C743" s="455"/>
      <c r="E743" s="591"/>
    </row>
    <row r="744" ht="14.25" customHeight="1">
      <c r="A744" s="1102"/>
      <c r="B744" s="1106"/>
      <c r="C744" s="455"/>
      <c r="E744" s="591"/>
    </row>
    <row r="745" ht="14.25" customHeight="1">
      <c r="A745" s="1102"/>
      <c r="B745" s="1106"/>
      <c r="C745" s="455"/>
      <c r="E745" s="591"/>
    </row>
    <row r="746" ht="14.25" customHeight="1">
      <c r="A746" s="1102"/>
      <c r="B746" s="1106"/>
      <c r="C746" s="455"/>
      <c r="E746" s="591"/>
    </row>
    <row r="747" ht="14.25" customHeight="1">
      <c r="A747" s="1102"/>
      <c r="B747" s="1106"/>
      <c r="C747" s="455"/>
      <c r="E747" s="591"/>
    </row>
    <row r="748" ht="14.25" customHeight="1">
      <c r="A748" s="1102"/>
      <c r="B748" s="1106"/>
      <c r="C748" s="455"/>
      <c r="E748" s="591"/>
    </row>
    <row r="749" ht="14.25" customHeight="1">
      <c r="A749" s="1102"/>
      <c r="B749" s="1106"/>
      <c r="C749" s="455"/>
      <c r="E749" s="591"/>
    </row>
    <row r="750" ht="14.25" customHeight="1">
      <c r="A750" s="1102"/>
      <c r="B750" s="1106"/>
      <c r="C750" s="455"/>
      <c r="E750" s="591"/>
    </row>
    <row r="751" ht="14.25" customHeight="1">
      <c r="A751" s="1102"/>
      <c r="B751" s="1106"/>
      <c r="C751" s="455"/>
      <c r="E751" s="591"/>
    </row>
    <row r="752" ht="14.25" customHeight="1">
      <c r="A752" s="1102"/>
      <c r="B752" s="1106"/>
      <c r="C752" s="455"/>
      <c r="E752" s="591"/>
    </row>
    <row r="753" ht="14.25" customHeight="1">
      <c r="A753" s="1102"/>
      <c r="B753" s="1106"/>
      <c r="C753" s="455"/>
      <c r="E753" s="591"/>
    </row>
    <row r="754" ht="14.25" customHeight="1">
      <c r="A754" s="1102"/>
      <c r="B754" s="1106"/>
      <c r="C754" s="455"/>
      <c r="E754" s="591"/>
    </row>
    <row r="755" ht="14.25" customHeight="1">
      <c r="A755" s="1102"/>
      <c r="B755" s="1106"/>
      <c r="C755" s="455"/>
      <c r="E755" s="591"/>
    </row>
    <row r="756" ht="14.25" customHeight="1">
      <c r="A756" s="1102"/>
      <c r="B756" s="1106"/>
      <c r="C756" s="455"/>
      <c r="E756" s="591"/>
    </row>
    <row r="757" ht="14.25" customHeight="1">
      <c r="A757" s="1102"/>
      <c r="B757" s="1106"/>
      <c r="C757" s="455"/>
      <c r="E757" s="591"/>
    </row>
    <row r="758" ht="14.25" customHeight="1">
      <c r="A758" s="1102"/>
      <c r="B758" s="1106"/>
      <c r="C758" s="455"/>
      <c r="E758" s="591"/>
    </row>
    <row r="759" ht="14.25" customHeight="1">
      <c r="A759" s="1102"/>
      <c r="B759" s="1106"/>
      <c r="C759" s="455"/>
      <c r="E759" s="591"/>
    </row>
    <row r="760" ht="14.25" customHeight="1">
      <c r="A760" s="1102"/>
      <c r="B760" s="1106"/>
      <c r="C760" s="455"/>
      <c r="E760" s="591"/>
    </row>
    <row r="761" ht="14.25" customHeight="1">
      <c r="A761" s="1102"/>
      <c r="B761" s="1106"/>
      <c r="C761" s="455"/>
      <c r="E761" s="591"/>
    </row>
    <row r="762" ht="14.25" customHeight="1">
      <c r="A762" s="1102"/>
      <c r="B762" s="1106"/>
      <c r="C762" s="455"/>
      <c r="E762" s="591"/>
    </row>
    <row r="763" ht="14.25" customHeight="1">
      <c r="A763" s="1102"/>
      <c r="B763" s="1106"/>
      <c r="C763" s="455"/>
      <c r="E763" s="591"/>
    </row>
    <row r="764" ht="14.25" customHeight="1">
      <c r="A764" s="1102"/>
      <c r="B764" s="1106"/>
      <c r="C764" s="455"/>
      <c r="E764" s="591"/>
    </row>
    <row r="765" ht="14.25" customHeight="1">
      <c r="A765" s="1102"/>
      <c r="B765" s="1106"/>
      <c r="C765" s="455"/>
      <c r="E765" s="591"/>
    </row>
    <row r="766" ht="14.25" customHeight="1">
      <c r="A766" s="1102"/>
      <c r="B766" s="1106"/>
      <c r="C766" s="455"/>
      <c r="E766" s="591"/>
    </row>
    <row r="767" ht="14.25" customHeight="1">
      <c r="A767" s="1102"/>
      <c r="B767" s="1106"/>
      <c r="C767" s="455"/>
      <c r="E767" s="591"/>
    </row>
    <row r="768" ht="14.25" customHeight="1">
      <c r="A768" s="1102"/>
      <c r="B768" s="1106"/>
      <c r="C768" s="455"/>
      <c r="E768" s="591"/>
    </row>
    <row r="769" ht="14.25" customHeight="1">
      <c r="A769" s="1102"/>
      <c r="B769" s="1106"/>
      <c r="C769" s="455"/>
      <c r="E769" s="591"/>
    </row>
    <row r="770" ht="14.25" customHeight="1">
      <c r="A770" s="1102"/>
      <c r="B770" s="1106"/>
      <c r="C770" s="455"/>
      <c r="E770" s="591"/>
    </row>
    <row r="771" ht="14.25" customHeight="1">
      <c r="A771" s="1102"/>
      <c r="B771" s="1106"/>
      <c r="C771" s="455"/>
      <c r="E771" s="591"/>
    </row>
    <row r="772" ht="14.25" customHeight="1">
      <c r="A772" s="1102"/>
      <c r="B772" s="1106"/>
      <c r="C772" s="455"/>
      <c r="E772" s="591"/>
    </row>
    <row r="773" ht="14.25" customHeight="1">
      <c r="A773" s="1102"/>
      <c r="B773" s="1106"/>
      <c r="C773" s="455"/>
      <c r="E773" s="591"/>
    </row>
    <row r="774" ht="14.25" customHeight="1">
      <c r="A774" s="1102"/>
      <c r="B774" s="1106"/>
      <c r="C774" s="455"/>
      <c r="E774" s="591"/>
    </row>
    <row r="775" ht="14.25" customHeight="1">
      <c r="A775" s="1102"/>
      <c r="B775" s="1106"/>
      <c r="C775" s="455"/>
      <c r="E775" s="591"/>
    </row>
    <row r="776" ht="14.25" customHeight="1">
      <c r="A776" s="1102"/>
      <c r="B776" s="1106"/>
      <c r="C776" s="455"/>
      <c r="E776" s="591"/>
    </row>
    <row r="777" ht="14.25" customHeight="1">
      <c r="A777" s="1102"/>
      <c r="B777" s="1106"/>
      <c r="C777" s="455"/>
      <c r="E777" s="591"/>
    </row>
    <row r="778" ht="14.25" customHeight="1">
      <c r="A778" s="1102"/>
      <c r="B778" s="1106"/>
      <c r="C778" s="455"/>
      <c r="E778" s="591"/>
    </row>
    <row r="779" ht="14.25" customHeight="1">
      <c r="A779" s="1102"/>
      <c r="B779" s="1106"/>
      <c r="C779" s="455"/>
      <c r="E779" s="591"/>
    </row>
    <row r="780" ht="14.25" customHeight="1">
      <c r="A780" s="1102"/>
      <c r="B780" s="1106"/>
      <c r="C780" s="455"/>
      <c r="E780" s="591"/>
    </row>
    <row r="781" ht="14.25" customHeight="1">
      <c r="A781" s="1102"/>
      <c r="B781" s="1106"/>
      <c r="C781" s="455"/>
      <c r="E781" s="591"/>
    </row>
    <row r="782" ht="14.25" customHeight="1">
      <c r="A782" s="1102"/>
      <c r="B782" s="1106"/>
      <c r="C782" s="455"/>
      <c r="E782" s="591"/>
    </row>
    <row r="783" ht="14.25" customHeight="1">
      <c r="A783" s="1102"/>
      <c r="B783" s="1106"/>
      <c r="C783" s="455"/>
      <c r="E783" s="591"/>
    </row>
    <row r="784" ht="14.25" customHeight="1">
      <c r="A784" s="1102"/>
      <c r="B784" s="1106"/>
      <c r="C784" s="455"/>
      <c r="E784" s="591"/>
    </row>
    <row r="785" ht="14.25" customHeight="1">
      <c r="A785" s="1102"/>
      <c r="B785" s="1106"/>
      <c r="C785" s="455"/>
      <c r="E785" s="591"/>
    </row>
    <row r="786" ht="14.25" customHeight="1">
      <c r="A786" s="1102"/>
      <c r="B786" s="1106"/>
      <c r="C786" s="455"/>
      <c r="E786" s="591"/>
    </row>
    <row r="787" ht="14.25" customHeight="1">
      <c r="A787" s="1102"/>
      <c r="B787" s="1106"/>
      <c r="C787" s="455"/>
      <c r="E787" s="591"/>
    </row>
    <row r="788" ht="14.25" customHeight="1">
      <c r="A788" s="1102"/>
      <c r="B788" s="1106"/>
      <c r="C788" s="455"/>
      <c r="E788" s="591"/>
    </row>
    <row r="789" ht="14.25" customHeight="1">
      <c r="A789" s="1102"/>
      <c r="B789" s="1106"/>
      <c r="C789" s="455"/>
      <c r="E789" s="591"/>
    </row>
    <row r="790" ht="14.25" customHeight="1">
      <c r="A790" s="1102"/>
      <c r="B790" s="1106"/>
      <c r="C790" s="455"/>
      <c r="E790" s="591"/>
    </row>
    <row r="791" ht="14.25" customHeight="1">
      <c r="A791" s="1102"/>
      <c r="B791" s="1106"/>
      <c r="C791" s="455"/>
      <c r="E791" s="591"/>
    </row>
    <row r="792" ht="14.25" customHeight="1">
      <c r="A792" s="1102"/>
      <c r="B792" s="1106"/>
      <c r="C792" s="455"/>
      <c r="E792" s="591"/>
    </row>
    <row r="793" ht="14.25" customHeight="1">
      <c r="A793" s="1102"/>
      <c r="B793" s="1106"/>
      <c r="C793" s="455"/>
      <c r="E793" s="591"/>
    </row>
    <row r="794" ht="14.25" customHeight="1">
      <c r="A794" s="1102"/>
      <c r="B794" s="1106"/>
      <c r="C794" s="455"/>
      <c r="E794" s="591"/>
    </row>
    <row r="795" ht="14.25" customHeight="1">
      <c r="A795" s="1102"/>
      <c r="B795" s="1106"/>
      <c r="C795" s="455"/>
      <c r="E795" s="591"/>
    </row>
    <row r="796" ht="14.25" customHeight="1">
      <c r="A796" s="1102"/>
      <c r="B796" s="1106"/>
      <c r="C796" s="455"/>
      <c r="E796" s="591"/>
    </row>
    <row r="797" ht="14.25" customHeight="1">
      <c r="A797" s="1102"/>
      <c r="B797" s="1106"/>
      <c r="C797" s="455"/>
      <c r="E797" s="591"/>
    </row>
    <row r="798" ht="14.25" customHeight="1">
      <c r="A798" s="1102"/>
      <c r="B798" s="1106"/>
      <c r="C798" s="455"/>
      <c r="E798" s="591"/>
    </row>
    <row r="799" ht="14.25" customHeight="1">
      <c r="A799" s="1102"/>
      <c r="B799" s="1106"/>
      <c r="C799" s="455"/>
      <c r="E799" s="591"/>
    </row>
    <row r="800" ht="14.25" customHeight="1">
      <c r="A800" s="1102"/>
      <c r="B800" s="1106"/>
      <c r="C800" s="455"/>
      <c r="E800" s="591"/>
    </row>
    <row r="801" ht="14.25" customHeight="1">
      <c r="A801" s="1102"/>
      <c r="B801" s="1106"/>
      <c r="C801" s="455"/>
      <c r="E801" s="591"/>
    </row>
    <row r="802" ht="14.25" customHeight="1">
      <c r="A802" s="1102"/>
      <c r="B802" s="1106"/>
      <c r="C802" s="455"/>
      <c r="E802" s="591"/>
    </row>
    <row r="803" ht="14.25" customHeight="1">
      <c r="A803" s="1102"/>
      <c r="B803" s="1106"/>
      <c r="C803" s="455"/>
      <c r="E803" s="591"/>
    </row>
    <row r="804" ht="14.25" customHeight="1">
      <c r="A804" s="1102"/>
      <c r="B804" s="1106"/>
      <c r="C804" s="455"/>
      <c r="E804" s="591"/>
    </row>
    <row r="805" ht="14.25" customHeight="1">
      <c r="A805" s="1102"/>
      <c r="B805" s="1106"/>
      <c r="C805" s="455"/>
      <c r="E805" s="591"/>
    </row>
    <row r="806" ht="14.25" customHeight="1">
      <c r="A806" s="1102"/>
      <c r="B806" s="1106"/>
      <c r="C806" s="455"/>
      <c r="E806" s="591"/>
    </row>
    <row r="807" ht="14.25" customHeight="1">
      <c r="A807" s="1102"/>
      <c r="B807" s="1106"/>
      <c r="C807" s="455"/>
      <c r="E807" s="591"/>
    </row>
    <row r="808" ht="14.25" customHeight="1">
      <c r="A808" s="1102"/>
      <c r="B808" s="1106"/>
      <c r="C808" s="455"/>
      <c r="E808" s="591"/>
    </row>
    <row r="809" ht="14.25" customHeight="1">
      <c r="A809" s="1102"/>
      <c r="B809" s="1106"/>
      <c r="C809" s="455"/>
      <c r="E809" s="591"/>
    </row>
    <row r="810" ht="14.25" customHeight="1">
      <c r="A810" s="1102"/>
      <c r="B810" s="1106"/>
      <c r="C810" s="455"/>
      <c r="E810" s="591"/>
    </row>
    <row r="811" ht="14.25" customHeight="1">
      <c r="A811" s="1102"/>
      <c r="B811" s="1106"/>
      <c r="C811" s="455"/>
      <c r="E811" s="591"/>
    </row>
    <row r="812" ht="14.25" customHeight="1">
      <c r="A812" s="1102"/>
      <c r="B812" s="1106"/>
      <c r="C812" s="455"/>
      <c r="E812" s="591"/>
    </row>
    <row r="813" ht="14.25" customHeight="1">
      <c r="A813" s="1102"/>
      <c r="B813" s="1106"/>
      <c r="C813" s="455"/>
      <c r="E813" s="591"/>
    </row>
    <row r="814" ht="14.25" customHeight="1">
      <c r="A814" s="1102"/>
      <c r="B814" s="1106"/>
      <c r="C814" s="455"/>
      <c r="E814" s="591"/>
    </row>
    <row r="815" ht="14.25" customHeight="1">
      <c r="A815" s="1102"/>
      <c r="B815" s="1106"/>
      <c r="C815" s="455"/>
      <c r="E815" s="591"/>
    </row>
    <row r="816" ht="14.25" customHeight="1">
      <c r="A816" s="1102"/>
      <c r="B816" s="1106"/>
      <c r="C816" s="455"/>
      <c r="E816" s="591"/>
    </row>
    <row r="817" ht="14.25" customHeight="1">
      <c r="A817" s="1102"/>
      <c r="B817" s="1106"/>
      <c r="C817" s="455"/>
      <c r="E817" s="591"/>
    </row>
    <row r="818" ht="14.25" customHeight="1">
      <c r="A818" s="1102"/>
      <c r="B818" s="1106"/>
      <c r="C818" s="455"/>
      <c r="E818" s="591"/>
    </row>
    <row r="819" ht="14.25" customHeight="1">
      <c r="A819" s="1102"/>
      <c r="B819" s="1106"/>
      <c r="C819" s="455"/>
      <c r="E819" s="591"/>
    </row>
    <row r="820" ht="14.25" customHeight="1">
      <c r="A820" s="1102"/>
      <c r="B820" s="1106"/>
      <c r="C820" s="455"/>
      <c r="E820" s="591"/>
    </row>
    <row r="821" ht="14.25" customHeight="1">
      <c r="A821" s="1102"/>
      <c r="B821" s="1106"/>
      <c r="C821" s="455"/>
      <c r="E821" s="591"/>
    </row>
    <row r="822" ht="14.25" customHeight="1">
      <c r="A822" s="1102"/>
      <c r="B822" s="1106"/>
      <c r="C822" s="455"/>
      <c r="E822" s="591"/>
    </row>
    <row r="823" ht="14.25" customHeight="1">
      <c r="A823" s="1102"/>
      <c r="B823" s="1106"/>
      <c r="C823" s="455"/>
      <c r="E823" s="591"/>
    </row>
    <row r="824" ht="14.25" customHeight="1">
      <c r="A824" s="1102"/>
      <c r="B824" s="1106"/>
      <c r="C824" s="455"/>
      <c r="E824" s="591"/>
    </row>
    <row r="825" ht="14.25" customHeight="1">
      <c r="A825" s="1102"/>
      <c r="B825" s="1106"/>
      <c r="C825" s="455"/>
      <c r="E825" s="591"/>
    </row>
    <row r="826" ht="14.25" customHeight="1">
      <c r="A826" s="1102"/>
      <c r="B826" s="1106"/>
      <c r="C826" s="455"/>
      <c r="E826" s="591"/>
    </row>
    <row r="827" ht="14.25" customHeight="1">
      <c r="A827" s="1102"/>
      <c r="B827" s="1106"/>
      <c r="C827" s="455"/>
      <c r="E827" s="591"/>
    </row>
    <row r="828" ht="14.25" customHeight="1">
      <c r="A828" s="1102"/>
      <c r="B828" s="1106"/>
      <c r="C828" s="455"/>
      <c r="E828" s="591"/>
    </row>
    <row r="829" ht="14.25" customHeight="1">
      <c r="A829" s="1102"/>
      <c r="B829" s="1106"/>
      <c r="C829" s="455"/>
      <c r="E829" s="591"/>
    </row>
    <row r="830" ht="14.25" customHeight="1">
      <c r="A830" s="1102"/>
      <c r="B830" s="1106"/>
      <c r="C830" s="455"/>
      <c r="E830" s="591"/>
    </row>
    <row r="831" ht="14.25" customHeight="1">
      <c r="A831" s="1102"/>
      <c r="B831" s="1106"/>
      <c r="C831" s="455"/>
      <c r="E831" s="591"/>
    </row>
    <row r="832" ht="14.25" customHeight="1">
      <c r="A832" s="1102"/>
      <c r="B832" s="1106"/>
      <c r="C832" s="455"/>
      <c r="E832" s="591"/>
    </row>
    <row r="833" ht="14.25" customHeight="1">
      <c r="A833" s="1102"/>
      <c r="B833" s="1106"/>
      <c r="C833" s="455"/>
      <c r="E833" s="591"/>
    </row>
    <row r="834" ht="14.25" customHeight="1">
      <c r="A834" s="1102"/>
      <c r="B834" s="1106"/>
      <c r="C834" s="455"/>
      <c r="E834" s="591"/>
    </row>
    <row r="835" ht="14.25" customHeight="1">
      <c r="A835" s="1102"/>
      <c r="B835" s="1106"/>
      <c r="C835" s="455"/>
      <c r="E835" s="591"/>
    </row>
    <row r="836" ht="14.25" customHeight="1">
      <c r="A836" s="1102"/>
      <c r="B836" s="1106"/>
      <c r="C836" s="455"/>
      <c r="E836" s="591"/>
    </row>
    <row r="837" ht="14.25" customHeight="1">
      <c r="A837" s="1102"/>
      <c r="B837" s="1106"/>
      <c r="C837" s="455"/>
      <c r="E837" s="591"/>
    </row>
    <row r="838" ht="14.25" customHeight="1">
      <c r="A838" s="1102"/>
      <c r="B838" s="1106"/>
      <c r="C838" s="455"/>
      <c r="E838" s="591"/>
    </row>
    <row r="839" ht="14.25" customHeight="1">
      <c r="A839" s="1102"/>
      <c r="B839" s="1106"/>
      <c r="C839" s="455"/>
      <c r="E839" s="591"/>
    </row>
    <row r="840" ht="14.25" customHeight="1">
      <c r="A840" s="1102"/>
      <c r="B840" s="1106"/>
      <c r="C840" s="455"/>
      <c r="E840" s="591"/>
    </row>
    <row r="841" ht="14.25" customHeight="1">
      <c r="A841" s="1102"/>
      <c r="B841" s="1106"/>
      <c r="C841" s="455"/>
      <c r="E841" s="591"/>
    </row>
    <row r="842" ht="14.25" customHeight="1">
      <c r="A842" s="1102"/>
      <c r="B842" s="1106"/>
      <c r="C842" s="455"/>
      <c r="E842" s="591"/>
    </row>
    <row r="843" ht="14.25" customHeight="1">
      <c r="A843" s="1102"/>
      <c r="B843" s="1106"/>
      <c r="C843" s="455"/>
      <c r="E843" s="591"/>
    </row>
    <row r="844" ht="14.25" customHeight="1">
      <c r="A844" s="1102"/>
      <c r="B844" s="1106"/>
      <c r="C844" s="455"/>
      <c r="E844" s="591"/>
    </row>
    <row r="845" ht="14.25" customHeight="1">
      <c r="A845" s="1102"/>
      <c r="B845" s="1106"/>
      <c r="C845" s="455"/>
      <c r="E845" s="591"/>
    </row>
    <row r="846" ht="14.25" customHeight="1">
      <c r="A846" s="1102"/>
      <c r="B846" s="1106"/>
      <c r="C846" s="455"/>
      <c r="E846" s="591"/>
    </row>
    <row r="847" ht="14.25" customHeight="1">
      <c r="A847" s="1102"/>
      <c r="B847" s="1106"/>
      <c r="C847" s="455"/>
      <c r="E847" s="591"/>
    </row>
    <row r="848" ht="14.25" customHeight="1">
      <c r="A848" s="1102"/>
      <c r="B848" s="1106"/>
      <c r="C848" s="455"/>
      <c r="E848" s="591"/>
    </row>
    <row r="849" ht="14.25" customHeight="1">
      <c r="A849" s="1102"/>
      <c r="B849" s="1106"/>
      <c r="C849" s="455"/>
      <c r="E849" s="591"/>
    </row>
    <row r="850" ht="14.25" customHeight="1">
      <c r="A850" s="1102"/>
      <c r="B850" s="1106"/>
      <c r="C850" s="455"/>
      <c r="E850" s="591"/>
    </row>
    <row r="851" ht="14.25" customHeight="1">
      <c r="A851" s="1102"/>
      <c r="B851" s="1106"/>
      <c r="C851" s="455"/>
      <c r="E851" s="591"/>
    </row>
    <row r="852" ht="14.25" customHeight="1">
      <c r="A852" s="1102"/>
      <c r="B852" s="1106"/>
      <c r="C852" s="455"/>
      <c r="E852" s="591"/>
    </row>
    <row r="853" ht="14.25" customHeight="1">
      <c r="A853" s="1102"/>
      <c r="B853" s="1106"/>
      <c r="C853" s="455"/>
      <c r="E853" s="591"/>
    </row>
    <row r="854" ht="14.25" customHeight="1">
      <c r="A854" s="1102"/>
      <c r="B854" s="1106"/>
      <c r="C854" s="455"/>
      <c r="E854" s="591"/>
    </row>
    <row r="855" ht="14.25" customHeight="1">
      <c r="A855" s="1102"/>
      <c r="B855" s="1106"/>
      <c r="C855" s="455"/>
      <c r="E855" s="591"/>
    </row>
    <row r="856" ht="14.25" customHeight="1">
      <c r="A856" s="1102"/>
      <c r="B856" s="1106"/>
      <c r="C856" s="455"/>
      <c r="E856" s="591"/>
    </row>
    <row r="857" ht="14.25" customHeight="1">
      <c r="A857" s="1102"/>
      <c r="B857" s="1106"/>
      <c r="C857" s="455"/>
      <c r="E857" s="591"/>
    </row>
    <row r="858" ht="14.25" customHeight="1">
      <c r="A858" s="1102"/>
      <c r="B858" s="1106"/>
      <c r="C858" s="455"/>
      <c r="E858" s="591"/>
    </row>
    <row r="859" ht="14.25" customHeight="1">
      <c r="A859" s="1102"/>
      <c r="B859" s="1106"/>
      <c r="C859" s="455"/>
      <c r="E859" s="591"/>
    </row>
    <row r="860" ht="14.25" customHeight="1">
      <c r="A860" s="1102"/>
      <c r="B860" s="1106"/>
      <c r="C860" s="455"/>
      <c r="E860" s="591"/>
    </row>
    <row r="861" ht="14.25" customHeight="1">
      <c r="A861" s="1102"/>
      <c r="B861" s="1106"/>
      <c r="C861" s="455"/>
      <c r="E861" s="591"/>
    </row>
    <row r="862" ht="14.25" customHeight="1">
      <c r="A862" s="1102"/>
      <c r="B862" s="1106"/>
      <c r="C862" s="455"/>
      <c r="E862" s="591"/>
    </row>
    <row r="863" ht="14.25" customHeight="1">
      <c r="A863" s="1102"/>
      <c r="B863" s="1106"/>
      <c r="C863" s="455"/>
      <c r="E863" s="591"/>
    </row>
    <row r="864" ht="14.25" customHeight="1">
      <c r="A864" s="1102"/>
      <c r="B864" s="1106"/>
      <c r="C864" s="455"/>
      <c r="E864" s="591"/>
    </row>
    <row r="865" ht="14.25" customHeight="1">
      <c r="A865" s="1102"/>
      <c r="B865" s="1106"/>
      <c r="C865" s="455"/>
      <c r="E865" s="591"/>
    </row>
    <row r="866" ht="14.25" customHeight="1">
      <c r="A866" s="1102"/>
      <c r="B866" s="1106"/>
      <c r="C866" s="455"/>
      <c r="E866" s="591"/>
    </row>
    <row r="867" ht="14.25" customHeight="1">
      <c r="A867" s="1102"/>
      <c r="B867" s="1106"/>
      <c r="C867" s="455"/>
      <c r="E867" s="591"/>
    </row>
    <row r="868" ht="14.25" customHeight="1">
      <c r="A868" s="1102"/>
      <c r="B868" s="1106"/>
      <c r="C868" s="455"/>
      <c r="E868" s="591"/>
    </row>
    <row r="869" ht="14.25" customHeight="1">
      <c r="A869" s="1102"/>
      <c r="B869" s="1106"/>
      <c r="C869" s="455"/>
      <c r="E869" s="591"/>
    </row>
    <row r="870" ht="14.25" customHeight="1">
      <c r="A870" s="1102"/>
      <c r="B870" s="1106"/>
      <c r="C870" s="455"/>
      <c r="E870" s="591"/>
    </row>
    <row r="871" ht="14.25" customHeight="1">
      <c r="A871" s="1102"/>
      <c r="B871" s="1106"/>
      <c r="C871" s="455"/>
      <c r="E871" s="591"/>
    </row>
    <row r="872" ht="14.25" customHeight="1">
      <c r="A872" s="1102"/>
      <c r="B872" s="1106"/>
      <c r="C872" s="455"/>
      <c r="E872" s="591"/>
    </row>
    <row r="873" ht="14.25" customHeight="1">
      <c r="A873" s="1102"/>
      <c r="B873" s="1106"/>
      <c r="C873" s="455"/>
      <c r="E873" s="591"/>
    </row>
    <row r="874" ht="14.25" customHeight="1">
      <c r="A874" s="1102"/>
      <c r="B874" s="1106"/>
      <c r="C874" s="455"/>
      <c r="E874" s="591"/>
    </row>
    <row r="875" ht="14.25" customHeight="1">
      <c r="A875" s="1102"/>
      <c r="B875" s="1106"/>
      <c r="C875" s="455"/>
      <c r="E875" s="591"/>
    </row>
    <row r="876" ht="14.25" customHeight="1">
      <c r="A876" s="1102"/>
      <c r="B876" s="1106"/>
      <c r="C876" s="455"/>
      <c r="E876" s="591"/>
    </row>
    <row r="877" ht="14.25" customHeight="1">
      <c r="A877" s="1102"/>
      <c r="B877" s="1106"/>
      <c r="C877" s="455"/>
      <c r="E877" s="591"/>
    </row>
    <row r="878" ht="14.25" customHeight="1">
      <c r="A878" s="1102"/>
      <c r="B878" s="1106"/>
      <c r="C878" s="455"/>
      <c r="E878" s="591"/>
    </row>
    <row r="879" ht="14.25" customHeight="1">
      <c r="A879" s="1102"/>
      <c r="B879" s="1106"/>
      <c r="C879" s="455"/>
      <c r="E879" s="591"/>
    </row>
    <row r="880" ht="14.25" customHeight="1">
      <c r="A880" s="1102"/>
      <c r="B880" s="1106"/>
      <c r="C880" s="455"/>
      <c r="E880" s="591"/>
    </row>
    <row r="881" ht="14.25" customHeight="1">
      <c r="A881" s="1102"/>
      <c r="B881" s="1106"/>
      <c r="C881" s="455"/>
      <c r="E881" s="591"/>
    </row>
    <row r="882" ht="14.25" customHeight="1">
      <c r="A882" s="1102"/>
      <c r="B882" s="1106"/>
      <c r="C882" s="455"/>
      <c r="E882" s="591"/>
    </row>
    <row r="883" ht="14.25" customHeight="1">
      <c r="A883" s="1102"/>
      <c r="B883" s="1106"/>
      <c r="C883" s="455"/>
      <c r="E883" s="591"/>
    </row>
    <row r="884" ht="14.25" customHeight="1">
      <c r="A884" s="1102"/>
      <c r="B884" s="1106"/>
      <c r="C884" s="455"/>
      <c r="E884" s="591"/>
    </row>
    <row r="885" ht="14.25" customHeight="1">
      <c r="A885" s="1102"/>
      <c r="B885" s="1106"/>
      <c r="C885" s="455"/>
      <c r="E885" s="591"/>
    </row>
    <row r="886" ht="14.25" customHeight="1">
      <c r="A886" s="1102"/>
      <c r="B886" s="1106"/>
      <c r="C886" s="455"/>
      <c r="E886" s="591"/>
    </row>
    <row r="887" ht="14.25" customHeight="1">
      <c r="A887" s="1102"/>
      <c r="B887" s="1106"/>
      <c r="C887" s="455"/>
      <c r="E887" s="591"/>
    </row>
    <row r="888" ht="14.25" customHeight="1">
      <c r="A888" s="1102"/>
      <c r="B888" s="1106"/>
      <c r="C888" s="455"/>
      <c r="E888" s="591"/>
    </row>
    <row r="889" ht="14.25" customHeight="1">
      <c r="A889" s="1102"/>
      <c r="B889" s="1106"/>
      <c r="C889" s="455"/>
      <c r="E889" s="591"/>
    </row>
    <row r="890" ht="14.25" customHeight="1">
      <c r="A890" s="1102"/>
      <c r="B890" s="1106"/>
      <c r="C890" s="455"/>
      <c r="E890" s="591"/>
    </row>
    <row r="891" ht="14.25" customHeight="1">
      <c r="A891" s="1102"/>
      <c r="B891" s="1106"/>
      <c r="C891" s="455"/>
      <c r="E891" s="591"/>
    </row>
    <row r="892" ht="14.25" customHeight="1">
      <c r="A892" s="1102"/>
      <c r="B892" s="1106"/>
      <c r="C892" s="455"/>
      <c r="E892" s="591"/>
    </row>
    <row r="893" ht="14.25" customHeight="1">
      <c r="A893" s="1102"/>
      <c r="B893" s="1106"/>
      <c r="C893" s="455"/>
      <c r="E893" s="591"/>
    </row>
    <row r="894" ht="14.25" customHeight="1">
      <c r="A894" s="1102"/>
      <c r="B894" s="1106"/>
      <c r="C894" s="455"/>
      <c r="E894" s="591"/>
    </row>
    <row r="895" ht="14.25" customHeight="1">
      <c r="A895" s="1102"/>
      <c r="B895" s="1106"/>
      <c r="C895" s="455"/>
      <c r="E895" s="591"/>
    </row>
    <row r="896" ht="14.25" customHeight="1">
      <c r="A896" s="1102"/>
      <c r="B896" s="1106"/>
      <c r="C896" s="455"/>
      <c r="E896" s="591"/>
    </row>
    <row r="897" ht="14.25" customHeight="1">
      <c r="A897" s="1102"/>
      <c r="B897" s="1106"/>
      <c r="C897" s="455"/>
      <c r="E897" s="591"/>
    </row>
    <row r="898" ht="14.25" customHeight="1">
      <c r="A898" s="1102"/>
      <c r="B898" s="1106"/>
      <c r="C898" s="455"/>
      <c r="E898" s="591"/>
    </row>
    <row r="899" ht="14.25" customHeight="1">
      <c r="A899" s="1102"/>
      <c r="B899" s="1106"/>
      <c r="C899" s="455"/>
      <c r="E899" s="591"/>
    </row>
    <row r="900" ht="14.25" customHeight="1">
      <c r="A900" s="1102"/>
      <c r="B900" s="1106"/>
      <c r="C900" s="455"/>
      <c r="E900" s="591"/>
    </row>
    <row r="901" ht="14.25" customHeight="1">
      <c r="A901" s="1102"/>
      <c r="B901" s="1106"/>
      <c r="C901" s="455"/>
      <c r="E901" s="591"/>
    </row>
    <row r="902" ht="14.25" customHeight="1">
      <c r="A902" s="1102"/>
      <c r="B902" s="1106"/>
      <c r="C902" s="455"/>
      <c r="E902" s="591"/>
    </row>
    <row r="903" ht="14.25" customHeight="1">
      <c r="A903" s="1102"/>
      <c r="B903" s="1106"/>
      <c r="C903" s="455"/>
      <c r="E903" s="591"/>
    </row>
    <row r="904" ht="14.25" customHeight="1">
      <c r="A904" s="1102"/>
      <c r="B904" s="1106"/>
      <c r="C904" s="455"/>
      <c r="E904" s="591"/>
    </row>
    <row r="905" ht="14.25" customHeight="1">
      <c r="A905" s="1102"/>
      <c r="B905" s="1106"/>
      <c r="C905" s="455"/>
      <c r="E905" s="591"/>
    </row>
    <row r="906" ht="14.25" customHeight="1">
      <c r="A906" s="1102"/>
      <c r="B906" s="1106"/>
      <c r="C906" s="455"/>
      <c r="E906" s="591"/>
    </row>
    <row r="907" ht="14.25" customHeight="1">
      <c r="A907" s="1102"/>
      <c r="B907" s="1106"/>
      <c r="C907" s="455"/>
      <c r="E907" s="591"/>
    </row>
    <row r="908" ht="14.25" customHeight="1">
      <c r="A908" s="1102"/>
      <c r="B908" s="1106"/>
      <c r="C908" s="455"/>
      <c r="E908" s="591"/>
    </row>
    <row r="909" ht="14.25" customHeight="1">
      <c r="A909" s="1102"/>
      <c r="B909" s="1106"/>
      <c r="C909" s="455"/>
      <c r="E909" s="591"/>
    </row>
    <row r="910" ht="14.25" customHeight="1">
      <c r="A910" s="1102"/>
      <c r="B910" s="1106"/>
      <c r="C910" s="455"/>
      <c r="E910" s="591"/>
    </row>
    <row r="911" ht="14.25" customHeight="1">
      <c r="A911" s="1102"/>
      <c r="B911" s="1106"/>
      <c r="C911" s="455"/>
      <c r="E911" s="591"/>
    </row>
    <row r="912" ht="14.25" customHeight="1">
      <c r="A912" s="1102"/>
      <c r="B912" s="1106"/>
      <c r="C912" s="455"/>
      <c r="E912" s="591"/>
    </row>
    <row r="913" ht="14.25" customHeight="1">
      <c r="A913" s="1102"/>
      <c r="B913" s="1106"/>
      <c r="C913" s="455"/>
      <c r="E913" s="591"/>
    </row>
    <row r="914" ht="14.25" customHeight="1">
      <c r="A914" s="1102"/>
      <c r="B914" s="1106"/>
      <c r="C914" s="455"/>
      <c r="E914" s="591"/>
    </row>
    <row r="915" ht="14.25" customHeight="1">
      <c r="A915" s="1102"/>
      <c r="B915" s="1106"/>
      <c r="C915" s="455"/>
      <c r="E915" s="591"/>
    </row>
    <row r="916" ht="14.25" customHeight="1">
      <c r="A916" s="1102"/>
      <c r="B916" s="1106"/>
      <c r="C916" s="455"/>
      <c r="E916" s="591"/>
    </row>
    <row r="917" ht="14.25" customHeight="1">
      <c r="A917" s="1102"/>
      <c r="B917" s="1106"/>
      <c r="C917" s="455"/>
      <c r="E917" s="591"/>
    </row>
    <row r="918" ht="14.25" customHeight="1">
      <c r="A918" s="1102"/>
      <c r="B918" s="1106"/>
      <c r="C918" s="455"/>
      <c r="E918" s="591"/>
    </row>
    <row r="919" ht="14.25" customHeight="1">
      <c r="A919" s="1102"/>
      <c r="B919" s="1106"/>
      <c r="C919" s="455"/>
      <c r="E919" s="591"/>
    </row>
    <row r="920" ht="14.25" customHeight="1">
      <c r="A920" s="1102"/>
      <c r="B920" s="1106"/>
      <c r="C920" s="455"/>
      <c r="E920" s="591"/>
    </row>
    <row r="921" ht="14.25" customHeight="1">
      <c r="A921" s="1102"/>
      <c r="B921" s="1106"/>
      <c r="C921" s="455"/>
      <c r="E921" s="591"/>
    </row>
    <row r="922" ht="14.25" customHeight="1">
      <c r="A922" s="1102"/>
      <c r="B922" s="1106"/>
      <c r="C922" s="455"/>
      <c r="E922" s="591"/>
    </row>
    <row r="923" ht="14.25" customHeight="1">
      <c r="A923" s="1102"/>
      <c r="B923" s="1106"/>
      <c r="C923" s="455"/>
      <c r="E923" s="591"/>
    </row>
    <row r="924" ht="14.25" customHeight="1">
      <c r="A924" s="1102"/>
      <c r="B924" s="1106"/>
      <c r="C924" s="455"/>
      <c r="E924" s="591"/>
    </row>
    <row r="925" ht="14.25" customHeight="1">
      <c r="A925" s="1102"/>
      <c r="B925" s="1106"/>
      <c r="C925" s="455"/>
      <c r="E925" s="591"/>
    </row>
    <row r="926" ht="14.25" customHeight="1">
      <c r="A926" s="1102"/>
      <c r="B926" s="1106"/>
      <c r="C926" s="455"/>
      <c r="E926" s="591"/>
    </row>
    <row r="927" ht="14.25" customHeight="1">
      <c r="A927" s="1102"/>
      <c r="B927" s="1106"/>
      <c r="C927" s="455"/>
      <c r="E927" s="591"/>
    </row>
    <row r="928" ht="14.25" customHeight="1">
      <c r="A928" s="1102"/>
      <c r="B928" s="1106"/>
      <c r="C928" s="455"/>
      <c r="E928" s="591"/>
    </row>
    <row r="929" ht="14.25" customHeight="1">
      <c r="A929" s="1102"/>
      <c r="B929" s="1106"/>
      <c r="C929" s="455"/>
      <c r="E929" s="591"/>
    </row>
    <row r="930" ht="14.25" customHeight="1">
      <c r="A930" s="1102"/>
      <c r="B930" s="1106"/>
      <c r="C930" s="455"/>
      <c r="E930" s="591"/>
    </row>
    <row r="931" ht="14.25" customHeight="1">
      <c r="A931" s="1102"/>
      <c r="B931" s="1106"/>
      <c r="C931" s="455"/>
      <c r="E931" s="591"/>
    </row>
    <row r="932" ht="14.25" customHeight="1">
      <c r="A932" s="1102"/>
      <c r="B932" s="1106"/>
      <c r="C932" s="455"/>
      <c r="E932" s="591"/>
    </row>
    <row r="933" ht="14.25" customHeight="1">
      <c r="A933" s="1102"/>
      <c r="B933" s="1106"/>
      <c r="C933" s="455"/>
      <c r="E933" s="591"/>
    </row>
    <row r="934" ht="14.25" customHeight="1">
      <c r="A934" s="1102"/>
      <c r="B934" s="1106"/>
      <c r="C934" s="455"/>
      <c r="E934" s="591"/>
    </row>
    <row r="935" ht="14.25" customHeight="1">
      <c r="A935" s="1102"/>
      <c r="B935" s="1106"/>
      <c r="C935" s="455"/>
      <c r="E935" s="591"/>
    </row>
    <row r="936" ht="14.25" customHeight="1">
      <c r="A936" s="1102"/>
      <c r="B936" s="1106"/>
      <c r="C936" s="455"/>
      <c r="E936" s="591"/>
    </row>
    <row r="937" ht="14.25" customHeight="1">
      <c r="A937" s="1102"/>
      <c r="B937" s="1106"/>
      <c r="C937" s="455"/>
      <c r="E937" s="591"/>
    </row>
    <row r="938" ht="14.25" customHeight="1">
      <c r="A938" s="1102"/>
      <c r="B938" s="1106"/>
      <c r="C938" s="455"/>
      <c r="E938" s="591"/>
    </row>
    <row r="939" ht="14.25" customHeight="1">
      <c r="A939" s="1102"/>
      <c r="B939" s="1106"/>
      <c r="C939" s="455"/>
      <c r="E939" s="591"/>
    </row>
    <row r="940" ht="14.25" customHeight="1">
      <c r="A940" s="1102"/>
      <c r="B940" s="1106"/>
      <c r="C940" s="455"/>
      <c r="E940" s="591"/>
    </row>
    <row r="941" ht="14.25" customHeight="1">
      <c r="A941" s="1102"/>
      <c r="B941" s="1106"/>
      <c r="C941" s="455"/>
      <c r="E941" s="591"/>
    </row>
    <row r="942" ht="14.25" customHeight="1">
      <c r="A942" s="1102"/>
      <c r="B942" s="1106"/>
      <c r="C942" s="455"/>
      <c r="E942" s="591"/>
    </row>
    <row r="943" ht="14.25" customHeight="1">
      <c r="A943" s="1102"/>
      <c r="B943" s="1106"/>
      <c r="C943" s="455"/>
      <c r="E943" s="591"/>
    </row>
    <row r="944" ht="14.25" customHeight="1">
      <c r="A944" s="1102"/>
      <c r="B944" s="1106"/>
      <c r="C944" s="455"/>
      <c r="E944" s="591"/>
    </row>
    <row r="945" ht="14.25" customHeight="1">
      <c r="A945" s="1102"/>
      <c r="B945" s="1106"/>
      <c r="C945" s="455"/>
      <c r="E945" s="591"/>
    </row>
    <row r="946" ht="14.25" customHeight="1">
      <c r="A946" s="1102"/>
      <c r="B946" s="1106"/>
      <c r="C946" s="455"/>
      <c r="E946" s="591"/>
    </row>
    <row r="947" ht="14.25" customHeight="1">
      <c r="A947" s="1102"/>
      <c r="B947" s="1106"/>
      <c r="C947" s="455"/>
      <c r="E947" s="591"/>
    </row>
    <row r="948" ht="14.25" customHeight="1">
      <c r="A948" s="1102"/>
      <c r="B948" s="1106"/>
      <c r="C948" s="455"/>
      <c r="E948" s="591"/>
    </row>
    <row r="949" ht="14.25" customHeight="1">
      <c r="A949" s="1102"/>
      <c r="B949" s="1106"/>
      <c r="C949" s="455"/>
      <c r="E949" s="591"/>
    </row>
    <row r="950" ht="14.25" customHeight="1">
      <c r="A950" s="1102"/>
      <c r="B950" s="1106"/>
      <c r="C950" s="455"/>
      <c r="E950" s="591"/>
    </row>
    <row r="951" ht="14.25" customHeight="1">
      <c r="A951" s="1102"/>
      <c r="B951" s="1106"/>
      <c r="C951" s="455"/>
      <c r="E951" s="591"/>
    </row>
    <row r="952" ht="14.25" customHeight="1">
      <c r="A952" s="1102"/>
      <c r="B952" s="1106"/>
      <c r="C952" s="455"/>
      <c r="E952" s="591"/>
    </row>
    <row r="953" ht="14.25" customHeight="1">
      <c r="A953" s="1145"/>
      <c r="B953" s="1106"/>
      <c r="C953" s="455"/>
      <c r="E953" s="519"/>
    </row>
    <row r="954" ht="14.25" customHeight="1">
      <c r="A954" s="1145"/>
      <c r="B954" s="1106"/>
      <c r="C954" s="455"/>
      <c r="E954" s="519"/>
    </row>
    <row r="955" ht="14.25" customHeight="1">
      <c r="A955" s="1145"/>
      <c r="B955" s="1106"/>
      <c r="C955" s="455"/>
      <c r="E955" s="519"/>
    </row>
    <row r="956" ht="14.25" customHeight="1">
      <c r="A956" s="1145"/>
      <c r="B956" s="1106"/>
      <c r="C956" s="455"/>
      <c r="E956" s="519"/>
    </row>
    <row r="957" ht="14.25" customHeight="1">
      <c r="A957" s="1145"/>
      <c r="B957" s="1106"/>
      <c r="C957" s="455"/>
      <c r="E957" s="519"/>
    </row>
    <row r="958" ht="14.25" customHeight="1">
      <c r="A958" s="1145"/>
      <c r="B958" s="1106"/>
      <c r="C958" s="455"/>
      <c r="E958" s="519"/>
    </row>
    <row r="959" ht="14.25" customHeight="1">
      <c r="A959" s="1145"/>
      <c r="B959" s="1106"/>
      <c r="C959" s="455"/>
      <c r="E959" s="519"/>
    </row>
    <row r="960" ht="14.25" customHeight="1">
      <c r="A960" s="1145"/>
      <c r="B960" s="1106"/>
      <c r="C960" s="455"/>
      <c r="E960" s="519"/>
    </row>
    <row r="961" ht="14.25" customHeight="1">
      <c r="A961" s="1145"/>
      <c r="B961" s="1106"/>
      <c r="C961" s="455"/>
      <c r="E961" s="519"/>
    </row>
    <row r="962" ht="14.25" customHeight="1">
      <c r="A962" s="1145"/>
      <c r="B962" s="1106"/>
      <c r="C962" s="455"/>
      <c r="E962" s="519"/>
    </row>
    <row r="963" ht="14.25" customHeight="1">
      <c r="A963" s="1145"/>
      <c r="B963" s="1106"/>
      <c r="C963" s="455"/>
      <c r="E963" s="519"/>
    </row>
    <row r="964" ht="14.25" customHeight="1">
      <c r="A964" s="1145"/>
      <c r="B964" s="1106"/>
      <c r="C964" s="455"/>
      <c r="E964" s="519"/>
    </row>
    <row r="965" ht="14.25" customHeight="1">
      <c r="A965" s="1145"/>
      <c r="B965" s="1106"/>
      <c r="C965" s="455"/>
      <c r="E965" s="519"/>
    </row>
    <row r="966" ht="14.25" customHeight="1">
      <c r="A966" s="1145"/>
      <c r="B966" s="1106"/>
      <c r="C966" s="455"/>
      <c r="E966" s="519"/>
    </row>
    <row r="967" ht="14.25" customHeight="1">
      <c r="A967" s="1145"/>
      <c r="B967" s="1106"/>
      <c r="C967" s="455"/>
      <c r="E967" s="519"/>
    </row>
    <row r="968" ht="14.25" customHeight="1">
      <c r="A968" s="1145"/>
      <c r="B968" s="1106"/>
      <c r="C968" s="455"/>
      <c r="E968" s="519"/>
    </row>
    <row r="969" ht="14.25" customHeight="1">
      <c r="A969" s="1145"/>
      <c r="B969" s="1106"/>
      <c r="C969" s="455"/>
      <c r="E969" s="519"/>
    </row>
    <row r="970" ht="14.25" customHeight="1">
      <c r="A970" s="1145"/>
      <c r="B970" s="1106"/>
      <c r="C970" s="455"/>
      <c r="E970" s="519"/>
    </row>
    <row r="971" ht="14.25" customHeight="1">
      <c r="A971" s="1145"/>
      <c r="B971" s="1106"/>
      <c r="C971" s="455"/>
      <c r="E971" s="519"/>
    </row>
    <row r="972" ht="14.25" customHeight="1">
      <c r="A972" s="1145"/>
      <c r="B972" s="1106"/>
      <c r="C972" s="455"/>
      <c r="E972" s="519"/>
    </row>
    <row r="973" ht="14.25" customHeight="1">
      <c r="A973" s="1145"/>
      <c r="B973" s="1106"/>
      <c r="C973" s="455"/>
      <c r="E973" s="519"/>
    </row>
    <row r="974" ht="14.25" customHeight="1">
      <c r="A974" s="1145"/>
      <c r="B974" s="1106"/>
      <c r="C974" s="455"/>
      <c r="E974" s="519"/>
    </row>
    <row r="975" ht="14.25" customHeight="1">
      <c r="A975" s="1145"/>
      <c r="B975" s="1106"/>
      <c r="C975" s="455"/>
      <c r="E975" s="519"/>
    </row>
    <row r="976" ht="14.25" customHeight="1">
      <c r="A976" s="1145"/>
      <c r="B976" s="1106"/>
      <c r="C976" s="455"/>
      <c r="E976" s="519"/>
    </row>
    <row r="977" ht="14.25" customHeight="1">
      <c r="A977" s="1145"/>
      <c r="B977" s="1106"/>
      <c r="C977" s="455"/>
      <c r="E977" s="519"/>
    </row>
    <row r="978" ht="14.25" customHeight="1">
      <c r="A978" s="1145"/>
      <c r="B978" s="1106"/>
      <c r="C978" s="455"/>
      <c r="E978" s="519"/>
    </row>
    <row r="979" ht="14.25" customHeight="1">
      <c r="A979" s="1145"/>
      <c r="B979" s="1106"/>
      <c r="C979" s="455"/>
      <c r="E979" s="519"/>
    </row>
    <row r="980" ht="14.25" customHeight="1">
      <c r="A980" s="1145"/>
      <c r="B980" s="1106"/>
      <c r="C980" s="455"/>
      <c r="E980" s="519"/>
    </row>
    <row r="981" ht="14.25" customHeight="1">
      <c r="A981" s="1145"/>
      <c r="B981" s="1106"/>
      <c r="C981" s="455"/>
      <c r="E981" s="519"/>
    </row>
    <row r="982" ht="14.25" customHeight="1">
      <c r="A982" s="1145"/>
      <c r="B982" s="1106"/>
      <c r="C982" s="455"/>
      <c r="E982" s="519"/>
    </row>
    <row r="983" ht="14.25" customHeight="1">
      <c r="A983" s="1145"/>
      <c r="B983" s="1106"/>
      <c r="C983" s="455"/>
      <c r="E983" s="519"/>
    </row>
    <row r="984" ht="14.25" customHeight="1">
      <c r="A984" s="1145"/>
      <c r="B984" s="1106"/>
      <c r="C984" s="455"/>
      <c r="E984" s="519"/>
    </row>
    <row r="985" ht="14.25" customHeight="1">
      <c r="A985" s="1145"/>
      <c r="B985" s="1106"/>
      <c r="C985" s="455"/>
      <c r="E985" s="519"/>
    </row>
    <row r="986" ht="14.25" customHeight="1">
      <c r="A986" s="1145"/>
      <c r="B986" s="1106"/>
      <c r="C986" s="455"/>
      <c r="E986" s="519"/>
    </row>
    <row r="987" ht="14.25" customHeight="1">
      <c r="A987" s="1145"/>
      <c r="B987" s="1106"/>
      <c r="C987" s="455"/>
      <c r="E987" s="519"/>
    </row>
    <row r="988" ht="14.25" customHeight="1">
      <c r="A988" s="1145"/>
      <c r="B988" s="1106"/>
      <c r="C988" s="455"/>
      <c r="E988" s="519"/>
    </row>
    <row r="989" ht="14.25" customHeight="1">
      <c r="A989" s="1145"/>
      <c r="B989" s="1106"/>
      <c r="C989" s="455"/>
      <c r="E989" s="519"/>
    </row>
    <row r="990" ht="14.25" customHeight="1">
      <c r="A990" s="1145"/>
      <c r="B990" s="1106"/>
      <c r="C990" s="455"/>
      <c r="E990" s="519"/>
    </row>
    <row r="991" ht="14.25" customHeight="1">
      <c r="A991" s="1145"/>
      <c r="B991" s="1106"/>
      <c r="C991" s="455"/>
      <c r="E991" s="519"/>
    </row>
    <row r="992" ht="14.25" customHeight="1">
      <c r="A992" s="1145"/>
      <c r="B992" s="1106"/>
      <c r="C992" s="455"/>
      <c r="E992" s="519"/>
    </row>
    <row r="993" ht="14.25" customHeight="1">
      <c r="A993" s="1145"/>
      <c r="B993" s="1106"/>
      <c r="C993" s="455"/>
      <c r="E993" s="519"/>
    </row>
    <row r="994" ht="14.25" customHeight="1">
      <c r="A994" s="1145"/>
      <c r="B994" s="1106"/>
      <c r="C994" s="455"/>
      <c r="E994" s="519"/>
    </row>
    <row r="995" ht="14.25" customHeight="1">
      <c r="A995" s="1145"/>
      <c r="B995" s="1106"/>
      <c r="C995" s="455"/>
      <c r="E995" s="519"/>
    </row>
    <row r="996" ht="14.25" customHeight="1">
      <c r="A996" s="1145"/>
      <c r="B996" s="1106"/>
      <c r="C996" s="455"/>
      <c r="E996" s="519"/>
    </row>
    <row r="997" ht="14.25" customHeight="1">
      <c r="A997" s="1145"/>
      <c r="B997" s="1106"/>
      <c r="C997" s="455"/>
      <c r="E997" s="519"/>
    </row>
    <row r="998" ht="14.25" customHeight="1">
      <c r="A998" s="1145"/>
      <c r="B998" s="1106"/>
      <c r="C998" s="455"/>
      <c r="E998" s="519"/>
    </row>
    <row r="999" ht="14.25" customHeight="1">
      <c r="A999" s="1145"/>
      <c r="B999" s="1106"/>
      <c r="C999" s="455"/>
      <c r="E999" s="519"/>
    </row>
    <row r="1000" ht="14.25" customHeight="1">
      <c r="A1000" s="1145"/>
      <c r="B1000" s="1106"/>
      <c r="C1000" s="455"/>
      <c r="E1000" s="519"/>
    </row>
    <row r="1001" ht="14.25" customHeight="1">
      <c r="A1001" s="1145"/>
      <c r="B1001" s="1106"/>
      <c r="C1001" s="455"/>
      <c r="E1001" s="519"/>
    </row>
    <row r="1002" ht="14.25" customHeight="1">
      <c r="A1002" s="1145"/>
      <c r="B1002" s="1106"/>
      <c r="C1002" s="455"/>
      <c r="E1002" s="519"/>
    </row>
    <row r="1003" ht="14.25" customHeight="1">
      <c r="A1003" s="1145"/>
      <c r="B1003" s="1106"/>
      <c r="C1003" s="455"/>
      <c r="E1003" s="519"/>
    </row>
    <row r="1004" ht="14.25" customHeight="1">
      <c r="A1004" s="1145"/>
      <c r="B1004" s="1106"/>
      <c r="C1004" s="455"/>
      <c r="E1004" s="519"/>
    </row>
    <row r="1005" ht="14.25" customHeight="1">
      <c r="A1005" s="1145"/>
      <c r="B1005" s="1106"/>
      <c r="C1005" s="455"/>
      <c r="E1005" s="519"/>
    </row>
    <row r="1006" ht="14.25" customHeight="1">
      <c r="A1006" s="1145"/>
      <c r="B1006" s="1106"/>
      <c r="C1006" s="455"/>
      <c r="E1006" s="519"/>
    </row>
    <row r="1007" ht="14.25" customHeight="1">
      <c r="A1007" s="1145"/>
      <c r="B1007" s="1106"/>
      <c r="C1007" s="455"/>
      <c r="E1007" s="519"/>
    </row>
    <row r="1008" ht="14.25" customHeight="1">
      <c r="A1008" s="1145"/>
      <c r="B1008" s="1106"/>
      <c r="C1008" s="455"/>
      <c r="E1008" s="519"/>
    </row>
    <row r="1009" ht="14.25" customHeight="1">
      <c r="A1009" s="1145"/>
      <c r="B1009" s="1106"/>
      <c r="C1009" s="455"/>
      <c r="E1009" s="519"/>
    </row>
    <row r="1010" ht="14.25" customHeight="1">
      <c r="A1010" s="1145"/>
      <c r="B1010" s="1106"/>
      <c r="C1010" s="455"/>
      <c r="E1010" s="519"/>
    </row>
    <row r="1011" ht="14.25" customHeight="1">
      <c r="A1011" s="1145"/>
      <c r="B1011" s="1106"/>
      <c r="C1011" s="455"/>
      <c r="E1011" s="519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FFCC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31.71"/>
    <col customWidth="1" min="3" max="3" width="61.71"/>
    <col customWidth="1" min="4" max="4" width="23.71"/>
    <col customWidth="1" min="5" max="5" width="30.43"/>
  </cols>
  <sheetData>
    <row r="1">
      <c r="A1" s="1146" t="s">
        <v>2529</v>
      </c>
      <c r="B1" s="1147"/>
      <c r="C1" s="1148" t="s">
        <v>2529</v>
      </c>
      <c r="D1" s="1148" t="s">
        <v>2529</v>
      </c>
      <c r="E1" s="1149"/>
    </row>
    <row r="2" hidden="1">
      <c r="A2" s="1150">
        <v>45258.0</v>
      </c>
      <c r="B2" s="1151" t="s">
        <v>2530</v>
      </c>
      <c r="C2" s="1152" t="s">
        <v>2491</v>
      </c>
      <c r="D2" s="1153" t="s">
        <v>1298</v>
      </c>
      <c r="E2" s="1154" t="s">
        <v>1144</v>
      </c>
    </row>
    <row r="3" hidden="1">
      <c r="A3" s="1155">
        <v>45264.0</v>
      </c>
      <c r="B3" s="1156" t="s">
        <v>2531</v>
      </c>
      <c r="C3" s="1157" t="s">
        <v>2491</v>
      </c>
      <c r="D3" s="1158" t="s">
        <v>1298</v>
      </c>
      <c r="E3" s="1158" t="s">
        <v>2495</v>
      </c>
    </row>
    <row r="4" hidden="1">
      <c r="A4" s="1150">
        <v>45266.0</v>
      </c>
      <c r="B4" s="1159" t="s">
        <v>1142</v>
      </c>
      <c r="C4" s="1159" t="s">
        <v>2532</v>
      </c>
      <c r="D4" s="1159" t="s">
        <v>1298</v>
      </c>
      <c r="E4" s="1154" t="s">
        <v>1144</v>
      </c>
    </row>
    <row r="5" hidden="1">
      <c r="A5" s="1150">
        <v>45383.0</v>
      </c>
      <c r="B5" s="1159" t="s">
        <v>1235</v>
      </c>
      <c r="C5" s="1159" t="s">
        <v>1236</v>
      </c>
      <c r="D5" s="1160" t="s">
        <v>1237</v>
      </c>
      <c r="E5" s="1154" t="s">
        <v>1144</v>
      </c>
    </row>
    <row r="6" hidden="1">
      <c r="A6" s="1150">
        <v>45269.0</v>
      </c>
      <c r="B6" s="1159" t="s">
        <v>1147</v>
      </c>
      <c r="C6" s="1159" t="s">
        <v>1148</v>
      </c>
      <c r="D6" s="1159" t="s">
        <v>2523</v>
      </c>
      <c r="E6" s="1154" t="s">
        <v>1144</v>
      </c>
    </row>
    <row r="7" hidden="1">
      <c r="A7" s="1150">
        <v>45275.0</v>
      </c>
      <c r="B7" s="1161" t="s">
        <v>1150</v>
      </c>
      <c r="C7" s="1159" t="s">
        <v>2533</v>
      </c>
      <c r="D7" s="1159" t="s">
        <v>1298</v>
      </c>
      <c r="E7" s="1154" t="s">
        <v>1144</v>
      </c>
    </row>
    <row r="8" hidden="1">
      <c r="A8" s="1162">
        <v>45278.0</v>
      </c>
      <c r="B8" s="1158" t="s">
        <v>2534</v>
      </c>
      <c r="C8" s="1163" t="s">
        <v>1255</v>
      </c>
      <c r="D8" s="1158" t="s">
        <v>2535</v>
      </c>
      <c r="E8" s="1158" t="s">
        <v>2495</v>
      </c>
    </row>
    <row r="9" hidden="1">
      <c r="A9" s="1162">
        <v>45278.0</v>
      </c>
      <c r="B9" s="1158" t="s">
        <v>2534</v>
      </c>
      <c r="C9" s="1158" t="s">
        <v>2536</v>
      </c>
      <c r="D9" s="1158" t="s">
        <v>2537</v>
      </c>
      <c r="E9" s="1158" t="s">
        <v>2495</v>
      </c>
    </row>
    <row r="10" hidden="1">
      <c r="A10" s="1150">
        <v>45279.0</v>
      </c>
      <c r="B10" s="1159" t="s">
        <v>1152</v>
      </c>
      <c r="C10" s="1161" t="s">
        <v>1214</v>
      </c>
      <c r="D10" s="1159" t="s">
        <v>2538</v>
      </c>
      <c r="E10" s="1154" t="s">
        <v>1144</v>
      </c>
    </row>
    <row r="11" hidden="1">
      <c r="A11" s="1150">
        <v>45282.0</v>
      </c>
      <c r="B11" s="1159" t="s">
        <v>1155</v>
      </c>
      <c r="C11" s="1161" t="s">
        <v>2539</v>
      </c>
      <c r="D11" s="1159" t="s">
        <v>2540</v>
      </c>
      <c r="E11" s="1154" t="s">
        <v>1144</v>
      </c>
    </row>
    <row r="12" hidden="1">
      <c r="A12" s="1150">
        <v>45288.0</v>
      </c>
      <c r="B12" s="1161" t="s">
        <v>1174</v>
      </c>
      <c r="C12" s="1161" t="s">
        <v>1175</v>
      </c>
      <c r="D12" s="1159" t="s">
        <v>2508</v>
      </c>
      <c r="E12" s="1154" t="s">
        <v>1144</v>
      </c>
    </row>
    <row r="13" hidden="1">
      <c r="A13" s="1162">
        <v>45288.0</v>
      </c>
      <c r="B13" s="1158" t="s">
        <v>1161</v>
      </c>
      <c r="C13" s="1158" t="s">
        <v>2541</v>
      </c>
      <c r="D13" s="1158" t="s">
        <v>2542</v>
      </c>
      <c r="E13" s="1158" t="s">
        <v>2495</v>
      </c>
    </row>
    <row r="14" hidden="1">
      <c r="A14" s="1150">
        <v>45289.0</v>
      </c>
      <c r="B14" s="1159" t="s">
        <v>1177</v>
      </c>
      <c r="C14" s="1159" t="s">
        <v>1178</v>
      </c>
      <c r="D14" s="1159" t="s">
        <v>1289</v>
      </c>
      <c r="E14" s="1154" t="s">
        <v>1144</v>
      </c>
    </row>
    <row r="15" hidden="1">
      <c r="A15" s="1150">
        <v>45294.0</v>
      </c>
      <c r="B15" s="1159" t="s">
        <v>1213</v>
      </c>
      <c r="C15" s="1161" t="s">
        <v>1214</v>
      </c>
      <c r="D15" s="1159" t="s">
        <v>1298</v>
      </c>
      <c r="E15" s="1154" t="s">
        <v>1144</v>
      </c>
    </row>
    <row r="16" hidden="1">
      <c r="A16" s="1150">
        <v>45352.0</v>
      </c>
      <c r="B16" s="1159" t="s">
        <v>1225</v>
      </c>
      <c r="C16" s="1159" t="s">
        <v>1226</v>
      </c>
      <c r="D16" s="1159" t="s">
        <v>1298</v>
      </c>
      <c r="E16" s="1154" t="s">
        <v>1144</v>
      </c>
    </row>
    <row r="17" hidden="1">
      <c r="A17" s="1150">
        <v>45296.0</v>
      </c>
      <c r="B17" s="1159" t="s">
        <v>1215</v>
      </c>
      <c r="C17" s="1161" t="s">
        <v>1216</v>
      </c>
      <c r="D17" s="1159" t="s">
        <v>1298</v>
      </c>
      <c r="E17" s="1154" t="s">
        <v>1144</v>
      </c>
    </row>
    <row r="18" hidden="1">
      <c r="A18" s="1162">
        <v>45296.0</v>
      </c>
      <c r="B18" s="1158" t="s">
        <v>2543</v>
      </c>
      <c r="C18" s="1158" t="s">
        <v>2544</v>
      </c>
      <c r="D18" s="1158" t="s">
        <v>2545</v>
      </c>
      <c r="E18" s="1158" t="s">
        <v>2495</v>
      </c>
    </row>
    <row r="19" hidden="1">
      <c r="A19" s="1150">
        <v>45297.0</v>
      </c>
      <c r="B19" s="1159" t="s">
        <v>1190</v>
      </c>
      <c r="C19" s="1159" t="s">
        <v>1191</v>
      </c>
      <c r="D19" s="1159" t="s">
        <v>1192</v>
      </c>
      <c r="E19" s="1154" t="s">
        <v>1144</v>
      </c>
    </row>
    <row r="20" hidden="1">
      <c r="A20" s="1150">
        <v>45298.0</v>
      </c>
      <c r="B20" s="1161" t="s">
        <v>1193</v>
      </c>
      <c r="C20" s="1159" t="s">
        <v>2546</v>
      </c>
      <c r="D20" s="1159" t="s">
        <v>2547</v>
      </c>
      <c r="E20" s="1154" t="s">
        <v>1144</v>
      </c>
    </row>
    <row r="21" hidden="1">
      <c r="A21" s="1150">
        <v>45301.0</v>
      </c>
      <c r="B21" s="1161" t="s">
        <v>1195</v>
      </c>
      <c r="C21" s="1159" t="s">
        <v>1198</v>
      </c>
      <c r="D21" s="1159" t="s">
        <v>1298</v>
      </c>
      <c r="E21" s="1154" t="s">
        <v>1144</v>
      </c>
    </row>
    <row r="22" hidden="1">
      <c r="A22" s="1150">
        <v>45302.0</v>
      </c>
      <c r="B22" s="1161" t="s">
        <v>1197</v>
      </c>
      <c r="C22" s="1159" t="s">
        <v>1198</v>
      </c>
      <c r="D22" s="1159" t="s">
        <v>1298</v>
      </c>
      <c r="E22" s="1154" t="s">
        <v>1144</v>
      </c>
    </row>
    <row r="23" hidden="1">
      <c r="A23" s="1150">
        <v>45303.0</v>
      </c>
      <c r="B23" s="1159" t="s">
        <v>1201</v>
      </c>
      <c r="C23" s="1164" t="s">
        <v>2491</v>
      </c>
      <c r="D23" s="1159" t="s">
        <v>1298</v>
      </c>
      <c r="E23" s="1154" t="s">
        <v>1144</v>
      </c>
    </row>
    <row r="24" hidden="1">
      <c r="A24" s="1150">
        <v>45304.0</v>
      </c>
      <c r="B24" s="1159" t="s">
        <v>1218</v>
      </c>
      <c r="C24" s="1159" t="s">
        <v>1219</v>
      </c>
      <c r="D24" s="1159" t="s">
        <v>2548</v>
      </c>
      <c r="E24" s="1154" t="s">
        <v>1144</v>
      </c>
    </row>
    <row r="25" hidden="1">
      <c r="A25" s="1150">
        <v>45305.0</v>
      </c>
      <c r="B25" s="1161" t="s">
        <v>1221</v>
      </c>
      <c r="C25" s="1159" t="s">
        <v>1222</v>
      </c>
      <c r="D25" s="1159" t="s">
        <v>2499</v>
      </c>
      <c r="E25" s="1154" t="s">
        <v>1144</v>
      </c>
    </row>
    <row r="26" hidden="1">
      <c r="A26" s="1150">
        <v>45308.0</v>
      </c>
      <c r="B26" s="1159" t="s">
        <v>1206</v>
      </c>
      <c r="C26" s="1159" t="s">
        <v>1227</v>
      </c>
      <c r="D26" s="1159" t="s">
        <v>1289</v>
      </c>
      <c r="E26" s="1154" t="s">
        <v>1144</v>
      </c>
    </row>
    <row r="27" hidden="1">
      <c r="A27" s="1150">
        <v>45309.0</v>
      </c>
      <c r="B27" s="1159" t="s">
        <v>1238</v>
      </c>
      <c r="C27" s="1159" t="s">
        <v>2549</v>
      </c>
      <c r="D27" s="1165" t="s">
        <v>2550</v>
      </c>
      <c r="E27" s="1154" t="s">
        <v>1144</v>
      </c>
    </row>
    <row r="28" hidden="1">
      <c r="A28" s="1162">
        <v>45315.0</v>
      </c>
      <c r="B28" s="1158" t="s">
        <v>1243</v>
      </c>
      <c r="C28" s="1163" t="s">
        <v>2491</v>
      </c>
      <c r="D28" s="1158" t="s">
        <v>1298</v>
      </c>
      <c r="E28" s="1158" t="s">
        <v>2495</v>
      </c>
    </row>
    <row r="29" hidden="1">
      <c r="A29" s="1150">
        <v>45315.0</v>
      </c>
      <c r="B29" s="1159" t="s">
        <v>2551</v>
      </c>
      <c r="C29" s="1161" t="s">
        <v>2552</v>
      </c>
      <c r="D29" s="1159" t="s">
        <v>1298</v>
      </c>
      <c r="E29" s="1154" t="s">
        <v>1144</v>
      </c>
    </row>
    <row r="30" hidden="1">
      <c r="A30" s="1150">
        <v>45317.0</v>
      </c>
      <c r="B30" s="1159" t="s">
        <v>1247</v>
      </c>
      <c r="C30" s="1161" t="s">
        <v>1214</v>
      </c>
      <c r="D30" s="1159" t="s">
        <v>1298</v>
      </c>
      <c r="E30" s="1154" t="s">
        <v>1144</v>
      </c>
    </row>
    <row r="31" ht="31.5" customHeight="1">
      <c r="A31" s="1121"/>
      <c r="B31" s="1122"/>
      <c r="C31" s="1166" t="s">
        <v>2526</v>
      </c>
      <c r="D31" s="1122"/>
      <c r="E31" s="1124"/>
    </row>
    <row r="32">
      <c r="A32" s="1162">
        <v>45323.0</v>
      </c>
      <c r="B32" s="1158" t="s">
        <v>2553</v>
      </c>
      <c r="C32" s="1158" t="s">
        <v>2549</v>
      </c>
      <c r="D32" s="1167" t="s">
        <v>2554</v>
      </c>
      <c r="E32" s="1158" t="s">
        <v>2495</v>
      </c>
    </row>
    <row r="33">
      <c r="A33" s="1150">
        <v>45325.0</v>
      </c>
      <c r="B33" s="1159" t="s">
        <v>1259</v>
      </c>
      <c r="C33" s="1161" t="s">
        <v>1216</v>
      </c>
      <c r="D33" s="1159" t="s">
        <v>1298</v>
      </c>
      <c r="E33" s="1154" t="s">
        <v>1144</v>
      </c>
    </row>
    <row r="34">
      <c r="A34" s="1150">
        <v>45327.0</v>
      </c>
      <c r="B34" s="1159" t="s">
        <v>2555</v>
      </c>
      <c r="C34" s="1159" t="s">
        <v>1226</v>
      </c>
      <c r="D34" s="1159" t="s">
        <v>1298</v>
      </c>
      <c r="E34" s="1154" t="s">
        <v>1144</v>
      </c>
    </row>
    <row r="35">
      <c r="A35" s="1150">
        <v>45332.0</v>
      </c>
      <c r="B35" s="1159" t="s">
        <v>1265</v>
      </c>
      <c r="C35" s="1159" t="s">
        <v>1266</v>
      </c>
      <c r="D35" s="1159" t="s">
        <v>2556</v>
      </c>
      <c r="E35" s="1154" t="s">
        <v>1144</v>
      </c>
    </row>
    <row r="36">
      <c r="A36" s="1150">
        <v>45334.0</v>
      </c>
      <c r="B36" s="1161" t="s">
        <v>2557</v>
      </c>
      <c r="C36" s="1161" t="s">
        <v>1216</v>
      </c>
      <c r="D36" s="1159" t="s">
        <v>1298</v>
      </c>
      <c r="E36" s="1154" t="s">
        <v>1144</v>
      </c>
    </row>
    <row r="37">
      <c r="A37" s="1150">
        <v>45338.0</v>
      </c>
      <c r="B37" s="1159" t="s">
        <v>2558</v>
      </c>
      <c r="C37" s="1161" t="s">
        <v>2559</v>
      </c>
      <c r="D37" s="1159" t="s">
        <v>1298</v>
      </c>
      <c r="E37" s="1154" t="s">
        <v>1144</v>
      </c>
    </row>
    <row r="38">
      <c r="A38" s="1150">
        <v>45338.0</v>
      </c>
      <c r="B38" s="1159" t="s">
        <v>1276</v>
      </c>
      <c r="C38" s="1161" t="s">
        <v>2560</v>
      </c>
      <c r="D38" s="1159"/>
      <c r="E38" s="1168" t="s">
        <v>2561</v>
      </c>
    </row>
    <row r="39">
      <c r="A39" s="1150">
        <v>45343.0</v>
      </c>
      <c r="B39" s="1159" t="s">
        <v>1280</v>
      </c>
      <c r="C39" s="1159" t="s">
        <v>1226</v>
      </c>
      <c r="D39" s="1159" t="s">
        <v>1298</v>
      </c>
      <c r="E39" s="1154" t="s">
        <v>1144</v>
      </c>
    </row>
    <row r="40">
      <c r="A40" s="1150">
        <v>45344.0</v>
      </c>
      <c r="B40" s="456" t="s">
        <v>2562</v>
      </c>
      <c r="C40" s="1161" t="s">
        <v>2563</v>
      </c>
      <c r="D40" s="1159" t="s">
        <v>1289</v>
      </c>
      <c r="E40" s="1154" t="s">
        <v>1144</v>
      </c>
    </row>
    <row r="41">
      <c r="A41" s="1150">
        <v>45344.0</v>
      </c>
      <c r="B41" s="1159" t="s">
        <v>2564</v>
      </c>
      <c r="C41" s="1159" t="s">
        <v>1226</v>
      </c>
      <c r="D41" s="1159" t="s">
        <v>1298</v>
      </c>
      <c r="E41" s="1154" t="s">
        <v>1144</v>
      </c>
    </row>
    <row r="42">
      <c r="A42" s="1150">
        <v>45345.0</v>
      </c>
      <c r="B42" s="1159" t="s">
        <v>1281</v>
      </c>
      <c r="C42" s="1161" t="s">
        <v>1282</v>
      </c>
      <c r="D42" s="1159" t="s">
        <v>2565</v>
      </c>
      <c r="E42" s="1154" t="s">
        <v>1144</v>
      </c>
    </row>
    <row r="43">
      <c r="A43" s="1150"/>
      <c r="B43" s="1164"/>
      <c r="C43" s="1169"/>
      <c r="D43" s="1169"/>
      <c r="E43" s="1169"/>
    </row>
    <row r="44">
      <c r="A44" s="1150"/>
      <c r="B44" s="1164"/>
      <c r="C44" s="1169"/>
      <c r="D44" s="1169"/>
      <c r="E44" s="1169"/>
    </row>
    <row r="45">
      <c r="A45" s="1150"/>
      <c r="B45" s="1164"/>
      <c r="C45" s="1169"/>
      <c r="D45" s="1169"/>
      <c r="E45" s="1169"/>
    </row>
    <row r="46" ht="31.5" customHeight="1">
      <c r="A46" s="1121"/>
      <c r="B46" s="1122"/>
      <c r="C46" s="1124" t="s">
        <v>2527</v>
      </c>
      <c r="D46" s="1122"/>
      <c r="E46" s="1124"/>
    </row>
    <row r="47">
      <c r="A47" s="1150">
        <v>45358.0</v>
      </c>
      <c r="B47" s="1159" t="s">
        <v>2566</v>
      </c>
      <c r="C47" s="1161" t="s">
        <v>1216</v>
      </c>
      <c r="D47" s="1159" t="s">
        <v>1298</v>
      </c>
      <c r="E47" s="1154" t="s">
        <v>1144</v>
      </c>
    </row>
    <row r="48">
      <c r="A48" s="1150">
        <v>45361.0</v>
      </c>
      <c r="B48" s="1159" t="s">
        <v>1292</v>
      </c>
      <c r="C48" s="1170" t="s">
        <v>1293</v>
      </c>
      <c r="D48" s="1159" t="s">
        <v>2567</v>
      </c>
      <c r="E48" s="1154" t="s">
        <v>1144</v>
      </c>
    </row>
    <row r="49">
      <c r="A49" s="1150">
        <v>45360.0</v>
      </c>
      <c r="B49" s="1159" t="s">
        <v>2568</v>
      </c>
      <c r="C49" s="1161" t="s">
        <v>1216</v>
      </c>
      <c r="D49" s="1159" t="s">
        <v>1321</v>
      </c>
      <c r="E49" s="1154" t="s">
        <v>1144</v>
      </c>
    </row>
    <row r="50">
      <c r="A50" s="477">
        <v>45362.0</v>
      </c>
      <c r="B50" s="456" t="s">
        <v>1290</v>
      </c>
      <c r="C50" s="491" t="s">
        <v>1216</v>
      </c>
      <c r="D50" s="1125" t="s">
        <v>1298</v>
      </c>
      <c r="E50" s="1154" t="s">
        <v>1144</v>
      </c>
    </row>
    <row r="51">
      <c r="A51" s="477">
        <v>45370.0</v>
      </c>
      <c r="B51" s="491" t="s">
        <v>1301</v>
      </c>
      <c r="C51" s="1159" t="s">
        <v>1198</v>
      </c>
      <c r="D51" s="1125" t="s">
        <v>1298</v>
      </c>
      <c r="E51" s="1171" t="s">
        <v>1144</v>
      </c>
    </row>
    <row r="52" ht="18.75" customHeight="1">
      <c r="A52" s="477">
        <v>45371.0</v>
      </c>
      <c r="B52" s="456" t="s">
        <v>1302</v>
      </c>
      <c r="C52" s="1159" t="s">
        <v>1303</v>
      </c>
      <c r="D52" s="456" t="s">
        <v>2569</v>
      </c>
      <c r="E52" s="1171" t="s">
        <v>1144</v>
      </c>
    </row>
    <row r="53" ht="18.0" customHeight="1">
      <c r="A53" s="477">
        <v>45371.0</v>
      </c>
      <c r="B53" s="456" t="s">
        <v>2570</v>
      </c>
      <c r="C53" s="491" t="s">
        <v>1216</v>
      </c>
      <c r="D53" s="456" t="s">
        <v>1321</v>
      </c>
      <c r="E53" s="1171" t="s">
        <v>1144</v>
      </c>
    </row>
    <row r="54" ht="18.0" customHeight="1">
      <c r="A54" s="456"/>
      <c r="B54" s="1172"/>
      <c r="C54" s="1173"/>
      <c r="D54" s="1173"/>
      <c r="E54" s="1173"/>
    </row>
    <row r="55" ht="18.0" customHeight="1">
      <c r="A55" s="456"/>
      <c r="B55" s="1172"/>
      <c r="C55" s="1173"/>
      <c r="D55" s="1173"/>
      <c r="E55" s="1173"/>
    </row>
    <row r="56" ht="31.5" customHeight="1">
      <c r="A56" s="1121"/>
      <c r="B56" s="1122"/>
      <c r="C56" s="1124" t="s">
        <v>2528</v>
      </c>
      <c r="D56" s="1122"/>
      <c r="E56" s="1124"/>
    </row>
    <row r="57" ht="15.0" customHeight="1">
      <c r="A57" s="477">
        <v>45386.0</v>
      </c>
      <c r="B57" s="1174" t="s">
        <v>1320</v>
      </c>
      <c r="C57" s="1159" t="s">
        <v>1198</v>
      </c>
      <c r="D57" s="1125" t="s">
        <v>1321</v>
      </c>
      <c r="E57" s="503" t="s">
        <v>1144</v>
      </c>
    </row>
    <row r="58" ht="15.0" customHeight="1">
      <c r="A58" s="477">
        <v>45391.0</v>
      </c>
      <c r="B58" s="1174" t="s">
        <v>2571</v>
      </c>
      <c r="C58" s="1159" t="s">
        <v>1198</v>
      </c>
      <c r="D58" s="1125" t="s">
        <v>1321</v>
      </c>
      <c r="E58" s="503" t="s">
        <v>1144</v>
      </c>
    </row>
    <row r="59" ht="15.0" customHeight="1">
      <c r="A59" s="477">
        <v>45401.0</v>
      </c>
      <c r="B59" s="450" t="s">
        <v>2572</v>
      </c>
      <c r="C59" s="450" t="s">
        <v>1268</v>
      </c>
      <c r="D59" s="1125" t="s">
        <v>1321</v>
      </c>
      <c r="E59" s="503" t="s">
        <v>1144</v>
      </c>
    </row>
    <row r="60">
      <c r="A60" s="477">
        <v>45402.0</v>
      </c>
      <c r="B60" s="456" t="s">
        <v>2573</v>
      </c>
      <c r="C60" s="450" t="s">
        <v>2574</v>
      </c>
      <c r="D60" s="456" t="s">
        <v>2569</v>
      </c>
      <c r="E60" s="503" t="s">
        <v>1144</v>
      </c>
    </row>
    <row r="61">
      <c r="A61" s="477">
        <v>45405.0</v>
      </c>
      <c r="B61" s="456" t="s">
        <v>2575</v>
      </c>
      <c r="C61" s="450" t="s">
        <v>1268</v>
      </c>
      <c r="D61" s="1125" t="s">
        <v>1321</v>
      </c>
      <c r="E61" s="503" t="s">
        <v>1144</v>
      </c>
    </row>
    <row r="62">
      <c r="A62" s="456"/>
      <c r="B62" s="456"/>
      <c r="C62" s="591"/>
      <c r="D62" s="591"/>
      <c r="E62" s="591"/>
    </row>
    <row r="63">
      <c r="A63" s="456"/>
      <c r="B63" s="456"/>
      <c r="C63" s="591"/>
      <c r="D63" s="591"/>
      <c r="E63" s="591"/>
    </row>
    <row r="64">
      <c r="A64" s="1121"/>
      <c r="B64" s="1122"/>
      <c r="C64" s="1124" t="s">
        <v>2576</v>
      </c>
      <c r="D64" s="1122"/>
      <c r="E64" s="1124"/>
    </row>
    <row r="65">
      <c r="A65" s="477">
        <v>45417.0</v>
      </c>
      <c r="B65" s="1174" t="s">
        <v>2577</v>
      </c>
      <c r="C65" s="1159" t="s">
        <v>1198</v>
      </c>
      <c r="D65" s="1125" t="s">
        <v>1321</v>
      </c>
      <c r="E65" s="503" t="s">
        <v>1144</v>
      </c>
    </row>
    <row r="66">
      <c r="A66" s="477">
        <v>45424.0</v>
      </c>
      <c r="B66" s="450" t="s">
        <v>2578</v>
      </c>
      <c r="C66" s="1159" t="s">
        <v>2532</v>
      </c>
      <c r="D66" s="1125" t="s">
        <v>2579</v>
      </c>
      <c r="E66" s="503" t="s">
        <v>1144</v>
      </c>
    </row>
    <row r="67">
      <c r="A67" s="477">
        <v>45436.0</v>
      </c>
      <c r="B67" s="1174" t="s">
        <v>2580</v>
      </c>
      <c r="C67" s="1159" t="s">
        <v>1198</v>
      </c>
      <c r="D67" s="1125" t="s">
        <v>1321</v>
      </c>
      <c r="E67" s="503" t="s">
        <v>1144</v>
      </c>
    </row>
    <row r="68">
      <c r="A68" s="477"/>
      <c r="B68" s="1174"/>
      <c r="C68" s="1159"/>
      <c r="D68" s="1125"/>
      <c r="E68" s="503"/>
    </row>
    <row r="69">
      <c r="A69" s="477">
        <v>45439.0</v>
      </c>
      <c r="B69" s="456" t="s">
        <v>2581</v>
      </c>
      <c r="C69" s="1159" t="s">
        <v>2532</v>
      </c>
      <c r="D69" s="1125" t="s">
        <v>1321</v>
      </c>
      <c r="E69" s="503" t="s">
        <v>1144</v>
      </c>
    </row>
    <row r="70">
      <c r="A70" s="456"/>
      <c r="B70" s="456"/>
      <c r="C70" s="591"/>
      <c r="D70" s="591"/>
      <c r="E70" s="1143"/>
    </row>
    <row r="71">
      <c r="A71" s="456"/>
      <c r="B71" s="1172"/>
      <c r="C71" s="1175"/>
      <c r="D71" s="1175"/>
      <c r="E71" s="1176"/>
    </row>
    <row r="72">
      <c r="A72" s="456"/>
      <c r="B72" s="1172"/>
      <c r="C72" s="1175"/>
      <c r="D72" s="1175"/>
      <c r="E72" s="1176"/>
    </row>
    <row r="73">
      <c r="A73" s="1121"/>
      <c r="B73" s="1122"/>
      <c r="C73" s="1124" t="s">
        <v>2582</v>
      </c>
      <c r="D73" s="1122"/>
      <c r="E73" s="1124"/>
    </row>
    <row r="74">
      <c r="A74" s="477">
        <v>45457.0</v>
      </c>
      <c r="B74" s="456" t="s">
        <v>2583</v>
      </c>
      <c r="C74" s="1159" t="s">
        <v>2584</v>
      </c>
      <c r="D74" s="456" t="s">
        <v>2585</v>
      </c>
      <c r="E74" s="503" t="s">
        <v>1144</v>
      </c>
    </row>
    <row r="75">
      <c r="A75" s="477">
        <v>45464.0</v>
      </c>
      <c r="B75" s="456" t="s">
        <v>2586</v>
      </c>
      <c r="C75" s="1159" t="s">
        <v>1198</v>
      </c>
      <c r="D75" s="1125" t="s">
        <v>1321</v>
      </c>
      <c r="E75" s="503" t="s">
        <v>1144</v>
      </c>
    </row>
    <row r="76">
      <c r="A76" s="456"/>
      <c r="B76" s="456"/>
      <c r="C76" s="591"/>
      <c r="D76" s="591"/>
      <c r="E76" s="1143"/>
    </row>
    <row r="77">
      <c r="A77" s="456"/>
      <c r="B77" s="456"/>
      <c r="C77" s="591"/>
      <c r="D77" s="591"/>
      <c r="E77" s="1143"/>
    </row>
    <row r="78">
      <c r="A78" s="456"/>
      <c r="B78" s="456"/>
      <c r="C78" s="591"/>
      <c r="D78" s="591"/>
      <c r="E78" s="591"/>
    </row>
    <row r="79">
      <c r="A79" s="456"/>
      <c r="B79" s="456"/>
      <c r="C79" s="591"/>
      <c r="D79" s="591"/>
      <c r="E79" s="591"/>
    </row>
    <row r="80">
      <c r="A80" s="456"/>
      <c r="B80" s="456"/>
      <c r="C80" s="591"/>
      <c r="D80" s="591"/>
      <c r="E80" s="591"/>
    </row>
    <row r="81">
      <c r="A81" s="456"/>
      <c r="B81" s="456"/>
      <c r="C81" s="591"/>
      <c r="D81" s="591"/>
      <c r="E81" s="591"/>
    </row>
    <row r="82">
      <c r="A82" s="456"/>
      <c r="B82" s="456"/>
      <c r="C82" s="591"/>
      <c r="D82" s="591"/>
      <c r="E82" s="591"/>
    </row>
    <row r="83">
      <c r="A83" s="731"/>
      <c r="B83" s="731"/>
    </row>
    <row r="84">
      <c r="A84" s="731"/>
      <c r="B84" s="731"/>
    </row>
    <row r="85">
      <c r="A85" s="731"/>
      <c r="B85" s="731"/>
    </row>
    <row r="86">
      <c r="A86" s="731"/>
      <c r="B86" s="731"/>
    </row>
    <row r="87">
      <c r="A87" s="731"/>
      <c r="B87" s="731"/>
    </row>
    <row r="88">
      <c r="A88" s="731"/>
      <c r="B88" s="731"/>
    </row>
    <row r="89">
      <c r="A89" s="731"/>
      <c r="B89" s="731"/>
    </row>
    <row r="90">
      <c r="A90" s="731"/>
      <c r="B90" s="731"/>
    </row>
    <row r="91">
      <c r="A91" s="731"/>
      <c r="B91" s="731"/>
    </row>
    <row r="92">
      <c r="A92" s="731"/>
      <c r="B92" s="731"/>
    </row>
    <row r="93">
      <c r="A93" s="731"/>
      <c r="B93" s="731"/>
    </row>
    <row r="94">
      <c r="A94" s="731"/>
      <c r="B94" s="731"/>
    </row>
    <row r="95">
      <c r="A95" s="731"/>
      <c r="B95" s="731"/>
    </row>
    <row r="96">
      <c r="A96" s="731"/>
      <c r="B96" s="731"/>
    </row>
    <row r="97">
      <c r="A97" s="731"/>
      <c r="B97" s="731"/>
    </row>
    <row r="98">
      <c r="A98" s="731"/>
      <c r="B98" s="731"/>
    </row>
    <row r="99">
      <c r="A99" s="731"/>
      <c r="B99" s="731"/>
    </row>
    <row r="100">
      <c r="A100" s="731"/>
      <c r="B100" s="731"/>
    </row>
    <row r="101">
      <c r="A101" s="731"/>
      <c r="B101" s="731"/>
    </row>
    <row r="102">
      <c r="A102" s="731"/>
      <c r="B102" s="731"/>
    </row>
    <row r="103">
      <c r="A103" s="731"/>
      <c r="B103" s="731"/>
    </row>
    <row r="104">
      <c r="A104" s="731"/>
      <c r="B104" s="731"/>
    </row>
    <row r="105">
      <c r="A105" s="731"/>
      <c r="B105" s="731"/>
    </row>
    <row r="106">
      <c r="A106" s="731"/>
      <c r="B106" s="731"/>
    </row>
    <row r="107">
      <c r="A107" s="731"/>
      <c r="B107" s="731"/>
    </row>
    <row r="108">
      <c r="A108" s="731"/>
      <c r="B108" s="731"/>
    </row>
    <row r="109">
      <c r="A109" s="731"/>
      <c r="B109" s="731"/>
    </row>
    <row r="110">
      <c r="A110" s="731"/>
      <c r="B110" s="731"/>
    </row>
    <row r="111">
      <c r="A111" s="731"/>
      <c r="B111" s="731"/>
    </row>
    <row r="112">
      <c r="A112" s="731"/>
      <c r="B112" s="731"/>
    </row>
    <row r="113">
      <c r="A113" s="731"/>
      <c r="B113" s="731"/>
    </row>
    <row r="114">
      <c r="A114" s="731"/>
      <c r="B114" s="731"/>
    </row>
    <row r="115">
      <c r="A115" s="731"/>
      <c r="B115" s="731"/>
    </row>
    <row r="116">
      <c r="A116" s="731"/>
      <c r="B116" s="731"/>
    </row>
    <row r="117">
      <c r="A117" s="731"/>
      <c r="B117" s="731"/>
    </row>
    <row r="118">
      <c r="A118" s="731"/>
      <c r="B118" s="731"/>
    </row>
    <row r="119">
      <c r="A119" s="731"/>
      <c r="B119" s="731"/>
    </row>
    <row r="120">
      <c r="A120" s="731"/>
      <c r="B120" s="731"/>
    </row>
    <row r="121">
      <c r="A121" s="731"/>
      <c r="B121" s="731"/>
    </row>
    <row r="122">
      <c r="A122" s="731"/>
      <c r="B122" s="731"/>
    </row>
    <row r="123">
      <c r="A123" s="731"/>
      <c r="B123" s="731"/>
    </row>
    <row r="124">
      <c r="A124" s="731"/>
      <c r="B124" s="731"/>
    </row>
    <row r="125">
      <c r="A125" s="731"/>
      <c r="B125" s="731"/>
    </row>
    <row r="126">
      <c r="A126" s="731"/>
      <c r="B126" s="731"/>
    </row>
    <row r="127">
      <c r="A127" s="731"/>
      <c r="B127" s="731"/>
    </row>
    <row r="128">
      <c r="A128" s="731"/>
      <c r="B128" s="731"/>
    </row>
    <row r="129">
      <c r="A129" s="731"/>
      <c r="B129" s="731"/>
    </row>
    <row r="130">
      <c r="A130" s="731"/>
      <c r="B130" s="731"/>
    </row>
    <row r="131">
      <c r="A131" s="731"/>
      <c r="B131" s="731"/>
    </row>
    <row r="132">
      <c r="A132" s="731"/>
      <c r="B132" s="731"/>
    </row>
    <row r="133">
      <c r="A133" s="731"/>
      <c r="B133" s="731"/>
    </row>
    <row r="134">
      <c r="A134" s="731"/>
      <c r="B134" s="731"/>
    </row>
    <row r="135">
      <c r="A135" s="731"/>
      <c r="B135" s="731"/>
    </row>
    <row r="136">
      <c r="A136" s="731"/>
      <c r="B136" s="731"/>
    </row>
    <row r="137">
      <c r="A137" s="731"/>
      <c r="B137" s="731"/>
    </row>
    <row r="138">
      <c r="A138" s="731"/>
      <c r="B138" s="731"/>
    </row>
    <row r="139">
      <c r="A139" s="731"/>
      <c r="B139" s="731"/>
    </row>
    <row r="140">
      <c r="A140" s="731"/>
      <c r="B140" s="731"/>
    </row>
    <row r="141">
      <c r="A141" s="731"/>
      <c r="B141" s="731"/>
    </row>
    <row r="142">
      <c r="A142" s="731"/>
      <c r="B142" s="731"/>
    </row>
    <row r="143">
      <c r="A143" s="731"/>
      <c r="B143" s="731"/>
    </row>
    <row r="144">
      <c r="A144" s="731"/>
      <c r="B144" s="731"/>
    </row>
    <row r="145">
      <c r="A145" s="731"/>
      <c r="B145" s="731"/>
    </row>
    <row r="146">
      <c r="A146" s="731"/>
      <c r="B146" s="731"/>
    </row>
    <row r="147">
      <c r="A147" s="731"/>
      <c r="B147" s="731"/>
    </row>
    <row r="148">
      <c r="A148" s="731"/>
      <c r="B148" s="731"/>
    </row>
    <row r="149">
      <c r="A149" s="731"/>
      <c r="B149" s="731"/>
    </row>
    <row r="150">
      <c r="A150" s="731"/>
      <c r="B150" s="731"/>
    </row>
    <row r="151">
      <c r="A151" s="731"/>
      <c r="B151" s="731"/>
    </row>
    <row r="152">
      <c r="A152" s="731"/>
      <c r="B152" s="731"/>
    </row>
    <row r="153">
      <c r="A153" s="731"/>
      <c r="B153" s="731"/>
    </row>
    <row r="154">
      <c r="A154" s="731"/>
      <c r="B154" s="731"/>
    </row>
    <row r="155">
      <c r="A155" s="731"/>
      <c r="B155" s="731"/>
    </row>
    <row r="156">
      <c r="A156" s="731"/>
      <c r="B156" s="731"/>
    </row>
    <row r="157">
      <c r="A157" s="731"/>
      <c r="B157" s="731"/>
    </row>
    <row r="158">
      <c r="A158" s="731"/>
      <c r="B158" s="731"/>
    </row>
    <row r="159">
      <c r="A159" s="731"/>
      <c r="B159" s="731"/>
    </row>
    <row r="160">
      <c r="A160" s="731"/>
      <c r="B160" s="731"/>
    </row>
    <row r="161">
      <c r="A161" s="731"/>
      <c r="B161" s="731"/>
    </row>
    <row r="162">
      <c r="A162" s="731"/>
      <c r="B162" s="731"/>
    </row>
    <row r="163">
      <c r="A163" s="731"/>
      <c r="B163" s="731"/>
    </row>
    <row r="164">
      <c r="A164" s="731"/>
      <c r="B164" s="731"/>
    </row>
    <row r="165">
      <c r="A165" s="731"/>
      <c r="B165" s="731"/>
    </row>
    <row r="166">
      <c r="A166" s="731"/>
      <c r="B166" s="731"/>
    </row>
    <row r="167">
      <c r="A167" s="731"/>
      <c r="B167" s="731"/>
    </row>
    <row r="168">
      <c r="A168" s="731"/>
      <c r="B168" s="731"/>
    </row>
    <row r="169">
      <c r="A169" s="731"/>
      <c r="B169" s="731"/>
    </row>
    <row r="170">
      <c r="A170" s="731"/>
      <c r="B170" s="731"/>
    </row>
    <row r="171">
      <c r="A171" s="731"/>
      <c r="B171" s="731"/>
    </row>
    <row r="172">
      <c r="A172" s="731"/>
      <c r="B172" s="731"/>
    </row>
    <row r="173">
      <c r="A173" s="731"/>
      <c r="B173" s="731"/>
    </row>
    <row r="174">
      <c r="A174" s="731"/>
      <c r="B174" s="731"/>
    </row>
    <row r="175">
      <c r="A175" s="731"/>
      <c r="B175" s="731"/>
    </row>
    <row r="176">
      <c r="A176" s="731"/>
      <c r="B176" s="731"/>
    </row>
    <row r="177">
      <c r="A177" s="731"/>
      <c r="B177" s="731"/>
    </row>
    <row r="178">
      <c r="A178" s="731"/>
      <c r="B178" s="731"/>
    </row>
    <row r="179">
      <c r="A179" s="731"/>
      <c r="B179" s="731"/>
    </row>
    <row r="180">
      <c r="A180" s="731"/>
      <c r="B180" s="731"/>
    </row>
    <row r="181">
      <c r="A181" s="731"/>
      <c r="B181" s="731"/>
    </row>
    <row r="182">
      <c r="A182" s="731"/>
      <c r="B182" s="731"/>
    </row>
    <row r="183">
      <c r="A183" s="731"/>
      <c r="B183" s="731"/>
    </row>
    <row r="184">
      <c r="A184" s="731"/>
      <c r="B184" s="731"/>
    </row>
    <row r="185">
      <c r="A185" s="731"/>
      <c r="B185" s="731"/>
    </row>
    <row r="186">
      <c r="A186" s="731"/>
      <c r="B186" s="731"/>
    </row>
    <row r="187">
      <c r="A187" s="731"/>
      <c r="B187" s="731"/>
    </row>
    <row r="188">
      <c r="A188" s="731"/>
      <c r="B188" s="731"/>
    </row>
    <row r="189">
      <c r="A189" s="731"/>
      <c r="B189" s="731"/>
    </row>
    <row r="190">
      <c r="A190" s="731"/>
      <c r="B190" s="731"/>
    </row>
    <row r="191">
      <c r="A191" s="731"/>
      <c r="B191" s="731"/>
    </row>
    <row r="192">
      <c r="A192" s="731"/>
      <c r="B192" s="731"/>
    </row>
    <row r="193">
      <c r="A193" s="731"/>
      <c r="B193" s="731"/>
    </row>
    <row r="194">
      <c r="A194" s="731"/>
      <c r="B194" s="731"/>
    </row>
    <row r="195">
      <c r="A195" s="731"/>
      <c r="B195" s="731"/>
    </row>
    <row r="196">
      <c r="A196" s="731"/>
      <c r="B196" s="731"/>
    </row>
    <row r="197">
      <c r="A197" s="731"/>
      <c r="B197" s="731"/>
    </row>
    <row r="198">
      <c r="A198" s="731"/>
      <c r="B198" s="731"/>
    </row>
    <row r="199">
      <c r="A199" s="731"/>
      <c r="B199" s="731"/>
    </row>
    <row r="200">
      <c r="A200" s="731"/>
      <c r="B200" s="731"/>
    </row>
    <row r="201">
      <c r="A201" s="731"/>
      <c r="B201" s="731"/>
    </row>
    <row r="202">
      <c r="A202" s="731"/>
      <c r="B202" s="731"/>
    </row>
    <row r="203">
      <c r="A203" s="731"/>
      <c r="B203" s="731"/>
    </row>
    <row r="204">
      <c r="A204" s="731"/>
      <c r="B204" s="731"/>
    </row>
    <row r="205">
      <c r="A205" s="731"/>
      <c r="B205" s="731"/>
    </row>
    <row r="206">
      <c r="A206" s="731"/>
      <c r="B206" s="731"/>
    </row>
    <row r="207">
      <c r="A207" s="731"/>
      <c r="B207" s="731"/>
    </row>
    <row r="208">
      <c r="A208" s="731"/>
      <c r="B208" s="731"/>
    </row>
    <row r="209">
      <c r="A209" s="731"/>
      <c r="B209" s="731"/>
    </row>
    <row r="210">
      <c r="A210" s="731"/>
      <c r="B210" s="731"/>
    </row>
    <row r="211">
      <c r="A211" s="731"/>
      <c r="B211" s="731"/>
    </row>
    <row r="212">
      <c r="A212" s="731"/>
      <c r="B212" s="731"/>
    </row>
    <row r="213">
      <c r="A213" s="731"/>
      <c r="B213" s="731"/>
    </row>
    <row r="214">
      <c r="A214" s="731"/>
      <c r="B214" s="731"/>
    </row>
    <row r="215">
      <c r="A215" s="731"/>
      <c r="B215" s="731"/>
    </row>
    <row r="216">
      <c r="A216" s="731"/>
      <c r="B216" s="731"/>
    </row>
    <row r="217">
      <c r="A217" s="731"/>
      <c r="B217" s="731"/>
    </row>
    <row r="218">
      <c r="A218" s="731"/>
      <c r="B218" s="731"/>
    </row>
    <row r="219">
      <c r="A219" s="731"/>
      <c r="B219" s="731"/>
    </row>
    <row r="220">
      <c r="A220" s="731"/>
      <c r="B220" s="731"/>
    </row>
    <row r="221">
      <c r="A221" s="731"/>
      <c r="B221" s="731"/>
    </row>
    <row r="222">
      <c r="A222" s="731"/>
      <c r="B222" s="731"/>
    </row>
    <row r="223">
      <c r="A223" s="731"/>
      <c r="B223" s="731"/>
    </row>
    <row r="224">
      <c r="A224" s="731"/>
      <c r="B224" s="731"/>
    </row>
    <row r="225">
      <c r="A225" s="731"/>
      <c r="B225" s="731"/>
    </row>
    <row r="226">
      <c r="A226" s="731"/>
      <c r="B226" s="731"/>
    </row>
    <row r="227">
      <c r="A227" s="731"/>
      <c r="B227" s="731"/>
    </row>
    <row r="228">
      <c r="A228" s="731"/>
      <c r="B228" s="731"/>
    </row>
    <row r="229">
      <c r="A229" s="731"/>
      <c r="B229" s="731"/>
    </row>
    <row r="230">
      <c r="A230" s="731"/>
      <c r="B230" s="731"/>
    </row>
    <row r="231">
      <c r="A231" s="731"/>
      <c r="B231" s="731"/>
    </row>
    <row r="232">
      <c r="A232" s="731"/>
      <c r="B232" s="731"/>
    </row>
    <row r="233">
      <c r="A233" s="731"/>
      <c r="B233" s="731"/>
    </row>
    <row r="234">
      <c r="A234" s="731"/>
      <c r="B234" s="731"/>
    </row>
    <row r="235">
      <c r="A235" s="731"/>
      <c r="B235" s="731"/>
    </row>
    <row r="236">
      <c r="A236" s="731"/>
      <c r="B236" s="731"/>
    </row>
    <row r="237">
      <c r="A237" s="731"/>
      <c r="B237" s="731"/>
    </row>
    <row r="238">
      <c r="A238" s="731"/>
      <c r="B238" s="731"/>
    </row>
    <row r="239">
      <c r="A239" s="731"/>
      <c r="B239" s="731"/>
    </row>
    <row r="240">
      <c r="A240" s="731"/>
      <c r="B240" s="731"/>
    </row>
    <row r="241">
      <c r="A241" s="731"/>
      <c r="B241" s="731"/>
    </row>
    <row r="242">
      <c r="A242" s="731"/>
      <c r="B242" s="731"/>
    </row>
    <row r="243">
      <c r="A243" s="731"/>
      <c r="B243" s="731"/>
    </row>
    <row r="244">
      <c r="A244" s="731"/>
      <c r="B244" s="731"/>
    </row>
    <row r="245">
      <c r="A245" s="731"/>
      <c r="B245" s="731"/>
    </row>
    <row r="246">
      <c r="A246" s="731"/>
      <c r="B246" s="731"/>
    </row>
    <row r="247">
      <c r="A247" s="731"/>
      <c r="B247" s="731"/>
    </row>
    <row r="248">
      <c r="A248" s="731"/>
      <c r="B248" s="731"/>
    </row>
    <row r="249">
      <c r="A249" s="731"/>
      <c r="B249" s="731"/>
    </row>
    <row r="250">
      <c r="A250" s="731"/>
      <c r="B250" s="731"/>
    </row>
    <row r="251">
      <c r="A251" s="731"/>
      <c r="B251" s="731"/>
    </row>
    <row r="252">
      <c r="A252" s="731"/>
      <c r="B252" s="731"/>
    </row>
    <row r="253">
      <c r="A253" s="731"/>
      <c r="B253" s="731"/>
    </row>
    <row r="254">
      <c r="A254" s="731"/>
      <c r="B254" s="731"/>
    </row>
    <row r="255">
      <c r="A255" s="731"/>
      <c r="B255" s="731"/>
    </row>
    <row r="256">
      <c r="A256" s="731"/>
      <c r="B256" s="731"/>
    </row>
    <row r="257">
      <c r="A257" s="731"/>
      <c r="B257" s="731"/>
    </row>
    <row r="258">
      <c r="A258" s="731"/>
      <c r="B258" s="731"/>
    </row>
    <row r="259">
      <c r="A259" s="731"/>
      <c r="B259" s="731"/>
    </row>
    <row r="260">
      <c r="A260" s="731"/>
      <c r="B260" s="731"/>
    </row>
    <row r="261">
      <c r="A261" s="731"/>
      <c r="B261" s="731"/>
    </row>
    <row r="262">
      <c r="A262" s="731"/>
      <c r="B262" s="731"/>
    </row>
    <row r="263">
      <c r="A263" s="731"/>
      <c r="B263" s="731"/>
    </row>
    <row r="264">
      <c r="A264" s="731"/>
      <c r="B264" s="731"/>
    </row>
    <row r="265">
      <c r="A265" s="731"/>
      <c r="B265" s="731"/>
    </row>
    <row r="266">
      <c r="A266" s="731"/>
      <c r="B266" s="731"/>
    </row>
    <row r="267">
      <c r="A267" s="731"/>
      <c r="B267" s="731"/>
    </row>
    <row r="268">
      <c r="A268" s="731"/>
      <c r="B268" s="731"/>
    </row>
    <row r="269">
      <c r="A269" s="731"/>
      <c r="B269" s="731"/>
    </row>
    <row r="270">
      <c r="A270" s="731"/>
      <c r="B270" s="731"/>
    </row>
    <row r="271">
      <c r="A271" s="731"/>
      <c r="B271" s="731"/>
    </row>
    <row r="272">
      <c r="A272" s="731"/>
      <c r="B272" s="731"/>
    </row>
    <row r="273">
      <c r="A273" s="731"/>
      <c r="B273" s="731"/>
    </row>
    <row r="274">
      <c r="A274" s="731"/>
      <c r="B274" s="731"/>
    </row>
    <row r="275">
      <c r="A275" s="731"/>
      <c r="B275" s="731"/>
    </row>
    <row r="276">
      <c r="A276" s="731"/>
      <c r="B276" s="731"/>
    </row>
    <row r="277">
      <c r="A277" s="731"/>
      <c r="B277" s="731"/>
    </row>
    <row r="278">
      <c r="A278" s="731"/>
      <c r="B278" s="731"/>
    </row>
    <row r="279">
      <c r="A279" s="731"/>
      <c r="B279" s="731"/>
    </row>
    <row r="280">
      <c r="A280" s="731"/>
      <c r="B280" s="731"/>
    </row>
    <row r="281">
      <c r="A281" s="731"/>
      <c r="B281" s="731"/>
    </row>
    <row r="282">
      <c r="A282" s="731"/>
      <c r="B282" s="731"/>
    </row>
    <row r="283">
      <c r="A283" s="731"/>
      <c r="B283" s="731"/>
    </row>
    <row r="284">
      <c r="A284" s="731"/>
      <c r="B284" s="731"/>
    </row>
    <row r="285">
      <c r="A285" s="731"/>
      <c r="B285" s="731"/>
    </row>
    <row r="286">
      <c r="A286" s="731"/>
      <c r="B286" s="731"/>
    </row>
    <row r="287">
      <c r="A287" s="731"/>
      <c r="B287" s="731"/>
    </row>
    <row r="288">
      <c r="A288" s="731"/>
      <c r="B288" s="731"/>
    </row>
    <row r="289">
      <c r="A289" s="731"/>
      <c r="B289" s="731"/>
    </row>
    <row r="290">
      <c r="A290" s="731"/>
      <c r="B290" s="731"/>
    </row>
    <row r="291">
      <c r="A291" s="731"/>
      <c r="B291" s="731"/>
    </row>
    <row r="292">
      <c r="A292" s="731"/>
      <c r="B292" s="731"/>
    </row>
    <row r="293">
      <c r="A293" s="731"/>
      <c r="B293" s="731"/>
    </row>
    <row r="294">
      <c r="A294" s="731"/>
      <c r="B294" s="731"/>
    </row>
    <row r="295">
      <c r="A295" s="731"/>
      <c r="B295" s="731"/>
    </row>
    <row r="296">
      <c r="A296" s="731"/>
      <c r="B296" s="731"/>
    </row>
    <row r="297">
      <c r="A297" s="731"/>
      <c r="B297" s="731"/>
    </row>
    <row r="298">
      <c r="A298" s="731"/>
      <c r="B298" s="731"/>
    </row>
    <row r="299">
      <c r="A299" s="731"/>
      <c r="B299" s="731"/>
    </row>
    <row r="300">
      <c r="A300" s="731"/>
      <c r="B300" s="731"/>
    </row>
    <row r="301">
      <c r="A301" s="731"/>
      <c r="B301" s="731"/>
    </row>
    <row r="302">
      <c r="A302" s="731"/>
      <c r="B302" s="731"/>
    </row>
    <row r="303">
      <c r="A303" s="731"/>
      <c r="B303" s="731"/>
    </row>
    <row r="304">
      <c r="A304" s="731"/>
      <c r="B304" s="731"/>
    </row>
    <row r="305">
      <c r="A305" s="731"/>
      <c r="B305" s="731"/>
    </row>
    <row r="306">
      <c r="A306" s="731"/>
      <c r="B306" s="731"/>
    </row>
    <row r="307">
      <c r="A307" s="731"/>
      <c r="B307" s="731"/>
    </row>
    <row r="308">
      <c r="A308" s="731"/>
      <c r="B308" s="731"/>
    </row>
    <row r="309">
      <c r="A309" s="731"/>
      <c r="B309" s="731"/>
    </row>
    <row r="310">
      <c r="A310" s="731"/>
      <c r="B310" s="731"/>
    </row>
    <row r="311">
      <c r="A311" s="731"/>
      <c r="B311" s="731"/>
    </row>
    <row r="312">
      <c r="A312" s="731"/>
      <c r="B312" s="731"/>
    </row>
    <row r="313">
      <c r="A313" s="731"/>
      <c r="B313" s="731"/>
    </row>
    <row r="314">
      <c r="A314" s="731"/>
      <c r="B314" s="731"/>
    </row>
    <row r="315">
      <c r="A315" s="731"/>
      <c r="B315" s="731"/>
    </row>
    <row r="316">
      <c r="A316" s="731"/>
      <c r="B316" s="731"/>
    </row>
    <row r="317">
      <c r="A317" s="731"/>
      <c r="B317" s="731"/>
    </row>
    <row r="318">
      <c r="A318" s="731"/>
      <c r="B318" s="731"/>
    </row>
    <row r="319">
      <c r="A319" s="731"/>
      <c r="B319" s="731"/>
    </row>
    <row r="320">
      <c r="A320" s="731"/>
      <c r="B320" s="731"/>
    </row>
    <row r="321">
      <c r="A321" s="731"/>
      <c r="B321" s="731"/>
    </row>
    <row r="322">
      <c r="A322" s="731"/>
      <c r="B322" s="731"/>
    </row>
    <row r="323">
      <c r="A323" s="731"/>
      <c r="B323" s="731"/>
    </row>
    <row r="324">
      <c r="A324" s="731"/>
      <c r="B324" s="731"/>
    </row>
    <row r="325">
      <c r="A325" s="731"/>
      <c r="B325" s="731"/>
    </row>
    <row r="326">
      <c r="A326" s="731"/>
      <c r="B326" s="731"/>
    </row>
    <row r="327">
      <c r="A327" s="731"/>
      <c r="B327" s="731"/>
    </row>
    <row r="328">
      <c r="A328" s="731"/>
      <c r="B328" s="731"/>
    </row>
    <row r="329">
      <c r="A329" s="731"/>
      <c r="B329" s="731"/>
    </row>
    <row r="330">
      <c r="A330" s="731"/>
      <c r="B330" s="731"/>
    </row>
    <row r="331">
      <c r="A331" s="731"/>
      <c r="B331" s="731"/>
    </row>
    <row r="332">
      <c r="A332" s="731"/>
      <c r="B332" s="731"/>
    </row>
    <row r="333">
      <c r="A333" s="731"/>
      <c r="B333" s="731"/>
    </row>
    <row r="334">
      <c r="A334" s="731"/>
      <c r="B334" s="731"/>
    </row>
    <row r="335">
      <c r="A335" s="731"/>
      <c r="B335" s="731"/>
    </row>
    <row r="336">
      <c r="A336" s="731"/>
      <c r="B336" s="731"/>
    </row>
    <row r="337">
      <c r="A337" s="731"/>
      <c r="B337" s="731"/>
    </row>
    <row r="338">
      <c r="A338" s="731"/>
      <c r="B338" s="731"/>
    </row>
    <row r="339">
      <c r="A339" s="731"/>
      <c r="B339" s="731"/>
    </row>
    <row r="340">
      <c r="A340" s="731"/>
      <c r="B340" s="731"/>
    </row>
    <row r="341">
      <c r="A341" s="731"/>
      <c r="B341" s="731"/>
    </row>
    <row r="342">
      <c r="A342" s="731"/>
      <c r="B342" s="731"/>
    </row>
    <row r="343">
      <c r="A343" s="731"/>
      <c r="B343" s="731"/>
    </row>
    <row r="344">
      <c r="A344" s="731"/>
      <c r="B344" s="731"/>
    </row>
    <row r="345">
      <c r="A345" s="731"/>
      <c r="B345" s="731"/>
    </row>
    <row r="346">
      <c r="A346" s="731"/>
      <c r="B346" s="731"/>
    </row>
    <row r="347">
      <c r="A347" s="731"/>
      <c r="B347" s="731"/>
    </row>
    <row r="348">
      <c r="A348" s="731"/>
      <c r="B348" s="731"/>
    </row>
    <row r="349">
      <c r="A349" s="731"/>
      <c r="B349" s="731"/>
    </row>
    <row r="350">
      <c r="A350" s="731"/>
      <c r="B350" s="731"/>
    </row>
    <row r="351">
      <c r="A351" s="731"/>
      <c r="B351" s="731"/>
    </row>
    <row r="352">
      <c r="A352" s="731"/>
      <c r="B352" s="731"/>
    </row>
    <row r="353">
      <c r="A353" s="731"/>
      <c r="B353" s="731"/>
    </row>
    <row r="354">
      <c r="A354" s="731"/>
      <c r="B354" s="731"/>
    </row>
    <row r="355">
      <c r="A355" s="731"/>
      <c r="B355" s="731"/>
    </row>
    <row r="356">
      <c r="A356" s="731"/>
      <c r="B356" s="731"/>
    </row>
    <row r="357">
      <c r="A357" s="731"/>
      <c r="B357" s="731"/>
    </row>
    <row r="358">
      <c r="A358" s="731"/>
      <c r="B358" s="731"/>
    </row>
    <row r="359">
      <c r="A359" s="731"/>
      <c r="B359" s="731"/>
    </row>
    <row r="360">
      <c r="A360" s="731"/>
      <c r="B360" s="731"/>
    </row>
    <row r="361">
      <c r="A361" s="731"/>
      <c r="B361" s="731"/>
    </row>
    <row r="362">
      <c r="A362" s="731"/>
      <c r="B362" s="731"/>
    </row>
    <row r="363">
      <c r="A363" s="731"/>
      <c r="B363" s="731"/>
    </row>
    <row r="364">
      <c r="A364" s="731"/>
      <c r="B364" s="731"/>
    </row>
    <row r="365">
      <c r="A365" s="731"/>
      <c r="B365" s="731"/>
    </row>
    <row r="366">
      <c r="A366" s="731"/>
      <c r="B366" s="731"/>
    </row>
    <row r="367">
      <c r="A367" s="731"/>
      <c r="B367" s="731"/>
    </row>
    <row r="368">
      <c r="A368" s="731"/>
      <c r="B368" s="731"/>
    </row>
    <row r="369">
      <c r="A369" s="731"/>
      <c r="B369" s="731"/>
    </row>
    <row r="370">
      <c r="A370" s="731"/>
      <c r="B370" s="731"/>
    </row>
    <row r="371">
      <c r="A371" s="731"/>
      <c r="B371" s="731"/>
    </row>
    <row r="372">
      <c r="A372" s="731"/>
      <c r="B372" s="731"/>
    </row>
    <row r="373">
      <c r="A373" s="731"/>
      <c r="B373" s="731"/>
    </row>
    <row r="374">
      <c r="A374" s="731"/>
      <c r="B374" s="731"/>
    </row>
    <row r="375">
      <c r="A375" s="731"/>
      <c r="B375" s="731"/>
    </row>
    <row r="376">
      <c r="A376" s="731"/>
      <c r="B376" s="731"/>
    </row>
    <row r="377">
      <c r="A377" s="731"/>
      <c r="B377" s="731"/>
    </row>
    <row r="378">
      <c r="A378" s="731"/>
      <c r="B378" s="731"/>
    </row>
    <row r="379">
      <c r="A379" s="731"/>
      <c r="B379" s="731"/>
    </row>
    <row r="380">
      <c r="A380" s="731"/>
      <c r="B380" s="731"/>
    </row>
    <row r="381">
      <c r="A381" s="731"/>
      <c r="B381" s="731"/>
    </row>
    <row r="382">
      <c r="A382" s="731"/>
      <c r="B382" s="731"/>
    </row>
    <row r="383">
      <c r="A383" s="731"/>
      <c r="B383" s="731"/>
    </row>
    <row r="384">
      <c r="A384" s="731"/>
      <c r="B384" s="731"/>
    </row>
    <row r="385">
      <c r="A385" s="731"/>
      <c r="B385" s="731"/>
    </row>
    <row r="386">
      <c r="A386" s="731"/>
      <c r="B386" s="731"/>
    </row>
    <row r="387">
      <c r="A387" s="731"/>
      <c r="B387" s="731"/>
    </row>
    <row r="388">
      <c r="A388" s="731"/>
      <c r="B388" s="731"/>
    </row>
    <row r="389">
      <c r="A389" s="731"/>
      <c r="B389" s="731"/>
    </row>
    <row r="390">
      <c r="A390" s="731"/>
      <c r="B390" s="731"/>
    </row>
    <row r="391">
      <c r="A391" s="731"/>
      <c r="B391" s="731"/>
    </row>
    <row r="392">
      <c r="A392" s="731"/>
      <c r="B392" s="731"/>
    </row>
    <row r="393">
      <c r="A393" s="731"/>
      <c r="B393" s="731"/>
    </row>
    <row r="394">
      <c r="A394" s="731"/>
      <c r="B394" s="731"/>
    </row>
    <row r="395">
      <c r="A395" s="731"/>
      <c r="B395" s="731"/>
    </row>
    <row r="396">
      <c r="A396" s="731"/>
      <c r="B396" s="731"/>
    </row>
    <row r="397">
      <c r="A397" s="731"/>
      <c r="B397" s="731"/>
    </row>
    <row r="398">
      <c r="A398" s="731"/>
      <c r="B398" s="731"/>
    </row>
    <row r="399">
      <c r="A399" s="731"/>
      <c r="B399" s="731"/>
    </row>
    <row r="400">
      <c r="A400" s="731"/>
      <c r="B400" s="731"/>
    </row>
    <row r="401">
      <c r="A401" s="731"/>
      <c r="B401" s="731"/>
    </row>
    <row r="402">
      <c r="A402" s="731"/>
      <c r="B402" s="731"/>
    </row>
    <row r="403">
      <c r="A403" s="731"/>
      <c r="B403" s="731"/>
    </row>
    <row r="404">
      <c r="A404" s="731"/>
      <c r="B404" s="731"/>
    </row>
    <row r="405">
      <c r="A405" s="731"/>
      <c r="B405" s="731"/>
    </row>
    <row r="406">
      <c r="A406" s="731"/>
      <c r="B406" s="731"/>
    </row>
    <row r="407">
      <c r="A407" s="731"/>
      <c r="B407" s="731"/>
    </row>
    <row r="408">
      <c r="A408" s="731"/>
      <c r="B408" s="731"/>
    </row>
    <row r="409">
      <c r="A409" s="731"/>
      <c r="B409" s="731"/>
    </row>
    <row r="410">
      <c r="A410" s="731"/>
      <c r="B410" s="731"/>
    </row>
    <row r="411">
      <c r="A411" s="731"/>
      <c r="B411" s="731"/>
    </row>
    <row r="412">
      <c r="A412" s="731"/>
      <c r="B412" s="731"/>
    </row>
    <row r="413">
      <c r="A413" s="731"/>
      <c r="B413" s="731"/>
    </row>
    <row r="414">
      <c r="A414" s="731"/>
      <c r="B414" s="731"/>
    </row>
    <row r="415">
      <c r="A415" s="731"/>
      <c r="B415" s="731"/>
    </row>
    <row r="416">
      <c r="A416" s="731"/>
      <c r="B416" s="731"/>
    </row>
    <row r="417">
      <c r="A417" s="731"/>
      <c r="B417" s="731"/>
    </row>
    <row r="418">
      <c r="A418" s="731"/>
      <c r="B418" s="731"/>
    </row>
    <row r="419">
      <c r="A419" s="731"/>
      <c r="B419" s="731"/>
    </row>
    <row r="420">
      <c r="A420" s="731"/>
      <c r="B420" s="731"/>
    </row>
    <row r="421">
      <c r="A421" s="731"/>
      <c r="B421" s="731"/>
    </row>
    <row r="422">
      <c r="A422" s="731"/>
      <c r="B422" s="731"/>
    </row>
    <row r="423">
      <c r="A423" s="731"/>
      <c r="B423" s="731"/>
    </row>
    <row r="424">
      <c r="A424" s="731"/>
      <c r="B424" s="731"/>
    </row>
    <row r="425">
      <c r="A425" s="731"/>
      <c r="B425" s="731"/>
    </row>
    <row r="426">
      <c r="A426" s="731"/>
      <c r="B426" s="731"/>
    </row>
    <row r="427">
      <c r="A427" s="731"/>
      <c r="B427" s="731"/>
    </row>
    <row r="428">
      <c r="A428" s="731"/>
      <c r="B428" s="731"/>
    </row>
    <row r="429">
      <c r="A429" s="731"/>
      <c r="B429" s="731"/>
    </row>
    <row r="430">
      <c r="A430" s="731"/>
      <c r="B430" s="731"/>
    </row>
    <row r="431">
      <c r="A431" s="731"/>
      <c r="B431" s="731"/>
    </row>
    <row r="432">
      <c r="A432" s="731"/>
      <c r="B432" s="731"/>
    </row>
    <row r="433">
      <c r="A433" s="731"/>
      <c r="B433" s="731"/>
    </row>
    <row r="434">
      <c r="A434" s="731"/>
      <c r="B434" s="731"/>
    </row>
    <row r="435">
      <c r="A435" s="731"/>
      <c r="B435" s="731"/>
    </row>
    <row r="436">
      <c r="A436" s="731"/>
      <c r="B436" s="731"/>
    </row>
    <row r="437">
      <c r="A437" s="731"/>
      <c r="B437" s="731"/>
    </row>
    <row r="438">
      <c r="A438" s="731"/>
      <c r="B438" s="731"/>
    </row>
    <row r="439">
      <c r="A439" s="731"/>
      <c r="B439" s="731"/>
    </row>
    <row r="440">
      <c r="A440" s="731"/>
      <c r="B440" s="731"/>
    </row>
    <row r="441">
      <c r="A441" s="731"/>
      <c r="B441" s="731"/>
    </row>
    <row r="442">
      <c r="A442" s="731"/>
      <c r="B442" s="731"/>
    </row>
    <row r="443">
      <c r="A443" s="731"/>
      <c r="B443" s="731"/>
    </row>
    <row r="444">
      <c r="A444" s="731"/>
      <c r="B444" s="731"/>
    </row>
    <row r="445">
      <c r="A445" s="731"/>
      <c r="B445" s="731"/>
    </row>
    <row r="446">
      <c r="A446" s="731"/>
      <c r="B446" s="731"/>
    </row>
    <row r="447">
      <c r="A447" s="731"/>
      <c r="B447" s="731"/>
    </row>
    <row r="448">
      <c r="A448" s="731"/>
      <c r="B448" s="731"/>
    </row>
    <row r="449">
      <c r="A449" s="731"/>
      <c r="B449" s="731"/>
    </row>
    <row r="450">
      <c r="A450" s="731"/>
      <c r="B450" s="731"/>
    </row>
    <row r="451">
      <c r="A451" s="731"/>
      <c r="B451" s="731"/>
    </row>
    <row r="452">
      <c r="A452" s="731"/>
      <c r="B452" s="731"/>
    </row>
    <row r="453">
      <c r="A453" s="731"/>
      <c r="B453" s="731"/>
    </row>
    <row r="454">
      <c r="A454" s="731"/>
      <c r="B454" s="731"/>
    </row>
    <row r="455">
      <c r="A455" s="731"/>
      <c r="B455" s="731"/>
    </row>
    <row r="456">
      <c r="A456" s="731"/>
      <c r="B456" s="731"/>
    </row>
    <row r="457">
      <c r="A457" s="731"/>
      <c r="B457" s="731"/>
    </row>
    <row r="458">
      <c r="A458" s="731"/>
      <c r="B458" s="731"/>
    </row>
    <row r="459">
      <c r="A459" s="731"/>
      <c r="B459" s="731"/>
    </row>
    <row r="460">
      <c r="A460" s="731"/>
      <c r="B460" s="731"/>
    </row>
    <row r="461">
      <c r="A461" s="731"/>
      <c r="B461" s="731"/>
    </row>
    <row r="462">
      <c r="A462" s="731"/>
      <c r="B462" s="731"/>
    </row>
    <row r="463">
      <c r="A463" s="731"/>
      <c r="B463" s="731"/>
    </row>
    <row r="464">
      <c r="A464" s="731"/>
      <c r="B464" s="731"/>
    </row>
    <row r="465">
      <c r="A465" s="731"/>
      <c r="B465" s="731"/>
    </row>
    <row r="466">
      <c r="A466" s="731"/>
      <c r="B466" s="731"/>
    </row>
    <row r="467">
      <c r="A467" s="731"/>
      <c r="B467" s="731"/>
    </row>
    <row r="468">
      <c r="A468" s="731"/>
      <c r="B468" s="731"/>
    </row>
    <row r="469">
      <c r="A469" s="731"/>
      <c r="B469" s="731"/>
    </row>
    <row r="470">
      <c r="A470" s="731"/>
      <c r="B470" s="731"/>
    </row>
    <row r="471">
      <c r="A471" s="731"/>
      <c r="B471" s="731"/>
    </row>
    <row r="472">
      <c r="A472" s="731"/>
      <c r="B472" s="731"/>
    </row>
    <row r="473">
      <c r="A473" s="731"/>
      <c r="B473" s="731"/>
    </row>
    <row r="474">
      <c r="A474" s="731"/>
      <c r="B474" s="731"/>
    </row>
    <row r="475">
      <c r="A475" s="731"/>
      <c r="B475" s="731"/>
    </row>
    <row r="476">
      <c r="A476" s="731"/>
      <c r="B476" s="731"/>
    </row>
    <row r="477">
      <c r="A477" s="731"/>
      <c r="B477" s="731"/>
    </row>
    <row r="478">
      <c r="A478" s="731"/>
      <c r="B478" s="731"/>
    </row>
    <row r="479">
      <c r="A479" s="731"/>
      <c r="B479" s="731"/>
    </row>
    <row r="480">
      <c r="A480" s="731"/>
      <c r="B480" s="731"/>
    </row>
    <row r="481">
      <c r="A481" s="731"/>
      <c r="B481" s="731"/>
    </row>
    <row r="482">
      <c r="A482" s="731"/>
      <c r="B482" s="731"/>
    </row>
    <row r="483">
      <c r="A483" s="731"/>
      <c r="B483" s="731"/>
    </row>
    <row r="484">
      <c r="A484" s="731"/>
      <c r="B484" s="731"/>
    </row>
    <row r="485">
      <c r="A485" s="731"/>
      <c r="B485" s="731"/>
    </row>
    <row r="486">
      <c r="A486" s="731"/>
      <c r="B486" s="731"/>
    </row>
    <row r="487">
      <c r="A487" s="731"/>
      <c r="B487" s="731"/>
    </row>
    <row r="488">
      <c r="A488" s="731"/>
      <c r="B488" s="731"/>
    </row>
    <row r="489">
      <c r="A489" s="731"/>
      <c r="B489" s="731"/>
    </row>
    <row r="490">
      <c r="A490" s="731"/>
      <c r="B490" s="731"/>
    </row>
    <row r="491">
      <c r="A491" s="731"/>
      <c r="B491" s="731"/>
    </row>
    <row r="492">
      <c r="A492" s="731"/>
      <c r="B492" s="731"/>
    </row>
    <row r="493">
      <c r="A493" s="731"/>
      <c r="B493" s="731"/>
    </row>
    <row r="494">
      <c r="A494" s="731"/>
      <c r="B494" s="731"/>
    </row>
    <row r="495">
      <c r="A495" s="731"/>
      <c r="B495" s="731"/>
    </row>
    <row r="496">
      <c r="A496" s="731"/>
      <c r="B496" s="731"/>
    </row>
    <row r="497">
      <c r="A497" s="731"/>
      <c r="B497" s="731"/>
    </row>
    <row r="498">
      <c r="A498" s="731"/>
      <c r="B498" s="731"/>
    </row>
    <row r="499">
      <c r="A499" s="731"/>
      <c r="B499" s="731"/>
    </row>
    <row r="500">
      <c r="A500" s="731"/>
      <c r="B500" s="731"/>
    </row>
    <row r="501">
      <c r="A501" s="731"/>
      <c r="B501" s="731"/>
    </row>
    <row r="502">
      <c r="A502" s="731"/>
      <c r="B502" s="731"/>
    </row>
    <row r="503">
      <c r="A503" s="731"/>
      <c r="B503" s="731"/>
    </row>
    <row r="504">
      <c r="A504" s="731"/>
      <c r="B504" s="731"/>
    </row>
    <row r="505">
      <c r="A505" s="731"/>
      <c r="B505" s="731"/>
    </row>
    <row r="506">
      <c r="A506" s="731"/>
      <c r="B506" s="731"/>
    </row>
    <row r="507">
      <c r="A507" s="731"/>
      <c r="B507" s="731"/>
    </row>
    <row r="508">
      <c r="A508" s="731"/>
      <c r="B508" s="731"/>
    </row>
    <row r="509">
      <c r="A509" s="731"/>
      <c r="B509" s="731"/>
    </row>
    <row r="510">
      <c r="A510" s="731"/>
      <c r="B510" s="731"/>
    </row>
    <row r="511">
      <c r="A511" s="731"/>
      <c r="B511" s="731"/>
    </row>
    <row r="512">
      <c r="A512" s="731"/>
      <c r="B512" s="731"/>
    </row>
    <row r="513">
      <c r="A513" s="731"/>
      <c r="B513" s="731"/>
    </row>
    <row r="514">
      <c r="A514" s="731"/>
      <c r="B514" s="731"/>
    </row>
    <row r="515">
      <c r="A515" s="731"/>
      <c r="B515" s="731"/>
    </row>
    <row r="516">
      <c r="A516" s="731"/>
      <c r="B516" s="731"/>
    </row>
    <row r="517">
      <c r="A517" s="731"/>
      <c r="B517" s="731"/>
    </row>
    <row r="518">
      <c r="A518" s="731"/>
      <c r="B518" s="731"/>
    </row>
    <row r="519">
      <c r="A519" s="731"/>
      <c r="B519" s="731"/>
    </row>
    <row r="520">
      <c r="A520" s="731"/>
      <c r="B520" s="731"/>
    </row>
    <row r="521">
      <c r="A521" s="731"/>
      <c r="B521" s="731"/>
    </row>
    <row r="522">
      <c r="A522" s="731"/>
      <c r="B522" s="731"/>
    </row>
    <row r="523">
      <c r="A523" s="731"/>
      <c r="B523" s="731"/>
    </row>
    <row r="524">
      <c r="A524" s="731"/>
      <c r="B524" s="731"/>
    </row>
    <row r="525">
      <c r="A525" s="731"/>
      <c r="B525" s="731"/>
    </row>
    <row r="526">
      <c r="A526" s="731"/>
      <c r="B526" s="731"/>
    </row>
    <row r="527">
      <c r="A527" s="731"/>
      <c r="B527" s="731"/>
    </row>
    <row r="528">
      <c r="A528" s="731"/>
      <c r="B528" s="731"/>
    </row>
    <row r="529">
      <c r="A529" s="731"/>
      <c r="B529" s="731"/>
    </row>
    <row r="530">
      <c r="A530" s="731"/>
      <c r="B530" s="731"/>
    </row>
    <row r="531">
      <c r="A531" s="731"/>
      <c r="B531" s="731"/>
    </row>
    <row r="532">
      <c r="A532" s="731"/>
      <c r="B532" s="731"/>
    </row>
    <row r="533">
      <c r="A533" s="731"/>
      <c r="B533" s="731"/>
    </row>
    <row r="534">
      <c r="A534" s="731"/>
      <c r="B534" s="731"/>
    </row>
    <row r="535">
      <c r="A535" s="731"/>
      <c r="B535" s="731"/>
    </row>
    <row r="536">
      <c r="A536" s="731"/>
      <c r="B536" s="731"/>
    </row>
    <row r="537">
      <c r="A537" s="731"/>
      <c r="B537" s="731"/>
    </row>
    <row r="538">
      <c r="A538" s="731"/>
      <c r="B538" s="731"/>
    </row>
    <row r="539">
      <c r="A539" s="731"/>
      <c r="B539" s="731"/>
    </row>
    <row r="540">
      <c r="A540" s="731"/>
      <c r="B540" s="731"/>
    </row>
    <row r="541">
      <c r="A541" s="731"/>
      <c r="B541" s="731"/>
    </row>
    <row r="542">
      <c r="A542" s="731"/>
      <c r="B542" s="731"/>
    </row>
    <row r="543">
      <c r="A543" s="731"/>
      <c r="B543" s="731"/>
    </row>
    <row r="544">
      <c r="A544" s="731"/>
      <c r="B544" s="731"/>
    </row>
    <row r="545">
      <c r="A545" s="731"/>
      <c r="B545" s="731"/>
    </row>
    <row r="546">
      <c r="A546" s="731"/>
      <c r="B546" s="731"/>
    </row>
    <row r="547">
      <c r="A547" s="731"/>
      <c r="B547" s="731"/>
    </row>
    <row r="548">
      <c r="A548" s="731"/>
      <c r="B548" s="731"/>
    </row>
    <row r="549">
      <c r="A549" s="731"/>
      <c r="B549" s="731"/>
    </row>
    <row r="550">
      <c r="A550" s="731"/>
      <c r="B550" s="731"/>
    </row>
    <row r="551">
      <c r="A551" s="731"/>
      <c r="B551" s="731"/>
    </row>
    <row r="552">
      <c r="A552" s="731"/>
      <c r="B552" s="731"/>
    </row>
    <row r="553">
      <c r="A553" s="731"/>
      <c r="B553" s="731"/>
    </row>
    <row r="554">
      <c r="A554" s="731"/>
      <c r="B554" s="731"/>
    </row>
    <row r="555">
      <c r="A555" s="731"/>
      <c r="B555" s="731"/>
    </row>
    <row r="556">
      <c r="A556" s="731"/>
      <c r="B556" s="731"/>
    </row>
    <row r="557">
      <c r="A557" s="731"/>
      <c r="B557" s="731"/>
    </row>
    <row r="558">
      <c r="A558" s="731"/>
      <c r="B558" s="731"/>
    </row>
    <row r="559">
      <c r="A559" s="731"/>
      <c r="B559" s="731"/>
    </row>
    <row r="560">
      <c r="A560" s="731"/>
      <c r="B560" s="731"/>
    </row>
    <row r="561">
      <c r="A561" s="731"/>
      <c r="B561" s="731"/>
    </row>
    <row r="562">
      <c r="A562" s="731"/>
      <c r="B562" s="731"/>
    </row>
    <row r="563">
      <c r="A563" s="731"/>
      <c r="B563" s="731"/>
    </row>
    <row r="564">
      <c r="A564" s="731"/>
      <c r="B564" s="731"/>
    </row>
    <row r="565">
      <c r="A565" s="731"/>
      <c r="B565" s="731"/>
    </row>
    <row r="566">
      <c r="A566" s="731"/>
      <c r="B566" s="731"/>
    </row>
    <row r="567">
      <c r="A567" s="731"/>
      <c r="B567" s="731"/>
    </row>
    <row r="568">
      <c r="A568" s="731"/>
      <c r="B568" s="731"/>
    </row>
    <row r="569">
      <c r="A569" s="731"/>
      <c r="B569" s="731"/>
    </row>
    <row r="570">
      <c r="A570" s="731"/>
      <c r="B570" s="731"/>
    </row>
    <row r="571">
      <c r="A571" s="731"/>
      <c r="B571" s="731"/>
    </row>
    <row r="572">
      <c r="A572" s="731"/>
      <c r="B572" s="731"/>
    </row>
    <row r="573">
      <c r="A573" s="731"/>
      <c r="B573" s="731"/>
    </row>
    <row r="574">
      <c r="A574" s="731"/>
      <c r="B574" s="731"/>
    </row>
    <row r="575">
      <c r="A575" s="731"/>
      <c r="B575" s="731"/>
    </row>
    <row r="576">
      <c r="A576" s="731"/>
      <c r="B576" s="731"/>
    </row>
    <row r="577">
      <c r="A577" s="731"/>
      <c r="B577" s="731"/>
    </row>
    <row r="578">
      <c r="A578" s="731"/>
      <c r="B578" s="731"/>
    </row>
    <row r="579">
      <c r="A579" s="731"/>
      <c r="B579" s="731"/>
    </row>
    <row r="580">
      <c r="A580" s="731"/>
      <c r="B580" s="731"/>
    </row>
    <row r="581">
      <c r="A581" s="731"/>
      <c r="B581" s="731"/>
    </row>
    <row r="582">
      <c r="A582" s="731"/>
      <c r="B582" s="731"/>
    </row>
    <row r="583">
      <c r="A583" s="731"/>
      <c r="B583" s="731"/>
    </row>
    <row r="584">
      <c r="A584" s="731"/>
      <c r="B584" s="731"/>
    </row>
    <row r="585">
      <c r="A585" s="731"/>
      <c r="B585" s="731"/>
    </row>
    <row r="586">
      <c r="A586" s="731"/>
      <c r="B586" s="731"/>
    </row>
    <row r="587">
      <c r="A587" s="731"/>
      <c r="B587" s="731"/>
    </row>
    <row r="588">
      <c r="A588" s="731"/>
      <c r="B588" s="731"/>
    </row>
    <row r="589">
      <c r="A589" s="731"/>
      <c r="B589" s="731"/>
    </row>
    <row r="590">
      <c r="A590" s="731"/>
      <c r="B590" s="731"/>
    </row>
    <row r="591">
      <c r="A591" s="731"/>
      <c r="B591" s="731"/>
    </row>
    <row r="592">
      <c r="A592" s="731"/>
      <c r="B592" s="731"/>
    </row>
    <row r="593">
      <c r="A593" s="731"/>
      <c r="B593" s="731"/>
    </row>
    <row r="594">
      <c r="A594" s="731"/>
      <c r="B594" s="731"/>
    </row>
    <row r="595">
      <c r="A595" s="731"/>
      <c r="B595" s="731"/>
    </row>
    <row r="596">
      <c r="A596" s="731"/>
      <c r="B596" s="731"/>
    </row>
    <row r="597">
      <c r="A597" s="731"/>
      <c r="B597" s="731"/>
    </row>
    <row r="598">
      <c r="A598" s="731"/>
      <c r="B598" s="731"/>
    </row>
    <row r="599">
      <c r="A599" s="731"/>
      <c r="B599" s="731"/>
    </row>
    <row r="600">
      <c r="A600" s="731"/>
      <c r="B600" s="731"/>
    </row>
    <row r="601">
      <c r="A601" s="731"/>
      <c r="B601" s="731"/>
    </row>
    <row r="602">
      <c r="A602" s="731"/>
      <c r="B602" s="731"/>
    </row>
    <row r="603">
      <c r="A603" s="731"/>
      <c r="B603" s="731"/>
    </row>
    <row r="604">
      <c r="A604" s="731"/>
      <c r="B604" s="731"/>
    </row>
    <row r="605">
      <c r="A605" s="731"/>
      <c r="B605" s="731"/>
    </row>
    <row r="606">
      <c r="A606" s="731"/>
      <c r="B606" s="731"/>
    </row>
    <row r="607">
      <c r="A607" s="731"/>
      <c r="B607" s="731"/>
    </row>
    <row r="608">
      <c r="A608" s="731"/>
      <c r="B608" s="731"/>
    </row>
    <row r="609">
      <c r="A609" s="731"/>
      <c r="B609" s="731"/>
    </row>
    <row r="610">
      <c r="A610" s="731"/>
      <c r="B610" s="731"/>
    </row>
    <row r="611">
      <c r="A611" s="731"/>
      <c r="B611" s="731"/>
    </row>
    <row r="612">
      <c r="A612" s="731"/>
      <c r="B612" s="731"/>
    </row>
    <row r="613">
      <c r="A613" s="731"/>
      <c r="B613" s="731"/>
    </row>
    <row r="614">
      <c r="A614" s="731"/>
      <c r="B614" s="731"/>
    </row>
    <row r="615">
      <c r="A615" s="731"/>
      <c r="B615" s="731"/>
    </row>
    <row r="616">
      <c r="A616" s="731"/>
      <c r="B616" s="731"/>
    </row>
    <row r="617">
      <c r="A617" s="731"/>
      <c r="B617" s="731"/>
    </row>
    <row r="618">
      <c r="A618" s="731"/>
      <c r="B618" s="731"/>
    </row>
    <row r="619">
      <c r="A619" s="731"/>
      <c r="B619" s="731"/>
    </row>
    <row r="620">
      <c r="A620" s="731"/>
      <c r="B620" s="731"/>
    </row>
    <row r="621">
      <c r="A621" s="731"/>
      <c r="B621" s="731"/>
    </row>
    <row r="622">
      <c r="A622" s="731"/>
      <c r="B622" s="731"/>
    </row>
    <row r="623">
      <c r="A623" s="731"/>
      <c r="B623" s="731"/>
    </row>
    <row r="624">
      <c r="A624" s="731"/>
      <c r="B624" s="731"/>
    </row>
    <row r="625">
      <c r="A625" s="731"/>
      <c r="B625" s="731"/>
    </row>
    <row r="626">
      <c r="A626" s="731"/>
      <c r="B626" s="731"/>
    </row>
    <row r="627">
      <c r="A627" s="731"/>
      <c r="B627" s="731"/>
    </row>
    <row r="628">
      <c r="A628" s="731"/>
      <c r="B628" s="731"/>
    </row>
    <row r="629">
      <c r="A629" s="731"/>
      <c r="B629" s="731"/>
    </row>
    <row r="630">
      <c r="A630" s="731"/>
      <c r="B630" s="731"/>
    </row>
    <row r="631">
      <c r="A631" s="731"/>
      <c r="B631" s="731"/>
    </row>
    <row r="632">
      <c r="A632" s="731"/>
      <c r="B632" s="731"/>
    </row>
    <row r="633">
      <c r="A633" s="731"/>
      <c r="B633" s="731"/>
    </row>
    <row r="634">
      <c r="A634" s="731"/>
      <c r="B634" s="731"/>
    </row>
    <row r="635">
      <c r="A635" s="731"/>
      <c r="B635" s="731"/>
    </row>
    <row r="636">
      <c r="A636" s="731"/>
      <c r="B636" s="731"/>
    </row>
    <row r="637">
      <c r="A637" s="731"/>
      <c r="B637" s="731"/>
    </row>
    <row r="638">
      <c r="A638" s="731"/>
      <c r="B638" s="731"/>
    </row>
    <row r="639">
      <c r="A639" s="731"/>
      <c r="B639" s="731"/>
    </row>
    <row r="640">
      <c r="A640" s="731"/>
      <c r="B640" s="731"/>
    </row>
    <row r="641">
      <c r="A641" s="731"/>
      <c r="B641" s="731"/>
    </row>
    <row r="642">
      <c r="A642" s="731"/>
      <c r="B642" s="731"/>
    </row>
    <row r="643">
      <c r="A643" s="731"/>
      <c r="B643" s="731"/>
    </row>
    <row r="644">
      <c r="A644" s="731"/>
      <c r="B644" s="731"/>
    </row>
    <row r="645">
      <c r="A645" s="731"/>
      <c r="B645" s="731"/>
    </row>
    <row r="646">
      <c r="A646" s="731"/>
      <c r="B646" s="731"/>
    </row>
    <row r="647">
      <c r="A647" s="731"/>
      <c r="B647" s="731"/>
    </row>
    <row r="648">
      <c r="A648" s="731"/>
      <c r="B648" s="731"/>
    </row>
    <row r="649">
      <c r="A649" s="731"/>
      <c r="B649" s="731"/>
    </row>
    <row r="650">
      <c r="A650" s="731"/>
      <c r="B650" s="731"/>
    </row>
    <row r="651">
      <c r="A651" s="731"/>
      <c r="B651" s="731"/>
    </row>
    <row r="652">
      <c r="A652" s="731"/>
      <c r="B652" s="731"/>
    </row>
    <row r="653">
      <c r="A653" s="731"/>
      <c r="B653" s="731"/>
    </row>
    <row r="654">
      <c r="A654" s="731"/>
      <c r="B654" s="731"/>
    </row>
    <row r="655">
      <c r="A655" s="731"/>
      <c r="B655" s="731"/>
    </row>
    <row r="656">
      <c r="A656" s="731"/>
      <c r="B656" s="731"/>
    </row>
    <row r="657">
      <c r="A657" s="731"/>
      <c r="B657" s="731"/>
    </row>
    <row r="658">
      <c r="A658" s="731"/>
      <c r="B658" s="731"/>
    </row>
    <row r="659">
      <c r="A659" s="731"/>
      <c r="B659" s="731"/>
    </row>
    <row r="660">
      <c r="A660" s="731"/>
      <c r="B660" s="731"/>
    </row>
    <row r="661">
      <c r="A661" s="731"/>
      <c r="B661" s="731"/>
    </row>
    <row r="662">
      <c r="A662" s="731"/>
      <c r="B662" s="731"/>
    </row>
    <row r="663">
      <c r="A663" s="731"/>
      <c r="B663" s="731"/>
    </row>
    <row r="664">
      <c r="A664" s="731"/>
      <c r="B664" s="731"/>
    </row>
    <row r="665">
      <c r="A665" s="731"/>
      <c r="B665" s="731"/>
    </row>
    <row r="666">
      <c r="A666" s="731"/>
      <c r="B666" s="731"/>
    </row>
    <row r="667">
      <c r="A667" s="731"/>
      <c r="B667" s="731"/>
    </row>
    <row r="668">
      <c r="A668" s="731"/>
      <c r="B668" s="731"/>
    </row>
    <row r="669">
      <c r="A669" s="731"/>
      <c r="B669" s="731"/>
    </row>
    <row r="670">
      <c r="A670" s="731"/>
      <c r="B670" s="731"/>
    </row>
    <row r="671">
      <c r="A671" s="731"/>
      <c r="B671" s="731"/>
    </row>
    <row r="672">
      <c r="A672" s="731"/>
      <c r="B672" s="731"/>
    </row>
    <row r="673">
      <c r="A673" s="731"/>
      <c r="B673" s="731"/>
    </row>
    <row r="674">
      <c r="A674" s="731"/>
      <c r="B674" s="731"/>
    </row>
    <row r="675">
      <c r="A675" s="731"/>
      <c r="B675" s="731"/>
    </row>
    <row r="676">
      <c r="A676" s="731"/>
      <c r="B676" s="731"/>
    </row>
    <row r="677">
      <c r="A677" s="731"/>
      <c r="B677" s="731"/>
    </row>
    <row r="678">
      <c r="A678" s="731"/>
      <c r="B678" s="731"/>
    </row>
    <row r="679">
      <c r="A679" s="731"/>
      <c r="B679" s="731"/>
    </row>
    <row r="680">
      <c r="A680" s="731"/>
      <c r="B680" s="731"/>
    </row>
    <row r="681">
      <c r="A681" s="731"/>
      <c r="B681" s="731"/>
    </row>
    <row r="682">
      <c r="A682" s="731"/>
      <c r="B682" s="731"/>
    </row>
    <row r="683">
      <c r="A683" s="731"/>
      <c r="B683" s="731"/>
    </row>
    <row r="684">
      <c r="A684" s="731"/>
      <c r="B684" s="731"/>
    </row>
    <row r="685">
      <c r="A685" s="731"/>
      <c r="B685" s="731"/>
    </row>
    <row r="686">
      <c r="A686" s="731"/>
      <c r="B686" s="731"/>
    </row>
    <row r="687">
      <c r="A687" s="731"/>
      <c r="B687" s="731"/>
    </row>
    <row r="688">
      <c r="A688" s="731"/>
      <c r="B688" s="731"/>
    </row>
    <row r="689">
      <c r="A689" s="731"/>
      <c r="B689" s="731"/>
    </row>
    <row r="690">
      <c r="A690" s="731"/>
      <c r="B690" s="731"/>
    </row>
    <row r="691">
      <c r="A691" s="731"/>
      <c r="B691" s="731"/>
    </row>
    <row r="692">
      <c r="A692" s="731"/>
      <c r="B692" s="731"/>
    </row>
    <row r="693">
      <c r="A693" s="731"/>
      <c r="B693" s="731"/>
    </row>
    <row r="694">
      <c r="A694" s="731"/>
      <c r="B694" s="731"/>
    </row>
    <row r="695">
      <c r="A695" s="731"/>
      <c r="B695" s="731"/>
    </row>
    <row r="696">
      <c r="A696" s="731"/>
      <c r="B696" s="731"/>
    </row>
    <row r="697">
      <c r="A697" s="731"/>
      <c r="B697" s="731"/>
    </row>
    <row r="698">
      <c r="A698" s="731"/>
      <c r="B698" s="731"/>
    </row>
    <row r="699">
      <c r="A699" s="731"/>
      <c r="B699" s="731"/>
    </row>
    <row r="700">
      <c r="A700" s="731"/>
      <c r="B700" s="731"/>
    </row>
    <row r="701">
      <c r="A701" s="731"/>
      <c r="B701" s="731"/>
    </row>
    <row r="702">
      <c r="A702" s="731"/>
      <c r="B702" s="731"/>
    </row>
    <row r="703">
      <c r="A703" s="731"/>
      <c r="B703" s="731"/>
    </row>
    <row r="704">
      <c r="A704" s="731"/>
      <c r="B704" s="731"/>
    </row>
    <row r="705">
      <c r="A705" s="731"/>
      <c r="B705" s="731"/>
    </row>
    <row r="706">
      <c r="A706" s="731"/>
      <c r="B706" s="731"/>
    </row>
    <row r="707">
      <c r="A707" s="731"/>
      <c r="B707" s="731"/>
    </row>
    <row r="708">
      <c r="A708" s="731"/>
      <c r="B708" s="731"/>
    </row>
    <row r="709">
      <c r="A709" s="731"/>
      <c r="B709" s="731"/>
    </row>
    <row r="710">
      <c r="A710" s="731"/>
      <c r="B710" s="731"/>
    </row>
    <row r="711">
      <c r="A711" s="731"/>
      <c r="B711" s="731"/>
    </row>
    <row r="712">
      <c r="A712" s="731"/>
      <c r="B712" s="731"/>
    </row>
    <row r="713">
      <c r="A713" s="731"/>
      <c r="B713" s="731"/>
    </row>
    <row r="714">
      <c r="A714" s="731"/>
      <c r="B714" s="731"/>
    </row>
    <row r="715">
      <c r="A715" s="731"/>
      <c r="B715" s="731"/>
    </row>
    <row r="716">
      <c r="A716" s="731"/>
      <c r="B716" s="731"/>
    </row>
    <row r="717">
      <c r="A717" s="731"/>
      <c r="B717" s="731"/>
    </row>
    <row r="718">
      <c r="A718" s="731"/>
      <c r="B718" s="731"/>
    </row>
    <row r="719">
      <c r="A719" s="731"/>
      <c r="B719" s="731"/>
    </row>
    <row r="720">
      <c r="A720" s="731"/>
      <c r="B720" s="731"/>
    </row>
    <row r="721">
      <c r="A721" s="731"/>
      <c r="B721" s="731"/>
    </row>
    <row r="722">
      <c r="A722" s="731"/>
      <c r="B722" s="731"/>
    </row>
    <row r="723">
      <c r="A723" s="731"/>
      <c r="B723" s="731"/>
    </row>
    <row r="724">
      <c r="A724" s="731"/>
      <c r="B724" s="731"/>
    </row>
    <row r="725">
      <c r="A725" s="731"/>
      <c r="B725" s="731"/>
    </row>
    <row r="726">
      <c r="A726" s="731"/>
      <c r="B726" s="731"/>
    </row>
    <row r="727">
      <c r="A727" s="731"/>
      <c r="B727" s="731"/>
    </row>
    <row r="728">
      <c r="A728" s="731"/>
      <c r="B728" s="731"/>
    </row>
    <row r="729">
      <c r="A729" s="731"/>
      <c r="B729" s="731"/>
    </row>
    <row r="730">
      <c r="A730" s="731"/>
      <c r="B730" s="731"/>
    </row>
    <row r="731">
      <c r="A731" s="731"/>
      <c r="B731" s="731"/>
    </row>
    <row r="732">
      <c r="A732" s="731"/>
      <c r="B732" s="731"/>
    </row>
    <row r="733">
      <c r="A733" s="731"/>
      <c r="B733" s="731"/>
    </row>
    <row r="734">
      <c r="A734" s="731"/>
      <c r="B734" s="731"/>
    </row>
    <row r="735">
      <c r="A735" s="731"/>
      <c r="B735" s="731"/>
    </row>
    <row r="736">
      <c r="A736" s="731"/>
      <c r="B736" s="731"/>
    </row>
    <row r="737">
      <c r="A737" s="731"/>
      <c r="B737" s="731"/>
    </row>
    <row r="738">
      <c r="A738" s="731"/>
      <c r="B738" s="731"/>
    </row>
    <row r="739">
      <c r="A739" s="731"/>
      <c r="B739" s="731"/>
    </row>
    <row r="740">
      <c r="A740" s="731"/>
      <c r="B740" s="731"/>
    </row>
    <row r="741">
      <c r="A741" s="731"/>
      <c r="B741" s="731"/>
    </row>
    <row r="742">
      <c r="A742" s="731"/>
      <c r="B742" s="731"/>
    </row>
    <row r="743">
      <c r="A743" s="731"/>
      <c r="B743" s="731"/>
    </row>
    <row r="744">
      <c r="A744" s="731"/>
      <c r="B744" s="731"/>
    </row>
    <row r="745">
      <c r="A745" s="731"/>
      <c r="B745" s="731"/>
    </row>
    <row r="746">
      <c r="A746" s="731"/>
      <c r="B746" s="731"/>
    </row>
    <row r="747">
      <c r="A747" s="731"/>
      <c r="B747" s="731"/>
    </row>
    <row r="748">
      <c r="A748" s="731"/>
      <c r="B748" s="731"/>
    </row>
    <row r="749">
      <c r="A749" s="731"/>
      <c r="B749" s="731"/>
    </row>
    <row r="750">
      <c r="A750" s="731"/>
      <c r="B750" s="731"/>
    </row>
    <row r="751">
      <c r="A751" s="731"/>
      <c r="B751" s="731"/>
    </row>
    <row r="752">
      <c r="A752" s="731"/>
      <c r="B752" s="731"/>
    </row>
    <row r="753">
      <c r="A753" s="731"/>
      <c r="B753" s="731"/>
    </row>
    <row r="754">
      <c r="A754" s="731"/>
      <c r="B754" s="731"/>
    </row>
    <row r="755">
      <c r="A755" s="731"/>
      <c r="B755" s="731"/>
    </row>
    <row r="756">
      <c r="A756" s="731"/>
      <c r="B756" s="731"/>
    </row>
    <row r="757">
      <c r="A757" s="731"/>
      <c r="B757" s="731"/>
    </row>
    <row r="758">
      <c r="A758" s="731"/>
      <c r="B758" s="731"/>
    </row>
    <row r="759">
      <c r="A759" s="731"/>
      <c r="B759" s="731"/>
    </row>
    <row r="760">
      <c r="A760" s="731"/>
      <c r="B760" s="731"/>
    </row>
    <row r="761">
      <c r="A761" s="731"/>
      <c r="B761" s="731"/>
    </row>
    <row r="762">
      <c r="A762" s="731"/>
      <c r="B762" s="731"/>
    </row>
    <row r="763">
      <c r="A763" s="731"/>
      <c r="B763" s="731"/>
    </row>
    <row r="764">
      <c r="A764" s="731"/>
      <c r="B764" s="731"/>
    </row>
    <row r="765">
      <c r="A765" s="731"/>
      <c r="B765" s="731"/>
    </row>
    <row r="766">
      <c r="A766" s="731"/>
      <c r="B766" s="731"/>
    </row>
    <row r="767">
      <c r="A767" s="731"/>
      <c r="B767" s="731"/>
    </row>
    <row r="768">
      <c r="A768" s="731"/>
      <c r="B768" s="731"/>
    </row>
    <row r="769">
      <c r="A769" s="731"/>
      <c r="B769" s="731"/>
    </row>
    <row r="770">
      <c r="A770" s="731"/>
      <c r="B770" s="731"/>
    </row>
    <row r="771">
      <c r="A771" s="731"/>
      <c r="B771" s="731"/>
    </row>
    <row r="772">
      <c r="A772" s="731"/>
      <c r="B772" s="731"/>
    </row>
    <row r="773">
      <c r="A773" s="731"/>
      <c r="B773" s="731"/>
    </row>
    <row r="774">
      <c r="A774" s="731"/>
      <c r="B774" s="731"/>
    </row>
    <row r="775">
      <c r="A775" s="731"/>
      <c r="B775" s="731"/>
    </row>
    <row r="776">
      <c r="A776" s="731"/>
      <c r="B776" s="731"/>
    </row>
    <row r="777">
      <c r="A777" s="731"/>
      <c r="B777" s="731"/>
    </row>
    <row r="778">
      <c r="A778" s="731"/>
      <c r="B778" s="731"/>
    </row>
    <row r="779">
      <c r="A779" s="731"/>
      <c r="B779" s="731"/>
    </row>
    <row r="780">
      <c r="A780" s="731"/>
      <c r="B780" s="731"/>
    </row>
    <row r="781">
      <c r="A781" s="731"/>
      <c r="B781" s="731"/>
    </row>
    <row r="782">
      <c r="A782" s="731"/>
      <c r="B782" s="731"/>
    </row>
    <row r="783">
      <c r="A783" s="731"/>
      <c r="B783" s="731"/>
    </row>
    <row r="784">
      <c r="A784" s="731"/>
      <c r="B784" s="731"/>
    </row>
    <row r="785">
      <c r="A785" s="731"/>
      <c r="B785" s="731"/>
    </row>
    <row r="786">
      <c r="A786" s="731"/>
      <c r="B786" s="731"/>
    </row>
    <row r="787">
      <c r="A787" s="731"/>
      <c r="B787" s="731"/>
    </row>
    <row r="788">
      <c r="A788" s="731"/>
      <c r="B788" s="731"/>
    </row>
    <row r="789">
      <c r="A789" s="731"/>
      <c r="B789" s="731"/>
    </row>
    <row r="790">
      <c r="A790" s="731"/>
      <c r="B790" s="731"/>
    </row>
    <row r="791">
      <c r="A791" s="731"/>
      <c r="B791" s="731"/>
    </row>
    <row r="792">
      <c r="A792" s="731"/>
      <c r="B792" s="731"/>
    </row>
    <row r="793">
      <c r="A793" s="731"/>
      <c r="B793" s="731"/>
    </row>
    <row r="794">
      <c r="A794" s="731"/>
      <c r="B794" s="731"/>
    </row>
    <row r="795">
      <c r="A795" s="731"/>
      <c r="B795" s="731"/>
    </row>
    <row r="796">
      <c r="A796" s="731"/>
      <c r="B796" s="731"/>
    </row>
    <row r="797">
      <c r="A797" s="731"/>
      <c r="B797" s="731"/>
    </row>
    <row r="798">
      <c r="A798" s="731"/>
      <c r="B798" s="731"/>
    </row>
    <row r="799">
      <c r="A799" s="731"/>
      <c r="B799" s="731"/>
    </row>
    <row r="800">
      <c r="A800" s="731"/>
      <c r="B800" s="731"/>
    </row>
    <row r="801">
      <c r="A801" s="731"/>
      <c r="B801" s="731"/>
    </row>
    <row r="802">
      <c r="A802" s="731"/>
      <c r="B802" s="731"/>
    </row>
    <row r="803">
      <c r="A803" s="731"/>
      <c r="B803" s="731"/>
    </row>
    <row r="804">
      <c r="A804" s="731"/>
      <c r="B804" s="731"/>
    </row>
    <row r="805">
      <c r="A805" s="731"/>
      <c r="B805" s="731"/>
    </row>
    <row r="806">
      <c r="A806" s="731"/>
      <c r="B806" s="731"/>
    </row>
    <row r="807">
      <c r="A807" s="731"/>
      <c r="B807" s="731"/>
    </row>
    <row r="808">
      <c r="A808" s="731"/>
      <c r="B808" s="731"/>
    </row>
    <row r="809">
      <c r="A809" s="731"/>
      <c r="B809" s="731"/>
    </row>
    <row r="810">
      <c r="A810" s="731"/>
      <c r="B810" s="731"/>
    </row>
    <row r="811">
      <c r="A811" s="731"/>
      <c r="B811" s="731"/>
    </row>
    <row r="812">
      <c r="A812" s="731"/>
      <c r="B812" s="731"/>
    </row>
    <row r="813">
      <c r="A813" s="731"/>
      <c r="B813" s="731"/>
    </row>
    <row r="814">
      <c r="A814" s="731"/>
      <c r="B814" s="731"/>
    </row>
    <row r="815">
      <c r="A815" s="731"/>
      <c r="B815" s="731"/>
    </row>
    <row r="816">
      <c r="A816" s="731"/>
      <c r="B816" s="731"/>
    </row>
    <row r="817">
      <c r="A817" s="731"/>
      <c r="B817" s="731"/>
    </row>
    <row r="818">
      <c r="A818" s="731"/>
      <c r="B818" s="731"/>
    </row>
    <row r="819">
      <c r="A819" s="731"/>
      <c r="B819" s="731"/>
    </row>
    <row r="820">
      <c r="A820" s="731"/>
      <c r="B820" s="731"/>
    </row>
    <row r="821">
      <c r="A821" s="731"/>
      <c r="B821" s="731"/>
    </row>
    <row r="822">
      <c r="A822" s="731"/>
      <c r="B822" s="731"/>
    </row>
    <row r="823">
      <c r="A823" s="731"/>
      <c r="B823" s="731"/>
    </row>
    <row r="824">
      <c r="A824" s="731"/>
      <c r="B824" s="731"/>
    </row>
    <row r="825">
      <c r="A825" s="731"/>
      <c r="B825" s="731"/>
    </row>
    <row r="826">
      <c r="A826" s="731"/>
      <c r="B826" s="731"/>
    </row>
    <row r="827">
      <c r="A827" s="731"/>
      <c r="B827" s="731"/>
    </row>
    <row r="828">
      <c r="A828" s="731"/>
      <c r="B828" s="731"/>
    </row>
    <row r="829">
      <c r="A829" s="731"/>
      <c r="B829" s="731"/>
    </row>
    <row r="830">
      <c r="A830" s="731"/>
      <c r="B830" s="731"/>
    </row>
    <row r="831">
      <c r="A831" s="731"/>
      <c r="B831" s="731"/>
    </row>
    <row r="832">
      <c r="A832" s="731"/>
      <c r="B832" s="731"/>
    </row>
    <row r="833">
      <c r="A833" s="731"/>
      <c r="B833" s="731"/>
    </row>
    <row r="834">
      <c r="A834" s="731"/>
      <c r="B834" s="731"/>
    </row>
    <row r="835">
      <c r="A835" s="731"/>
      <c r="B835" s="731"/>
    </row>
    <row r="836">
      <c r="A836" s="731"/>
      <c r="B836" s="731"/>
    </row>
    <row r="837">
      <c r="A837" s="731"/>
      <c r="B837" s="731"/>
    </row>
    <row r="838">
      <c r="A838" s="731"/>
      <c r="B838" s="731"/>
    </row>
    <row r="839">
      <c r="A839" s="731"/>
      <c r="B839" s="731"/>
    </row>
    <row r="840">
      <c r="A840" s="731"/>
      <c r="B840" s="731"/>
    </row>
    <row r="841">
      <c r="A841" s="731"/>
      <c r="B841" s="731"/>
    </row>
    <row r="842">
      <c r="A842" s="731"/>
      <c r="B842" s="731"/>
    </row>
    <row r="843">
      <c r="A843" s="731"/>
      <c r="B843" s="731"/>
    </row>
    <row r="844">
      <c r="A844" s="731"/>
      <c r="B844" s="731"/>
    </row>
    <row r="845">
      <c r="A845" s="731"/>
      <c r="B845" s="731"/>
    </row>
    <row r="846">
      <c r="A846" s="731"/>
      <c r="B846" s="731"/>
    </row>
    <row r="847">
      <c r="A847" s="731"/>
      <c r="B847" s="731"/>
    </row>
    <row r="848">
      <c r="A848" s="731"/>
      <c r="B848" s="731"/>
    </row>
    <row r="849">
      <c r="A849" s="731"/>
      <c r="B849" s="731"/>
    </row>
    <row r="850">
      <c r="A850" s="731"/>
      <c r="B850" s="731"/>
    </row>
    <row r="851">
      <c r="A851" s="731"/>
      <c r="B851" s="731"/>
    </row>
    <row r="852">
      <c r="A852" s="731"/>
      <c r="B852" s="731"/>
    </row>
    <row r="853">
      <c r="A853" s="731"/>
      <c r="B853" s="731"/>
    </row>
    <row r="854">
      <c r="A854" s="731"/>
      <c r="B854" s="731"/>
    </row>
    <row r="855">
      <c r="A855" s="731"/>
      <c r="B855" s="731"/>
    </row>
    <row r="856">
      <c r="A856" s="731"/>
      <c r="B856" s="731"/>
    </row>
    <row r="857">
      <c r="A857" s="731"/>
      <c r="B857" s="731"/>
    </row>
    <row r="858">
      <c r="A858" s="731"/>
      <c r="B858" s="731"/>
    </row>
    <row r="859">
      <c r="A859" s="731"/>
      <c r="B859" s="731"/>
    </row>
    <row r="860">
      <c r="A860" s="731"/>
      <c r="B860" s="731"/>
    </row>
    <row r="861">
      <c r="A861" s="731"/>
      <c r="B861" s="731"/>
    </row>
    <row r="862">
      <c r="A862" s="731"/>
      <c r="B862" s="731"/>
    </row>
    <row r="863">
      <c r="A863" s="731"/>
      <c r="B863" s="731"/>
    </row>
    <row r="864">
      <c r="A864" s="731"/>
      <c r="B864" s="731"/>
    </row>
    <row r="865">
      <c r="A865" s="731"/>
      <c r="B865" s="731"/>
    </row>
    <row r="866">
      <c r="A866" s="731"/>
      <c r="B866" s="731"/>
    </row>
    <row r="867">
      <c r="A867" s="731"/>
      <c r="B867" s="731"/>
    </row>
    <row r="868">
      <c r="A868" s="731"/>
      <c r="B868" s="731"/>
    </row>
    <row r="869">
      <c r="A869" s="731"/>
      <c r="B869" s="731"/>
    </row>
    <row r="870">
      <c r="A870" s="731"/>
      <c r="B870" s="731"/>
    </row>
    <row r="871">
      <c r="A871" s="731"/>
      <c r="B871" s="731"/>
    </row>
    <row r="872">
      <c r="A872" s="731"/>
      <c r="B872" s="731"/>
    </row>
    <row r="873">
      <c r="A873" s="731"/>
      <c r="B873" s="731"/>
    </row>
    <row r="874">
      <c r="A874" s="731"/>
      <c r="B874" s="731"/>
    </row>
    <row r="875">
      <c r="A875" s="731"/>
      <c r="B875" s="731"/>
    </row>
    <row r="876">
      <c r="A876" s="731"/>
      <c r="B876" s="731"/>
    </row>
    <row r="877">
      <c r="A877" s="731"/>
      <c r="B877" s="731"/>
    </row>
    <row r="878">
      <c r="A878" s="731"/>
      <c r="B878" s="731"/>
    </row>
    <row r="879">
      <c r="A879" s="731"/>
      <c r="B879" s="731"/>
    </row>
    <row r="880">
      <c r="A880" s="731"/>
      <c r="B880" s="731"/>
    </row>
    <row r="881">
      <c r="A881" s="731"/>
      <c r="B881" s="731"/>
    </row>
    <row r="882">
      <c r="A882" s="731"/>
      <c r="B882" s="731"/>
    </row>
    <row r="883">
      <c r="A883" s="731"/>
      <c r="B883" s="731"/>
    </row>
    <row r="884">
      <c r="A884" s="731"/>
      <c r="B884" s="731"/>
    </row>
    <row r="885">
      <c r="A885" s="731"/>
      <c r="B885" s="731"/>
    </row>
    <row r="886">
      <c r="A886" s="731"/>
      <c r="B886" s="731"/>
    </row>
    <row r="887">
      <c r="A887" s="731"/>
      <c r="B887" s="731"/>
    </row>
    <row r="888">
      <c r="A888" s="731"/>
      <c r="B888" s="731"/>
    </row>
    <row r="889">
      <c r="A889" s="731"/>
      <c r="B889" s="731"/>
    </row>
    <row r="890">
      <c r="A890" s="731"/>
      <c r="B890" s="731"/>
    </row>
    <row r="891">
      <c r="A891" s="731"/>
      <c r="B891" s="731"/>
    </row>
    <row r="892">
      <c r="A892" s="731"/>
      <c r="B892" s="731"/>
    </row>
    <row r="893">
      <c r="A893" s="731"/>
      <c r="B893" s="731"/>
    </row>
    <row r="894">
      <c r="A894" s="731"/>
      <c r="B894" s="731"/>
    </row>
    <row r="895">
      <c r="A895" s="731"/>
      <c r="B895" s="731"/>
    </row>
    <row r="896">
      <c r="A896" s="731"/>
      <c r="B896" s="731"/>
    </row>
    <row r="897">
      <c r="A897" s="731"/>
      <c r="B897" s="731"/>
    </row>
    <row r="898">
      <c r="A898" s="731"/>
      <c r="B898" s="731"/>
    </row>
    <row r="899">
      <c r="A899" s="731"/>
      <c r="B899" s="731"/>
    </row>
    <row r="900">
      <c r="A900" s="731"/>
      <c r="B900" s="731"/>
    </row>
    <row r="901">
      <c r="A901" s="731"/>
      <c r="B901" s="731"/>
    </row>
    <row r="902">
      <c r="A902" s="731"/>
      <c r="B902" s="731"/>
    </row>
    <row r="903">
      <c r="A903" s="731"/>
      <c r="B903" s="731"/>
    </row>
    <row r="904">
      <c r="A904" s="731"/>
      <c r="B904" s="731"/>
    </row>
    <row r="905">
      <c r="A905" s="731"/>
      <c r="B905" s="731"/>
    </row>
    <row r="906">
      <c r="A906" s="731"/>
      <c r="B906" s="731"/>
    </row>
    <row r="907">
      <c r="A907" s="731"/>
      <c r="B907" s="731"/>
    </row>
    <row r="908">
      <c r="A908" s="731"/>
      <c r="B908" s="731"/>
    </row>
    <row r="909">
      <c r="A909" s="731"/>
      <c r="B909" s="731"/>
    </row>
    <row r="910">
      <c r="A910" s="731"/>
      <c r="B910" s="731"/>
    </row>
    <row r="911">
      <c r="A911" s="731"/>
      <c r="B911" s="731"/>
    </row>
    <row r="912">
      <c r="A912" s="731"/>
      <c r="B912" s="731"/>
    </row>
    <row r="913">
      <c r="A913" s="731"/>
      <c r="B913" s="731"/>
    </row>
    <row r="914">
      <c r="A914" s="731"/>
      <c r="B914" s="731"/>
    </row>
    <row r="915">
      <c r="A915" s="731"/>
      <c r="B915" s="731"/>
    </row>
    <row r="916">
      <c r="A916" s="731"/>
      <c r="B916" s="731"/>
    </row>
    <row r="917">
      <c r="A917" s="731"/>
      <c r="B917" s="731"/>
    </row>
    <row r="918">
      <c r="A918" s="731"/>
      <c r="B918" s="731"/>
    </row>
    <row r="919">
      <c r="A919" s="731"/>
      <c r="B919" s="731"/>
    </row>
    <row r="920">
      <c r="A920" s="731"/>
      <c r="B920" s="731"/>
    </row>
    <row r="921">
      <c r="A921" s="731"/>
      <c r="B921" s="731"/>
    </row>
    <row r="922">
      <c r="A922" s="731"/>
      <c r="B922" s="731"/>
    </row>
    <row r="923">
      <c r="A923" s="731"/>
      <c r="B923" s="731"/>
    </row>
    <row r="924">
      <c r="A924" s="731"/>
      <c r="B924" s="731"/>
    </row>
    <row r="925">
      <c r="A925" s="731"/>
      <c r="B925" s="731"/>
    </row>
    <row r="926">
      <c r="A926" s="731"/>
      <c r="B926" s="731"/>
    </row>
    <row r="927">
      <c r="A927" s="731"/>
      <c r="B927" s="731"/>
    </row>
    <row r="928">
      <c r="A928" s="731"/>
      <c r="B928" s="731"/>
    </row>
    <row r="929">
      <c r="A929" s="731"/>
      <c r="B929" s="731"/>
    </row>
    <row r="930">
      <c r="A930" s="731"/>
      <c r="B930" s="731"/>
    </row>
    <row r="931">
      <c r="A931" s="731"/>
      <c r="B931" s="731"/>
    </row>
    <row r="932">
      <c r="A932" s="731"/>
      <c r="B932" s="731"/>
    </row>
    <row r="933">
      <c r="A933" s="731"/>
      <c r="B933" s="731"/>
    </row>
    <row r="934">
      <c r="A934" s="731"/>
      <c r="B934" s="731"/>
    </row>
    <row r="935">
      <c r="A935" s="731"/>
      <c r="B935" s="731"/>
    </row>
    <row r="936">
      <c r="A936" s="731"/>
      <c r="B936" s="731"/>
    </row>
    <row r="937">
      <c r="A937" s="731"/>
      <c r="B937" s="731"/>
    </row>
    <row r="938">
      <c r="A938" s="731"/>
      <c r="B938" s="731"/>
    </row>
    <row r="939">
      <c r="A939" s="731"/>
      <c r="B939" s="731"/>
    </row>
    <row r="940">
      <c r="A940" s="731"/>
      <c r="B940" s="731"/>
    </row>
    <row r="941">
      <c r="A941" s="731"/>
      <c r="B941" s="731"/>
    </row>
    <row r="942">
      <c r="A942" s="731"/>
      <c r="B942" s="731"/>
    </row>
    <row r="943">
      <c r="A943" s="731"/>
      <c r="B943" s="731"/>
    </row>
    <row r="944">
      <c r="A944" s="731"/>
      <c r="B944" s="731"/>
    </row>
    <row r="945">
      <c r="A945" s="731"/>
      <c r="B945" s="731"/>
    </row>
    <row r="946">
      <c r="A946" s="731"/>
      <c r="B946" s="731"/>
    </row>
    <row r="947">
      <c r="A947" s="731"/>
      <c r="B947" s="731"/>
    </row>
    <row r="948">
      <c r="A948" s="731"/>
      <c r="B948" s="731"/>
    </row>
    <row r="949">
      <c r="A949" s="731"/>
      <c r="B949" s="731"/>
    </row>
    <row r="950">
      <c r="A950" s="731"/>
      <c r="B950" s="731"/>
    </row>
    <row r="951">
      <c r="A951" s="731"/>
      <c r="B951" s="731"/>
    </row>
    <row r="952">
      <c r="A952" s="731"/>
      <c r="B952" s="731"/>
    </row>
    <row r="953">
      <c r="A953" s="731"/>
      <c r="B953" s="731"/>
    </row>
    <row r="954">
      <c r="A954" s="731"/>
      <c r="B954" s="731"/>
    </row>
    <row r="955">
      <c r="A955" s="731"/>
      <c r="B955" s="731"/>
    </row>
    <row r="956">
      <c r="A956" s="731"/>
      <c r="B956" s="731"/>
    </row>
    <row r="957">
      <c r="A957" s="731"/>
      <c r="B957" s="731"/>
    </row>
    <row r="958">
      <c r="A958" s="731"/>
      <c r="B958" s="731"/>
    </row>
    <row r="959">
      <c r="A959" s="731"/>
      <c r="B959" s="731"/>
    </row>
    <row r="960">
      <c r="A960" s="731"/>
      <c r="B960" s="731"/>
    </row>
    <row r="961">
      <c r="A961" s="731"/>
      <c r="B961" s="731"/>
    </row>
    <row r="962">
      <c r="A962" s="731"/>
      <c r="B962" s="731"/>
    </row>
    <row r="963">
      <c r="A963" s="731"/>
      <c r="B963" s="731"/>
    </row>
    <row r="964">
      <c r="A964" s="731"/>
      <c r="B964" s="731"/>
    </row>
    <row r="965">
      <c r="A965" s="731"/>
      <c r="B965" s="731"/>
    </row>
    <row r="966">
      <c r="A966" s="731"/>
      <c r="B966" s="731"/>
    </row>
    <row r="967">
      <c r="A967" s="731"/>
      <c r="B967" s="731"/>
    </row>
    <row r="968">
      <c r="A968" s="731"/>
      <c r="B968" s="731"/>
    </row>
    <row r="969">
      <c r="A969" s="731"/>
      <c r="B969" s="731"/>
    </row>
    <row r="970">
      <c r="A970" s="731"/>
      <c r="B970" s="731"/>
    </row>
    <row r="971">
      <c r="A971" s="731"/>
      <c r="B971" s="731"/>
    </row>
    <row r="972">
      <c r="A972" s="731"/>
      <c r="B972" s="731"/>
    </row>
    <row r="973">
      <c r="A973" s="731"/>
      <c r="B973" s="731"/>
    </row>
    <row r="974">
      <c r="A974" s="731"/>
      <c r="B974" s="731"/>
    </row>
    <row r="975">
      <c r="A975" s="731"/>
      <c r="B975" s="731"/>
    </row>
    <row r="976">
      <c r="A976" s="731"/>
      <c r="B976" s="731"/>
    </row>
    <row r="977">
      <c r="A977" s="731"/>
      <c r="B977" s="731"/>
    </row>
    <row r="978">
      <c r="A978" s="731"/>
      <c r="B978" s="731"/>
    </row>
    <row r="979">
      <c r="A979" s="731"/>
      <c r="B979" s="731"/>
    </row>
    <row r="980">
      <c r="A980" s="731"/>
      <c r="B980" s="731"/>
    </row>
    <row r="981">
      <c r="A981" s="731"/>
      <c r="B981" s="731"/>
    </row>
    <row r="982">
      <c r="A982" s="731"/>
      <c r="B982" s="731"/>
    </row>
    <row r="983">
      <c r="A983" s="731"/>
      <c r="B983" s="731"/>
    </row>
    <row r="984">
      <c r="A984" s="731"/>
      <c r="B984" s="731"/>
    </row>
    <row r="985">
      <c r="A985" s="731"/>
      <c r="B985" s="731"/>
    </row>
    <row r="986">
      <c r="A986" s="731"/>
      <c r="B986" s="731"/>
    </row>
    <row r="987">
      <c r="A987" s="731"/>
      <c r="B987" s="731"/>
    </row>
    <row r="988">
      <c r="A988" s="731"/>
      <c r="B988" s="731"/>
    </row>
    <row r="989">
      <c r="A989" s="731"/>
      <c r="B989" s="731"/>
    </row>
    <row r="990">
      <c r="A990" s="731"/>
      <c r="B990" s="731"/>
    </row>
    <row r="991">
      <c r="A991" s="731"/>
      <c r="B991" s="731"/>
    </row>
    <row r="992">
      <c r="A992" s="731"/>
      <c r="B992" s="731"/>
    </row>
    <row r="993">
      <c r="A993" s="731"/>
      <c r="B993" s="731"/>
    </row>
    <row r="994">
      <c r="A994" s="731"/>
      <c r="B994" s="731"/>
    </row>
    <row r="995">
      <c r="A995" s="731"/>
      <c r="B995" s="731"/>
    </row>
    <row r="996">
      <c r="A996" s="731"/>
      <c r="B996" s="731"/>
    </row>
    <row r="997">
      <c r="A997" s="731"/>
      <c r="B997" s="731"/>
    </row>
    <row r="998">
      <c r="A998" s="731"/>
      <c r="B998" s="731"/>
    </row>
    <row r="999">
      <c r="A999" s="731"/>
      <c r="B999" s="731"/>
    </row>
    <row r="1000">
      <c r="A1000" s="731"/>
      <c r="B1000" s="731"/>
    </row>
    <row r="1001">
      <c r="A1001" s="731"/>
      <c r="B1001" s="731"/>
    </row>
    <row r="1002">
      <c r="A1002" s="731"/>
      <c r="B1002" s="731"/>
    </row>
    <row r="1003">
      <c r="A1003" s="731"/>
      <c r="B1003" s="731"/>
    </row>
    <row r="1004">
      <c r="A1004" s="731"/>
      <c r="B1004" s="731"/>
    </row>
    <row r="1005">
      <c r="A1005" s="731"/>
      <c r="B1005" s="731"/>
    </row>
    <row r="1006">
      <c r="A1006" s="731"/>
      <c r="B1006" s="731"/>
    </row>
    <row r="1007">
      <c r="A1007" s="731"/>
      <c r="B1007" s="731"/>
    </row>
    <row r="1008">
      <c r="A1008" s="731"/>
      <c r="B1008" s="731"/>
    </row>
    <row r="1009">
      <c r="A1009" s="731"/>
      <c r="B1009" s="731"/>
    </row>
    <row r="1010">
      <c r="A1010" s="731"/>
      <c r="B1010" s="731"/>
    </row>
    <row r="1011">
      <c r="A1011" s="731"/>
      <c r="B1011" s="731"/>
    </row>
    <row r="1012">
      <c r="A1012" s="731"/>
      <c r="B1012" s="731"/>
    </row>
    <row r="1013">
      <c r="A1013" s="731"/>
      <c r="B1013" s="731"/>
    </row>
    <row r="1014">
      <c r="A1014" s="731"/>
      <c r="B1014" s="731"/>
    </row>
    <row r="1015">
      <c r="A1015" s="731"/>
      <c r="B1015" s="731"/>
    </row>
    <row r="1016">
      <c r="A1016" s="731"/>
      <c r="B1016" s="731"/>
    </row>
    <row r="1017">
      <c r="A1017" s="731"/>
      <c r="B1017" s="731"/>
    </row>
  </sheetData>
  <autoFilter ref="$A$46:$E$53">
    <sortState ref="A46:E53">
      <sortCondition ref="A46:A53"/>
    </sortState>
  </autoFilter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CC"/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5.86"/>
    <col customWidth="1" min="3" max="3" width="56.0"/>
    <col customWidth="1" hidden="1" min="4" max="4" width="25.86"/>
    <col customWidth="1" hidden="1" min="5" max="5" width="24.14"/>
    <col customWidth="1" min="6" max="6" width="22.29"/>
    <col customWidth="1" min="7" max="8" width="10.71"/>
    <col customWidth="1" min="9" max="9" width="34.14"/>
    <col customWidth="1" min="10" max="10" width="13.14"/>
    <col customWidth="1" min="11" max="11" width="12.29"/>
    <col customWidth="1" min="12" max="12" width="13.29"/>
    <col customWidth="1" min="13" max="13" width="13.43"/>
    <col customWidth="1" min="14" max="14" width="14.86"/>
    <col customWidth="1" min="15" max="26" width="10.71"/>
  </cols>
  <sheetData>
    <row r="1" ht="57.0" customHeight="1">
      <c r="A1" s="1177" t="s">
        <v>2587</v>
      </c>
      <c r="B1" s="1178"/>
      <c r="C1" s="1179"/>
      <c r="D1" s="1180" t="s">
        <v>1709</v>
      </c>
      <c r="E1" s="1179"/>
      <c r="F1" s="1181" t="s">
        <v>1999</v>
      </c>
    </row>
    <row r="2" ht="36.0" customHeight="1">
      <c r="A2" s="1182" t="s">
        <v>1138</v>
      </c>
      <c r="B2" s="442" t="s">
        <v>1139</v>
      </c>
      <c r="C2" s="1183" t="s">
        <v>119</v>
      </c>
      <c r="D2" s="1184" t="s">
        <v>2588</v>
      </c>
      <c r="E2" s="440"/>
      <c r="F2" s="1185" t="s">
        <v>1141</v>
      </c>
      <c r="I2" s="1186" t="s">
        <v>2589</v>
      </c>
      <c r="J2" s="1187" t="s">
        <v>2590</v>
      </c>
      <c r="K2" s="1187" t="s">
        <v>2591</v>
      </c>
      <c r="L2" s="1187" t="s">
        <v>2591</v>
      </c>
      <c r="M2" s="1187" t="s">
        <v>2592</v>
      </c>
      <c r="N2" s="1187" t="s">
        <v>2593</v>
      </c>
    </row>
    <row r="3" ht="29.25" customHeight="1">
      <c r="A3" s="477">
        <v>45142.0</v>
      </c>
      <c r="B3" s="477" t="s">
        <v>2594</v>
      </c>
      <c r="C3" s="477" t="s">
        <v>2595</v>
      </c>
      <c r="D3" s="1188"/>
      <c r="E3" s="1189">
        <v>180000.0</v>
      </c>
      <c r="F3" s="1190">
        <v>110000.0</v>
      </c>
      <c r="I3" s="1191"/>
      <c r="J3" s="1187" t="s">
        <v>2596</v>
      </c>
      <c r="K3" s="1187" t="s">
        <v>2597</v>
      </c>
      <c r="L3" s="1187" t="s">
        <v>2598</v>
      </c>
      <c r="M3" s="1187" t="s">
        <v>2599</v>
      </c>
      <c r="N3" s="1187" t="s">
        <v>2600</v>
      </c>
    </row>
    <row r="4" ht="28.5" customHeight="1">
      <c r="A4" s="477">
        <v>45146.0</v>
      </c>
      <c r="B4" s="477" t="s">
        <v>2601</v>
      </c>
      <c r="C4" s="477" t="s">
        <v>2595</v>
      </c>
      <c r="D4" s="1188"/>
      <c r="E4" s="1189">
        <v>110000.0</v>
      </c>
      <c r="F4" s="1190">
        <v>45000.0</v>
      </c>
      <c r="I4" s="1192" t="s">
        <v>2602</v>
      </c>
      <c r="J4" s="1193" t="s">
        <v>2603</v>
      </c>
      <c r="K4" s="1193" t="s">
        <v>2604</v>
      </c>
      <c r="L4" s="1193" t="s">
        <v>2605</v>
      </c>
      <c r="M4" s="1193" t="s">
        <v>2606</v>
      </c>
      <c r="N4" s="1193" t="s">
        <v>2607</v>
      </c>
    </row>
    <row r="5" ht="31.5" customHeight="1">
      <c r="A5" s="477">
        <v>45147.0</v>
      </c>
      <c r="B5" s="477" t="s">
        <v>2594</v>
      </c>
      <c r="C5" s="477" t="s">
        <v>2608</v>
      </c>
      <c r="D5" s="1188"/>
      <c r="E5" s="1189">
        <v>180000.0</v>
      </c>
      <c r="F5" s="1190">
        <v>110000.0</v>
      </c>
      <c r="I5" s="1192" t="s">
        <v>2609</v>
      </c>
      <c r="J5" s="1193" t="s">
        <v>2610</v>
      </c>
      <c r="K5" s="1193" t="s">
        <v>2611</v>
      </c>
      <c r="L5" s="1193" t="s">
        <v>2612</v>
      </c>
      <c r="M5" s="1193" t="s">
        <v>2613</v>
      </c>
      <c r="N5" s="1193" t="s">
        <v>2614</v>
      </c>
    </row>
    <row r="6" ht="29.25" customHeight="1">
      <c r="A6" s="477">
        <v>45151.0</v>
      </c>
      <c r="B6" s="477" t="s">
        <v>2601</v>
      </c>
      <c r="C6" s="477" t="s">
        <v>2608</v>
      </c>
      <c r="D6" s="1188"/>
      <c r="E6" s="1189">
        <v>110000.0</v>
      </c>
      <c r="F6" s="1190">
        <v>45000.0</v>
      </c>
      <c r="I6" s="1192" t="s">
        <v>2615</v>
      </c>
      <c r="J6" s="1194"/>
      <c r="K6" s="1193" t="s">
        <v>2612</v>
      </c>
      <c r="L6" s="1193" t="s">
        <v>2613</v>
      </c>
      <c r="M6" s="1193" t="s">
        <v>2616</v>
      </c>
      <c r="N6" s="1193" t="s">
        <v>2617</v>
      </c>
    </row>
    <row r="7" ht="29.25" customHeight="1">
      <c r="A7" s="477">
        <v>45152.0</v>
      </c>
      <c r="B7" s="477" t="s">
        <v>2618</v>
      </c>
      <c r="C7" s="477" t="s">
        <v>2595</v>
      </c>
      <c r="D7" s="1188"/>
      <c r="E7" s="1189">
        <v>110000.0</v>
      </c>
      <c r="F7" s="1190">
        <v>45000.0</v>
      </c>
    </row>
    <row r="8" ht="14.25" customHeight="1">
      <c r="A8" s="1195"/>
      <c r="B8" s="1106"/>
      <c r="C8" s="1195"/>
      <c r="D8" s="1195"/>
      <c r="E8" s="1116"/>
      <c r="F8" s="1196"/>
    </row>
    <row r="9" ht="18.75" customHeight="1">
      <c r="A9" s="1197"/>
      <c r="B9" s="1198"/>
      <c r="C9" s="1197"/>
      <c r="D9" s="1197"/>
      <c r="E9" s="1199"/>
      <c r="F9" s="1200"/>
    </row>
    <row r="10" ht="14.25" customHeight="1">
      <c r="A10" s="1201" t="s">
        <v>2587</v>
      </c>
      <c r="B10" s="1178"/>
      <c r="C10" s="1179"/>
      <c r="D10" s="1180" t="s">
        <v>2619</v>
      </c>
      <c r="E10" s="1179"/>
      <c r="F10" s="1181" t="s">
        <v>1999</v>
      </c>
    </row>
    <row r="11" ht="65.25" customHeight="1">
      <c r="A11" s="1202" t="s">
        <v>1138</v>
      </c>
      <c r="B11" s="1203" t="s">
        <v>1139</v>
      </c>
      <c r="C11" s="1204" t="s">
        <v>119</v>
      </c>
      <c r="D11" s="1205" t="s">
        <v>1140</v>
      </c>
      <c r="E11" s="745"/>
      <c r="F11" s="1206" t="s">
        <v>1141</v>
      </c>
      <c r="I11" s="1186" t="s">
        <v>2589</v>
      </c>
      <c r="J11" s="1187" t="s">
        <v>2590</v>
      </c>
      <c r="K11" s="1187" t="s">
        <v>2591</v>
      </c>
      <c r="L11" s="1187" t="s">
        <v>2591</v>
      </c>
      <c r="M11" s="1187" t="s">
        <v>2592</v>
      </c>
      <c r="N11" s="1187" t="s">
        <v>2593</v>
      </c>
    </row>
    <row r="12" ht="29.25" customHeight="1">
      <c r="A12" s="1150">
        <v>45171.0</v>
      </c>
      <c r="B12" s="1150" t="s">
        <v>2620</v>
      </c>
      <c r="C12" s="1150" t="s">
        <v>2595</v>
      </c>
      <c r="D12" s="1207"/>
      <c r="E12" s="1208">
        <v>110000.0</v>
      </c>
      <c r="F12" s="1209">
        <v>45000.0</v>
      </c>
      <c r="I12" s="1191"/>
      <c r="J12" s="1187" t="s">
        <v>2596</v>
      </c>
      <c r="K12" s="1187" t="s">
        <v>2597</v>
      </c>
      <c r="L12" s="1187" t="s">
        <v>2598</v>
      </c>
      <c r="M12" s="1187" t="s">
        <v>2599</v>
      </c>
      <c r="N12" s="1187" t="s">
        <v>2600</v>
      </c>
    </row>
    <row r="13" ht="28.5" customHeight="1">
      <c r="A13" s="477">
        <v>45175.0</v>
      </c>
      <c r="B13" s="477" t="s">
        <v>2620</v>
      </c>
      <c r="C13" s="477" t="s">
        <v>2608</v>
      </c>
      <c r="D13" s="1188"/>
      <c r="E13" s="1189">
        <v>110000.0</v>
      </c>
      <c r="F13" s="1190">
        <v>45000.0</v>
      </c>
      <c r="I13" s="1192" t="s">
        <v>2602</v>
      </c>
      <c r="J13" s="1210">
        <v>55000.0</v>
      </c>
      <c r="K13" s="1193">
        <v>145000.0</v>
      </c>
      <c r="L13" s="1193"/>
      <c r="M13" s="1193"/>
      <c r="N13" s="1193"/>
    </row>
    <row r="14" ht="26.25" customHeight="1">
      <c r="A14" s="477">
        <v>45181.0</v>
      </c>
      <c r="B14" s="477" t="s">
        <v>2621</v>
      </c>
      <c r="C14" s="477" t="s">
        <v>2622</v>
      </c>
      <c r="D14" s="1188"/>
      <c r="E14" s="1189">
        <v>500000.0</v>
      </c>
      <c r="F14" s="1190">
        <v>300000.0</v>
      </c>
      <c r="I14" s="1192" t="s">
        <v>2609</v>
      </c>
      <c r="J14" s="1193"/>
      <c r="K14" s="1193"/>
      <c r="L14" s="1193"/>
      <c r="M14" s="1193"/>
      <c r="N14" s="1193"/>
    </row>
    <row r="15" ht="26.25" customHeight="1">
      <c r="A15" s="477">
        <v>45181.0</v>
      </c>
      <c r="B15" s="477" t="s">
        <v>2621</v>
      </c>
      <c r="C15" s="477" t="s">
        <v>2608</v>
      </c>
      <c r="D15" s="1188"/>
      <c r="E15" s="1189">
        <v>110000.0</v>
      </c>
      <c r="F15" s="1190">
        <v>45000.0</v>
      </c>
      <c r="I15" s="1192" t="s">
        <v>2615</v>
      </c>
      <c r="J15" s="1194"/>
      <c r="K15" s="1193"/>
      <c r="L15" s="1193"/>
      <c r="M15" s="1193"/>
      <c r="N15" s="1193"/>
    </row>
    <row r="16" ht="26.25" customHeight="1">
      <c r="A16" s="477">
        <v>45186.0</v>
      </c>
      <c r="B16" s="477" t="s">
        <v>2623</v>
      </c>
      <c r="C16" s="477" t="s">
        <v>2595</v>
      </c>
      <c r="D16" s="1188"/>
      <c r="E16" s="1189">
        <v>110000.0</v>
      </c>
      <c r="F16" s="1190">
        <v>45000.0</v>
      </c>
      <c r="I16" s="591" t="s">
        <v>2624</v>
      </c>
      <c r="J16" s="591">
        <v>200000.0</v>
      </c>
      <c r="K16" s="591">
        <v>300000.0</v>
      </c>
      <c r="L16" s="591"/>
      <c r="M16" s="591"/>
      <c r="N16" s="591"/>
    </row>
    <row r="17" ht="27.75" customHeight="1">
      <c r="A17" s="477">
        <v>45193.0</v>
      </c>
      <c r="B17" s="477" t="s">
        <v>2623</v>
      </c>
      <c r="C17" s="477" t="s">
        <v>2608</v>
      </c>
      <c r="D17" s="1188"/>
      <c r="E17" s="1189">
        <v>110000.0</v>
      </c>
      <c r="F17" s="1190">
        <v>45000.0</v>
      </c>
      <c r="I17" s="1211" t="s">
        <v>2625</v>
      </c>
      <c r="J17" s="591">
        <v>250000.0</v>
      </c>
      <c r="K17" s="591">
        <v>500000.0</v>
      </c>
      <c r="L17" s="591"/>
      <c r="M17" s="591"/>
      <c r="N17" s="591"/>
    </row>
    <row r="18" ht="29.25" customHeight="1">
      <c r="A18" s="477">
        <v>45179.0</v>
      </c>
      <c r="B18" s="477" t="s">
        <v>2626</v>
      </c>
      <c r="C18" s="477" t="s">
        <v>2627</v>
      </c>
      <c r="D18" s="1188"/>
      <c r="E18" s="1189">
        <v>180000.0</v>
      </c>
      <c r="F18" s="1190">
        <v>110000.0</v>
      </c>
      <c r="I18" s="1212" t="s">
        <v>2628</v>
      </c>
      <c r="J18" s="591">
        <v>500000.0</v>
      </c>
      <c r="K18" s="591">
        <v>700000.0</v>
      </c>
      <c r="L18" s="591"/>
      <c r="M18" s="591"/>
      <c r="N18" s="591"/>
    </row>
    <row r="19" ht="28.5" customHeight="1">
      <c r="A19" s="1195"/>
      <c r="B19" s="1106"/>
      <c r="C19" s="1195"/>
      <c r="D19" s="1195"/>
      <c r="E19" s="1116"/>
      <c r="F19" s="1196"/>
      <c r="I19" s="520" t="s">
        <v>2629</v>
      </c>
      <c r="J19" s="591">
        <v>260000.0</v>
      </c>
      <c r="K19" s="591">
        <v>400000.0</v>
      </c>
      <c r="L19" s="591"/>
      <c r="M19" s="591"/>
      <c r="N19" s="591"/>
    </row>
    <row r="20" ht="14.25" customHeight="1">
      <c r="A20" s="1213" t="s">
        <v>2587</v>
      </c>
      <c r="B20" s="439"/>
      <c r="C20" s="440"/>
      <c r="D20" s="1214" t="s">
        <v>2630</v>
      </c>
      <c r="E20" s="440"/>
      <c r="F20" s="1215" t="s">
        <v>2631</v>
      </c>
    </row>
    <row r="21" ht="30.0" customHeight="1">
      <c r="A21" s="1216">
        <v>45242.0</v>
      </c>
      <c r="B21" s="456" t="s">
        <v>2632</v>
      </c>
      <c r="C21" s="477" t="s">
        <v>2595</v>
      </c>
      <c r="D21" s="456"/>
      <c r="E21" s="1189">
        <v>110000.0</v>
      </c>
      <c r="F21" s="1217">
        <v>45000.0</v>
      </c>
    </row>
    <row r="22" ht="28.5" customHeight="1">
      <c r="A22" s="1216">
        <v>45247.0</v>
      </c>
      <c r="B22" s="456" t="s">
        <v>2633</v>
      </c>
      <c r="C22" s="456" t="s">
        <v>2634</v>
      </c>
      <c r="D22" s="456"/>
      <c r="E22" s="1189">
        <v>110000.0</v>
      </c>
      <c r="F22" s="1217">
        <v>45000.0</v>
      </c>
    </row>
    <row r="23" ht="29.25" customHeight="1">
      <c r="A23" s="1216">
        <v>45251.0</v>
      </c>
      <c r="B23" s="1218" t="s">
        <v>2635</v>
      </c>
      <c r="C23" s="477" t="s">
        <v>2595</v>
      </c>
      <c r="D23" s="456"/>
      <c r="E23" s="1219">
        <v>110000.0</v>
      </c>
      <c r="F23" s="1217">
        <v>45000.0</v>
      </c>
    </row>
    <row r="24" ht="30.0" customHeight="1">
      <c r="A24" s="1216">
        <v>45254.0</v>
      </c>
      <c r="B24" s="1218" t="s">
        <v>2635</v>
      </c>
      <c r="C24" s="456" t="s">
        <v>2636</v>
      </c>
      <c r="D24" s="456"/>
      <c r="E24" s="1219">
        <v>110000.0</v>
      </c>
      <c r="F24" s="1217">
        <v>45000.0</v>
      </c>
    </row>
    <row r="25" ht="33.75" customHeight="1">
      <c r="A25" s="1220">
        <v>45240.0</v>
      </c>
      <c r="B25" s="1221" t="s">
        <v>2637</v>
      </c>
      <c r="C25" s="1222" t="s">
        <v>2595</v>
      </c>
      <c r="D25" s="1223"/>
      <c r="E25" s="1223">
        <v>180000.0</v>
      </c>
      <c r="F25" s="1224">
        <v>110000.0</v>
      </c>
    </row>
    <row r="26" ht="29.25" customHeight="1">
      <c r="A26" s="1220">
        <v>45240.0</v>
      </c>
      <c r="B26" s="1223" t="s">
        <v>2509</v>
      </c>
      <c r="C26" s="1222" t="s">
        <v>2622</v>
      </c>
      <c r="D26" s="1223"/>
      <c r="E26" s="1225">
        <v>500000.0</v>
      </c>
      <c r="F26" s="1224">
        <v>300000.0</v>
      </c>
    </row>
    <row r="27" ht="29.25" customHeight="1">
      <c r="A27" s="1220">
        <v>45258.0</v>
      </c>
      <c r="B27" s="1223" t="s">
        <v>2638</v>
      </c>
      <c r="C27" s="1223" t="s">
        <v>2639</v>
      </c>
      <c r="D27" s="1223"/>
      <c r="E27" s="1225">
        <v>550000.0</v>
      </c>
      <c r="F27" s="1224">
        <v>400000.0</v>
      </c>
    </row>
    <row r="28" ht="26.25" customHeight="1">
      <c r="A28" s="1220">
        <v>45258.0</v>
      </c>
      <c r="B28" s="1226" t="s">
        <v>2640</v>
      </c>
      <c r="C28" s="1222" t="s">
        <v>2595</v>
      </c>
      <c r="D28" s="1223"/>
      <c r="E28" s="1225">
        <v>110000.0</v>
      </c>
      <c r="F28" s="1224">
        <v>45000.0</v>
      </c>
    </row>
    <row r="29" ht="18.75" hidden="1" customHeight="1">
      <c r="A29" s="1223"/>
      <c r="B29" s="1223"/>
      <c r="C29" s="1223"/>
      <c r="D29" s="1223"/>
      <c r="E29" s="1223"/>
      <c r="F29" s="1224"/>
    </row>
    <row r="30" ht="14.25" hidden="1" customHeight="1">
      <c r="A30" s="1227" t="s">
        <v>2587</v>
      </c>
      <c r="B30" s="439"/>
      <c r="C30" s="440"/>
      <c r="D30" s="1228" t="s">
        <v>2631</v>
      </c>
      <c r="E30" s="440"/>
      <c r="F30" s="1229" t="s">
        <v>1999</v>
      </c>
    </row>
    <row r="31" ht="22.5" customHeight="1">
      <c r="A31" s="1220">
        <v>45271.0</v>
      </c>
      <c r="B31" s="1223" t="s">
        <v>2641</v>
      </c>
      <c r="C31" s="1223" t="s">
        <v>2642</v>
      </c>
      <c r="D31" s="1230"/>
      <c r="E31" s="1225">
        <v>550000.0</v>
      </c>
      <c r="F31" s="1224">
        <v>400000.0</v>
      </c>
    </row>
    <row r="32" ht="24.0" customHeight="1">
      <c r="A32" s="1231">
        <v>44938.0</v>
      </c>
      <c r="B32" s="1226" t="s">
        <v>2640</v>
      </c>
      <c r="C32" s="1223" t="s">
        <v>2643</v>
      </c>
      <c r="D32" s="1230"/>
      <c r="E32" s="1230"/>
      <c r="F32" s="1224">
        <v>200000.0</v>
      </c>
    </row>
    <row r="33" ht="23.25" customHeight="1">
      <c r="A33" s="1231">
        <v>45266.0</v>
      </c>
      <c r="B33" s="1223" t="s">
        <v>2644</v>
      </c>
      <c r="C33" s="1223" t="s">
        <v>2645</v>
      </c>
      <c r="D33" s="1230"/>
      <c r="E33" s="1225">
        <v>110000.0</v>
      </c>
      <c r="F33" s="1224">
        <v>45000.0</v>
      </c>
    </row>
    <row r="34" ht="21.75" customHeight="1">
      <c r="A34" s="1220">
        <v>45273.0</v>
      </c>
      <c r="B34" s="1223" t="s">
        <v>2644</v>
      </c>
      <c r="C34" s="1223" t="s">
        <v>2646</v>
      </c>
      <c r="D34" s="1230"/>
      <c r="E34" s="1225">
        <v>110000.0</v>
      </c>
      <c r="F34" s="1224">
        <v>45000.0</v>
      </c>
    </row>
    <row r="35" ht="23.25" customHeight="1">
      <c r="A35" s="1220">
        <v>45288.0</v>
      </c>
      <c r="B35" s="1223" t="s">
        <v>2647</v>
      </c>
      <c r="C35" s="1221" t="s">
        <v>2648</v>
      </c>
      <c r="D35" s="1230"/>
      <c r="E35" s="1230"/>
      <c r="F35" s="1224">
        <v>300000.0</v>
      </c>
    </row>
    <row r="36" ht="27.0" customHeight="1">
      <c r="A36" s="1220">
        <v>45281.0</v>
      </c>
      <c r="B36" s="1223" t="s">
        <v>2649</v>
      </c>
      <c r="C36" s="1223" t="s">
        <v>2650</v>
      </c>
      <c r="D36" s="1230"/>
      <c r="E36" s="1230"/>
      <c r="F36" s="1224">
        <v>145000.0</v>
      </c>
    </row>
    <row r="37" ht="29.25" customHeight="1">
      <c r="A37" s="1220">
        <v>45282.0</v>
      </c>
      <c r="B37" s="1223" t="s">
        <v>2649</v>
      </c>
      <c r="C37" s="1221" t="s">
        <v>2651</v>
      </c>
      <c r="D37" s="1230"/>
      <c r="E37" s="1230"/>
      <c r="F37" s="1224">
        <v>300000.0</v>
      </c>
    </row>
    <row r="38" ht="29.25" customHeight="1">
      <c r="A38" s="1220">
        <v>45288.0</v>
      </c>
      <c r="B38" s="1223" t="s">
        <v>2649</v>
      </c>
      <c r="C38" s="1223" t="s">
        <v>2652</v>
      </c>
      <c r="D38" s="1230"/>
      <c r="E38" s="1230"/>
      <c r="F38" s="1224">
        <v>145000.0</v>
      </c>
    </row>
    <row r="39" ht="21.75" customHeight="1">
      <c r="A39" s="1220">
        <v>45284.0</v>
      </c>
      <c r="B39" s="1223" t="s">
        <v>2653</v>
      </c>
      <c r="C39" s="1223" t="s">
        <v>2654</v>
      </c>
      <c r="D39" s="1230"/>
      <c r="E39" s="1230">
        <v>800000.0</v>
      </c>
      <c r="F39" s="1224">
        <v>400000.0</v>
      </c>
    </row>
    <row r="40" ht="23.25" customHeight="1">
      <c r="A40" s="1223" t="s">
        <v>1180</v>
      </c>
      <c r="B40" s="1221" t="s">
        <v>1181</v>
      </c>
      <c r="C40" s="1221" t="s">
        <v>2655</v>
      </c>
      <c r="D40" s="1230"/>
      <c r="E40" s="1230"/>
      <c r="F40" s="1224">
        <v>300000.0</v>
      </c>
    </row>
    <row r="41" ht="22.5" customHeight="1">
      <c r="A41" s="1223" t="s">
        <v>1183</v>
      </c>
      <c r="B41" s="1221" t="s">
        <v>1181</v>
      </c>
      <c r="C41" s="1223" t="s">
        <v>2656</v>
      </c>
      <c r="D41" s="1230"/>
      <c r="E41" s="1230"/>
      <c r="F41" s="1224">
        <v>500000.0</v>
      </c>
    </row>
    <row r="42" ht="21.75" customHeight="1">
      <c r="A42" s="1223" t="s">
        <v>1176</v>
      </c>
      <c r="B42" s="1223" t="s">
        <v>2657</v>
      </c>
      <c r="C42" s="1221" t="s">
        <v>2651</v>
      </c>
      <c r="D42" s="1230"/>
      <c r="E42" s="1230"/>
      <c r="F42" s="1224">
        <v>300000.0</v>
      </c>
    </row>
    <row r="43" ht="21.75" customHeight="1">
      <c r="A43" s="1223" t="s">
        <v>1173</v>
      </c>
      <c r="B43" s="1223" t="s">
        <v>1209</v>
      </c>
      <c r="C43" s="1223" t="s">
        <v>2658</v>
      </c>
      <c r="D43" s="1230"/>
      <c r="E43" s="1230"/>
      <c r="F43" s="1224">
        <v>300000.0</v>
      </c>
    </row>
    <row r="44" ht="22.5" customHeight="1">
      <c r="A44" s="1232">
        <v>45270.0</v>
      </c>
      <c r="B44" s="1223" t="s">
        <v>1142</v>
      </c>
      <c r="C44" s="1223" t="s">
        <v>2659</v>
      </c>
      <c r="D44" s="1230"/>
      <c r="E44" s="1230"/>
      <c r="F44" s="1224">
        <v>90000.0</v>
      </c>
    </row>
    <row r="45" ht="22.5" customHeight="1">
      <c r="A45" s="1230"/>
      <c r="B45" s="1223"/>
      <c r="C45" s="1230"/>
      <c r="D45" s="1230"/>
      <c r="E45" s="1230"/>
      <c r="F45" s="1233">
        <f>SUM(F25:F44)</f>
        <v>4325000</v>
      </c>
    </row>
    <row r="46" ht="22.5" customHeight="1">
      <c r="A46" s="446"/>
      <c r="B46" s="456"/>
      <c r="C46" s="446"/>
      <c r="D46" s="446"/>
      <c r="E46" s="446"/>
      <c r="F46" s="1190"/>
    </row>
    <row r="47" ht="22.5" customHeight="1">
      <c r="A47" s="446"/>
      <c r="B47" s="456"/>
      <c r="C47" s="446"/>
      <c r="D47" s="446"/>
      <c r="E47" s="446"/>
      <c r="F47" s="1190"/>
    </row>
    <row r="48" ht="22.5" customHeight="1">
      <c r="A48" s="565"/>
      <c r="B48" s="463"/>
      <c r="C48" s="565"/>
      <c r="D48" s="565"/>
      <c r="E48" s="565"/>
      <c r="F48" s="1234"/>
    </row>
    <row r="49" ht="22.5" customHeight="1">
      <c r="A49" s="565"/>
      <c r="B49" s="463"/>
      <c r="C49" s="565"/>
      <c r="D49" s="565"/>
      <c r="E49" s="565"/>
      <c r="F49" s="1234"/>
    </row>
    <row r="50" ht="14.25" customHeight="1">
      <c r="A50" s="1213" t="s">
        <v>2587</v>
      </c>
      <c r="B50" s="439"/>
      <c r="C50" s="440"/>
      <c r="D50" s="1235" t="s">
        <v>2660</v>
      </c>
      <c r="E50" s="440"/>
      <c r="F50" s="1215" t="s">
        <v>2660</v>
      </c>
    </row>
    <row r="51" ht="32.25" customHeight="1">
      <c r="A51" s="463" t="s">
        <v>2661</v>
      </c>
      <c r="B51" s="463" t="s">
        <v>2662</v>
      </c>
      <c r="C51" s="463" t="s">
        <v>2663</v>
      </c>
      <c r="D51" s="591"/>
      <c r="E51" s="520"/>
      <c r="F51" s="1196"/>
    </row>
    <row r="52" ht="15.75" customHeight="1">
      <c r="A52" s="1236">
        <v>45292.0</v>
      </c>
      <c r="B52" s="1119" t="s">
        <v>2664</v>
      </c>
      <c r="C52" s="1119" t="s">
        <v>2665</v>
      </c>
      <c r="D52" s="565"/>
      <c r="E52" s="565"/>
      <c r="F52" s="1234">
        <v>55000.0</v>
      </c>
      <c r="G52" s="734"/>
      <c r="H52" s="734"/>
      <c r="I52" s="734"/>
      <c r="J52" s="734"/>
      <c r="K52" s="734"/>
      <c r="L52" s="734"/>
      <c r="M52" s="734"/>
      <c r="N52" s="734"/>
      <c r="O52" s="734"/>
      <c r="P52" s="734"/>
      <c r="Q52" s="734"/>
      <c r="R52" s="734"/>
      <c r="S52" s="734"/>
      <c r="T52" s="734"/>
      <c r="U52" s="734"/>
      <c r="V52" s="734"/>
      <c r="W52" s="734"/>
      <c r="X52" s="734"/>
      <c r="Y52" s="734"/>
      <c r="Z52" s="734"/>
    </row>
    <row r="53" ht="15.75" customHeight="1">
      <c r="A53" s="1236">
        <v>45294.0</v>
      </c>
      <c r="B53" s="1119" t="s">
        <v>2664</v>
      </c>
      <c r="C53" s="1102" t="s">
        <v>2622</v>
      </c>
      <c r="D53" s="565"/>
      <c r="E53" s="565"/>
      <c r="F53" s="1234">
        <v>300000.0</v>
      </c>
      <c r="G53" s="734"/>
      <c r="H53" s="734"/>
      <c r="I53" s="734"/>
      <c r="J53" s="734"/>
      <c r="K53" s="734"/>
      <c r="L53" s="734"/>
      <c r="M53" s="734"/>
      <c r="N53" s="734"/>
      <c r="O53" s="734"/>
      <c r="P53" s="734"/>
      <c r="Q53" s="734"/>
      <c r="R53" s="734"/>
      <c r="S53" s="734"/>
      <c r="T53" s="734"/>
      <c r="U53" s="734"/>
      <c r="V53" s="734"/>
      <c r="W53" s="734"/>
      <c r="X53" s="734"/>
      <c r="Y53" s="734"/>
      <c r="Z53" s="734"/>
    </row>
    <row r="54" ht="15.75" customHeight="1">
      <c r="A54" s="1236">
        <v>45294.0</v>
      </c>
      <c r="B54" s="1136" t="s">
        <v>1181</v>
      </c>
      <c r="C54" s="1119" t="s">
        <v>2666</v>
      </c>
      <c r="D54" s="565"/>
      <c r="E54" s="1119"/>
      <c r="F54" s="1234">
        <v>200000.0</v>
      </c>
      <c r="G54" s="734"/>
      <c r="H54" s="734"/>
      <c r="I54" s="734"/>
      <c r="J54" s="734"/>
      <c r="K54" s="734"/>
      <c r="L54" s="734"/>
      <c r="M54" s="734"/>
      <c r="N54" s="734"/>
      <c r="O54" s="734"/>
      <c r="P54" s="734"/>
      <c r="Q54" s="734"/>
      <c r="R54" s="734"/>
      <c r="S54" s="734"/>
      <c r="T54" s="734"/>
      <c r="U54" s="734"/>
      <c r="V54" s="734"/>
      <c r="W54" s="734"/>
      <c r="X54" s="734"/>
      <c r="Y54" s="734"/>
      <c r="Z54" s="734"/>
    </row>
    <row r="55" ht="15.75" customHeight="1">
      <c r="A55" s="1236">
        <v>45294.0</v>
      </c>
      <c r="B55" s="1136" t="s">
        <v>1181</v>
      </c>
      <c r="C55" s="1119" t="s">
        <v>2667</v>
      </c>
      <c r="D55" s="565"/>
      <c r="E55" s="1119"/>
      <c r="F55" s="1234">
        <v>200000.0</v>
      </c>
      <c r="G55" s="734"/>
      <c r="H55" s="734"/>
      <c r="I55" s="734"/>
      <c r="J55" s="734"/>
      <c r="K55" s="734"/>
      <c r="L55" s="734"/>
      <c r="M55" s="734"/>
      <c r="N55" s="734"/>
      <c r="O55" s="734"/>
      <c r="P55" s="734"/>
      <c r="Q55" s="734"/>
      <c r="R55" s="734"/>
      <c r="S55" s="734"/>
      <c r="T55" s="734"/>
      <c r="U55" s="734"/>
      <c r="V55" s="734"/>
      <c r="W55" s="734"/>
      <c r="X55" s="734"/>
      <c r="Y55" s="734"/>
      <c r="Z55" s="734"/>
    </row>
    <row r="56" ht="15.75" customHeight="1">
      <c r="A56" s="1236">
        <v>45295.0</v>
      </c>
      <c r="B56" s="1237" t="s">
        <v>1209</v>
      </c>
      <c r="C56" s="1136" t="s">
        <v>2668</v>
      </c>
      <c r="D56" s="565"/>
      <c r="E56" s="565"/>
      <c r="F56" s="1234">
        <v>300000.0</v>
      </c>
      <c r="G56" s="734"/>
      <c r="H56" s="734"/>
      <c r="I56" s="734"/>
      <c r="J56" s="734"/>
      <c r="K56" s="734"/>
      <c r="L56" s="734"/>
      <c r="M56" s="734"/>
      <c r="N56" s="734"/>
      <c r="O56" s="734"/>
      <c r="P56" s="734"/>
      <c r="Q56" s="734"/>
      <c r="R56" s="734"/>
      <c r="S56" s="734"/>
      <c r="T56" s="734"/>
      <c r="U56" s="734"/>
      <c r="V56" s="734"/>
      <c r="W56" s="734"/>
      <c r="X56" s="734"/>
      <c r="Y56" s="734"/>
      <c r="Z56" s="734"/>
    </row>
    <row r="57" ht="15.75" customHeight="1">
      <c r="A57" s="1236">
        <v>45295.0</v>
      </c>
      <c r="B57" s="1136" t="s">
        <v>1181</v>
      </c>
      <c r="C57" s="1119" t="s">
        <v>2669</v>
      </c>
      <c r="D57" s="565"/>
      <c r="E57" s="1119"/>
      <c r="F57" s="1234">
        <v>200000.0</v>
      </c>
      <c r="G57" s="734"/>
      <c r="H57" s="734"/>
      <c r="I57" s="734"/>
      <c r="J57" s="734"/>
      <c r="K57" s="734"/>
      <c r="L57" s="734"/>
      <c r="M57" s="734"/>
      <c r="N57" s="734"/>
      <c r="O57" s="734"/>
      <c r="P57" s="734"/>
      <c r="Q57" s="734"/>
      <c r="R57" s="734"/>
      <c r="S57" s="734"/>
      <c r="T57" s="734"/>
      <c r="U57" s="734"/>
      <c r="V57" s="734"/>
      <c r="W57" s="734"/>
      <c r="X57" s="734"/>
      <c r="Y57" s="734"/>
      <c r="Z57" s="734"/>
    </row>
    <row r="58" ht="15.75" customHeight="1">
      <c r="A58" s="1236">
        <v>45295.0</v>
      </c>
      <c r="B58" s="1136" t="s">
        <v>1181</v>
      </c>
      <c r="C58" s="1119" t="s">
        <v>2670</v>
      </c>
      <c r="D58" s="565"/>
      <c r="E58" s="1119"/>
      <c r="F58" s="1234">
        <v>200000.0</v>
      </c>
      <c r="G58" s="734"/>
      <c r="H58" s="734"/>
      <c r="I58" s="734"/>
      <c r="J58" s="734"/>
      <c r="K58" s="734"/>
      <c r="L58" s="734"/>
      <c r="M58" s="734"/>
      <c r="N58" s="734"/>
      <c r="O58" s="734"/>
      <c r="P58" s="734"/>
      <c r="Q58" s="734"/>
      <c r="R58" s="734"/>
      <c r="S58" s="734"/>
      <c r="T58" s="734"/>
      <c r="U58" s="734"/>
      <c r="V58" s="734"/>
      <c r="W58" s="734"/>
      <c r="X58" s="734"/>
      <c r="Y58" s="734"/>
      <c r="Z58" s="734"/>
    </row>
    <row r="59" ht="18.0" customHeight="1">
      <c r="A59" s="1236">
        <v>45296.0</v>
      </c>
      <c r="B59" s="1237" t="s">
        <v>1209</v>
      </c>
      <c r="C59" s="1136" t="s">
        <v>2671</v>
      </c>
      <c r="D59" s="565"/>
      <c r="E59" s="565"/>
      <c r="F59" s="1234">
        <v>145000.0</v>
      </c>
      <c r="G59" s="734"/>
      <c r="H59" s="734"/>
      <c r="I59" s="734"/>
      <c r="J59" s="734"/>
      <c r="K59" s="734"/>
      <c r="L59" s="734"/>
      <c r="M59" s="734"/>
      <c r="N59" s="734"/>
      <c r="O59" s="734"/>
      <c r="P59" s="734"/>
      <c r="Q59" s="734"/>
      <c r="R59" s="734"/>
      <c r="S59" s="734"/>
      <c r="T59" s="734"/>
      <c r="U59" s="734"/>
      <c r="V59" s="734"/>
      <c r="W59" s="734"/>
      <c r="X59" s="734"/>
      <c r="Y59" s="734"/>
      <c r="Z59" s="734"/>
    </row>
    <row r="60" ht="13.5" customHeight="1">
      <c r="A60" s="1236">
        <v>45296.0</v>
      </c>
      <c r="B60" s="1136" t="s">
        <v>1167</v>
      </c>
      <c r="C60" s="1119" t="s">
        <v>2672</v>
      </c>
      <c r="D60" s="565"/>
      <c r="E60" s="1119"/>
      <c r="F60" s="1234">
        <v>145000.0</v>
      </c>
      <c r="G60" s="734"/>
      <c r="H60" s="734"/>
      <c r="I60" s="734"/>
      <c r="J60" s="734"/>
      <c r="K60" s="734"/>
      <c r="L60" s="734"/>
      <c r="M60" s="734"/>
      <c r="N60" s="734"/>
      <c r="O60" s="734"/>
      <c r="P60" s="734"/>
      <c r="Q60" s="734"/>
      <c r="R60" s="734"/>
      <c r="S60" s="734"/>
      <c r="T60" s="734"/>
      <c r="U60" s="734"/>
      <c r="V60" s="734"/>
      <c r="W60" s="734"/>
      <c r="X60" s="734"/>
      <c r="Y60" s="734"/>
      <c r="Z60" s="734"/>
    </row>
    <row r="61" ht="18.0" customHeight="1">
      <c r="A61" s="1236">
        <v>45298.0</v>
      </c>
      <c r="B61" s="1119" t="s">
        <v>2664</v>
      </c>
      <c r="C61" s="1119" t="s">
        <v>2673</v>
      </c>
      <c r="D61" s="565"/>
      <c r="E61" s="565"/>
      <c r="F61" s="1234">
        <v>55000.0</v>
      </c>
      <c r="G61" s="734"/>
      <c r="H61" s="734"/>
      <c r="I61" s="734"/>
      <c r="J61" s="734"/>
      <c r="K61" s="734"/>
      <c r="L61" s="734"/>
      <c r="M61" s="734"/>
      <c r="N61" s="734"/>
      <c r="O61" s="734"/>
      <c r="P61" s="734"/>
      <c r="Q61" s="734"/>
      <c r="R61" s="734"/>
      <c r="S61" s="734"/>
      <c r="T61" s="734"/>
      <c r="U61" s="734"/>
      <c r="V61" s="734"/>
      <c r="W61" s="734"/>
      <c r="X61" s="734"/>
      <c r="Y61" s="734"/>
      <c r="Z61" s="734"/>
    </row>
    <row r="62" ht="15.75" customHeight="1">
      <c r="A62" s="1236">
        <v>45304.0</v>
      </c>
      <c r="B62" s="1238" t="s">
        <v>2674</v>
      </c>
      <c r="C62" s="1119" t="s">
        <v>2675</v>
      </c>
      <c r="D62" s="565"/>
      <c r="E62" s="1119">
        <v>180000.0</v>
      </c>
      <c r="F62" s="1234">
        <v>145000.0</v>
      </c>
      <c r="G62" s="734"/>
      <c r="H62" s="734"/>
      <c r="I62" s="734"/>
      <c r="J62" s="734"/>
      <c r="K62" s="734"/>
      <c r="L62" s="734"/>
      <c r="M62" s="734"/>
      <c r="N62" s="734"/>
      <c r="O62" s="734"/>
      <c r="P62" s="734"/>
      <c r="Q62" s="734"/>
      <c r="R62" s="734"/>
      <c r="S62" s="734"/>
      <c r="T62" s="734"/>
      <c r="U62" s="734"/>
      <c r="V62" s="734"/>
      <c r="W62" s="734"/>
      <c r="X62" s="734"/>
      <c r="Y62" s="734"/>
      <c r="Z62" s="734"/>
    </row>
    <row r="63" ht="15.0" customHeight="1">
      <c r="A63" s="1236">
        <v>45306.0</v>
      </c>
      <c r="B63" s="1119" t="s">
        <v>2674</v>
      </c>
      <c r="C63" s="1119" t="s">
        <v>2676</v>
      </c>
      <c r="D63" s="565"/>
      <c r="E63" s="565"/>
      <c r="F63" s="1234">
        <v>400000.0</v>
      </c>
      <c r="G63" s="734"/>
      <c r="H63" s="734"/>
      <c r="I63" s="734"/>
      <c r="J63" s="734"/>
      <c r="K63" s="734"/>
      <c r="L63" s="734"/>
      <c r="M63" s="734"/>
      <c r="N63" s="734"/>
      <c r="O63" s="734"/>
      <c r="P63" s="734"/>
      <c r="Q63" s="734"/>
      <c r="R63" s="734"/>
      <c r="S63" s="734"/>
      <c r="T63" s="734"/>
      <c r="U63" s="734"/>
      <c r="V63" s="734"/>
      <c r="W63" s="734"/>
      <c r="X63" s="734"/>
      <c r="Y63" s="734"/>
      <c r="Z63" s="734"/>
    </row>
    <row r="64" ht="15.75" customHeight="1">
      <c r="A64" s="1236">
        <v>45306.0</v>
      </c>
      <c r="B64" s="1136" t="s">
        <v>1197</v>
      </c>
      <c r="C64" s="1119" t="s">
        <v>2642</v>
      </c>
      <c r="D64" s="565"/>
      <c r="E64" s="1119"/>
      <c r="F64" s="1234">
        <v>260000.0</v>
      </c>
      <c r="G64" s="734"/>
      <c r="H64" s="734"/>
      <c r="I64" s="734"/>
      <c r="J64" s="734"/>
      <c r="K64" s="734"/>
      <c r="L64" s="734"/>
      <c r="M64" s="734"/>
      <c r="N64" s="734"/>
      <c r="O64" s="734"/>
      <c r="P64" s="734"/>
      <c r="Q64" s="734"/>
      <c r="R64" s="734"/>
      <c r="S64" s="734"/>
      <c r="T64" s="734"/>
      <c r="U64" s="734"/>
      <c r="V64" s="734"/>
      <c r="W64" s="734"/>
      <c r="X64" s="734"/>
      <c r="Y64" s="734"/>
      <c r="Z64" s="734"/>
    </row>
    <row r="65" ht="23.25" customHeight="1">
      <c r="A65" s="1236">
        <v>45308.0</v>
      </c>
      <c r="B65" s="1119" t="s">
        <v>1221</v>
      </c>
      <c r="C65" s="1119" t="s">
        <v>2677</v>
      </c>
      <c r="D65" s="565"/>
      <c r="E65" s="565"/>
      <c r="F65" s="1234">
        <v>145000.0</v>
      </c>
      <c r="G65" s="734"/>
      <c r="H65" s="734"/>
      <c r="I65" s="734"/>
      <c r="J65" s="734"/>
      <c r="K65" s="734"/>
      <c r="L65" s="734"/>
      <c r="M65" s="734"/>
      <c r="N65" s="734"/>
      <c r="O65" s="734"/>
      <c r="P65" s="734"/>
      <c r="Q65" s="734"/>
      <c r="R65" s="734"/>
      <c r="S65" s="734"/>
      <c r="T65" s="734"/>
      <c r="U65" s="734"/>
      <c r="V65" s="734"/>
      <c r="W65" s="734"/>
      <c r="X65" s="734"/>
      <c r="Y65" s="734"/>
      <c r="Z65" s="734"/>
    </row>
    <row r="66" ht="19.5" customHeight="1">
      <c r="A66" s="1239">
        <v>45316.0</v>
      </c>
      <c r="B66" s="1136" t="s">
        <v>2678</v>
      </c>
      <c r="C66" s="1119" t="s">
        <v>2679</v>
      </c>
      <c r="D66" s="565"/>
      <c r="E66" s="565"/>
      <c r="F66" s="1234">
        <v>55000.0</v>
      </c>
      <c r="G66" s="734"/>
      <c r="H66" s="734"/>
      <c r="I66" s="734"/>
      <c r="J66" s="734"/>
      <c r="K66" s="734"/>
      <c r="L66" s="734"/>
      <c r="M66" s="734"/>
      <c r="N66" s="734"/>
      <c r="O66" s="734"/>
      <c r="P66" s="734"/>
      <c r="Q66" s="734"/>
      <c r="R66" s="734"/>
      <c r="S66" s="734"/>
      <c r="T66" s="734"/>
      <c r="U66" s="734"/>
      <c r="V66" s="734"/>
      <c r="W66" s="734"/>
      <c r="X66" s="734"/>
      <c r="Y66" s="734"/>
      <c r="Z66" s="734"/>
    </row>
    <row r="67" ht="16.5" customHeight="1">
      <c r="A67" s="1239">
        <v>45321.0</v>
      </c>
      <c r="B67" s="1136" t="s">
        <v>2678</v>
      </c>
      <c r="C67" s="1119" t="s">
        <v>2680</v>
      </c>
      <c r="D67" s="565"/>
      <c r="E67" s="565"/>
      <c r="F67" s="1234">
        <v>55000.0</v>
      </c>
      <c r="G67" s="734"/>
      <c r="H67" s="734"/>
      <c r="I67" s="734"/>
      <c r="J67" s="734"/>
      <c r="K67" s="734"/>
      <c r="L67" s="734"/>
      <c r="M67" s="734"/>
      <c r="N67" s="734"/>
      <c r="O67" s="734"/>
      <c r="P67" s="734"/>
      <c r="Q67" s="734"/>
      <c r="R67" s="734"/>
      <c r="S67" s="734"/>
      <c r="T67" s="734"/>
      <c r="U67" s="734"/>
      <c r="V67" s="734"/>
      <c r="W67" s="734"/>
      <c r="X67" s="734"/>
      <c r="Y67" s="734"/>
      <c r="Z67" s="734"/>
    </row>
    <row r="68" ht="14.25" customHeight="1">
      <c r="A68" s="1236">
        <v>45332.0</v>
      </c>
      <c r="B68" s="1119" t="s">
        <v>2681</v>
      </c>
      <c r="C68" s="1119" t="s">
        <v>2682</v>
      </c>
      <c r="D68" s="565"/>
      <c r="E68" s="565"/>
      <c r="F68" s="1234">
        <v>145000.0</v>
      </c>
      <c r="G68" s="734"/>
      <c r="H68" s="734"/>
      <c r="I68" s="734"/>
      <c r="J68" s="734"/>
      <c r="K68" s="734"/>
      <c r="L68" s="734"/>
      <c r="M68" s="734"/>
      <c r="N68" s="734"/>
      <c r="O68" s="734"/>
      <c r="P68" s="734"/>
      <c r="Q68" s="734"/>
      <c r="R68" s="734"/>
      <c r="S68" s="734"/>
      <c r="T68" s="734"/>
      <c r="U68" s="734"/>
      <c r="V68" s="734"/>
      <c r="W68" s="734"/>
      <c r="X68" s="734"/>
      <c r="Y68" s="734"/>
      <c r="Z68" s="734"/>
    </row>
    <row r="69" ht="14.25" customHeight="1">
      <c r="A69" s="1236">
        <v>45598.0</v>
      </c>
      <c r="B69" s="1136" t="s">
        <v>1265</v>
      </c>
      <c r="C69" s="1119" t="s">
        <v>2639</v>
      </c>
      <c r="D69" s="565"/>
      <c r="E69" s="565"/>
      <c r="F69" s="1234">
        <v>400000.0</v>
      </c>
      <c r="G69" s="734"/>
      <c r="H69" s="734"/>
      <c r="I69" s="734"/>
      <c r="J69" s="734"/>
      <c r="K69" s="734"/>
      <c r="L69" s="734"/>
      <c r="M69" s="734"/>
      <c r="N69" s="734"/>
      <c r="O69" s="734"/>
      <c r="P69" s="734"/>
      <c r="Q69" s="734"/>
      <c r="R69" s="734"/>
      <c r="S69" s="734"/>
      <c r="T69" s="734"/>
      <c r="U69" s="734"/>
      <c r="V69" s="734"/>
      <c r="W69" s="734"/>
      <c r="X69" s="734"/>
      <c r="Y69" s="734"/>
      <c r="Z69" s="734"/>
    </row>
    <row r="70" ht="14.25" customHeight="1">
      <c r="A70" s="1102">
        <v>45337.0</v>
      </c>
      <c r="B70" s="1119" t="s">
        <v>2681</v>
      </c>
      <c r="C70" s="1119" t="s">
        <v>2683</v>
      </c>
      <c r="D70" s="565"/>
      <c r="E70" s="565"/>
      <c r="F70" s="1234">
        <v>145000.0</v>
      </c>
      <c r="G70" s="734"/>
      <c r="H70" s="734"/>
      <c r="I70" s="734"/>
      <c r="J70" s="734"/>
      <c r="K70" s="734"/>
      <c r="L70" s="734"/>
      <c r="M70" s="734"/>
      <c r="N70" s="734"/>
      <c r="O70" s="734"/>
      <c r="P70" s="734"/>
      <c r="Q70" s="734"/>
      <c r="R70" s="734"/>
      <c r="S70" s="734"/>
      <c r="T70" s="734"/>
      <c r="U70" s="734"/>
      <c r="V70" s="734"/>
      <c r="W70" s="734"/>
      <c r="X70" s="734"/>
      <c r="Y70" s="734"/>
      <c r="Z70" s="734"/>
    </row>
    <row r="71" ht="14.25" customHeight="1">
      <c r="A71" s="1102">
        <v>45348.0</v>
      </c>
      <c r="B71" s="1119" t="s">
        <v>2562</v>
      </c>
      <c r="C71" s="1119" t="s">
        <v>2684</v>
      </c>
      <c r="D71" s="565"/>
      <c r="E71" s="565"/>
      <c r="F71" s="1234">
        <v>450000.0</v>
      </c>
      <c r="G71" s="734"/>
      <c r="H71" s="734"/>
      <c r="I71" s="734"/>
      <c r="J71" s="734"/>
      <c r="K71" s="734"/>
      <c r="L71" s="734"/>
      <c r="M71" s="734"/>
      <c r="N71" s="734"/>
      <c r="O71" s="734"/>
      <c r="P71" s="734"/>
      <c r="Q71" s="734"/>
      <c r="R71" s="734"/>
      <c r="S71" s="734"/>
      <c r="T71" s="734"/>
      <c r="U71" s="734"/>
      <c r="V71" s="734"/>
      <c r="W71" s="734"/>
      <c r="X71" s="734"/>
      <c r="Y71" s="734"/>
      <c r="Z71" s="734"/>
    </row>
    <row r="72" ht="14.25" customHeight="1">
      <c r="A72" s="1102">
        <v>45349.0</v>
      </c>
      <c r="B72" s="1119" t="s">
        <v>2685</v>
      </c>
      <c r="C72" s="1119" t="s">
        <v>2686</v>
      </c>
      <c r="D72" s="565"/>
      <c r="E72" s="565"/>
      <c r="F72" s="1234">
        <v>450000.0</v>
      </c>
      <c r="G72" s="734"/>
      <c r="H72" s="734"/>
      <c r="I72" s="734"/>
      <c r="J72" s="734"/>
      <c r="K72" s="734"/>
      <c r="L72" s="734"/>
      <c r="M72" s="734"/>
      <c r="N72" s="734"/>
      <c r="O72" s="734"/>
      <c r="P72" s="734"/>
      <c r="Q72" s="734"/>
      <c r="R72" s="734"/>
      <c r="S72" s="734"/>
      <c r="T72" s="734"/>
      <c r="U72" s="734"/>
      <c r="V72" s="734"/>
      <c r="W72" s="734"/>
      <c r="X72" s="734"/>
      <c r="Y72" s="734"/>
      <c r="Z72" s="734"/>
    </row>
    <row r="73" ht="15.0" customHeight="1">
      <c r="A73" s="1240">
        <v>45364.0</v>
      </c>
      <c r="B73" s="1241" t="s">
        <v>1292</v>
      </c>
      <c r="C73" s="1119" t="s">
        <v>2642</v>
      </c>
      <c r="D73" s="565"/>
      <c r="E73" s="565"/>
      <c r="F73" s="1242">
        <v>400000.0</v>
      </c>
      <c r="G73" s="734"/>
      <c r="H73" s="734"/>
      <c r="I73" s="734"/>
      <c r="J73" s="734"/>
      <c r="K73" s="734"/>
      <c r="L73" s="734"/>
      <c r="M73" s="734"/>
      <c r="N73" s="734"/>
      <c r="O73" s="734"/>
      <c r="P73" s="734"/>
      <c r="Q73" s="734"/>
      <c r="R73" s="734"/>
      <c r="S73" s="734"/>
      <c r="T73" s="734"/>
      <c r="U73" s="734"/>
      <c r="V73" s="734"/>
      <c r="W73" s="734"/>
      <c r="X73" s="734"/>
      <c r="Y73" s="734"/>
      <c r="Z73" s="734"/>
    </row>
    <row r="74" ht="14.25" customHeight="1">
      <c r="A74" s="1102">
        <v>45354.0</v>
      </c>
      <c r="B74" s="1119" t="s">
        <v>2687</v>
      </c>
      <c r="C74" s="1119" t="s">
        <v>2688</v>
      </c>
      <c r="D74" s="565"/>
      <c r="E74" s="565"/>
      <c r="F74" s="1234">
        <v>55000.0</v>
      </c>
      <c r="G74" s="734"/>
      <c r="H74" s="734"/>
      <c r="I74" s="734"/>
      <c r="J74" s="734"/>
      <c r="K74" s="734"/>
      <c r="L74" s="734"/>
      <c r="M74" s="734"/>
      <c r="N74" s="734"/>
      <c r="O74" s="734"/>
      <c r="P74" s="734"/>
      <c r="Q74" s="734"/>
      <c r="R74" s="734"/>
      <c r="S74" s="734"/>
      <c r="T74" s="734"/>
      <c r="U74" s="734"/>
      <c r="V74" s="734"/>
      <c r="W74" s="734"/>
      <c r="X74" s="734"/>
      <c r="Y74" s="734"/>
      <c r="Z74" s="734"/>
    </row>
    <row r="75" ht="14.25" customHeight="1">
      <c r="A75" s="1102">
        <v>45568.0</v>
      </c>
      <c r="B75" s="1119" t="s">
        <v>2687</v>
      </c>
      <c r="C75" s="1119" t="s">
        <v>2689</v>
      </c>
      <c r="D75" s="565"/>
      <c r="E75" s="565"/>
      <c r="F75" s="1234">
        <v>55000.0</v>
      </c>
      <c r="G75" s="734"/>
      <c r="H75" s="734"/>
      <c r="I75" s="734"/>
      <c r="J75" s="734"/>
      <c r="K75" s="734"/>
      <c r="L75" s="734"/>
      <c r="M75" s="734"/>
      <c r="N75" s="734"/>
      <c r="O75" s="734"/>
      <c r="P75" s="734"/>
      <c r="Q75" s="734"/>
      <c r="R75" s="734"/>
      <c r="S75" s="734"/>
      <c r="T75" s="734"/>
      <c r="U75" s="734"/>
      <c r="V75" s="734"/>
      <c r="W75" s="734"/>
      <c r="X75" s="734"/>
      <c r="Y75" s="734"/>
      <c r="Z75" s="734"/>
    </row>
    <row r="76" ht="14.25" customHeight="1">
      <c r="A76" s="1102">
        <v>45568.0</v>
      </c>
      <c r="B76" s="1119" t="s">
        <v>2690</v>
      </c>
      <c r="C76" s="1119" t="s">
        <v>2689</v>
      </c>
      <c r="D76" s="565"/>
      <c r="E76" s="565"/>
      <c r="F76" s="1234">
        <v>55000.0</v>
      </c>
      <c r="G76" s="734"/>
      <c r="H76" s="734"/>
      <c r="I76" s="734"/>
      <c r="J76" s="734"/>
      <c r="K76" s="734"/>
      <c r="L76" s="734"/>
      <c r="M76" s="734"/>
      <c r="N76" s="734"/>
      <c r="O76" s="734"/>
      <c r="P76" s="734"/>
      <c r="Q76" s="734"/>
      <c r="R76" s="734"/>
      <c r="S76" s="734"/>
      <c r="T76" s="734"/>
      <c r="U76" s="734"/>
      <c r="V76" s="734"/>
      <c r="W76" s="734"/>
      <c r="X76" s="734"/>
      <c r="Y76" s="734"/>
      <c r="Z76" s="734"/>
    </row>
    <row r="77" ht="14.25" customHeight="1">
      <c r="A77" s="565"/>
      <c r="B77" s="1119"/>
      <c r="C77" s="1243" t="s">
        <v>214</v>
      </c>
      <c r="D77" s="1244"/>
      <c r="E77" s="1244"/>
      <c r="F77" s="1245">
        <f>SUM(F52:F76)</f>
        <v>5015000</v>
      </c>
      <c r="G77" s="734"/>
      <c r="H77" s="734"/>
      <c r="I77" s="734"/>
      <c r="J77" s="734"/>
      <c r="K77" s="734"/>
      <c r="L77" s="734"/>
      <c r="M77" s="734"/>
      <c r="N77" s="734"/>
      <c r="O77" s="734"/>
      <c r="P77" s="734"/>
      <c r="Q77" s="734"/>
      <c r="R77" s="734"/>
      <c r="S77" s="734"/>
      <c r="T77" s="734"/>
      <c r="U77" s="734"/>
      <c r="V77" s="734"/>
      <c r="W77" s="734"/>
      <c r="X77" s="734"/>
      <c r="Y77" s="734"/>
      <c r="Z77" s="734"/>
    </row>
    <row r="78" ht="14.25" customHeight="1">
      <c r="A78" s="446"/>
      <c r="B78" s="456"/>
      <c r="C78" s="446"/>
      <c r="D78" s="446"/>
      <c r="E78" s="446"/>
      <c r="F78" s="1190"/>
    </row>
    <row r="79" ht="14.25" customHeight="1">
      <c r="A79" s="446"/>
      <c r="B79" s="456"/>
      <c r="C79" s="446"/>
      <c r="D79" s="446"/>
      <c r="E79" s="446"/>
      <c r="F79" s="1190"/>
    </row>
    <row r="80" ht="14.25" customHeight="1">
      <c r="A80" s="446"/>
      <c r="B80" s="456"/>
      <c r="C80" s="446"/>
      <c r="D80" s="446"/>
      <c r="E80" s="446"/>
      <c r="F80" s="1190"/>
    </row>
    <row r="81" ht="14.25" customHeight="1">
      <c r="A81" s="591"/>
      <c r="B81" s="463"/>
      <c r="C81" s="591"/>
      <c r="D81" s="591"/>
      <c r="E81" s="591"/>
      <c r="F81" s="1196"/>
    </row>
    <row r="82" ht="14.25" customHeight="1">
      <c r="A82" s="591"/>
      <c r="B82" s="463"/>
      <c r="C82" s="591"/>
      <c r="D82" s="591"/>
      <c r="E82" s="591"/>
      <c r="F82" s="1196"/>
    </row>
    <row r="83" ht="14.25" customHeight="1">
      <c r="A83" s="1213" t="s">
        <v>2587</v>
      </c>
      <c r="B83" s="439"/>
      <c r="C83" s="440"/>
      <c r="D83" s="1235" t="s">
        <v>2528</v>
      </c>
      <c r="E83" s="440"/>
      <c r="F83" s="1215" t="s">
        <v>2528</v>
      </c>
    </row>
    <row r="84" ht="23.25" customHeight="1">
      <c r="A84" s="1246">
        <v>45295.0</v>
      </c>
      <c r="B84" s="1247" t="s">
        <v>2691</v>
      </c>
      <c r="C84" s="456" t="s">
        <v>2692</v>
      </c>
      <c r="D84" s="446"/>
      <c r="E84" s="446"/>
      <c r="F84" s="1217">
        <v>400000.0</v>
      </c>
    </row>
    <row r="85" ht="23.25" customHeight="1">
      <c r="A85" s="1246">
        <v>45401.0</v>
      </c>
      <c r="B85" s="450" t="s">
        <v>2693</v>
      </c>
      <c r="C85" s="462" t="s">
        <v>2694</v>
      </c>
      <c r="D85" s="446"/>
      <c r="E85" s="446">
        <v>130000.0</v>
      </c>
      <c r="F85" s="1217">
        <v>55000.0</v>
      </c>
    </row>
    <row r="86" ht="14.25" customHeight="1">
      <c r="A86" s="477">
        <v>45295.0</v>
      </c>
      <c r="B86" s="451" t="s">
        <v>2695</v>
      </c>
      <c r="C86" s="456" t="s">
        <v>2665</v>
      </c>
      <c r="D86" s="446"/>
      <c r="E86" s="446"/>
      <c r="F86" s="1217">
        <v>55000.0</v>
      </c>
    </row>
    <row r="87" ht="14.25" customHeight="1">
      <c r="A87" s="477">
        <v>45386.0</v>
      </c>
      <c r="B87" s="451" t="s">
        <v>2695</v>
      </c>
      <c r="C87" s="456" t="s">
        <v>2696</v>
      </c>
      <c r="D87" s="446"/>
      <c r="E87" s="446"/>
      <c r="F87" s="1217">
        <v>55000.0</v>
      </c>
    </row>
    <row r="88" ht="14.25" customHeight="1">
      <c r="A88" s="456"/>
      <c r="B88" s="456"/>
      <c r="C88" s="446"/>
      <c r="D88" s="446"/>
      <c r="E88" s="446"/>
      <c r="F88" s="1248">
        <f>SUM(F84:F87)</f>
        <v>565000</v>
      </c>
    </row>
    <row r="89" ht="14.25" customHeight="1">
      <c r="A89" s="446"/>
      <c r="B89" s="456"/>
      <c r="C89" s="446"/>
      <c r="D89" s="446"/>
      <c r="E89" s="446"/>
      <c r="F89" s="1190"/>
    </row>
    <row r="90" ht="14.25" customHeight="1">
      <c r="A90" s="446"/>
      <c r="B90" s="456"/>
      <c r="C90" s="446"/>
      <c r="D90" s="446"/>
      <c r="E90" s="446"/>
      <c r="F90" s="1190"/>
    </row>
    <row r="91" ht="14.25" customHeight="1">
      <c r="A91" s="446"/>
      <c r="B91" s="456"/>
      <c r="C91" s="446"/>
      <c r="D91" s="446"/>
      <c r="E91" s="446"/>
      <c r="F91" s="1190"/>
    </row>
    <row r="92" ht="14.25" customHeight="1">
      <c r="A92" s="1213" t="s">
        <v>2587</v>
      </c>
      <c r="B92" s="439"/>
      <c r="C92" s="440"/>
      <c r="D92" s="1235" t="s">
        <v>2528</v>
      </c>
      <c r="E92" s="440"/>
      <c r="F92" s="1215" t="s">
        <v>2576</v>
      </c>
    </row>
    <row r="93" ht="14.25" customHeight="1">
      <c r="A93" s="1195">
        <v>45434.0</v>
      </c>
      <c r="B93" s="463" t="s">
        <v>2697</v>
      </c>
      <c r="C93" s="456" t="s">
        <v>2665</v>
      </c>
      <c r="D93" s="591"/>
      <c r="E93" s="591"/>
      <c r="F93" s="1217">
        <v>55000.0</v>
      </c>
    </row>
    <row r="94" ht="14.25" customHeight="1">
      <c r="A94" s="1195">
        <v>45437.0</v>
      </c>
      <c r="B94" s="463" t="s">
        <v>2698</v>
      </c>
      <c r="C94" s="456" t="s">
        <v>2699</v>
      </c>
      <c r="D94" s="591"/>
      <c r="E94" s="591"/>
      <c r="F94" s="1217">
        <v>145000.0</v>
      </c>
    </row>
    <row r="95" ht="14.25" customHeight="1">
      <c r="A95" s="1195">
        <v>45440.0</v>
      </c>
      <c r="B95" s="463" t="s">
        <v>2698</v>
      </c>
      <c r="C95" s="456" t="s">
        <v>2700</v>
      </c>
      <c r="D95" s="591"/>
      <c r="E95" s="591"/>
      <c r="F95" s="1217">
        <v>145000.0</v>
      </c>
    </row>
    <row r="96" ht="14.25" customHeight="1">
      <c r="A96" s="1249" t="s">
        <v>2582</v>
      </c>
      <c r="B96" s="439"/>
      <c r="C96" s="440"/>
      <c r="D96" s="1235" t="s">
        <v>2528</v>
      </c>
      <c r="E96" s="440"/>
    </row>
    <row r="97" ht="14.25" customHeight="1">
      <c r="A97" s="1195">
        <v>45456.0</v>
      </c>
      <c r="B97" s="463" t="s">
        <v>2701</v>
      </c>
      <c r="C97" s="456" t="s">
        <v>2702</v>
      </c>
      <c r="D97" s="591"/>
      <c r="E97" s="591"/>
      <c r="F97" s="1217">
        <v>110000.0</v>
      </c>
    </row>
    <row r="98" ht="14.25" customHeight="1">
      <c r="A98" s="1195">
        <v>45457.0</v>
      </c>
      <c r="B98" s="463" t="s">
        <v>2701</v>
      </c>
      <c r="C98" s="456" t="s">
        <v>2703</v>
      </c>
      <c r="D98" s="591"/>
      <c r="E98" s="591"/>
      <c r="F98" s="1217">
        <v>300000.0</v>
      </c>
    </row>
    <row r="99" ht="14.25" customHeight="1">
      <c r="A99" s="1195">
        <v>45462.0</v>
      </c>
      <c r="B99" s="1250" t="s">
        <v>2704</v>
      </c>
      <c r="C99" s="456" t="s">
        <v>2705</v>
      </c>
      <c r="D99" s="591"/>
      <c r="E99" s="591"/>
      <c r="F99" s="1217">
        <v>110000.0</v>
      </c>
    </row>
    <row r="100" ht="14.25" customHeight="1">
      <c r="A100" s="1195">
        <v>45465.0</v>
      </c>
      <c r="B100" s="463" t="s">
        <v>2706</v>
      </c>
      <c r="C100" s="456" t="s">
        <v>2665</v>
      </c>
      <c r="D100" s="591"/>
      <c r="E100" s="591"/>
      <c r="F100" s="1217">
        <v>55000.0</v>
      </c>
    </row>
    <row r="101" ht="14.25" customHeight="1">
      <c r="A101" s="1195">
        <v>45469.0</v>
      </c>
      <c r="B101" s="463" t="s">
        <v>2706</v>
      </c>
      <c r="C101" s="456" t="s">
        <v>2696</v>
      </c>
      <c r="D101" s="591"/>
      <c r="E101" s="591"/>
      <c r="F101" s="1217">
        <v>55000.0</v>
      </c>
    </row>
    <row r="102" ht="14.25" customHeight="1">
      <c r="A102" s="1195">
        <v>45472.0</v>
      </c>
      <c r="B102" s="463" t="s">
        <v>2707</v>
      </c>
      <c r="C102" s="1119" t="s">
        <v>2708</v>
      </c>
      <c r="D102" s="591"/>
      <c r="E102" s="591"/>
      <c r="F102" s="1196">
        <v>300000.0</v>
      </c>
    </row>
    <row r="103" ht="14.25" customHeight="1">
      <c r="A103" s="1249" t="s">
        <v>2709</v>
      </c>
      <c r="B103" s="439"/>
      <c r="C103" s="440"/>
      <c r="D103" s="1235" t="s">
        <v>2528</v>
      </c>
      <c r="E103" s="440"/>
    </row>
    <row r="104" ht="14.25" customHeight="1">
      <c r="A104" s="1195">
        <v>45499.0</v>
      </c>
      <c r="B104" s="466" t="s">
        <v>2710</v>
      </c>
      <c r="C104" s="456" t="s">
        <v>2711</v>
      </c>
      <c r="D104" s="591"/>
      <c r="E104" s="591"/>
      <c r="F104" s="1251">
        <v>300000.0</v>
      </c>
    </row>
    <row r="105" ht="14.25" customHeight="1">
      <c r="A105" s="1195">
        <v>45500.0</v>
      </c>
      <c r="B105" s="466" t="s">
        <v>2710</v>
      </c>
      <c r="C105" s="456" t="s">
        <v>2712</v>
      </c>
      <c r="D105" s="591"/>
      <c r="E105" s="591"/>
      <c r="F105" s="1251">
        <v>300000.0</v>
      </c>
    </row>
    <row r="106" ht="14.25" customHeight="1">
      <c r="A106" s="1249" t="s">
        <v>1709</v>
      </c>
      <c r="B106" s="439"/>
      <c r="C106" s="440"/>
      <c r="D106" s="1235" t="s">
        <v>2528</v>
      </c>
      <c r="E106" s="440"/>
    </row>
    <row r="107" ht="14.25" customHeight="1">
      <c r="A107" s="1252">
        <v>45507.0</v>
      </c>
      <c r="B107" s="463" t="s">
        <v>2713</v>
      </c>
      <c r="C107" s="463" t="s">
        <v>2714</v>
      </c>
      <c r="D107" s="1144"/>
      <c r="E107" s="1144"/>
      <c r="F107" s="1253">
        <v>300000.0</v>
      </c>
    </row>
    <row r="108" ht="14.25" customHeight="1">
      <c r="A108" s="1252">
        <v>38211.0</v>
      </c>
      <c r="B108" s="463" t="s">
        <v>2715</v>
      </c>
      <c r="C108" s="463" t="s">
        <v>2716</v>
      </c>
      <c r="D108" s="1144"/>
      <c r="E108" s="1144"/>
      <c r="F108" s="1253">
        <v>0.0</v>
      </c>
    </row>
    <row r="109" ht="14.25" customHeight="1">
      <c r="A109" s="1252">
        <v>6685632.0</v>
      </c>
      <c r="B109" s="463" t="s">
        <v>2715</v>
      </c>
      <c r="C109" s="463" t="s">
        <v>2717</v>
      </c>
      <c r="D109" s="1144"/>
      <c r="E109" s="1144"/>
      <c r="F109" s="1253">
        <v>0.0</v>
      </c>
    </row>
    <row r="110" ht="14.25" customHeight="1">
      <c r="A110" s="1252">
        <v>45514.0</v>
      </c>
      <c r="B110" s="463" t="s">
        <v>1394</v>
      </c>
      <c r="C110" s="463" t="s">
        <v>2679</v>
      </c>
      <c r="D110" s="1144"/>
      <c r="E110" s="1144"/>
      <c r="F110" s="1254">
        <v>55000.0</v>
      </c>
    </row>
    <row r="111" ht="14.25" customHeight="1">
      <c r="A111" s="1252">
        <v>45526.0</v>
      </c>
      <c r="B111" s="463" t="s">
        <v>1394</v>
      </c>
      <c r="C111" s="463" t="s">
        <v>2679</v>
      </c>
      <c r="D111" s="1144"/>
      <c r="E111" s="1144"/>
      <c r="F111" s="1254">
        <v>55000.0</v>
      </c>
    </row>
    <row r="112" ht="14.25" customHeight="1">
      <c r="A112" s="1252"/>
      <c r="B112" s="463"/>
      <c r="C112" s="463"/>
      <c r="D112" s="1144"/>
      <c r="E112" s="1144"/>
      <c r="F112" s="1254"/>
    </row>
    <row r="113" ht="14.25" customHeight="1">
      <c r="A113" s="1252"/>
      <c r="B113" s="463"/>
      <c r="C113" s="1255" t="s">
        <v>89</v>
      </c>
      <c r="D113" s="1256"/>
      <c r="E113" s="1256"/>
      <c r="F113" s="1257">
        <f>SUM(F93:F111)</f>
        <v>2285000</v>
      </c>
    </row>
    <row r="114" ht="14.25" customHeight="1">
      <c r="A114" s="1252"/>
      <c r="B114" s="463"/>
      <c r="C114" s="463"/>
      <c r="D114" s="1144"/>
      <c r="E114" s="1144"/>
      <c r="F114" s="1254"/>
    </row>
    <row r="115" ht="14.25" customHeight="1">
      <c r="A115" s="1252"/>
      <c r="B115" s="463"/>
      <c r="C115" s="463"/>
      <c r="D115" s="1144"/>
      <c r="E115" s="1144"/>
      <c r="F115" s="1254"/>
    </row>
    <row r="116" ht="14.25" customHeight="1">
      <c r="A116" s="1258" t="s">
        <v>2587</v>
      </c>
      <c r="B116" s="439"/>
      <c r="C116" s="440"/>
      <c r="D116" s="1259" t="s">
        <v>2528</v>
      </c>
      <c r="E116" s="440"/>
      <c r="F116" s="1260" t="s">
        <v>2619</v>
      </c>
    </row>
    <row r="117" ht="14.25" customHeight="1">
      <c r="A117" s="1252">
        <v>45536.0</v>
      </c>
      <c r="B117" s="463" t="s">
        <v>2718</v>
      </c>
      <c r="C117" s="463" t="s">
        <v>2719</v>
      </c>
      <c r="D117" s="1144"/>
      <c r="E117" s="1144"/>
      <c r="F117" s="1144"/>
    </row>
    <row r="118" ht="14.25" customHeight="1">
      <c r="A118" s="1144"/>
      <c r="B118" s="1144"/>
      <c r="C118" s="1144"/>
      <c r="D118" s="1144"/>
      <c r="E118" s="1144"/>
      <c r="F118" s="1144"/>
    </row>
    <row r="119" ht="14.25" customHeight="1">
      <c r="A119" s="1144"/>
      <c r="B119" s="1144"/>
      <c r="C119" s="1144"/>
      <c r="D119" s="1144"/>
      <c r="E119" s="1144"/>
      <c r="F119" s="1144"/>
    </row>
    <row r="120" ht="14.25" customHeight="1">
      <c r="A120" s="1258" t="s">
        <v>2587</v>
      </c>
      <c r="B120" s="439"/>
      <c r="C120" s="440"/>
      <c r="D120" s="1259" t="s">
        <v>2528</v>
      </c>
      <c r="E120" s="440"/>
      <c r="F120" s="1260" t="s">
        <v>2720</v>
      </c>
    </row>
    <row r="121" ht="18.75" customHeight="1">
      <c r="A121" s="1261">
        <v>45590.0</v>
      </c>
      <c r="B121" s="463" t="s">
        <v>2721</v>
      </c>
      <c r="C121" s="463" t="s">
        <v>2722</v>
      </c>
      <c r="D121" s="1144"/>
      <c r="E121" s="1144"/>
      <c r="F121" s="1253">
        <v>300000.0</v>
      </c>
    </row>
    <row r="122" ht="14.25" customHeight="1">
      <c r="A122" s="1144"/>
      <c r="B122" s="463"/>
      <c r="C122" s="1144"/>
      <c r="D122" s="1144"/>
      <c r="E122" s="1144"/>
      <c r="F122" s="1144"/>
    </row>
    <row r="123" ht="14.25" customHeight="1">
      <c r="A123" s="1144"/>
      <c r="B123" s="1144"/>
      <c r="C123" s="1144"/>
      <c r="D123" s="1144"/>
      <c r="E123" s="1144"/>
      <c r="F123" s="1144"/>
    </row>
    <row r="124" ht="14.25" customHeight="1">
      <c r="A124" s="1258" t="s">
        <v>2587</v>
      </c>
      <c r="B124" s="439"/>
      <c r="C124" s="440"/>
      <c r="D124" s="1259" t="s">
        <v>2528</v>
      </c>
      <c r="E124" s="440"/>
      <c r="F124" s="1260" t="s">
        <v>2630</v>
      </c>
    </row>
    <row r="125" ht="18.75" customHeight="1">
      <c r="A125" s="1261">
        <v>45618.0</v>
      </c>
      <c r="B125" s="463" t="s">
        <v>2723</v>
      </c>
      <c r="C125" s="463" t="s">
        <v>2679</v>
      </c>
      <c r="D125" s="1144"/>
      <c r="E125" s="1144"/>
      <c r="F125" s="1253">
        <v>55000.0</v>
      </c>
    </row>
    <row r="126" ht="14.25" customHeight="1">
      <c r="A126" s="1261">
        <v>45624.0</v>
      </c>
      <c r="B126" s="463" t="s">
        <v>2723</v>
      </c>
      <c r="C126" s="463" t="s">
        <v>2724</v>
      </c>
      <c r="D126" s="1144"/>
      <c r="E126" s="1144"/>
      <c r="F126" s="1253">
        <v>55000.0</v>
      </c>
    </row>
    <row r="127" ht="14.25" customHeight="1">
      <c r="A127" s="1144"/>
      <c r="B127" s="1144"/>
      <c r="C127" s="1144"/>
      <c r="D127" s="1144"/>
      <c r="E127" s="1144"/>
      <c r="F127" s="1144"/>
    </row>
    <row r="128" ht="14.25" customHeight="1">
      <c r="B128" s="1118"/>
      <c r="F128" s="1262"/>
    </row>
    <row r="129" ht="14.25" customHeight="1">
      <c r="B129" s="1118"/>
      <c r="F129" s="1262"/>
    </row>
    <row r="130" ht="14.25" customHeight="1">
      <c r="B130" s="1118"/>
      <c r="F130" s="1262"/>
    </row>
    <row r="131" ht="14.25" customHeight="1">
      <c r="B131" s="1118"/>
      <c r="F131" s="1262"/>
    </row>
    <row r="132" ht="14.25" customHeight="1">
      <c r="B132" s="1118"/>
      <c r="F132" s="1262"/>
    </row>
    <row r="133" ht="14.25" customHeight="1">
      <c r="B133" s="1118"/>
      <c r="F133" s="1262"/>
    </row>
    <row r="134" ht="14.25" customHeight="1">
      <c r="B134" s="1118"/>
      <c r="F134" s="1262"/>
    </row>
    <row r="135" ht="14.25" customHeight="1">
      <c r="B135" s="1118"/>
      <c r="F135" s="1262"/>
    </row>
    <row r="136" ht="14.25" customHeight="1">
      <c r="B136" s="1118"/>
      <c r="F136" s="1262"/>
    </row>
    <row r="137" ht="14.25" customHeight="1">
      <c r="B137" s="1118"/>
      <c r="F137" s="1262"/>
    </row>
    <row r="138" ht="14.25" customHeight="1">
      <c r="B138" s="1118"/>
      <c r="F138" s="1262"/>
    </row>
    <row r="139" ht="14.25" customHeight="1">
      <c r="B139" s="1118"/>
      <c r="F139" s="1262"/>
    </row>
    <row r="140" ht="14.25" customHeight="1">
      <c r="B140" s="1118"/>
      <c r="F140" s="1262"/>
    </row>
    <row r="141" ht="14.25" customHeight="1">
      <c r="B141" s="1118"/>
      <c r="F141" s="1262"/>
    </row>
    <row r="142" ht="14.25" customHeight="1">
      <c r="B142" s="1118"/>
      <c r="F142" s="1262"/>
    </row>
    <row r="143" ht="14.25" customHeight="1">
      <c r="B143" s="1118"/>
      <c r="F143" s="1262"/>
    </row>
    <row r="144" ht="14.25" customHeight="1">
      <c r="B144" s="1118"/>
      <c r="F144" s="1262"/>
    </row>
    <row r="145" ht="14.25" customHeight="1">
      <c r="B145" s="1118"/>
      <c r="F145" s="1262"/>
    </row>
    <row r="146" ht="14.25" customHeight="1">
      <c r="B146" s="1118"/>
      <c r="F146" s="1262"/>
    </row>
    <row r="147" ht="14.25" customHeight="1">
      <c r="B147" s="1118"/>
      <c r="F147" s="1262"/>
    </row>
    <row r="148" ht="14.25" customHeight="1">
      <c r="B148" s="1118"/>
      <c r="F148" s="1262"/>
    </row>
    <row r="149" ht="14.25" customHeight="1">
      <c r="B149" s="1118"/>
      <c r="F149" s="1262"/>
    </row>
    <row r="150" ht="14.25" customHeight="1">
      <c r="B150" s="1118"/>
      <c r="F150" s="1262"/>
    </row>
    <row r="151" ht="14.25" customHeight="1">
      <c r="B151" s="1118"/>
      <c r="F151" s="1262"/>
    </row>
    <row r="152" ht="14.25" customHeight="1">
      <c r="B152" s="1118"/>
      <c r="F152" s="1262"/>
    </row>
    <row r="153" ht="14.25" customHeight="1">
      <c r="B153" s="1118"/>
      <c r="F153" s="1262"/>
    </row>
    <row r="154" ht="14.25" customHeight="1">
      <c r="B154" s="1118"/>
      <c r="F154" s="1262"/>
    </row>
    <row r="155" ht="14.25" customHeight="1">
      <c r="B155" s="1118"/>
      <c r="F155" s="1262"/>
    </row>
    <row r="156" ht="14.25" customHeight="1">
      <c r="B156" s="1118"/>
      <c r="F156" s="1262"/>
    </row>
    <row r="157" ht="14.25" customHeight="1">
      <c r="B157" s="1118"/>
      <c r="F157" s="1262"/>
    </row>
    <row r="158" ht="14.25" customHeight="1">
      <c r="B158" s="1118"/>
      <c r="F158" s="1262"/>
    </row>
    <row r="159" ht="14.25" customHeight="1">
      <c r="B159" s="1118"/>
      <c r="F159" s="1262"/>
    </row>
    <row r="160" ht="14.25" customHeight="1">
      <c r="B160" s="1118"/>
      <c r="F160" s="1262"/>
    </row>
    <row r="161" ht="14.25" customHeight="1">
      <c r="B161" s="1118"/>
      <c r="F161" s="1262"/>
    </row>
    <row r="162" ht="14.25" customHeight="1">
      <c r="B162" s="1118"/>
      <c r="F162" s="1262"/>
    </row>
    <row r="163" ht="14.25" customHeight="1">
      <c r="B163" s="1118"/>
      <c r="F163" s="1262"/>
    </row>
    <row r="164" ht="14.25" customHeight="1">
      <c r="B164" s="1118"/>
      <c r="F164" s="1262"/>
    </row>
    <row r="165" ht="14.25" customHeight="1">
      <c r="B165" s="1118"/>
      <c r="F165" s="1262"/>
    </row>
    <row r="166" ht="14.25" customHeight="1">
      <c r="B166" s="1118"/>
      <c r="F166" s="1262"/>
    </row>
    <row r="167" ht="14.25" customHeight="1">
      <c r="B167" s="1118"/>
      <c r="F167" s="1262"/>
    </row>
    <row r="168" ht="14.25" customHeight="1">
      <c r="B168" s="1118"/>
      <c r="F168" s="1262"/>
    </row>
    <row r="169" ht="14.25" customHeight="1">
      <c r="B169" s="1118"/>
      <c r="F169" s="1262"/>
    </row>
    <row r="170" ht="14.25" customHeight="1">
      <c r="B170" s="1118"/>
      <c r="F170" s="1262"/>
    </row>
    <row r="171" ht="14.25" customHeight="1">
      <c r="B171" s="1118"/>
      <c r="F171" s="1262"/>
    </row>
    <row r="172" ht="14.25" customHeight="1">
      <c r="B172" s="1118"/>
      <c r="F172" s="1262"/>
    </row>
    <row r="173" ht="14.25" customHeight="1">
      <c r="B173" s="1118"/>
      <c r="F173" s="1262"/>
    </row>
    <row r="174" ht="14.25" customHeight="1">
      <c r="B174" s="1118"/>
      <c r="F174" s="1262"/>
    </row>
    <row r="175" ht="14.25" customHeight="1">
      <c r="B175" s="1118"/>
      <c r="F175" s="1262"/>
    </row>
    <row r="176" ht="14.25" customHeight="1">
      <c r="B176" s="1118"/>
      <c r="F176" s="1262"/>
    </row>
    <row r="177" ht="14.25" customHeight="1">
      <c r="B177" s="1118"/>
      <c r="F177" s="1262"/>
    </row>
    <row r="178" ht="14.25" customHeight="1">
      <c r="B178" s="1118"/>
      <c r="F178" s="1262"/>
    </row>
    <row r="179" ht="14.25" customHeight="1">
      <c r="B179" s="1118"/>
      <c r="F179" s="1262"/>
    </row>
    <row r="180" ht="14.25" customHeight="1">
      <c r="B180" s="1118"/>
      <c r="F180" s="1262"/>
    </row>
    <row r="181" ht="14.25" customHeight="1">
      <c r="B181" s="1118"/>
      <c r="F181" s="1262"/>
    </row>
    <row r="182" ht="14.25" customHeight="1">
      <c r="B182" s="1118"/>
      <c r="F182" s="1262"/>
    </row>
    <row r="183" ht="14.25" customHeight="1">
      <c r="B183" s="1118"/>
      <c r="F183" s="1262"/>
    </row>
    <row r="184" ht="14.25" customHeight="1">
      <c r="B184" s="1118"/>
      <c r="F184" s="1262"/>
    </row>
    <row r="185" ht="14.25" customHeight="1">
      <c r="B185" s="1118"/>
      <c r="F185" s="1262"/>
    </row>
    <row r="186" ht="14.25" customHeight="1">
      <c r="B186" s="1118"/>
      <c r="F186" s="1262"/>
    </row>
    <row r="187" ht="14.25" customHeight="1">
      <c r="B187" s="1118"/>
      <c r="F187" s="1262"/>
    </row>
    <row r="188" ht="14.25" customHeight="1">
      <c r="B188" s="1118"/>
      <c r="F188" s="1262"/>
    </row>
    <row r="189" ht="14.25" customHeight="1">
      <c r="B189" s="1118"/>
      <c r="F189" s="1262"/>
    </row>
    <row r="190" ht="14.25" customHeight="1">
      <c r="B190" s="1118"/>
      <c r="F190" s="1262"/>
    </row>
    <row r="191" ht="14.25" customHeight="1">
      <c r="B191" s="1118"/>
      <c r="F191" s="1262"/>
    </row>
    <row r="192" ht="14.25" customHeight="1">
      <c r="B192" s="1118"/>
      <c r="F192" s="1262"/>
    </row>
    <row r="193" ht="14.25" customHeight="1">
      <c r="B193" s="1118"/>
      <c r="F193" s="1262"/>
    </row>
    <row r="194" ht="14.25" customHeight="1">
      <c r="B194" s="1118"/>
      <c r="F194" s="1262"/>
    </row>
    <row r="195" ht="14.25" customHeight="1">
      <c r="B195" s="1118"/>
      <c r="F195" s="1262"/>
    </row>
    <row r="196" ht="14.25" customHeight="1">
      <c r="B196" s="1118"/>
      <c r="F196" s="1262"/>
    </row>
    <row r="197" ht="14.25" customHeight="1">
      <c r="B197" s="1118"/>
      <c r="F197" s="1262"/>
    </row>
    <row r="198" ht="14.25" customHeight="1">
      <c r="B198" s="1118"/>
      <c r="F198" s="1262"/>
    </row>
    <row r="199" ht="14.25" customHeight="1">
      <c r="B199" s="1118"/>
      <c r="F199" s="1262"/>
    </row>
    <row r="200" ht="14.25" customHeight="1">
      <c r="B200" s="1118"/>
      <c r="F200" s="1262"/>
    </row>
    <row r="201" ht="14.25" customHeight="1">
      <c r="B201" s="1118"/>
      <c r="F201" s="1262"/>
    </row>
    <row r="202" ht="14.25" customHeight="1">
      <c r="B202" s="1118"/>
      <c r="F202" s="1262"/>
    </row>
    <row r="203" ht="14.25" customHeight="1">
      <c r="B203" s="1118"/>
      <c r="F203" s="1262"/>
    </row>
    <row r="204" ht="14.25" customHeight="1">
      <c r="B204" s="1118"/>
      <c r="F204" s="1262"/>
    </row>
    <row r="205" ht="14.25" customHeight="1">
      <c r="B205" s="1118"/>
      <c r="F205" s="1262"/>
    </row>
    <row r="206" ht="14.25" customHeight="1">
      <c r="B206" s="1118"/>
      <c r="F206" s="1262"/>
    </row>
    <row r="207" ht="14.25" customHeight="1">
      <c r="B207" s="1118"/>
      <c r="F207" s="1262"/>
    </row>
    <row r="208" ht="14.25" customHeight="1">
      <c r="B208" s="1118"/>
      <c r="F208" s="1262"/>
    </row>
    <row r="209" ht="14.25" customHeight="1">
      <c r="B209" s="1118"/>
      <c r="F209" s="1262"/>
    </row>
    <row r="210" ht="14.25" customHeight="1">
      <c r="B210" s="1118"/>
      <c r="F210" s="1262"/>
    </row>
    <row r="211" ht="14.25" customHeight="1">
      <c r="B211" s="1118"/>
      <c r="F211" s="1262"/>
    </row>
    <row r="212" ht="14.25" customHeight="1">
      <c r="B212" s="1118"/>
      <c r="F212" s="1262"/>
    </row>
    <row r="213" ht="14.25" customHeight="1">
      <c r="B213" s="1118"/>
      <c r="F213" s="1262"/>
    </row>
    <row r="214" ht="14.25" customHeight="1">
      <c r="B214" s="1118"/>
      <c r="F214" s="1262"/>
    </row>
    <row r="215" ht="14.25" customHeight="1">
      <c r="B215" s="1118"/>
      <c r="F215" s="1262"/>
    </row>
    <row r="216" ht="14.25" customHeight="1">
      <c r="B216" s="1118"/>
      <c r="F216" s="1262"/>
    </row>
    <row r="217" ht="14.25" customHeight="1">
      <c r="B217" s="1118"/>
      <c r="F217" s="1262"/>
    </row>
    <row r="218" ht="14.25" customHeight="1">
      <c r="B218" s="1118"/>
      <c r="F218" s="1262"/>
    </row>
    <row r="219" ht="14.25" customHeight="1">
      <c r="B219" s="1118"/>
      <c r="F219" s="1262"/>
    </row>
    <row r="220" ht="14.25" customHeight="1">
      <c r="B220" s="1118"/>
      <c r="F220" s="1262"/>
    </row>
    <row r="221" ht="14.25" customHeight="1">
      <c r="B221" s="1118"/>
      <c r="F221" s="1262"/>
    </row>
    <row r="222" ht="14.25" customHeight="1">
      <c r="B222" s="1118"/>
      <c r="F222" s="1262"/>
    </row>
    <row r="223" ht="14.25" customHeight="1">
      <c r="B223" s="1118"/>
      <c r="F223" s="1262"/>
    </row>
    <row r="224" ht="14.25" customHeight="1">
      <c r="B224" s="1118"/>
      <c r="F224" s="1262"/>
    </row>
    <row r="225" ht="14.25" customHeight="1">
      <c r="B225" s="1118"/>
      <c r="F225" s="1262"/>
    </row>
    <row r="226" ht="14.25" customHeight="1">
      <c r="B226" s="1118"/>
      <c r="F226" s="1262"/>
    </row>
    <row r="227" ht="14.25" customHeight="1">
      <c r="B227" s="1118"/>
      <c r="F227" s="1262"/>
    </row>
    <row r="228" ht="14.25" customHeight="1">
      <c r="B228" s="1118"/>
      <c r="F228" s="1262"/>
    </row>
    <row r="229" ht="14.25" customHeight="1">
      <c r="B229" s="1118"/>
      <c r="F229" s="1262"/>
    </row>
    <row r="230" ht="14.25" customHeight="1">
      <c r="B230" s="1118"/>
      <c r="F230" s="1262"/>
    </row>
    <row r="231" ht="14.25" customHeight="1">
      <c r="B231" s="1118"/>
      <c r="F231" s="1262"/>
    </row>
    <row r="232" ht="14.25" customHeight="1">
      <c r="B232" s="1118"/>
      <c r="F232" s="1262"/>
    </row>
    <row r="233" ht="14.25" customHeight="1">
      <c r="B233" s="1118"/>
      <c r="F233" s="1262"/>
    </row>
    <row r="234" ht="14.25" customHeight="1">
      <c r="B234" s="1118"/>
      <c r="F234" s="1262"/>
    </row>
    <row r="235" ht="14.25" customHeight="1">
      <c r="B235" s="1118"/>
      <c r="F235" s="1262"/>
    </row>
    <row r="236" ht="14.25" customHeight="1">
      <c r="B236" s="1118"/>
      <c r="F236" s="1262"/>
    </row>
    <row r="237" ht="14.25" customHeight="1">
      <c r="B237" s="1118"/>
      <c r="F237" s="1262"/>
    </row>
    <row r="238" ht="14.25" customHeight="1">
      <c r="B238" s="1118"/>
      <c r="F238" s="1262"/>
    </row>
    <row r="239" ht="14.25" customHeight="1">
      <c r="B239" s="1118"/>
      <c r="F239" s="1262"/>
    </row>
    <row r="240" ht="14.25" customHeight="1">
      <c r="B240" s="1118"/>
      <c r="F240" s="1262"/>
    </row>
    <row r="241" ht="14.25" customHeight="1">
      <c r="B241" s="1118"/>
      <c r="F241" s="1262"/>
    </row>
    <row r="242" ht="14.25" customHeight="1">
      <c r="B242" s="1118"/>
      <c r="F242" s="1262"/>
    </row>
    <row r="243" ht="14.25" customHeight="1">
      <c r="B243" s="1118"/>
      <c r="F243" s="1262"/>
    </row>
    <row r="244" ht="14.25" customHeight="1">
      <c r="B244" s="1118"/>
      <c r="F244" s="1262"/>
    </row>
    <row r="245" ht="14.25" customHeight="1">
      <c r="B245" s="1118"/>
      <c r="F245" s="1262"/>
    </row>
    <row r="246" ht="14.25" customHeight="1">
      <c r="B246" s="1118"/>
      <c r="F246" s="1262"/>
    </row>
    <row r="247" ht="14.25" customHeight="1">
      <c r="B247" s="1118"/>
      <c r="F247" s="1262"/>
    </row>
    <row r="248" ht="14.25" customHeight="1">
      <c r="B248" s="1118"/>
      <c r="F248" s="1262"/>
    </row>
    <row r="249" ht="14.25" customHeight="1">
      <c r="B249" s="1118"/>
      <c r="F249" s="1262"/>
    </row>
    <row r="250" ht="14.25" customHeight="1">
      <c r="B250" s="1118"/>
      <c r="F250" s="1262"/>
    </row>
    <row r="251" ht="14.25" customHeight="1">
      <c r="B251" s="1118"/>
      <c r="F251" s="1262"/>
    </row>
    <row r="252" ht="14.25" customHeight="1">
      <c r="B252" s="1118"/>
      <c r="F252" s="1262"/>
    </row>
    <row r="253" ht="14.25" customHeight="1">
      <c r="B253" s="1118"/>
      <c r="F253" s="1262"/>
    </row>
    <row r="254" ht="14.25" customHeight="1">
      <c r="B254" s="1118"/>
      <c r="F254" s="1262"/>
    </row>
    <row r="255" ht="14.25" customHeight="1">
      <c r="B255" s="1118"/>
      <c r="F255" s="1262"/>
    </row>
    <row r="256" ht="14.25" customHeight="1">
      <c r="B256" s="1118"/>
      <c r="F256" s="1262"/>
    </row>
    <row r="257" ht="14.25" customHeight="1">
      <c r="B257" s="1118"/>
      <c r="F257" s="1262"/>
    </row>
    <row r="258" ht="14.25" customHeight="1">
      <c r="B258" s="1118"/>
      <c r="F258" s="1262"/>
    </row>
    <row r="259" ht="14.25" customHeight="1">
      <c r="B259" s="1118"/>
      <c r="F259" s="1262"/>
    </row>
    <row r="260" ht="14.25" customHeight="1">
      <c r="B260" s="1118"/>
      <c r="F260" s="1262"/>
    </row>
    <row r="261" ht="14.25" customHeight="1">
      <c r="B261" s="1118"/>
      <c r="F261" s="1262"/>
    </row>
    <row r="262" ht="14.25" customHeight="1">
      <c r="B262" s="1118"/>
      <c r="F262" s="1262"/>
    </row>
    <row r="263" ht="14.25" customHeight="1">
      <c r="B263" s="1118"/>
      <c r="F263" s="1262"/>
    </row>
    <row r="264" ht="14.25" customHeight="1">
      <c r="B264" s="1118"/>
      <c r="F264" s="1262"/>
    </row>
    <row r="265" ht="14.25" customHeight="1">
      <c r="B265" s="1118"/>
      <c r="F265" s="1262"/>
    </row>
    <row r="266" ht="14.25" customHeight="1">
      <c r="B266" s="1118"/>
      <c r="F266" s="1262"/>
    </row>
    <row r="267" ht="14.25" customHeight="1">
      <c r="B267" s="1118"/>
      <c r="F267" s="1262"/>
    </row>
    <row r="268" ht="14.25" customHeight="1">
      <c r="B268" s="1118"/>
      <c r="F268" s="1262"/>
    </row>
    <row r="269" ht="14.25" customHeight="1">
      <c r="B269" s="1118"/>
      <c r="F269" s="1262"/>
    </row>
    <row r="270" ht="14.25" customHeight="1">
      <c r="B270" s="1118"/>
      <c r="F270" s="1262"/>
    </row>
    <row r="271" ht="14.25" customHeight="1">
      <c r="B271" s="1118"/>
      <c r="F271" s="1262"/>
    </row>
    <row r="272" ht="14.25" customHeight="1">
      <c r="B272" s="1118"/>
      <c r="F272" s="1262"/>
    </row>
    <row r="273" ht="14.25" customHeight="1">
      <c r="B273" s="1118"/>
      <c r="F273" s="1262"/>
    </row>
    <row r="274" ht="14.25" customHeight="1">
      <c r="B274" s="1118"/>
      <c r="F274" s="1262"/>
    </row>
    <row r="275" ht="14.25" customHeight="1">
      <c r="B275" s="1118"/>
      <c r="F275" s="1262"/>
    </row>
    <row r="276" ht="14.25" customHeight="1">
      <c r="B276" s="1118"/>
      <c r="F276" s="1262"/>
    </row>
    <row r="277" ht="14.25" customHeight="1">
      <c r="B277" s="1118"/>
      <c r="F277" s="1262"/>
    </row>
    <row r="278" ht="14.25" customHeight="1">
      <c r="B278" s="1118"/>
      <c r="F278" s="1262"/>
    </row>
    <row r="279" ht="14.25" customHeight="1">
      <c r="B279" s="1118"/>
      <c r="F279" s="1262"/>
    </row>
    <row r="280" ht="14.25" customHeight="1">
      <c r="B280" s="1118"/>
      <c r="F280" s="1262"/>
    </row>
    <row r="281" ht="14.25" customHeight="1">
      <c r="B281" s="1118"/>
      <c r="F281" s="1262"/>
    </row>
    <row r="282" ht="14.25" customHeight="1">
      <c r="B282" s="1118"/>
      <c r="F282" s="1262"/>
    </row>
    <row r="283" ht="14.25" customHeight="1">
      <c r="B283" s="1118"/>
      <c r="F283" s="1262"/>
    </row>
    <row r="284" ht="14.25" customHeight="1">
      <c r="B284" s="1118"/>
      <c r="F284" s="1262"/>
    </row>
    <row r="285" ht="14.25" customHeight="1">
      <c r="B285" s="1118"/>
      <c r="F285" s="1262"/>
    </row>
    <row r="286" ht="14.25" customHeight="1">
      <c r="B286" s="1118"/>
      <c r="F286" s="1262"/>
    </row>
    <row r="287" ht="14.25" customHeight="1">
      <c r="B287" s="1118"/>
      <c r="F287" s="1262"/>
    </row>
    <row r="288" ht="14.25" customHeight="1">
      <c r="B288" s="1118"/>
      <c r="F288" s="1262"/>
    </row>
    <row r="289" ht="14.25" customHeight="1">
      <c r="B289" s="1118"/>
      <c r="F289" s="1262"/>
    </row>
    <row r="290" ht="14.25" customHeight="1">
      <c r="B290" s="1118"/>
      <c r="F290" s="1262"/>
    </row>
    <row r="291" ht="14.25" customHeight="1">
      <c r="B291" s="1118"/>
      <c r="F291" s="1262"/>
    </row>
    <row r="292" ht="14.25" customHeight="1">
      <c r="B292" s="1118"/>
      <c r="F292" s="1262"/>
    </row>
    <row r="293" ht="14.25" customHeight="1">
      <c r="B293" s="1118"/>
      <c r="F293" s="1262"/>
    </row>
    <row r="294" ht="14.25" customHeight="1">
      <c r="B294" s="1118"/>
      <c r="F294" s="1262"/>
    </row>
    <row r="295" ht="14.25" customHeight="1">
      <c r="B295" s="1118"/>
      <c r="F295" s="1262"/>
    </row>
    <row r="296" ht="14.25" customHeight="1">
      <c r="B296" s="1118"/>
      <c r="F296" s="1262"/>
    </row>
    <row r="297" ht="14.25" customHeight="1">
      <c r="B297" s="1118"/>
      <c r="F297" s="1262"/>
    </row>
    <row r="298" ht="14.25" customHeight="1">
      <c r="B298" s="1118"/>
      <c r="F298" s="1262"/>
    </row>
    <row r="299" ht="14.25" customHeight="1">
      <c r="B299" s="1118"/>
      <c r="F299" s="1262"/>
    </row>
    <row r="300" ht="14.25" customHeight="1">
      <c r="B300" s="1118"/>
      <c r="F300" s="1262"/>
    </row>
    <row r="301" ht="14.25" customHeight="1">
      <c r="B301" s="1118"/>
      <c r="F301" s="1262"/>
    </row>
    <row r="302" ht="14.25" customHeight="1">
      <c r="B302" s="1118"/>
      <c r="F302" s="1262"/>
    </row>
    <row r="303" ht="14.25" customHeight="1">
      <c r="B303" s="1118"/>
      <c r="F303" s="1262"/>
    </row>
    <row r="304" ht="14.25" customHeight="1">
      <c r="B304" s="1118"/>
      <c r="F304" s="1262"/>
    </row>
    <row r="305" ht="14.25" customHeight="1">
      <c r="B305" s="1118"/>
      <c r="F305" s="1262"/>
    </row>
    <row r="306" ht="14.25" customHeight="1">
      <c r="B306" s="1118"/>
      <c r="F306" s="1262"/>
    </row>
    <row r="307" ht="14.25" customHeight="1">
      <c r="B307" s="1118"/>
      <c r="F307" s="1262"/>
    </row>
    <row r="308" ht="14.25" customHeight="1">
      <c r="B308" s="1118"/>
      <c r="F308" s="1262"/>
    </row>
    <row r="309" ht="14.25" customHeight="1">
      <c r="B309" s="1118"/>
      <c r="F309" s="1262"/>
    </row>
    <row r="310" ht="14.25" customHeight="1">
      <c r="B310" s="1118"/>
      <c r="F310" s="1262"/>
    </row>
    <row r="311" ht="14.25" customHeight="1">
      <c r="B311" s="1118"/>
      <c r="F311" s="1262"/>
    </row>
    <row r="312" ht="14.25" customHeight="1">
      <c r="B312" s="1118"/>
      <c r="F312" s="1262"/>
    </row>
    <row r="313" ht="14.25" customHeight="1">
      <c r="B313" s="1118"/>
      <c r="F313" s="1262"/>
    </row>
    <row r="314" ht="14.25" customHeight="1">
      <c r="B314" s="1118"/>
      <c r="F314" s="1262"/>
    </row>
    <row r="315" ht="14.25" customHeight="1">
      <c r="B315" s="1118"/>
      <c r="F315" s="1262"/>
    </row>
    <row r="316" ht="14.25" customHeight="1">
      <c r="B316" s="1118"/>
      <c r="F316" s="1262"/>
    </row>
    <row r="317" ht="14.25" customHeight="1">
      <c r="B317" s="1118"/>
      <c r="F317" s="1262"/>
    </row>
    <row r="318" ht="14.25" customHeight="1">
      <c r="B318" s="1118"/>
      <c r="F318" s="1262"/>
    </row>
    <row r="319" ht="14.25" customHeight="1">
      <c r="B319" s="1118"/>
      <c r="F319" s="1262"/>
    </row>
    <row r="320" ht="14.25" customHeight="1">
      <c r="B320" s="1118"/>
      <c r="F320" s="1262"/>
    </row>
    <row r="321" ht="14.25" customHeight="1">
      <c r="B321" s="1118"/>
      <c r="F321" s="1262"/>
    </row>
    <row r="322" ht="14.25" customHeight="1">
      <c r="B322" s="1118"/>
      <c r="F322" s="1262"/>
    </row>
    <row r="323" ht="14.25" customHeight="1">
      <c r="B323" s="1118"/>
      <c r="F323" s="1262"/>
    </row>
    <row r="324" ht="14.25" customHeight="1">
      <c r="B324" s="1118"/>
      <c r="F324" s="1262"/>
    </row>
    <row r="325" ht="14.25" customHeight="1">
      <c r="B325" s="1118"/>
      <c r="F325" s="1262"/>
    </row>
    <row r="326" ht="14.25" customHeight="1">
      <c r="B326" s="1118"/>
      <c r="F326" s="1262"/>
    </row>
    <row r="327" ht="14.25" customHeight="1">
      <c r="B327" s="1118"/>
      <c r="F327" s="1262"/>
    </row>
    <row r="328" ht="14.25" customHeight="1">
      <c r="B328" s="1118"/>
      <c r="F328" s="1262"/>
    </row>
    <row r="329" ht="14.25" customHeight="1">
      <c r="B329" s="1118"/>
      <c r="F329" s="1262"/>
    </row>
    <row r="330" ht="14.25" customHeight="1">
      <c r="B330" s="1118"/>
      <c r="F330" s="1262"/>
    </row>
    <row r="331" ht="14.25" customHeight="1">
      <c r="B331" s="1118"/>
      <c r="F331" s="1262"/>
    </row>
    <row r="332" ht="14.25" customHeight="1">
      <c r="B332" s="1118"/>
      <c r="F332" s="1262"/>
    </row>
    <row r="333" ht="14.25" customHeight="1">
      <c r="B333" s="1118"/>
      <c r="F333" s="1262"/>
    </row>
    <row r="334" ht="14.25" customHeight="1">
      <c r="B334" s="1118"/>
      <c r="F334" s="1262"/>
    </row>
    <row r="335" ht="14.25" customHeight="1">
      <c r="B335" s="1118"/>
      <c r="F335" s="1262"/>
    </row>
    <row r="336" ht="14.25" customHeight="1">
      <c r="B336" s="1118"/>
      <c r="F336" s="1262"/>
    </row>
    <row r="337" ht="14.25" customHeight="1">
      <c r="B337" s="1118"/>
      <c r="F337" s="1262"/>
    </row>
    <row r="338" ht="14.25" customHeight="1">
      <c r="B338" s="1118"/>
      <c r="F338" s="1262"/>
    </row>
    <row r="339" ht="14.25" customHeight="1">
      <c r="B339" s="1118"/>
      <c r="F339" s="1262"/>
    </row>
    <row r="340" ht="14.25" customHeight="1">
      <c r="B340" s="1118"/>
      <c r="F340" s="1262"/>
    </row>
    <row r="341" ht="14.25" customHeight="1">
      <c r="B341" s="1118"/>
      <c r="F341" s="1262"/>
    </row>
    <row r="342" ht="14.25" customHeight="1">
      <c r="B342" s="1118"/>
      <c r="F342" s="1262"/>
    </row>
    <row r="343" ht="14.25" customHeight="1">
      <c r="B343" s="1118"/>
      <c r="F343" s="1262"/>
    </row>
    <row r="344" ht="14.25" customHeight="1">
      <c r="B344" s="1118"/>
      <c r="F344" s="1262"/>
    </row>
    <row r="345" ht="14.25" customHeight="1">
      <c r="B345" s="1118"/>
      <c r="F345" s="1262"/>
    </row>
    <row r="346" ht="14.25" customHeight="1">
      <c r="B346" s="1118"/>
      <c r="F346" s="1262"/>
    </row>
    <row r="347" ht="14.25" customHeight="1">
      <c r="B347" s="1118"/>
      <c r="F347" s="1262"/>
    </row>
    <row r="348" ht="14.25" customHeight="1">
      <c r="B348" s="1118"/>
      <c r="F348" s="1262"/>
    </row>
    <row r="349" ht="14.25" customHeight="1">
      <c r="B349" s="1118"/>
      <c r="F349" s="1262"/>
    </row>
    <row r="350" ht="14.25" customHeight="1">
      <c r="B350" s="1118"/>
      <c r="F350" s="1262"/>
    </row>
    <row r="351" ht="14.25" customHeight="1">
      <c r="B351" s="1118"/>
      <c r="F351" s="1262"/>
    </row>
    <row r="352" ht="14.25" customHeight="1">
      <c r="B352" s="1118"/>
      <c r="F352" s="1262"/>
    </row>
    <row r="353" ht="14.25" customHeight="1">
      <c r="B353" s="1118"/>
      <c r="F353" s="1262"/>
    </row>
    <row r="354" ht="14.25" customHeight="1">
      <c r="B354" s="1118"/>
      <c r="F354" s="1262"/>
    </row>
    <row r="355" ht="14.25" customHeight="1">
      <c r="B355" s="1118"/>
      <c r="F355" s="1262"/>
    </row>
    <row r="356" ht="14.25" customHeight="1">
      <c r="B356" s="1118"/>
      <c r="F356" s="1262"/>
    </row>
    <row r="357" ht="14.25" customHeight="1">
      <c r="B357" s="1118"/>
      <c r="F357" s="1262"/>
    </row>
    <row r="358" ht="14.25" customHeight="1">
      <c r="B358" s="1118"/>
      <c r="F358" s="1262"/>
    </row>
    <row r="359" ht="14.25" customHeight="1">
      <c r="B359" s="1118"/>
      <c r="F359" s="1262"/>
    </row>
    <row r="360" ht="14.25" customHeight="1">
      <c r="B360" s="1118"/>
      <c r="F360" s="1262"/>
    </row>
    <row r="361" ht="14.25" customHeight="1">
      <c r="B361" s="1118"/>
      <c r="F361" s="1262"/>
    </row>
    <row r="362" ht="14.25" customHeight="1">
      <c r="B362" s="1118"/>
      <c r="F362" s="1262"/>
    </row>
    <row r="363" ht="14.25" customHeight="1">
      <c r="B363" s="1118"/>
      <c r="F363" s="1262"/>
    </row>
    <row r="364" ht="14.25" customHeight="1">
      <c r="B364" s="1118"/>
      <c r="F364" s="1262"/>
    </row>
    <row r="365" ht="14.25" customHeight="1">
      <c r="B365" s="1118"/>
      <c r="F365" s="1262"/>
    </row>
    <row r="366" ht="14.25" customHeight="1">
      <c r="B366" s="1118"/>
      <c r="F366" s="1262"/>
    </row>
    <row r="367" ht="14.25" customHeight="1">
      <c r="B367" s="1118"/>
      <c r="F367" s="1262"/>
    </row>
    <row r="368" ht="14.25" customHeight="1">
      <c r="B368" s="1118"/>
      <c r="F368" s="1262"/>
    </row>
    <row r="369" ht="14.25" customHeight="1">
      <c r="B369" s="1118"/>
      <c r="F369" s="1262"/>
    </row>
    <row r="370" ht="14.25" customHeight="1">
      <c r="B370" s="1118"/>
      <c r="F370" s="1262"/>
    </row>
    <row r="371" ht="14.25" customHeight="1">
      <c r="B371" s="1118"/>
      <c r="F371" s="1262"/>
    </row>
    <row r="372" ht="14.25" customHeight="1">
      <c r="B372" s="1118"/>
      <c r="F372" s="1262"/>
    </row>
    <row r="373" ht="14.25" customHeight="1">
      <c r="B373" s="1118"/>
      <c r="F373" s="1262"/>
    </row>
    <row r="374" ht="14.25" customHeight="1">
      <c r="B374" s="1118"/>
      <c r="F374" s="1262"/>
    </row>
    <row r="375" ht="14.25" customHeight="1">
      <c r="B375" s="1118"/>
      <c r="F375" s="1262"/>
    </row>
    <row r="376" ht="14.25" customHeight="1">
      <c r="B376" s="1118"/>
      <c r="F376" s="1262"/>
    </row>
    <row r="377" ht="14.25" customHeight="1">
      <c r="B377" s="1118"/>
      <c r="F377" s="1262"/>
    </row>
    <row r="378" ht="14.25" customHeight="1">
      <c r="B378" s="1118"/>
      <c r="F378" s="1262"/>
    </row>
    <row r="379" ht="14.25" customHeight="1">
      <c r="B379" s="1118"/>
      <c r="F379" s="1262"/>
    </row>
    <row r="380" ht="14.25" customHeight="1">
      <c r="B380" s="1118"/>
      <c r="F380" s="1262"/>
    </row>
    <row r="381" ht="14.25" customHeight="1">
      <c r="B381" s="1118"/>
      <c r="F381" s="1262"/>
    </row>
    <row r="382" ht="14.25" customHeight="1">
      <c r="B382" s="1118"/>
      <c r="F382" s="1262"/>
    </row>
    <row r="383" ht="14.25" customHeight="1">
      <c r="B383" s="1118"/>
      <c r="F383" s="1262"/>
    </row>
    <row r="384" ht="14.25" customHeight="1">
      <c r="B384" s="1118"/>
      <c r="F384" s="1262"/>
    </row>
    <row r="385" ht="14.25" customHeight="1">
      <c r="B385" s="1118"/>
      <c r="F385" s="1262"/>
    </row>
    <row r="386" ht="14.25" customHeight="1">
      <c r="B386" s="1118"/>
      <c r="F386" s="1262"/>
    </row>
    <row r="387" ht="14.25" customHeight="1">
      <c r="B387" s="1118"/>
      <c r="F387" s="1262"/>
    </row>
    <row r="388" ht="14.25" customHeight="1">
      <c r="B388" s="1118"/>
      <c r="F388" s="1262"/>
    </row>
    <row r="389" ht="14.25" customHeight="1">
      <c r="B389" s="1118"/>
      <c r="F389" s="1262"/>
    </row>
    <row r="390" ht="14.25" customHeight="1">
      <c r="B390" s="1118"/>
      <c r="F390" s="1262"/>
    </row>
    <row r="391" ht="14.25" customHeight="1">
      <c r="B391" s="1118"/>
      <c r="F391" s="1262"/>
    </row>
    <row r="392" ht="14.25" customHeight="1">
      <c r="B392" s="1118"/>
      <c r="F392" s="1262"/>
    </row>
    <row r="393" ht="14.25" customHeight="1">
      <c r="B393" s="1118"/>
      <c r="F393" s="1262"/>
    </row>
    <row r="394" ht="14.25" customHeight="1">
      <c r="B394" s="1118"/>
      <c r="F394" s="1262"/>
    </row>
    <row r="395" ht="14.25" customHeight="1">
      <c r="B395" s="1118"/>
      <c r="F395" s="1262"/>
    </row>
    <row r="396" ht="14.25" customHeight="1">
      <c r="B396" s="1118"/>
      <c r="F396" s="1262"/>
    </row>
    <row r="397" ht="14.25" customHeight="1">
      <c r="B397" s="1118"/>
      <c r="F397" s="1262"/>
    </row>
    <row r="398" ht="14.25" customHeight="1">
      <c r="B398" s="1118"/>
      <c r="F398" s="1262"/>
    </row>
    <row r="399" ht="14.25" customHeight="1">
      <c r="B399" s="1118"/>
      <c r="F399" s="1262"/>
    </row>
    <row r="400" ht="14.25" customHeight="1">
      <c r="B400" s="1118"/>
      <c r="F400" s="1262"/>
    </row>
    <row r="401" ht="14.25" customHeight="1">
      <c r="B401" s="1118"/>
      <c r="F401" s="1262"/>
    </row>
    <row r="402" ht="14.25" customHeight="1">
      <c r="B402" s="1118"/>
      <c r="F402" s="1262"/>
    </row>
    <row r="403" ht="14.25" customHeight="1">
      <c r="B403" s="1118"/>
      <c r="F403" s="1262"/>
    </row>
    <row r="404" ht="14.25" customHeight="1">
      <c r="B404" s="1118"/>
      <c r="F404" s="1262"/>
    </row>
    <row r="405" ht="14.25" customHeight="1">
      <c r="B405" s="1118"/>
      <c r="F405" s="1262"/>
    </row>
    <row r="406" ht="14.25" customHeight="1">
      <c r="B406" s="1118"/>
      <c r="F406" s="1262"/>
    </row>
    <row r="407" ht="14.25" customHeight="1">
      <c r="B407" s="1118"/>
      <c r="F407" s="1262"/>
    </row>
    <row r="408" ht="14.25" customHeight="1">
      <c r="B408" s="1118"/>
      <c r="F408" s="1262"/>
    </row>
    <row r="409" ht="14.25" customHeight="1">
      <c r="B409" s="1118"/>
      <c r="F409" s="1262"/>
    </row>
    <row r="410" ht="14.25" customHeight="1">
      <c r="B410" s="1118"/>
      <c r="F410" s="1262"/>
    </row>
    <row r="411" ht="14.25" customHeight="1">
      <c r="B411" s="1118"/>
      <c r="F411" s="1262"/>
    </row>
    <row r="412" ht="14.25" customHeight="1">
      <c r="B412" s="1118"/>
      <c r="F412" s="1262"/>
    </row>
    <row r="413" ht="14.25" customHeight="1">
      <c r="B413" s="1118"/>
      <c r="F413" s="1262"/>
    </row>
    <row r="414" ht="14.25" customHeight="1">
      <c r="B414" s="1118"/>
      <c r="F414" s="1262"/>
    </row>
    <row r="415" ht="14.25" customHeight="1">
      <c r="B415" s="1118"/>
      <c r="F415" s="1262"/>
    </row>
    <row r="416" ht="14.25" customHeight="1">
      <c r="B416" s="1118"/>
      <c r="F416" s="1262"/>
    </row>
    <row r="417" ht="14.25" customHeight="1">
      <c r="B417" s="1118"/>
      <c r="F417" s="1262"/>
    </row>
    <row r="418" ht="14.25" customHeight="1">
      <c r="B418" s="1118"/>
      <c r="F418" s="1262"/>
    </row>
    <row r="419" ht="14.25" customHeight="1">
      <c r="B419" s="1118"/>
      <c r="F419" s="1262"/>
    </row>
    <row r="420" ht="14.25" customHeight="1">
      <c r="B420" s="1118"/>
      <c r="F420" s="1262"/>
    </row>
    <row r="421" ht="14.25" customHeight="1">
      <c r="B421" s="1118"/>
      <c r="F421" s="1262"/>
    </row>
    <row r="422" ht="14.25" customHeight="1">
      <c r="B422" s="1118"/>
      <c r="F422" s="1262"/>
    </row>
    <row r="423" ht="14.25" customHeight="1">
      <c r="B423" s="1118"/>
      <c r="F423" s="1262"/>
    </row>
    <row r="424" ht="14.25" customHeight="1">
      <c r="B424" s="1118"/>
      <c r="F424" s="1262"/>
    </row>
    <row r="425" ht="14.25" customHeight="1">
      <c r="B425" s="1118"/>
      <c r="F425" s="1262"/>
    </row>
    <row r="426" ht="14.25" customHeight="1">
      <c r="B426" s="1118"/>
      <c r="F426" s="1262"/>
    </row>
    <row r="427" ht="14.25" customHeight="1">
      <c r="B427" s="1118"/>
      <c r="F427" s="1262"/>
    </row>
    <row r="428" ht="14.25" customHeight="1">
      <c r="B428" s="1118"/>
      <c r="F428" s="1262"/>
    </row>
    <row r="429" ht="14.25" customHeight="1">
      <c r="B429" s="1118"/>
      <c r="F429" s="1262"/>
    </row>
    <row r="430" ht="14.25" customHeight="1">
      <c r="B430" s="1118"/>
      <c r="F430" s="1262"/>
    </row>
    <row r="431" ht="14.25" customHeight="1">
      <c r="B431" s="1118"/>
      <c r="F431" s="1262"/>
    </row>
    <row r="432" ht="14.25" customHeight="1">
      <c r="B432" s="1118"/>
      <c r="F432" s="1262"/>
    </row>
    <row r="433" ht="14.25" customHeight="1">
      <c r="B433" s="1118"/>
      <c r="F433" s="1262"/>
    </row>
    <row r="434" ht="14.25" customHeight="1">
      <c r="B434" s="1118"/>
      <c r="F434" s="1262"/>
    </row>
    <row r="435" ht="14.25" customHeight="1">
      <c r="B435" s="1118"/>
      <c r="F435" s="1262"/>
    </row>
    <row r="436" ht="14.25" customHeight="1">
      <c r="B436" s="1118"/>
      <c r="F436" s="1262"/>
    </row>
    <row r="437" ht="14.25" customHeight="1">
      <c r="B437" s="1118"/>
      <c r="F437" s="1262"/>
    </row>
    <row r="438" ht="14.25" customHeight="1">
      <c r="B438" s="1118"/>
      <c r="F438" s="1262"/>
    </row>
    <row r="439" ht="14.25" customHeight="1">
      <c r="B439" s="1118"/>
      <c r="F439" s="1262"/>
    </row>
    <row r="440" ht="14.25" customHeight="1">
      <c r="B440" s="1118"/>
      <c r="F440" s="1262"/>
    </row>
    <row r="441" ht="14.25" customHeight="1">
      <c r="B441" s="1118"/>
      <c r="F441" s="1262"/>
    </row>
    <row r="442" ht="14.25" customHeight="1">
      <c r="B442" s="1118"/>
      <c r="F442" s="1262"/>
    </row>
    <row r="443" ht="14.25" customHeight="1">
      <c r="B443" s="1118"/>
      <c r="F443" s="1262"/>
    </row>
    <row r="444" ht="14.25" customHeight="1">
      <c r="B444" s="1118"/>
      <c r="F444" s="1262"/>
    </row>
    <row r="445" ht="14.25" customHeight="1">
      <c r="B445" s="1118"/>
      <c r="F445" s="1262"/>
    </row>
    <row r="446" ht="14.25" customHeight="1">
      <c r="B446" s="1118"/>
      <c r="F446" s="1262"/>
    </row>
    <row r="447" ht="14.25" customHeight="1">
      <c r="B447" s="1118"/>
      <c r="F447" s="1262"/>
    </row>
    <row r="448" ht="14.25" customHeight="1">
      <c r="B448" s="1118"/>
      <c r="F448" s="1262"/>
    </row>
    <row r="449" ht="14.25" customHeight="1">
      <c r="B449" s="1118"/>
      <c r="F449" s="1262"/>
    </row>
    <row r="450" ht="14.25" customHeight="1">
      <c r="B450" s="1118"/>
      <c r="F450" s="1262"/>
    </row>
    <row r="451" ht="14.25" customHeight="1">
      <c r="B451" s="1118"/>
      <c r="F451" s="1262"/>
    </row>
    <row r="452" ht="14.25" customHeight="1">
      <c r="B452" s="1118"/>
      <c r="F452" s="1262"/>
    </row>
    <row r="453" ht="14.25" customHeight="1">
      <c r="B453" s="1118"/>
      <c r="F453" s="1262"/>
    </row>
    <row r="454" ht="14.25" customHeight="1">
      <c r="B454" s="1118"/>
      <c r="F454" s="1262"/>
    </row>
    <row r="455" ht="14.25" customHeight="1">
      <c r="B455" s="1118"/>
      <c r="F455" s="1262"/>
    </row>
    <row r="456" ht="14.25" customHeight="1">
      <c r="B456" s="1118"/>
      <c r="F456" s="1262"/>
    </row>
    <row r="457" ht="14.25" customHeight="1">
      <c r="B457" s="1118"/>
      <c r="F457" s="1262"/>
    </row>
    <row r="458" ht="14.25" customHeight="1">
      <c r="B458" s="1118"/>
      <c r="F458" s="1262"/>
    </row>
    <row r="459" ht="14.25" customHeight="1">
      <c r="B459" s="1118"/>
      <c r="F459" s="1262"/>
    </row>
    <row r="460" ht="14.25" customHeight="1">
      <c r="B460" s="1118"/>
      <c r="F460" s="1262"/>
    </row>
    <row r="461" ht="14.25" customHeight="1">
      <c r="B461" s="1118"/>
      <c r="F461" s="1262"/>
    </row>
    <row r="462" ht="14.25" customHeight="1">
      <c r="B462" s="1118"/>
      <c r="F462" s="1262"/>
    </row>
    <row r="463" ht="14.25" customHeight="1">
      <c r="B463" s="1118"/>
      <c r="F463" s="1262"/>
    </row>
    <row r="464" ht="14.25" customHeight="1">
      <c r="B464" s="1118"/>
      <c r="F464" s="1262"/>
    </row>
    <row r="465" ht="14.25" customHeight="1">
      <c r="B465" s="1118"/>
      <c r="F465" s="1262"/>
    </row>
    <row r="466" ht="14.25" customHeight="1">
      <c r="B466" s="1118"/>
      <c r="F466" s="1262"/>
    </row>
    <row r="467" ht="14.25" customHeight="1">
      <c r="B467" s="1118"/>
      <c r="F467" s="1262"/>
    </row>
    <row r="468" ht="14.25" customHeight="1">
      <c r="B468" s="1118"/>
      <c r="F468" s="1262"/>
    </row>
    <row r="469" ht="14.25" customHeight="1">
      <c r="B469" s="1118"/>
      <c r="F469" s="1262"/>
    </row>
    <row r="470" ht="14.25" customHeight="1">
      <c r="B470" s="1118"/>
      <c r="F470" s="1262"/>
    </row>
    <row r="471" ht="14.25" customHeight="1">
      <c r="B471" s="1118"/>
      <c r="F471" s="1262"/>
    </row>
    <row r="472" ht="14.25" customHeight="1">
      <c r="B472" s="1118"/>
      <c r="F472" s="1262"/>
    </row>
    <row r="473" ht="14.25" customHeight="1">
      <c r="B473" s="1118"/>
      <c r="F473" s="1262"/>
    </row>
    <row r="474" ht="14.25" customHeight="1">
      <c r="B474" s="1118"/>
      <c r="F474" s="1262"/>
    </row>
    <row r="475" ht="14.25" customHeight="1">
      <c r="B475" s="1118"/>
      <c r="F475" s="1262"/>
    </row>
    <row r="476" ht="14.25" customHeight="1">
      <c r="B476" s="1118"/>
      <c r="F476" s="1262"/>
    </row>
    <row r="477" ht="14.25" customHeight="1">
      <c r="B477" s="1118"/>
      <c r="F477" s="1262"/>
    </row>
    <row r="478" ht="14.25" customHeight="1">
      <c r="B478" s="1118"/>
      <c r="F478" s="1262"/>
    </row>
    <row r="479" ht="14.25" customHeight="1">
      <c r="B479" s="1118"/>
      <c r="F479" s="1262"/>
    </row>
    <row r="480" ht="14.25" customHeight="1">
      <c r="B480" s="1118"/>
      <c r="F480" s="1262"/>
    </row>
    <row r="481" ht="14.25" customHeight="1">
      <c r="B481" s="1118"/>
      <c r="F481" s="1262"/>
    </row>
    <row r="482" ht="14.25" customHeight="1">
      <c r="B482" s="1118"/>
      <c r="F482" s="1262"/>
    </row>
    <row r="483" ht="14.25" customHeight="1">
      <c r="B483" s="1118"/>
      <c r="F483" s="1262"/>
    </row>
    <row r="484" ht="14.25" customHeight="1">
      <c r="B484" s="1118"/>
      <c r="F484" s="1262"/>
    </row>
    <row r="485" ht="14.25" customHeight="1">
      <c r="B485" s="1118"/>
      <c r="F485" s="1262"/>
    </row>
    <row r="486" ht="14.25" customHeight="1">
      <c r="B486" s="1118"/>
      <c r="F486" s="1262"/>
    </row>
    <row r="487" ht="14.25" customHeight="1">
      <c r="B487" s="1118"/>
      <c r="F487" s="1262"/>
    </row>
    <row r="488" ht="14.25" customHeight="1">
      <c r="B488" s="1118"/>
      <c r="F488" s="1262"/>
    </row>
    <row r="489" ht="14.25" customHeight="1">
      <c r="B489" s="1118"/>
      <c r="F489" s="1262"/>
    </row>
    <row r="490" ht="14.25" customHeight="1">
      <c r="B490" s="1118"/>
      <c r="F490" s="1262"/>
    </row>
    <row r="491" ht="14.25" customHeight="1">
      <c r="B491" s="1118"/>
      <c r="F491" s="1262"/>
    </row>
    <row r="492" ht="14.25" customHeight="1">
      <c r="B492" s="1118"/>
      <c r="F492" s="1262"/>
    </row>
    <row r="493" ht="14.25" customHeight="1">
      <c r="B493" s="1118"/>
      <c r="F493" s="1262"/>
    </row>
    <row r="494" ht="14.25" customHeight="1">
      <c r="B494" s="1118"/>
      <c r="F494" s="1262"/>
    </row>
    <row r="495" ht="14.25" customHeight="1">
      <c r="B495" s="1118"/>
      <c r="F495" s="1262"/>
    </row>
    <row r="496" ht="14.25" customHeight="1">
      <c r="B496" s="1118"/>
      <c r="F496" s="1262"/>
    </row>
    <row r="497" ht="14.25" customHeight="1">
      <c r="B497" s="1118"/>
      <c r="F497" s="1262"/>
    </row>
    <row r="498" ht="14.25" customHeight="1">
      <c r="B498" s="1118"/>
      <c r="F498" s="1262"/>
    </row>
    <row r="499" ht="14.25" customHeight="1">
      <c r="B499" s="1118"/>
      <c r="F499" s="1262"/>
    </row>
    <row r="500" ht="14.25" customHeight="1">
      <c r="B500" s="1118"/>
      <c r="F500" s="1262"/>
    </row>
    <row r="501" ht="14.25" customHeight="1">
      <c r="B501" s="1118"/>
      <c r="F501" s="1262"/>
    </row>
    <row r="502" ht="14.25" customHeight="1">
      <c r="B502" s="1118"/>
      <c r="F502" s="1262"/>
    </row>
    <row r="503" ht="14.25" customHeight="1">
      <c r="B503" s="1118"/>
      <c r="F503" s="1262"/>
    </row>
    <row r="504" ht="14.25" customHeight="1">
      <c r="B504" s="1118"/>
      <c r="F504" s="1262"/>
    </row>
    <row r="505" ht="14.25" customHeight="1">
      <c r="B505" s="1118"/>
      <c r="F505" s="1262"/>
    </row>
    <row r="506" ht="14.25" customHeight="1">
      <c r="B506" s="1118"/>
      <c r="F506" s="1262"/>
    </row>
    <row r="507" ht="14.25" customHeight="1">
      <c r="B507" s="1118"/>
      <c r="F507" s="1262"/>
    </row>
    <row r="508" ht="14.25" customHeight="1">
      <c r="B508" s="1118"/>
      <c r="F508" s="1262"/>
    </row>
    <row r="509" ht="14.25" customHeight="1">
      <c r="B509" s="1118"/>
      <c r="F509" s="1262"/>
    </row>
    <row r="510" ht="14.25" customHeight="1">
      <c r="B510" s="1118"/>
      <c r="F510" s="1262"/>
    </row>
    <row r="511" ht="14.25" customHeight="1">
      <c r="B511" s="1118"/>
      <c r="F511" s="1262"/>
    </row>
    <row r="512" ht="14.25" customHeight="1">
      <c r="B512" s="1118"/>
      <c r="F512" s="1262"/>
    </row>
    <row r="513" ht="14.25" customHeight="1">
      <c r="B513" s="1118"/>
      <c r="F513" s="1262"/>
    </row>
    <row r="514" ht="14.25" customHeight="1">
      <c r="B514" s="1118"/>
      <c r="F514" s="1262"/>
    </row>
    <row r="515" ht="14.25" customHeight="1">
      <c r="B515" s="1118"/>
      <c r="F515" s="1262"/>
    </row>
    <row r="516" ht="14.25" customHeight="1">
      <c r="B516" s="1118"/>
      <c r="F516" s="1262"/>
    </row>
    <row r="517" ht="14.25" customHeight="1">
      <c r="B517" s="1118"/>
      <c r="F517" s="1262"/>
    </row>
    <row r="518" ht="14.25" customHeight="1">
      <c r="B518" s="1118"/>
      <c r="F518" s="1262"/>
    </row>
    <row r="519" ht="14.25" customHeight="1">
      <c r="B519" s="1118"/>
      <c r="F519" s="1262"/>
    </row>
    <row r="520" ht="14.25" customHeight="1">
      <c r="B520" s="1118"/>
      <c r="F520" s="1262"/>
    </row>
    <row r="521" ht="14.25" customHeight="1">
      <c r="B521" s="1118"/>
      <c r="F521" s="1262"/>
    </row>
    <row r="522" ht="14.25" customHeight="1">
      <c r="B522" s="1118"/>
      <c r="F522" s="1262"/>
    </row>
    <row r="523" ht="14.25" customHeight="1">
      <c r="B523" s="1118"/>
      <c r="F523" s="1262"/>
    </row>
    <row r="524" ht="14.25" customHeight="1">
      <c r="B524" s="1118"/>
      <c r="F524" s="1262"/>
    </row>
    <row r="525" ht="14.25" customHeight="1">
      <c r="B525" s="1118"/>
      <c r="F525" s="1262"/>
    </row>
    <row r="526" ht="14.25" customHeight="1">
      <c r="B526" s="1118"/>
      <c r="F526" s="1262"/>
    </row>
    <row r="527" ht="14.25" customHeight="1">
      <c r="B527" s="1118"/>
      <c r="F527" s="1262"/>
    </row>
    <row r="528" ht="14.25" customHeight="1">
      <c r="B528" s="1118"/>
      <c r="F528" s="1262"/>
    </row>
    <row r="529" ht="14.25" customHeight="1">
      <c r="B529" s="1118"/>
      <c r="F529" s="1262"/>
    </row>
    <row r="530" ht="14.25" customHeight="1">
      <c r="B530" s="1118"/>
      <c r="F530" s="1262"/>
    </row>
    <row r="531" ht="14.25" customHeight="1">
      <c r="B531" s="1118"/>
      <c r="F531" s="1262"/>
    </row>
    <row r="532" ht="14.25" customHeight="1">
      <c r="B532" s="1118"/>
      <c r="F532" s="1262"/>
    </row>
    <row r="533" ht="14.25" customHeight="1">
      <c r="B533" s="1118"/>
      <c r="F533" s="1262"/>
    </row>
    <row r="534" ht="14.25" customHeight="1">
      <c r="B534" s="1118"/>
      <c r="F534" s="1262"/>
    </row>
    <row r="535" ht="14.25" customHeight="1">
      <c r="B535" s="1118"/>
      <c r="F535" s="1262"/>
    </row>
    <row r="536" ht="14.25" customHeight="1">
      <c r="B536" s="1118"/>
      <c r="F536" s="1262"/>
    </row>
    <row r="537" ht="14.25" customHeight="1">
      <c r="B537" s="1118"/>
      <c r="F537" s="1262"/>
    </row>
    <row r="538" ht="14.25" customHeight="1">
      <c r="B538" s="1118"/>
      <c r="F538" s="1262"/>
    </row>
    <row r="539" ht="14.25" customHeight="1">
      <c r="B539" s="1118"/>
      <c r="F539" s="1262"/>
    </row>
    <row r="540" ht="14.25" customHeight="1">
      <c r="B540" s="1118"/>
      <c r="F540" s="1262"/>
    </row>
    <row r="541" ht="14.25" customHeight="1">
      <c r="B541" s="1118"/>
      <c r="F541" s="1262"/>
    </row>
    <row r="542" ht="14.25" customHeight="1">
      <c r="B542" s="1118"/>
      <c r="F542" s="1262"/>
    </row>
    <row r="543" ht="14.25" customHeight="1">
      <c r="B543" s="1118"/>
      <c r="F543" s="1262"/>
    </row>
    <row r="544" ht="14.25" customHeight="1">
      <c r="B544" s="1118"/>
      <c r="F544" s="1262"/>
    </row>
    <row r="545" ht="14.25" customHeight="1">
      <c r="B545" s="1118"/>
      <c r="F545" s="1262"/>
    </row>
    <row r="546" ht="14.25" customHeight="1">
      <c r="B546" s="1118"/>
      <c r="F546" s="1262"/>
    </row>
    <row r="547" ht="14.25" customHeight="1">
      <c r="B547" s="1118"/>
      <c r="F547" s="1262"/>
    </row>
    <row r="548" ht="14.25" customHeight="1">
      <c r="B548" s="1118"/>
      <c r="F548" s="1262"/>
    </row>
    <row r="549" ht="14.25" customHeight="1">
      <c r="B549" s="1118"/>
      <c r="F549" s="1262"/>
    </row>
    <row r="550" ht="14.25" customHeight="1">
      <c r="B550" s="1118"/>
      <c r="F550" s="1262"/>
    </row>
    <row r="551" ht="14.25" customHeight="1">
      <c r="B551" s="1118"/>
      <c r="F551" s="1262"/>
    </row>
    <row r="552" ht="14.25" customHeight="1">
      <c r="B552" s="1118"/>
      <c r="F552" s="1262"/>
    </row>
    <row r="553" ht="14.25" customHeight="1">
      <c r="B553" s="1118"/>
      <c r="F553" s="1262"/>
    </row>
    <row r="554" ht="14.25" customHeight="1">
      <c r="B554" s="1118"/>
      <c r="F554" s="1262"/>
    </row>
    <row r="555" ht="14.25" customHeight="1">
      <c r="B555" s="1118"/>
      <c r="F555" s="1262"/>
    </row>
    <row r="556" ht="14.25" customHeight="1">
      <c r="B556" s="1118"/>
      <c r="F556" s="1262"/>
    </row>
    <row r="557" ht="14.25" customHeight="1">
      <c r="B557" s="1118"/>
      <c r="F557" s="1262"/>
    </row>
    <row r="558" ht="14.25" customHeight="1">
      <c r="B558" s="1118"/>
      <c r="F558" s="1262"/>
    </row>
    <row r="559" ht="14.25" customHeight="1">
      <c r="B559" s="1118"/>
      <c r="F559" s="1262"/>
    </row>
    <row r="560" ht="14.25" customHeight="1">
      <c r="B560" s="1118"/>
      <c r="F560" s="1262"/>
    </row>
    <row r="561" ht="14.25" customHeight="1">
      <c r="B561" s="1118"/>
      <c r="F561" s="1262"/>
    </row>
    <row r="562" ht="14.25" customHeight="1">
      <c r="B562" s="1118"/>
      <c r="F562" s="1262"/>
    </row>
    <row r="563" ht="14.25" customHeight="1">
      <c r="B563" s="1118"/>
      <c r="F563" s="1262"/>
    </row>
    <row r="564" ht="14.25" customHeight="1">
      <c r="B564" s="1118"/>
      <c r="F564" s="1262"/>
    </row>
    <row r="565" ht="14.25" customHeight="1">
      <c r="B565" s="1118"/>
      <c r="F565" s="1262"/>
    </row>
    <row r="566" ht="14.25" customHeight="1">
      <c r="B566" s="1118"/>
      <c r="F566" s="1262"/>
    </row>
    <row r="567" ht="14.25" customHeight="1">
      <c r="B567" s="1118"/>
      <c r="F567" s="1262"/>
    </row>
    <row r="568" ht="14.25" customHeight="1">
      <c r="B568" s="1118"/>
      <c r="F568" s="1262"/>
    </row>
    <row r="569" ht="14.25" customHeight="1">
      <c r="B569" s="1118"/>
      <c r="F569" s="1262"/>
    </row>
    <row r="570" ht="14.25" customHeight="1">
      <c r="B570" s="1118"/>
      <c r="F570" s="1262"/>
    </row>
    <row r="571" ht="14.25" customHeight="1">
      <c r="B571" s="1118"/>
      <c r="F571" s="1262"/>
    </row>
    <row r="572" ht="14.25" customHeight="1">
      <c r="B572" s="1118"/>
      <c r="F572" s="1262"/>
    </row>
    <row r="573" ht="14.25" customHeight="1">
      <c r="B573" s="1118"/>
      <c r="F573" s="1262"/>
    </row>
    <row r="574" ht="14.25" customHeight="1">
      <c r="B574" s="1118"/>
      <c r="F574" s="1262"/>
    </row>
    <row r="575" ht="14.25" customHeight="1">
      <c r="B575" s="1118"/>
      <c r="F575" s="1262"/>
    </row>
    <row r="576" ht="14.25" customHeight="1">
      <c r="B576" s="1118"/>
      <c r="F576" s="1262"/>
    </row>
    <row r="577" ht="14.25" customHeight="1">
      <c r="B577" s="1118"/>
      <c r="F577" s="1262"/>
    </row>
    <row r="578" ht="14.25" customHeight="1">
      <c r="B578" s="1118"/>
      <c r="F578" s="1262"/>
    </row>
    <row r="579" ht="14.25" customHeight="1">
      <c r="B579" s="1118"/>
      <c r="F579" s="1262"/>
    </row>
    <row r="580" ht="14.25" customHeight="1">
      <c r="B580" s="1118"/>
      <c r="F580" s="1262"/>
    </row>
    <row r="581" ht="14.25" customHeight="1">
      <c r="B581" s="1118"/>
      <c r="F581" s="1262"/>
    </row>
    <row r="582" ht="14.25" customHeight="1">
      <c r="B582" s="1118"/>
      <c r="F582" s="1262"/>
    </row>
    <row r="583" ht="14.25" customHeight="1">
      <c r="B583" s="1118"/>
      <c r="F583" s="1262"/>
    </row>
    <row r="584" ht="14.25" customHeight="1">
      <c r="B584" s="1118"/>
      <c r="F584" s="1262"/>
    </row>
    <row r="585" ht="14.25" customHeight="1">
      <c r="B585" s="1118"/>
      <c r="F585" s="1262"/>
    </row>
    <row r="586" ht="14.25" customHeight="1">
      <c r="B586" s="1118"/>
      <c r="F586" s="1262"/>
    </row>
    <row r="587" ht="14.25" customHeight="1">
      <c r="B587" s="1118"/>
      <c r="F587" s="1262"/>
    </row>
    <row r="588" ht="14.25" customHeight="1">
      <c r="B588" s="1118"/>
      <c r="F588" s="1262"/>
    </row>
    <row r="589" ht="14.25" customHeight="1">
      <c r="B589" s="1118"/>
      <c r="F589" s="1262"/>
    </row>
    <row r="590" ht="14.25" customHeight="1">
      <c r="B590" s="1118"/>
      <c r="F590" s="1262"/>
    </row>
    <row r="591" ht="14.25" customHeight="1">
      <c r="B591" s="1118"/>
      <c r="F591" s="1262"/>
    </row>
    <row r="592" ht="14.25" customHeight="1">
      <c r="B592" s="1118"/>
      <c r="F592" s="1262"/>
    </row>
    <row r="593" ht="14.25" customHeight="1">
      <c r="B593" s="1118"/>
      <c r="F593" s="1262"/>
    </row>
    <row r="594" ht="14.25" customHeight="1">
      <c r="B594" s="1118"/>
      <c r="F594" s="1262"/>
    </row>
    <row r="595" ht="14.25" customHeight="1">
      <c r="B595" s="1118"/>
      <c r="F595" s="1262"/>
    </row>
    <row r="596" ht="14.25" customHeight="1">
      <c r="B596" s="1118"/>
      <c r="F596" s="1262"/>
    </row>
    <row r="597" ht="14.25" customHeight="1">
      <c r="B597" s="1118"/>
      <c r="F597" s="1262"/>
    </row>
    <row r="598" ht="14.25" customHeight="1">
      <c r="B598" s="1118"/>
      <c r="F598" s="1262"/>
    </row>
    <row r="599" ht="14.25" customHeight="1">
      <c r="B599" s="1118"/>
      <c r="F599" s="1262"/>
    </row>
    <row r="600" ht="14.25" customHeight="1">
      <c r="B600" s="1118"/>
      <c r="F600" s="1262"/>
    </row>
    <row r="601" ht="14.25" customHeight="1">
      <c r="B601" s="1118"/>
      <c r="F601" s="1262"/>
    </row>
    <row r="602" ht="14.25" customHeight="1">
      <c r="B602" s="1118"/>
      <c r="F602" s="1262"/>
    </row>
    <row r="603" ht="14.25" customHeight="1">
      <c r="B603" s="1118"/>
      <c r="F603" s="1262"/>
    </row>
    <row r="604" ht="14.25" customHeight="1">
      <c r="B604" s="1118"/>
      <c r="F604" s="1262"/>
    </row>
    <row r="605" ht="14.25" customHeight="1">
      <c r="B605" s="1118"/>
      <c r="F605" s="1262"/>
    </row>
    <row r="606" ht="14.25" customHeight="1">
      <c r="B606" s="1118"/>
      <c r="F606" s="1262"/>
    </row>
    <row r="607" ht="14.25" customHeight="1">
      <c r="B607" s="1118"/>
      <c r="F607" s="1262"/>
    </row>
    <row r="608" ht="14.25" customHeight="1">
      <c r="B608" s="1118"/>
      <c r="F608" s="1262"/>
    </row>
    <row r="609" ht="14.25" customHeight="1">
      <c r="B609" s="1118"/>
      <c r="F609" s="1262"/>
    </row>
    <row r="610" ht="14.25" customHeight="1">
      <c r="B610" s="1118"/>
      <c r="F610" s="1262"/>
    </row>
    <row r="611" ht="14.25" customHeight="1">
      <c r="B611" s="1118"/>
      <c r="F611" s="1262"/>
    </row>
    <row r="612" ht="14.25" customHeight="1">
      <c r="B612" s="1118"/>
      <c r="F612" s="1262"/>
    </row>
    <row r="613" ht="14.25" customHeight="1">
      <c r="B613" s="1118"/>
      <c r="F613" s="1262"/>
    </row>
    <row r="614" ht="14.25" customHeight="1">
      <c r="B614" s="1118"/>
      <c r="F614" s="1262"/>
    </row>
    <row r="615" ht="14.25" customHeight="1">
      <c r="B615" s="1118"/>
      <c r="F615" s="1262"/>
    </row>
    <row r="616" ht="14.25" customHeight="1">
      <c r="B616" s="1118"/>
      <c r="F616" s="1262"/>
    </row>
    <row r="617" ht="14.25" customHeight="1">
      <c r="B617" s="1118"/>
      <c r="F617" s="1262"/>
    </row>
    <row r="618" ht="14.25" customHeight="1">
      <c r="B618" s="1118"/>
      <c r="F618" s="1262"/>
    </row>
    <row r="619" ht="14.25" customHeight="1">
      <c r="B619" s="1118"/>
      <c r="F619" s="1262"/>
    </row>
    <row r="620" ht="14.25" customHeight="1">
      <c r="B620" s="1118"/>
      <c r="F620" s="1262"/>
    </row>
    <row r="621" ht="14.25" customHeight="1">
      <c r="B621" s="1118"/>
      <c r="F621" s="1262"/>
    </row>
    <row r="622" ht="14.25" customHeight="1">
      <c r="B622" s="1118"/>
      <c r="F622" s="1262"/>
    </row>
    <row r="623" ht="14.25" customHeight="1">
      <c r="B623" s="1118"/>
      <c r="F623" s="1262"/>
    </row>
    <row r="624" ht="14.25" customHeight="1">
      <c r="B624" s="1118"/>
      <c r="F624" s="1262"/>
    </row>
    <row r="625" ht="14.25" customHeight="1">
      <c r="B625" s="1118"/>
      <c r="F625" s="1262"/>
    </row>
    <row r="626" ht="14.25" customHeight="1">
      <c r="B626" s="1118"/>
      <c r="F626" s="1262"/>
    </row>
    <row r="627" ht="14.25" customHeight="1">
      <c r="B627" s="1118"/>
      <c r="F627" s="1262"/>
    </row>
    <row r="628" ht="14.25" customHeight="1">
      <c r="B628" s="1118"/>
      <c r="F628" s="1262"/>
    </row>
    <row r="629" ht="14.25" customHeight="1">
      <c r="B629" s="1118"/>
      <c r="F629" s="1262"/>
    </row>
    <row r="630" ht="14.25" customHeight="1">
      <c r="B630" s="1118"/>
      <c r="F630" s="1262"/>
    </row>
    <row r="631" ht="14.25" customHeight="1">
      <c r="B631" s="1118"/>
      <c r="F631" s="1262"/>
    </row>
    <row r="632" ht="14.25" customHeight="1">
      <c r="B632" s="1118"/>
      <c r="F632" s="1262"/>
    </row>
    <row r="633" ht="14.25" customHeight="1">
      <c r="B633" s="1118"/>
      <c r="F633" s="1262"/>
    </row>
    <row r="634" ht="14.25" customHeight="1">
      <c r="B634" s="1118"/>
      <c r="F634" s="1262"/>
    </row>
    <row r="635" ht="14.25" customHeight="1">
      <c r="B635" s="1118"/>
      <c r="F635" s="1262"/>
    </row>
    <row r="636" ht="14.25" customHeight="1">
      <c r="B636" s="1118"/>
      <c r="F636" s="1262"/>
    </row>
    <row r="637" ht="14.25" customHeight="1">
      <c r="B637" s="1118"/>
      <c r="F637" s="1262"/>
    </row>
    <row r="638" ht="14.25" customHeight="1">
      <c r="B638" s="1118"/>
      <c r="F638" s="1262"/>
    </row>
    <row r="639" ht="14.25" customHeight="1">
      <c r="B639" s="1118"/>
      <c r="F639" s="1262"/>
    </row>
    <row r="640" ht="14.25" customHeight="1">
      <c r="B640" s="1118"/>
      <c r="F640" s="1262"/>
    </row>
    <row r="641" ht="14.25" customHeight="1">
      <c r="B641" s="1118"/>
      <c r="F641" s="1262"/>
    </row>
    <row r="642" ht="14.25" customHeight="1">
      <c r="B642" s="1118"/>
      <c r="F642" s="1262"/>
    </row>
    <row r="643" ht="14.25" customHeight="1">
      <c r="B643" s="1118"/>
      <c r="F643" s="1262"/>
    </row>
    <row r="644" ht="14.25" customHeight="1">
      <c r="B644" s="1118"/>
      <c r="F644" s="1262"/>
    </row>
    <row r="645" ht="14.25" customHeight="1">
      <c r="B645" s="1118"/>
      <c r="F645" s="1262"/>
    </row>
    <row r="646" ht="14.25" customHeight="1">
      <c r="B646" s="1118"/>
      <c r="F646" s="1262"/>
    </row>
    <row r="647" ht="14.25" customHeight="1">
      <c r="B647" s="1118"/>
      <c r="F647" s="1262"/>
    </row>
    <row r="648" ht="14.25" customHeight="1">
      <c r="B648" s="1118"/>
      <c r="F648" s="1262"/>
    </row>
    <row r="649" ht="14.25" customHeight="1">
      <c r="B649" s="1118"/>
      <c r="F649" s="1262"/>
    </row>
    <row r="650" ht="14.25" customHeight="1">
      <c r="B650" s="1118"/>
      <c r="F650" s="1262"/>
    </row>
    <row r="651" ht="14.25" customHeight="1">
      <c r="B651" s="1118"/>
      <c r="F651" s="1262"/>
    </row>
    <row r="652" ht="14.25" customHeight="1">
      <c r="B652" s="1118"/>
      <c r="F652" s="1262"/>
    </row>
    <row r="653" ht="14.25" customHeight="1">
      <c r="B653" s="1118"/>
      <c r="F653" s="1262"/>
    </row>
    <row r="654" ht="14.25" customHeight="1">
      <c r="B654" s="1118"/>
      <c r="F654" s="1262"/>
    </row>
    <row r="655" ht="14.25" customHeight="1">
      <c r="B655" s="1118"/>
      <c r="F655" s="1262"/>
    </row>
    <row r="656" ht="14.25" customHeight="1">
      <c r="B656" s="1118"/>
      <c r="F656" s="1262"/>
    </row>
    <row r="657" ht="14.25" customHeight="1">
      <c r="B657" s="1118"/>
      <c r="F657" s="1262"/>
    </row>
    <row r="658" ht="14.25" customHeight="1">
      <c r="B658" s="1118"/>
      <c r="F658" s="1262"/>
    </row>
    <row r="659" ht="14.25" customHeight="1">
      <c r="B659" s="1118"/>
      <c r="F659" s="1262"/>
    </row>
    <row r="660" ht="14.25" customHeight="1">
      <c r="B660" s="1118"/>
      <c r="F660" s="1262"/>
    </row>
    <row r="661" ht="14.25" customHeight="1">
      <c r="B661" s="1118"/>
      <c r="F661" s="1262"/>
    </row>
    <row r="662" ht="14.25" customHeight="1">
      <c r="B662" s="1118"/>
      <c r="F662" s="1262"/>
    </row>
    <row r="663" ht="14.25" customHeight="1">
      <c r="B663" s="1118"/>
      <c r="F663" s="1262"/>
    </row>
    <row r="664" ht="14.25" customHeight="1">
      <c r="B664" s="1118"/>
      <c r="F664" s="1262"/>
    </row>
    <row r="665" ht="14.25" customHeight="1">
      <c r="B665" s="1118"/>
      <c r="F665" s="1262"/>
    </row>
    <row r="666" ht="14.25" customHeight="1">
      <c r="B666" s="1118"/>
      <c r="F666" s="1262"/>
    </row>
    <row r="667" ht="14.25" customHeight="1">
      <c r="B667" s="1118"/>
      <c r="F667" s="1262"/>
    </row>
    <row r="668" ht="14.25" customHeight="1">
      <c r="B668" s="1118"/>
      <c r="F668" s="1262"/>
    </row>
    <row r="669" ht="14.25" customHeight="1">
      <c r="B669" s="1118"/>
      <c r="F669" s="1262"/>
    </row>
    <row r="670" ht="14.25" customHeight="1">
      <c r="B670" s="1118"/>
      <c r="F670" s="1262"/>
    </row>
    <row r="671" ht="14.25" customHeight="1">
      <c r="B671" s="1118"/>
      <c r="F671" s="1262"/>
    </row>
    <row r="672" ht="14.25" customHeight="1">
      <c r="B672" s="1118"/>
      <c r="F672" s="1262"/>
    </row>
    <row r="673" ht="14.25" customHeight="1">
      <c r="B673" s="1118"/>
      <c r="F673" s="1262"/>
    </row>
    <row r="674" ht="14.25" customHeight="1">
      <c r="B674" s="1118"/>
      <c r="F674" s="1262"/>
    </row>
    <row r="675" ht="14.25" customHeight="1">
      <c r="B675" s="1118"/>
      <c r="F675" s="1262"/>
    </row>
    <row r="676" ht="14.25" customHeight="1">
      <c r="B676" s="1118"/>
      <c r="F676" s="1262"/>
    </row>
    <row r="677" ht="14.25" customHeight="1">
      <c r="B677" s="1118"/>
      <c r="F677" s="1262"/>
    </row>
    <row r="678" ht="14.25" customHeight="1">
      <c r="B678" s="1118"/>
      <c r="F678" s="1262"/>
    </row>
    <row r="679" ht="14.25" customHeight="1">
      <c r="B679" s="1118"/>
      <c r="F679" s="1262"/>
    </row>
    <row r="680" ht="14.25" customHeight="1">
      <c r="B680" s="1118"/>
      <c r="F680" s="1262"/>
    </row>
    <row r="681" ht="14.25" customHeight="1">
      <c r="B681" s="1118"/>
      <c r="F681" s="1262"/>
    </row>
    <row r="682" ht="14.25" customHeight="1">
      <c r="B682" s="1118"/>
      <c r="F682" s="1262"/>
    </row>
    <row r="683" ht="14.25" customHeight="1">
      <c r="B683" s="1118"/>
      <c r="F683" s="1262"/>
    </row>
    <row r="684" ht="14.25" customHeight="1">
      <c r="B684" s="1118"/>
      <c r="F684" s="1262"/>
    </row>
    <row r="685" ht="14.25" customHeight="1">
      <c r="B685" s="1118"/>
      <c r="F685" s="1262"/>
    </row>
    <row r="686" ht="14.25" customHeight="1">
      <c r="B686" s="1118"/>
      <c r="F686" s="1262"/>
    </row>
    <row r="687" ht="14.25" customHeight="1">
      <c r="B687" s="1118"/>
      <c r="F687" s="1262"/>
    </row>
    <row r="688" ht="14.25" customHeight="1">
      <c r="B688" s="1118"/>
      <c r="F688" s="1262"/>
    </row>
    <row r="689" ht="14.25" customHeight="1">
      <c r="B689" s="1118"/>
      <c r="F689" s="1262"/>
    </row>
    <row r="690" ht="14.25" customHeight="1">
      <c r="B690" s="1118"/>
      <c r="F690" s="1262"/>
    </row>
    <row r="691" ht="14.25" customHeight="1">
      <c r="B691" s="1118"/>
      <c r="F691" s="1262"/>
    </row>
    <row r="692" ht="14.25" customHeight="1">
      <c r="B692" s="1118"/>
      <c r="F692" s="1262"/>
    </row>
    <row r="693" ht="14.25" customHeight="1">
      <c r="B693" s="1118"/>
      <c r="F693" s="1262"/>
    </row>
    <row r="694" ht="14.25" customHeight="1">
      <c r="B694" s="1118"/>
      <c r="F694" s="1262"/>
    </row>
    <row r="695" ht="14.25" customHeight="1">
      <c r="B695" s="1118"/>
      <c r="F695" s="1262"/>
    </row>
    <row r="696" ht="14.25" customHeight="1">
      <c r="B696" s="1118"/>
      <c r="F696" s="1262"/>
    </row>
    <row r="697" ht="14.25" customHeight="1">
      <c r="B697" s="1118"/>
      <c r="F697" s="1262"/>
    </row>
    <row r="698" ht="14.25" customHeight="1">
      <c r="B698" s="1118"/>
      <c r="F698" s="1262"/>
    </row>
    <row r="699" ht="14.25" customHeight="1">
      <c r="B699" s="1118"/>
      <c r="F699" s="1262"/>
    </row>
    <row r="700" ht="14.25" customHeight="1">
      <c r="B700" s="1118"/>
      <c r="F700" s="1262"/>
    </row>
    <row r="701" ht="14.25" customHeight="1">
      <c r="B701" s="1118"/>
      <c r="F701" s="1262"/>
    </row>
    <row r="702" ht="14.25" customHeight="1">
      <c r="B702" s="1118"/>
      <c r="F702" s="1262"/>
    </row>
    <row r="703" ht="14.25" customHeight="1">
      <c r="B703" s="1118"/>
      <c r="F703" s="1262"/>
    </row>
    <row r="704" ht="14.25" customHeight="1">
      <c r="B704" s="1118"/>
      <c r="F704" s="1262"/>
    </row>
    <row r="705" ht="14.25" customHeight="1">
      <c r="B705" s="1118"/>
      <c r="F705" s="1262"/>
    </row>
    <row r="706" ht="14.25" customHeight="1">
      <c r="B706" s="1118"/>
      <c r="F706" s="1262"/>
    </row>
    <row r="707" ht="14.25" customHeight="1">
      <c r="B707" s="1118"/>
      <c r="F707" s="1262"/>
    </row>
    <row r="708" ht="14.25" customHeight="1">
      <c r="B708" s="1118"/>
      <c r="F708" s="1262"/>
    </row>
    <row r="709" ht="14.25" customHeight="1">
      <c r="B709" s="1118"/>
      <c r="F709" s="1262"/>
    </row>
    <row r="710" ht="14.25" customHeight="1">
      <c r="B710" s="1118"/>
      <c r="F710" s="1262"/>
    </row>
    <row r="711" ht="14.25" customHeight="1">
      <c r="B711" s="1118"/>
      <c r="F711" s="1262"/>
    </row>
    <row r="712" ht="14.25" customHeight="1">
      <c r="B712" s="1118"/>
      <c r="F712" s="1262"/>
    </row>
    <row r="713" ht="14.25" customHeight="1">
      <c r="B713" s="1118"/>
      <c r="F713" s="1262"/>
    </row>
    <row r="714" ht="14.25" customHeight="1">
      <c r="B714" s="1118"/>
      <c r="F714" s="1262"/>
    </row>
    <row r="715" ht="14.25" customHeight="1">
      <c r="B715" s="1118"/>
      <c r="F715" s="1262"/>
    </row>
    <row r="716" ht="14.25" customHeight="1">
      <c r="B716" s="1118"/>
      <c r="F716" s="1262"/>
    </row>
    <row r="717" ht="14.25" customHeight="1">
      <c r="B717" s="1118"/>
      <c r="F717" s="1262"/>
    </row>
    <row r="718" ht="14.25" customHeight="1">
      <c r="B718" s="1118"/>
      <c r="F718" s="1262"/>
    </row>
    <row r="719" ht="14.25" customHeight="1">
      <c r="B719" s="1118"/>
      <c r="F719" s="1262"/>
    </row>
    <row r="720" ht="14.25" customHeight="1">
      <c r="B720" s="1118"/>
      <c r="F720" s="1262"/>
    </row>
    <row r="721" ht="14.25" customHeight="1">
      <c r="B721" s="1118"/>
      <c r="F721" s="1262"/>
    </row>
    <row r="722" ht="14.25" customHeight="1">
      <c r="B722" s="1118"/>
      <c r="F722" s="1262"/>
    </row>
    <row r="723" ht="14.25" customHeight="1">
      <c r="B723" s="1118"/>
      <c r="F723" s="1262"/>
    </row>
    <row r="724" ht="14.25" customHeight="1">
      <c r="B724" s="1118"/>
      <c r="F724" s="1262"/>
    </row>
    <row r="725" ht="14.25" customHeight="1">
      <c r="B725" s="1118"/>
      <c r="F725" s="1262"/>
    </row>
    <row r="726" ht="14.25" customHeight="1">
      <c r="B726" s="1118"/>
      <c r="F726" s="1262"/>
    </row>
    <row r="727" ht="14.25" customHeight="1">
      <c r="B727" s="1118"/>
      <c r="F727" s="1262"/>
    </row>
    <row r="728" ht="14.25" customHeight="1">
      <c r="B728" s="1118"/>
      <c r="F728" s="1262"/>
    </row>
    <row r="729" ht="14.25" customHeight="1">
      <c r="B729" s="1118"/>
      <c r="F729" s="1262"/>
    </row>
    <row r="730" ht="14.25" customHeight="1">
      <c r="B730" s="1118"/>
      <c r="F730" s="1262"/>
    </row>
    <row r="731" ht="14.25" customHeight="1">
      <c r="B731" s="1118"/>
      <c r="F731" s="1262"/>
    </row>
    <row r="732" ht="14.25" customHeight="1">
      <c r="B732" s="1118"/>
      <c r="F732" s="1262"/>
    </row>
    <row r="733" ht="14.25" customHeight="1">
      <c r="B733" s="1118"/>
      <c r="F733" s="1262"/>
    </row>
    <row r="734" ht="14.25" customHeight="1">
      <c r="B734" s="1118"/>
      <c r="F734" s="1262"/>
    </row>
    <row r="735" ht="14.25" customHeight="1">
      <c r="B735" s="1118"/>
      <c r="F735" s="1262"/>
    </row>
    <row r="736" ht="14.25" customHeight="1">
      <c r="B736" s="1118"/>
      <c r="F736" s="1262"/>
    </row>
    <row r="737" ht="14.25" customHeight="1">
      <c r="B737" s="1118"/>
      <c r="F737" s="1262"/>
    </row>
    <row r="738" ht="14.25" customHeight="1">
      <c r="B738" s="1118"/>
      <c r="F738" s="1262"/>
    </row>
    <row r="739" ht="14.25" customHeight="1">
      <c r="B739" s="1118"/>
      <c r="F739" s="1262"/>
    </row>
    <row r="740" ht="14.25" customHeight="1">
      <c r="B740" s="1118"/>
      <c r="F740" s="1262"/>
    </row>
    <row r="741" ht="14.25" customHeight="1">
      <c r="B741" s="1118"/>
      <c r="F741" s="1262"/>
    </row>
    <row r="742" ht="14.25" customHeight="1">
      <c r="B742" s="1118"/>
      <c r="F742" s="1262"/>
    </row>
    <row r="743" ht="14.25" customHeight="1">
      <c r="B743" s="1118"/>
      <c r="F743" s="1262"/>
    </row>
    <row r="744" ht="14.25" customHeight="1">
      <c r="B744" s="1118"/>
      <c r="F744" s="1262"/>
    </row>
    <row r="745" ht="14.25" customHeight="1">
      <c r="B745" s="1118"/>
      <c r="F745" s="1262"/>
    </row>
    <row r="746" ht="14.25" customHeight="1">
      <c r="B746" s="1118"/>
      <c r="F746" s="1262"/>
    </row>
    <row r="747" ht="14.25" customHeight="1">
      <c r="B747" s="1118"/>
      <c r="F747" s="1262"/>
    </row>
    <row r="748" ht="14.25" customHeight="1">
      <c r="B748" s="1118"/>
      <c r="F748" s="1262"/>
    </row>
    <row r="749" ht="14.25" customHeight="1">
      <c r="B749" s="1118"/>
      <c r="F749" s="1262"/>
    </row>
    <row r="750" ht="14.25" customHeight="1">
      <c r="B750" s="1118"/>
      <c r="F750" s="1262"/>
    </row>
    <row r="751" ht="14.25" customHeight="1">
      <c r="B751" s="1118"/>
      <c r="F751" s="1262"/>
    </row>
    <row r="752" ht="14.25" customHeight="1">
      <c r="B752" s="1118"/>
      <c r="F752" s="1262"/>
    </row>
    <row r="753" ht="14.25" customHeight="1">
      <c r="B753" s="1118"/>
      <c r="F753" s="1262"/>
    </row>
    <row r="754" ht="14.25" customHeight="1">
      <c r="B754" s="1118"/>
      <c r="F754" s="1262"/>
    </row>
    <row r="755" ht="14.25" customHeight="1">
      <c r="B755" s="1118"/>
      <c r="F755" s="1262"/>
    </row>
    <row r="756" ht="14.25" customHeight="1">
      <c r="B756" s="1118"/>
      <c r="F756" s="1262"/>
    </row>
    <row r="757" ht="14.25" customHeight="1">
      <c r="B757" s="1118"/>
      <c r="F757" s="1262"/>
    </row>
    <row r="758" ht="14.25" customHeight="1">
      <c r="B758" s="1118"/>
      <c r="F758" s="1262"/>
    </row>
    <row r="759" ht="14.25" customHeight="1">
      <c r="B759" s="1118"/>
      <c r="F759" s="1262"/>
    </row>
    <row r="760" ht="14.25" customHeight="1">
      <c r="B760" s="1118"/>
      <c r="F760" s="1262"/>
    </row>
    <row r="761" ht="14.25" customHeight="1">
      <c r="B761" s="1118"/>
      <c r="F761" s="1262"/>
    </row>
    <row r="762" ht="14.25" customHeight="1">
      <c r="B762" s="1118"/>
      <c r="F762" s="1262"/>
    </row>
    <row r="763" ht="14.25" customHeight="1">
      <c r="B763" s="1118"/>
      <c r="F763" s="1262"/>
    </row>
    <row r="764" ht="14.25" customHeight="1">
      <c r="B764" s="1118"/>
      <c r="F764" s="1262"/>
    </row>
    <row r="765" ht="14.25" customHeight="1">
      <c r="B765" s="1118"/>
      <c r="F765" s="1262"/>
    </row>
    <row r="766" ht="14.25" customHeight="1">
      <c r="B766" s="1118"/>
      <c r="F766" s="1262"/>
    </row>
    <row r="767" ht="14.25" customHeight="1">
      <c r="B767" s="1118"/>
      <c r="F767" s="1262"/>
    </row>
    <row r="768" ht="14.25" customHeight="1">
      <c r="B768" s="1118"/>
      <c r="F768" s="1262"/>
    </row>
    <row r="769" ht="14.25" customHeight="1">
      <c r="B769" s="1118"/>
      <c r="F769" s="1262"/>
    </row>
    <row r="770" ht="14.25" customHeight="1">
      <c r="B770" s="1118"/>
      <c r="F770" s="1262"/>
    </row>
    <row r="771" ht="14.25" customHeight="1">
      <c r="B771" s="1118"/>
      <c r="F771" s="1262"/>
    </row>
    <row r="772" ht="14.25" customHeight="1">
      <c r="B772" s="1118"/>
      <c r="F772" s="1262"/>
    </row>
    <row r="773" ht="14.25" customHeight="1">
      <c r="B773" s="1118"/>
      <c r="F773" s="1262"/>
    </row>
    <row r="774" ht="14.25" customHeight="1">
      <c r="B774" s="1118"/>
      <c r="F774" s="1262"/>
    </row>
    <row r="775" ht="14.25" customHeight="1">
      <c r="B775" s="1118"/>
      <c r="F775" s="1262"/>
    </row>
    <row r="776" ht="14.25" customHeight="1">
      <c r="B776" s="1118"/>
      <c r="F776" s="1262"/>
    </row>
    <row r="777" ht="14.25" customHeight="1">
      <c r="B777" s="1118"/>
      <c r="F777" s="1262"/>
    </row>
    <row r="778" ht="14.25" customHeight="1">
      <c r="B778" s="1118"/>
      <c r="F778" s="1262"/>
    </row>
    <row r="779" ht="14.25" customHeight="1">
      <c r="B779" s="1118"/>
      <c r="F779" s="1262"/>
    </row>
    <row r="780" ht="14.25" customHeight="1">
      <c r="B780" s="1118"/>
      <c r="F780" s="1262"/>
    </row>
    <row r="781" ht="14.25" customHeight="1">
      <c r="B781" s="1118"/>
      <c r="F781" s="1262"/>
    </row>
    <row r="782" ht="14.25" customHeight="1">
      <c r="B782" s="1118"/>
      <c r="F782" s="1262"/>
    </row>
    <row r="783" ht="14.25" customHeight="1">
      <c r="B783" s="1118"/>
      <c r="F783" s="1262"/>
    </row>
    <row r="784" ht="14.25" customHeight="1">
      <c r="B784" s="1118"/>
      <c r="F784" s="1262"/>
    </row>
    <row r="785" ht="14.25" customHeight="1">
      <c r="B785" s="1118"/>
      <c r="F785" s="1262"/>
    </row>
    <row r="786" ht="14.25" customHeight="1">
      <c r="B786" s="1118"/>
      <c r="F786" s="1262"/>
    </row>
    <row r="787" ht="14.25" customHeight="1">
      <c r="B787" s="1118"/>
      <c r="F787" s="1262"/>
    </row>
    <row r="788" ht="14.25" customHeight="1">
      <c r="B788" s="1118"/>
      <c r="F788" s="1262"/>
    </row>
    <row r="789" ht="14.25" customHeight="1">
      <c r="B789" s="1118"/>
      <c r="F789" s="1262"/>
    </row>
    <row r="790" ht="14.25" customHeight="1">
      <c r="B790" s="1118"/>
      <c r="F790" s="1262"/>
    </row>
    <row r="791" ht="14.25" customHeight="1">
      <c r="B791" s="1118"/>
      <c r="F791" s="1262"/>
    </row>
    <row r="792" ht="14.25" customHeight="1">
      <c r="B792" s="1118"/>
      <c r="F792" s="1262"/>
    </row>
    <row r="793" ht="14.25" customHeight="1">
      <c r="B793" s="1118"/>
      <c r="F793" s="1262"/>
    </row>
    <row r="794" ht="14.25" customHeight="1">
      <c r="B794" s="1118"/>
      <c r="F794" s="1262"/>
    </row>
    <row r="795" ht="14.25" customHeight="1">
      <c r="B795" s="1118"/>
      <c r="F795" s="1262"/>
    </row>
    <row r="796" ht="14.25" customHeight="1">
      <c r="B796" s="1118"/>
      <c r="F796" s="1262"/>
    </row>
    <row r="797" ht="14.25" customHeight="1">
      <c r="B797" s="1118"/>
      <c r="F797" s="1262"/>
    </row>
    <row r="798" ht="14.25" customHeight="1">
      <c r="B798" s="1118"/>
      <c r="F798" s="1262"/>
    </row>
    <row r="799" ht="14.25" customHeight="1">
      <c r="B799" s="1118"/>
      <c r="F799" s="1262"/>
    </row>
    <row r="800" ht="14.25" customHeight="1">
      <c r="B800" s="1118"/>
      <c r="F800" s="1262"/>
    </row>
    <row r="801" ht="14.25" customHeight="1">
      <c r="B801" s="1118"/>
      <c r="F801" s="1262"/>
    </row>
    <row r="802" ht="14.25" customHeight="1">
      <c r="B802" s="1118"/>
      <c r="F802" s="1262"/>
    </row>
    <row r="803" ht="14.25" customHeight="1">
      <c r="B803" s="1118"/>
      <c r="F803" s="1262"/>
    </row>
    <row r="804" ht="14.25" customHeight="1">
      <c r="B804" s="1118"/>
      <c r="F804" s="1262"/>
    </row>
    <row r="805" ht="14.25" customHeight="1">
      <c r="B805" s="1118"/>
      <c r="F805" s="1262"/>
    </row>
    <row r="806" ht="14.25" customHeight="1">
      <c r="B806" s="1118"/>
      <c r="F806" s="1262"/>
    </row>
    <row r="807" ht="14.25" customHeight="1">
      <c r="B807" s="1118"/>
      <c r="F807" s="1262"/>
    </row>
    <row r="808" ht="14.25" customHeight="1">
      <c r="B808" s="1118"/>
      <c r="F808" s="1262"/>
    </row>
    <row r="809" ht="14.25" customHeight="1">
      <c r="B809" s="1118"/>
      <c r="F809" s="1262"/>
    </row>
    <row r="810" ht="14.25" customHeight="1">
      <c r="B810" s="1118"/>
      <c r="F810" s="1262"/>
    </row>
    <row r="811" ht="14.25" customHeight="1">
      <c r="B811" s="1118"/>
      <c r="F811" s="1262"/>
    </row>
    <row r="812" ht="14.25" customHeight="1">
      <c r="B812" s="1118"/>
      <c r="F812" s="1262"/>
    </row>
    <row r="813" ht="14.25" customHeight="1">
      <c r="B813" s="1118"/>
      <c r="F813" s="1262"/>
    </row>
    <row r="814" ht="14.25" customHeight="1">
      <c r="B814" s="1118"/>
      <c r="F814" s="1262"/>
    </row>
    <row r="815" ht="14.25" customHeight="1">
      <c r="B815" s="1118"/>
      <c r="F815" s="1262"/>
    </row>
    <row r="816" ht="14.25" customHeight="1">
      <c r="B816" s="1118"/>
      <c r="F816" s="1262"/>
    </row>
    <row r="817" ht="14.25" customHeight="1">
      <c r="B817" s="1118"/>
      <c r="F817" s="1262"/>
    </row>
    <row r="818" ht="14.25" customHeight="1">
      <c r="B818" s="1118"/>
      <c r="F818" s="1262"/>
    </row>
    <row r="819" ht="14.25" customHeight="1">
      <c r="B819" s="1118"/>
      <c r="F819" s="1262"/>
    </row>
    <row r="820" ht="14.25" customHeight="1">
      <c r="B820" s="1118"/>
      <c r="F820" s="1262"/>
    </row>
    <row r="821" ht="14.25" customHeight="1">
      <c r="B821" s="1118"/>
      <c r="F821" s="1262"/>
    </row>
    <row r="822" ht="14.25" customHeight="1">
      <c r="B822" s="1118"/>
      <c r="F822" s="1262"/>
    </row>
    <row r="823" ht="14.25" customHeight="1">
      <c r="B823" s="1118"/>
      <c r="F823" s="1262"/>
    </row>
    <row r="824" ht="14.25" customHeight="1">
      <c r="B824" s="1118"/>
      <c r="F824" s="1262"/>
    </row>
    <row r="825" ht="14.25" customHeight="1">
      <c r="B825" s="1118"/>
      <c r="F825" s="1262"/>
    </row>
    <row r="826" ht="14.25" customHeight="1">
      <c r="B826" s="1118"/>
      <c r="F826" s="1262"/>
    </row>
    <row r="827" ht="14.25" customHeight="1">
      <c r="B827" s="1118"/>
      <c r="F827" s="1262"/>
    </row>
    <row r="828" ht="14.25" customHeight="1">
      <c r="B828" s="1118"/>
      <c r="F828" s="1262"/>
    </row>
    <row r="829" ht="14.25" customHeight="1">
      <c r="B829" s="1118"/>
      <c r="F829" s="1262"/>
    </row>
    <row r="830" ht="14.25" customHeight="1">
      <c r="B830" s="1118"/>
      <c r="F830" s="1262"/>
    </row>
    <row r="831" ht="14.25" customHeight="1">
      <c r="B831" s="1118"/>
      <c r="F831" s="1262"/>
    </row>
    <row r="832" ht="14.25" customHeight="1">
      <c r="B832" s="1118"/>
      <c r="F832" s="1262"/>
    </row>
    <row r="833" ht="14.25" customHeight="1">
      <c r="B833" s="1118"/>
      <c r="F833" s="1262"/>
    </row>
    <row r="834" ht="14.25" customHeight="1">
      <c r="B834" s="1118"/>
      <c r="F834" s="1262"/>
    </row>
    <row r="835" ht="14.25" customHeight="1">
      <c r="B835" s="1118"/>
      <c r="F835" s="1262"/>
    </row>
    <row r="836" ht="14.25" customHeight="1">
      <c r="B836" s="1118"/>
      <c r="F836" s="1262"/>
    </row>
    <row r="837" ht="14.25" customHeight="1">
      <c r="B837" s="1118"/>
      <c r="F837" s="1262"/>
    </row>
    <row r="838" ht="14.25" customHeight="1">
      <c r="B838" s="1118"/>
      <c r="F838" s="1262"/>
    </row>
    <row r="839" ht="14.25" customHeight="1">
      <c r="B839" s="1118"/>
      <c r="F839" s="1262"/>
    </row>
    <row r="840" ht="14.25" customHeight="1">
      <c r="B840" s="1118"/>
      <c r="F840" s="1262"/>
    </row>
    <row r="841" ht="14.25" customHeight="1">
      <c r="B841" s="1118"/>
      <c r="F841" s="1262"/>
    </row>
    <row r="842" ht="14.25" customHeight="1">
      <c r="B842" s="1118"/>
      <c r="F842" s="1262"/>
    </row>
    <row r="843" ht="14.25" customHeight="1">
      <c r="B843" s="1118"/>
      <c r="F843" s="1262"/>
    </row>
    <row r="844" ht="14.25" customHeight="1">
      <c r="B844" s="1118"/>
      <c r="F844" s="1262"/>
    </row>
    <row r="845" ht="14.25" customHeight="1">
      <c r="B845" s="1118"/>
      <c r="F845" s="1262"/>
    </row>
    <row r="846" ht="14.25" customHeight="1">
      <c r="B846" s="1118"/>
      <c r="F846" s="1262"/>
    </row>
    <row r="847" ht="14.25" customHeight="1">
      <c r="B847" s="1118"/>
      <c r="F847" s="1262"/>
    </row>
    <row r="848" ht="14.25" customHeight="1">
      <c r="B848" s="1118"/>
      <c r="F848" s="1262"/>
    </row>
    <row r="849" ht="14.25" customHeight="1">
      <c r="B849" s="1118"/>
      <c r="F849" s="1262"/>
    </row>
    <row r="850" ht="14.25" customHeight="1">
      <c r="B850" s="1118"/>
      <c r="F850" s="1262"/>
    </row>
    <row r="851" ht="14.25" customHeight="1">
      <c r="B851" s="1118"/>
      <c r="F851" s="1262"/>
    </row>
    <row r="852" ht="14.25" customHeight="1">
      <c r="B852" s="1118"/>
      <c r="F852" s="1262"/>
    </row>
    <row r="853" ht="14.25" customHeight="1">
      <c r="B853" s="1118"/>
      <c r="F853" s="1262"/>
    </row>
    <row r="854" ht="14.25" customHeight="1">
      <c r="B854" s="1118"/>
      <c r="F854" s="1262"/>
    </row>
    <row r="855" ht="14.25" customHeight="1">
      <c r="B855" s="1118"/>
      <c r="F855" s="1262"/>
    </row>
    <row r="856" ht="14.25" customHeight="1">
      <c r="B856" s="1118"/>
      <c r="F856" s="1262"/>
    </row>
    <row r="857" ht="14.25" customHeight="1">
      <c r="B857" s="1118"/>
      <c r="F857" s="1262"/>
    </row>
    <row r="858" ht="14.25" customHeight="1">
      <c r="B858" s="1118"/>
      <c r="F858" s="1262"/>
    </row>
    <row r="859" ht="14.25" customHeight="1">
      <c r="B859" s="1118"/>
      <c r="F859" s="1262"/>
    </row>
    <row r="860" ht="14.25" customHeight="1">
      <c r="B860" s="1118"/>
      <c r="F860" s="1262"/>
    </row>
    <row r="861" ht="14.25" customHeight="1">
      <c r="B861" s="1118"/>
      <c r="F861" s="1262"/>
    </row>
    <row r="862" ht="14.25" customHeight="1">
      <c r="B862" s="1118"/>
      <c r="F862" s="1262"/>
    </row>
    <row r="863" ht="14.25" customHeight="1">
      <c r="B863" s="1118"/>
      <c r="F863" s="1262"/>
    </row>
    <row r="864" ht="14.25" customHeight="1">
      <c r="B864" s="1118"/>
      <c r="F864" s="1262"/>
    </row>
    <row r="865" ht="14.25" customHeight="1">
      <c r="B865" s="1118"/>
      <c r="F865" s="1262"/>
    </row>
    <row r="866" ht="14.25" customHeight="1">
      <c r="B866" s="1118"/>
      <c r="F866" s="1262"/>
    </row>
    <row r="867" ht="14.25" customHeight="1">
      <c r="B867" s="1118"/>
      <c r="F867" s="1262"/>
    </row>
    <row r="868" ht="14.25" customHeight="1">
      <c r="B868" s="1118"/>
      <c r="F868" s="1262"/>
    </row>
    <row r="869" ht="14.25" customHeight="1">
      <c r="B869" s="1118"/>
      <c r="F869" s="1262"/>
    </row>
    <row r="870" ht="14.25" customHeight="1">
      <c r="B870" s="1118"/>
      <c r="F870" s="1262"/>
    </row>
    <row r="871" ht="14.25" customHeight="1">
      <c r="B871" s="1118"/>
      <c r="F871" s="1262"/>
    </row>
    <row r="872" ht="14.25" customHeight="1">
      <c r="B872" s="1118"/>
      <c r="F872" s="1262"/>
    </row>
    <row r="873" ht="14.25" customHeight="1">
      <c r="B873" s="1118"/>
      <c r="F873" s="1262"/>
    </row>
    <row r="874" ht="14.25" customHeight="1">
      <c r="B874" s="1118"/>
      <c r="F874" s="1262"/>
    </row>
    <row r="875" ht="14.25" customHeight="1">
      <c r="B875" s="1118"/>
      <c r="F875" s="1262"/>
    </row>
    <row r="876" ht="14.25" customHeight="1">
      <c r="B876" s="1118"/>
      <c r="F876" s="1262"/>
    </row>
    <row r="877" ht="14.25" customHeight="1">
      <c r="B877" s="1118"/>
      <c r="F877" s="1262"/>
    </row>
    <row r="878" ht="14.25" customHeight="1">
      <c r="B878" s="1118"/>
      <c r="F878" s="1262"/>
    </row>
    <row r="879" ht="14.25" customHeight="1">
      <c r="B879" s="1118"/>
      <c r="F879" s="1262"/>
    </row>
    <row r="880" ht="14.25" customHeight="1">
      <c r="B880" s="1118"/>
      <c r="F880" s="1262"/>
    </row>
    <row r="881" ht="14.25" customHeight="1">
      <c r="B881" s="1118"/>
      <c r="F881" s="1262"/>
    </row>
    <row r="882" ht="14.25" customHeight="1">
      <c r="B882" s="1118"/>
      <c r="F882" s="1262"/>
    </row>
    <row r="883" ht="14.25" customHeight="1">
      <c r="B883" s="1118"/>
      <c r="F883" s="1262"/>
    </row>
    <row r="884" ht="14.25" customHeight="1">
      <c r="B884" s="1118"/>
      <c r="F884" s="1262"/>
    </row>
    <row r="885" ht="14.25" customHeight="1">
      <c r="B885" s="1118"/>
      <c r="F885" s="1262"/>
    </row>
    <row r="886" ht="14.25" customHeight="1">
      <c r="B886" s="1118"/>
      <c r="F886" s="1262"/>
    </row>
    <row r="887" ht="14.25" customHeight="1">
      <c r="B887" s="1118"/>
      <c r="F887" s="1262"/>
    </row>
    <row r="888" ht="14.25" customHeight="1">
      <c r="B888" s="1118"/>
      <c r="F888" s="1262"/>
    </row>
    <row r="889" ht="14.25" customHeight="1">
      <c r="B889" s="1118"/>
      <c r="F889" s="1262"/>
    </row>
    <row r="890" ht="14.25" customHeight="1">
      <c r="B890" s="1118"/>
      <c r="F890" s="1262"/>
    </row>
    <row r="891" ht="14.25" customHeight="1">
      <c r="B891" s="1118"/>
      <c r="F891" s="1262"/>
    </row>
    <row r="892" ht="14.25" customHeight="1">
      <c r="B892" s="1118"/>
      <c r="F892" s="1262"/>
    </row>
    <row r="893" ht="14.25" customHeight="1">
      <c r="B893" s="1118"/>
      <c r="F893" s="1262"/>
    </row>
    <row r="894" ht="14.25" customHeight="1">
      <c r="B894" s="1118"/>
      <c r="F894" s="1262"/>
    </row>
    <row r="895" ht="14.25" customHeight="1">
      <c r="B895" s="1118"/>
      <c r="F895" s="1262"/>
    </row>
    <row r="896" ht="14.25" customHeight="1">
      <c r="B896" s="1118"/>
      <c r="F896" s="1262"/>
    </row>
    <row r="897" ht="14.25" customHeight="1">
      <c r="B897" s="1118"/>
      <c r="F897" s="1262"/>
    </row>
    <row r="898" ht="14.25" customHeight="1">
      <c r="B898" s="1118"/>
      <c r="F898" s="1262"/>
    </row>
    <row r="899" ht="14.25" customHeight="1">
      <c r="B899" s="1118"/>
      <c r="F899" s="1262"/>
    </row>
    <row r="900" ht="14.25" customHeight="1">
      <c r="B900" s="1118"/>
      <c r="F900" s="1262"/>
    </row>
    <row r="901" ht="14.25" customHeight="1">
      <c r="B901" s="1118"/>
      <c r="F901" s="1262"/>
    </row>
    <row r="902" ht="14.25" customHeight="1">
      <c r="B902" s="1118"/>
      <c r="F902" s="1262"/>
    </row>
    <row r="903" ht="14.25" customHeight="1">
      <c r="B903" s="1118"/>
      <c r="F903" s="1262"/>
    </row>
    <row r="904" ht="14.25" customHeight="1">
      <c r="B904" s="1118"/>
      <c r="F904" s="1262"/>
    </row>
    <row r="905" ht="14.25" customHeight="1">
      <c r="B905" s="1118"/>
      <c r="F905" s="1262"/>
    </row>
    <row r="906" ht="14.25" customHeight="1">
      <c r="B906" s="1118"/>
      <c r="F906" s="1262"/>
    </row>
    <row r="907" ht="14.25" customHeight="1">
      <c r="B907" s="1118"/>
      <c r="F907" s="1262"/>
    </row>
    <row r="908" ht="14.25" customHeight="1">
      <c r="B908" s="1118"/>
      <c r="F908" s="1262"/>
    </row>
    <row r="909" ht="14.25" customHeight="1">
      <c r="B909" s="1118"/>
      <c r="F909" s="1262"/>
    </row>
    <row r="910" ht="14.25" customHeight="1">
      <c r="B910" s="1118"/>
      <c r="F910" s="1262"/>
    </row>
    <row r="911" ht="14.25" customHeight="1">
      <c r="B911" s="1118"/>
      <c r="F911" s="1262"/>
    </row>
    <row r="912" ht="14.25" customHeight="1">
      <c r="B912" s="1118"/>
      <c r="F912" s="1262"/>
    </row>
    <row r="913" ht="14.25" customHeight="1">
      <c r="B913" s="1118"/>
      <c r="F913" s="1262"/>
    </row>
    <row r="914" ht="14.25" customHeight="1">
      <c r="B914" s="1118"/>
      <c r="F914" s="1262"/>
    </row>
    <row r="915" ht="14.25" customHeight="1">
      <c r="B915" s="1118"/>
      <c r="F915" s="1262"/>
    </row>
    <row r="916" ht="14.25" customHeight="1">
      <c r="B916" s="1118"/>
      <c r="F916" s="1262"/>
    </row>
    <row r="917" ht="14.25" customHeight="1">
      <c r="B917" s="1118"/>
      <c r="F917" s="1262"/>
    </row>
    <row r="918" ht="14.25" customHeight="1">
      <c r="B918" s="1118"/>
      <c r="F918" s="1262"/>
    </row>
    <row r="919" ht="14.25" customHeight="1">
      <c r="B919" s="1118"/>
      <c r="F919" s="1262"/>
    </row>
    <row r="920" ht="14.25" customHeight="1">
      <c r="B920" s="1118"/>
      <c r="F920" s="1262"/>
    </row>
    <row r="921" ht="14.25" customHeight="1">
      <c r="B921" s="1118"/>
      <c r="F921" s="1262"/>
    </row>
    <row r="922" ht="14.25" customHeight="1">
      <c r="B922" s="1118"/>
      <c r="F922" s="1262"/>
    </row>
    <row r="923" ht="14.25" customHeight="1">
      <c r="B923" s="1118"/>
      <c r="F923" s="1262"/>
    </row>
    <row r="924" ht="14.25" customHeight="1">
      <c r="B924" s="1118"/>
      <c r="F924" s="1262"/>
    </row>
    <row r="925" ht="14.25" customHeight="1">
      <c r="B925" s="1118"/>
      <c r="F925" s="1262"/>
    </row>
    <row r="926" ht="14.25" customHeight="1">
      <c r="B926" s="1118"/>
      <c r="F926" s="1262"/>
    </row>
    <row r="927" ht="14.25" customHeight="1">
      <c r="B927" s="1118"/>
      <c r="F927" s="1262"/>
    </row>
    <row r="928" ht="14.25" customHeight="1">
      <c r="B928" s="1118"/>
      <c r="F928" s="1262"/>
    </row>
    <row r="929" ht="14.25" customHeight="1">
      <c r="B929" s="1118"/>
      <c r="F929" s="1262"/>
    </row>
    <row r="930" ht="14.25" customHeight="1">
      <c r="B930" s="1118"/>
      <c r="F930" s="1262"/>
    </row>
    <row r="931" ht="14.25" customHeight="1">
      <c r="B931" s="1118"/>
      <c r="F931" s="1262"/>
    </row>
    <row r="932" ht="14.25" customHeight="1">
      <c r="B932" s="1118"/>
      <c r="F932" s="1262"/>
    </row>
    <row r="933" ht="14.25" customHeight="1">
      <c r="B933" s="1118"/>
      <c r="F933" s="1262"/>
    </row>
    <row r="934" ht="14.25" customHeight="1">
      <c r="B934" s="1118"/>
      <c r="F934" s="1262"/>
    </row>
    <row r="935" ht="14.25" customHeight="1">
      <c r="B935" s="1118"/>
      <c r="F935" s="1262"/>
    </row>
    <row r="936" ht="14.25" customHeight="1">
      <c r="B936" s="1118"/>
      <c r="F936" s="1262"/>
    </row>
    <row r="937" ht="14.25" customHeight="1">
      <c r="B937" s="1118"/>
      <c r="F937" s="1262"/>
    </row>
    <row r="938" ht="14.25" customHeight="1">
      <c r="B938" s="1118"/>
      <c r="F938" s="1262"/>
    </row>
    <row r="939" ht="14.25" customHeight="1">
      <c r="B939" s="1118"/>
      <c r="F939" s="1262"/>
    </row>
    <row r="940" ht="14.25" customHeight="1">
      <c r="B940" s="1118"/>
      <c r="F940" s="1262"/>
    </row>
    <row r="941" ht="14.25" customHeight="1">
      <c r="B941" s="1118"/>
      <c r="F941" s="1262"/>
    </row>
    <row r="942" ht="14.25" customHeight="1">
      <c r="B942" s="1118"/>
      <c r="F942" s="1262"/>
    </row>
    <row r="943" ht="14.25" customHeight="1">
      <c r="B943" s="1118"/>
      <c r="F943" s="1262"/>
    </row>
    <row r="944" ht="14.25" customHeight="1">
      <c r="B944" s="1118"/>
      <c r="F944" s="1262"/>
    </row>
    <row r="945" ht="14.25" customHeight="1">
      <c r="B945" s="1118"/>
      <c r="F945" s="1262"/>
    </row>
    <row r="946" ht="14.25" customHeight="1">
      <c r="B946" s="1118"/>
      <c r="F946" s="1262"/>
    </row>
    <row r="947" ht="14.25" customHeight="1">
      <c r="B947" s="1118"/>
      <c r="F947" s="1262"/>
    </row>
    <row r="948" ht="14.25" customHeight="1">
      <c r="B948" s="1118"/>
      <c r="F948" s="1262"/>
    </row>
    <row r="949" ht="14.25" customHeight="1">
      <c r="B949" s="1118"/>
      <c r="F949" s="1262"/>
    </row>
    <row r="950" ht="14.25" customHeight="1">
      <c r="B950" s="1118"/>
      <c r="F950" s="1262"/>
    </row>
    <row r="951" ht="14.25" customHeight="1">
      <c r="B951" s="1118"/>
      <c r="F951" s="1262"/>
    </row>
    <row r="952" ht="14.25" customHeight="1">
      <c r="B952" s="1118"/>
      <c r="F952" s="1262"/>
    </row>
    <row r="953" ht="14.25" customHeight="1">
      <c r="B953" s="1118"/>
      <c r="F953" s="1262"/>
    </row>
    <row r="954" ht="14.25" customHeight="1">
      <c r="B954" s="1118"/>
      <c r="F954" s="1262"/>
    </row>
    <row r="955" ht="14.25" customHeight="1">
      <c r="B955" s="1118"/>
      <c r="F955" s="1262"/>
    </row>
    <row r="956" ht="14.25" customHeight="1">
      <c r="B956" s="1118"/>
      <c r="F956" s="1262"/>
    </row>
    <row r="957" ht="14.25" customHeight="1">
      <c r="B957" s="1118"/>
      <c r="F957" s="1262"/>
    </row>
    <row r="958" ht="14.25" customHeight="1">
      <c r="B958" s="1118"/>
      <c r="F958" s="1262"/>
    </row>
    <row r="959" ht="14.25" customHeight="1">
      <c r="B959" s="1118"/>
      <c r="F959" s="1262"/>
    </row>
    <row r="960" ht="14.25" customHeight="1">
      <c r="B960" s="1118"/>
      <c r="F960" s="1262"/>
    </row>
    <row r="961" ht="14.25" customHeight="1">
      <c r="B961" s="1118"/>
      <c r="F961" s="1262"/>
    </row>
    <row r="962" ht="14.25" customHeight="1">
      <c r="B962" s="1118"/>
      <c r="F962" s="1262"/>
    </row>
    <row r="963" ht="14.25" customHeight="1">
      <c r="B963" s="1118"/>
      <c r="F963" s="1262"/>
    </row>
    <row r="964" ht="14.25" customHeight="1">
      <c r="B964" s="1118"/>
      <c r="F964" s="1262"/>
    </row>
    <row r="965" ht="14.25" customHeight="1">
      <c r="B965" s="1118"/>
      <c r="F965" s="1262"/>
    </row>
    <row r="966" ht="14.25" customHeight="1">
      <c r="B966" s="1118"/>
      <c r="F966" s="1262"/>
    </row>
    <row r="967" ht="14.25" customHeight="1">
      <c r="B967" s="1118"/>
      <c r="F967" s="1262"/>
    </row>
  </sheetData>
  <autoFilter ref="$A$51:$F$67">
    <sortState ref="A51:F67">
      <sortCondition ref="A51:A67"/>
    </sortState>
  </autoFilter>
  <mergeCells count="30">
    <mergeCell ref="A1:C1"/>
    <mergeCell ref="D1:E1"/>
    <mergeCell ref="D2:E2"/>
    <mergeCell ref="I2:I3"/>
    <mergeCell ref="D10:E10"/>
    <mergeCell ref="D11:E11"/>
    <mergeCell ref="I11:I12"/>
    <mergeCell ref="A10:C10"/>
    <mergeCell ref="A20:C20"/>
    <mergeCell ref="D20:E20"/>
    <mergeCell ref="A30:C30"/>
    <mergeCell ref="D30:E30"/>
    <mergeCell ref="A50:C50"/>
    <mergeCell ref="D50:E50"/>
    <mergeCell ref="A83:C83"/>
    <mergeCell ref="D83:E83"/>
    <mergeCell ref="A92:C92"/>
    <mergeCell ref="D92:E92"/>
    <mergeCell ref="A96:C96"/>
    <mergeCell ref="D96:E96"/>
    <mergeCell ref="D103:E103"/>
    <mergeCell ref="A124:C124"/>
    <mergeCell ref="D124:E124"/>
    <mergeCell ref="A103:C103"/>
    <mergeCell ref="A106:C106"/>
    <mergeCell ref="D106:E106"/>
    <mergeCell ref="A116:C116"/>
    <mergeCell ref="D116:E116"/>
    <mergeCell ref="A120:C120"/>
    <mergeCell ref="D120:E120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FFCC"/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33.0"/>
    <col customWidth="1" min="3" max="3" width="45.71"/>
    <col customWidth="1" hidden="1" min="4" max="4" width="30.29"/>
    <col customWidth="1" min="5" max="5" width="24.14"/>
    <col customWidth="1" min="6" max="6" width="15.86"/>
    <col customWidth="1" min="7" max="29" width="10.71"/>
  </cols>
  <sheetData>
    <row r="1" ht="84.75" customHeight="1">
      <c r="A1" s="1263" t="s">
        <v>2725</v>
      </c>
      <c r="B1" s="744"/>
      <c r="C1" s="745"/>
      <c r="D1" s="1264" t="s">
        <v>1709</v>
      </c>
      <c r="E1" s="745"/>
      <c r="F1" s="1265" t="s">
        <v>1999</v>
      </c>
    </row>
    <row r="2" ht="36.0" customHeight="1">
      <c r="A2" s="1266" t="s">
        <v>1138</v>
      </c>
      <c r="B2" s="1267" t="s">
        <v>1139</v>
      </c>
      <c r="C2" s="1268" t="s">
        <v>119</v>
      </c>
      <c r="D2" s="1269" t="s">
        <v>1140</v>
      </c>
      <c r="E2" s="1179"/>
      <c r="F2" s="1270" t="s">
        <v>1141</v>
      </c>
    </row>
    <row r="3" ht="14.25" customHeight="1">
      <c r="A3" s="477">
        <v>45144.0</v>
      </c>
      <c r="B3" s="477" t="s">
        <v>2726</v>
      </c>
      <c r="C3" s="477" t="s">
        <v>2595</v>
      </c>
      <c r="D3" s="1188"/>
      <c r="E3" s="1189">
        <v>110000.0</v>
      </c>
      <c r="F3" s="1171" t="s">
        <v>1144</v>
      </c>
    </row>
    <row r="4" ht="14.25" customHeight="1">
      <c r="A4" s="477">
        <v>45146.0</v>
      </c>
      <c r="B4" s="477" t="s">
        <v>2726</v>
      </c>
      <c r="C4" s="477" t="s">
        <v>2608</v>
      </c>
      <c r="D4" s="1188"/>
      <c r="E4" s="1189">
        <v>110000.0</v>
      </c>
      <c r="F4" s="1171" t="s">
        <v>1144</v>
      </c>
    </row>
    <row r="5" ht="14.25" customHeight="1">
      <c r="A5" s="477">
        <v>45148.0</v>
      </c>
      <c r="B5" s="477" t="s">
        <v>2618</v>
      </c>
      <c r="C5" s="477" t="s">
        <v>2608</v>
      </c>
      <c r="D5" s="1188"/>
      <c r="E5" s="1189">
        <v>180000.0</v>
      </c>
      <c r="F5" s="1171" t="s">
        <v>1144</v>
      </c>
    </row>
    <row r="6" ht="14.25" customHeight="1">
      <c r="A6" s="1271"/>
      <c r="B6" s="1271"/>
      <c r="C6" s="1271"/>
      <c r="D6" s="1195"/>
      <c r="E6" s="1116"/>
      <c r="F6" s="520"/>
    </row>
    <row r="7" ht="14.25" customHeight="1">
      <c r="A7" s="1263" t="s">
        <v>2725</v>
      </c>
      <c r="B7" s="744"/>
      <c r="C7" s="745"/>
      <c r="D7" s="1264" t="s">
        <v>2619</v>
      </c>
      <c r="E7" s="745"/>
      <c r="F7" s="1265" t="s">
        <v>1999</v>
      </c>
    </row>
    <row r="8" ht="14.25" customHeight="1">
      <c r="A8" s="1195"/>
      <c r="B8" s="1195"/>
      <c r="C8" s="1195"/>
      <c r="D8" s="1195"/>
      <c r="E8" s="1116"/>
      <c r="F8" s="520"/>
    </row>
    <row r="9" ht="14.25" customHeight="1">
      <c r="A9" s="1195"/>
      <c r="B9" s="1195"/>
      <c r="C9" s="1195"/>
      <c r="D9" s="1195"/>
      <c r="E9" s="1116"/>
      <c r="F9" s="520"/>
    </row>
    <row r="10" ht="14.25" customHeight="1">
      <c r="A10" s="1195"/>
      <c r="B10" s="1195"/>
      <c r="C10" s="1195"/>
      <c r="D10" s="1195"/>
      <c r="E10" s="1116"/>
      <c r="F10" s="520"/>
    </row>
    <row r="11" ht="14.25" customHeight="1">
      <c r="A11" s="1195"/>
      <c r="B11" s="1195"/>
      <c r="C11" s="1195"/>
      <c r="D11" s="1195"/>
      <c r="E11" s="1116"/>
      <c r="F11" s="520"/>
    </row>
    <row r="12" ht="14.25" customHeight="1">
      <c r="A12" s="1195"/>
      <c r="B12" s="1195"/>
      <c r="C12" s="1195"/>
      <c r="D12" s="1195"/>
      <c r="E12" s="1116"/>
      <c r="F12" s="520"/>
    </row>
    <row r="13" ht="14.25" customHeight="1">
      <c r="A13" s="1195"/>
      <c r="B13" s="1195"/>
      <c r="C13" s="1195"/>
      <c r="D13" s="1195"/>
      <c r="E13" s="1116"/>
      <c r="F13" s="520"/>
    </row>
    <row r="14" ht="14.25" customHeight="1">
      <c r="A14" s="1263" t="s">
        <v>2725</v>
      </c>
      <c r="B14" s="744"/>
      <c r="C14" s="745"/>
      <c r="D14" s="1264" t="s">
        <v>2630</v>
      </c>
      <c r="E14" s="745"/>
      <c r="F14" s="1265" t="s">
        <v>1999</v>
      </c>
    </row>
    <row r="15" ht="14.25" customHeight="1">
      <c r="A15" s="477">
        <v>45254.0</v>
      </c>
      <c r="B15" s="1218" t="s">
        <v>2727</v>
      </c>
      <c r="C15" s="477" t="s">
        <v>2595</v>
      </c>
      <c r="D15" s="1188"/>
      <c r="E15" s="1189">
        <v>110000.0</v>
      </c>
      <c r="F15" s="1171" t="s">
        <v>1144</v>
      </c>
    </row>
    <row r="16" ht="14.25" customHeight="1">
      <c r="A16" s="477">
        <v>45257.0</v>
      </c>
      <c r="B16" s="1218" t="s">
        <v>2727</v>
      </c>
      <c r="C16" s="477" t="s">
        <v>2608</v>
      </c>
      <c r="D16" s="1188"/>
      <c r="E16" s="1189">
        <v>110000.0</v>
      </c>
      <c r="F16" s="1171" t="s">
        <v>1144</v>
      </c>
    </row>
    <row r="17" ht="14.25" customHeight="1">
      <c r="A17" s="477">
        <v>45254.0</v>
      </c>
      <c r="B17" s="456" t="s">
        <v>2728</v>
      </c>
      <c r="C17" s="477" t="s">
        <v>2595</v>
      </c>
      <c r="D17" s="1188"/>
      <c r="E17" s="1125">
        <v>147000.0</v>
      </c>
      <c r="F17" s="1171" t="s">
        <v>1144</v>
      </c>
    </row>
    <row r="18" ht="14.25" customHeight="1">
      <c r="A18" s="477">
        <v>45256.0</v>
      </c>
      <c r="B18" s="456" t="s">
        <v>2728</v>
      </c>
      <c r="C18" s="477" t="s">
        <v>2608</v>
      </c>
      <c r="D18" s="1188"/>
      <c r="E18" s="1189">
        <v>110000.0</v>
      </c>
      <c r="F18" s="1171" t="s">
        <v>1144</v>
      </c>
    </row>
    <row r="19" ht="14.25" customHeight="1">
      <c r="A19" s="1195"/>
      <c r="B19" s="1195"/>
      <c r="C19" s="1195"/>
      <c r="D19" s="1195"/>
      <c r="E19" s="1116"/>
      <c r="F19" s="520"/>
    </row>
    <row r="20" ht="14.25" customHeight="1">
      <c r="A20" s="1195"/>
      <c r="B20" s="1195"/>
      <c r="C20" s="1195"/>
      <c r="D20" s="1195"/>
      <c r="E20" s="1116"/>
      <c r="F20" s="520"/>
    </row>
    <row r="21" ht="14.25" customHeight="1">
      <c r="A21" s="1263" t="s">
        <v>2725</v>
      </c>
      <c r="B21" s="744"/>
      <c r="C21" s="745"/>
      <c r="D21" s="1272" t="s">
        <v>2631</v>
      </c>
      <c r="E21" s="745"/>
      <c r="F21" s="1265" t="s">
        <v>1999</v>
      </c>
    </row>
    <row r="22" ht="14.25" customHeight="1">
      <c r="A22" s="1195"/>
      <c r="B22" s="1195"/>
      <c r="C22" s="1195"/>
      <c r="D22" s="1195"/>
      <c r="E22" s="1116"/>
      <c r="F22" s="520"/>
    </row>
    <row r="23" ht="14.25" customHeight="1">
      <c r="A23" s="1273" t="s">
        <v>2725</v>
      </c>
      <c r="B23" s="744"/>
      <c r="C23" s="745"/>
      <c r="D23" s="1274" t="s">
        <v>2729</v>
      </c>
      <c r="E23" s="745"/>
      <c r="F23" s="1275" t="s">
        <v>1999</v>
      </c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19"/>
      <c r="W23" s="519"/>
      <c r="X23" s="519"/>
      <c r="Y23" s="519"/>
      <c r="Z23" s="519"/>
      <c r="AA23" s="519"/>
      <c r="AB23" s="519"/>
      <c r="AC23" s="519"/>
    </row>
    <row r="24" ht="14.25" customHeight="1">
      <c r="A24" s="477">
        <v>45314.0</v>
      </c>
      <c r="B24" s="1276" t="s">
        <v>2678</v>
      </c>
      <c r="C24" s="456" t="s">
        <v>2645</v>
      </c>
      <c r="D24" s="1188"/>
      <c r="E24" s="1125">
        <v>95000.0</v>
      </c>
      <c r="F24" s="456"/>
    </row>
    <row r="25" ht="14.25" customHeight="1">
      <c r="A25" s="477">
        <v>44951.0</v>
      </c>
      <c r="B25" s="1276" t="s">
        <v>2678</v>
      </c>
      <c r="C25" s="456" t="s">
        <v>2730</v>
      </c>
      <c r="D25" s="1188"/>
      <c r="E25" s="1125">
        <v>95000.0</v>
      </c>
      <c r="F25" s="456"/>
    </row>
    <row r="26" ht="14.25" customHeight="1">
      <c r="A26" s="1188"/>
      <c r="B26" s="1188"/>
      <c r="C26" s="1188"/>
      <c r="D26" s="1188"/>
      <c r="E26" s="1188"/>
      <c r="F26" s="1188"/>
    </row>
    <row r="27" ht="14.25" customHeight="1">
      <c r="A27" s="591"/>
      <c r="B27" s="591"/>
      <c r="C27" s="591"/>
      <c r="D27" s="1277"/>
      <c r="E27" s="1277"/>
      <c r="F27" s="591"/>
    </row>
    <row r="28" ht="14.25" customHeight="1">
      <c r="A28" s="1273" t="s">
        <v>2725</v>
      </c>
      <c r="B28" s="744"/>
      <c r="C28" s="745"/>
      <c r="D28" s="1195"/>
      <c r="E28" s="1278" t="s">
        <v>2526</v>
      </c>
      <c r="F28" s="1279" t="s">
        <v>1999</v>
      </c>
      <c r="G28" s="519"/>
      <c r="H28" s="469"/>
      <c r="I28" s="519"/>
      <c r="J28" s="519"/>
      <c r="K28" s="519"/>
      <c r="L28" s="519"/>
      <c r="M28" s="519"/>
      <c r="N28" s="519"/>
      <c r="O28" s="519"/>
      <c r="P28" s="519"/>
      <c r="Q28" s="519"/>
      <c r="R28" s="519"/>
      <c r="S28" s="519"/>
      <c r="T28" s="519"/>
      <c r="U28" s="519"/>
      <c r="V28" s="519"/>
      <c r="W28" s="519"/>
      <c r="X28" s="519"/>
      <c r="Y28" s="519"/>
      <c r="Z28" s="519"/>
      <c r="AA28" s="519"/>
      <c r="AB28" s="519"/>
      <c r="AC28" s="519"/>
    </row>
    <row r="29" ht="22.5" customHeight="1">
      <c r="A29" s="591"/>
      <c r="B29" s="591"/>
      <c r="C29" s="591"/>
      <c r="D29" s="1280"/>
      <c r="E29" s="591"/>
      <c r="F29" s="591"/>
    </row>
    <row r="30" ht="22.5" customHeight="1">
      <c r="A30" s="591"/>
      <c r="B30" s="591"/>
      <c r="C30" s="591"/>
      <c r="D30" s="591"/>
      <c r="E30" s="591"/>
      <c r="F30" s="591"/>
    </row>
    <row r="31" ht="14.25" customHeight="1">
      <c r="A31" s="591"/>
      <c r="B31" s="591"/>
      <c r="C31" s="591"/>
      <c r="D31" s="591"/>
      <c r="E31" s="591"/>
      <c r="F31" s="591"/>
    </row>
    <row r="32" ht="14.25" customHeight="1">
      <c r="A32" s="591"/>
      <c r="B32" s="591"/>
      <c r="C32" s="591"/>
      <c r="D32" s="591"/>
      <c r="E32" s="591"/>
      <c r="F32" s="591"/>
    </row>
    <row r="33" ht="14.25" customHeight="1">
      <c r="A33" s="591"/>
      <c r="B33" s="591"/>
      <c r="C33" s="591"/>
      <c r="D33" s="591"/>
      <c r="E33" s="591"/>
      <c r="F33" s="591"/>
    </row>
    <row r="34" ht="14.25" customHeight="1">
      <c r="A34" s="591"/>
      <c r="B34" s="591"/>
      <c r="C34" s="591"/>
      <c r="D34" s="591"/>
      <c r="E34" s="591"/>
      <c r="F34" s="591"/>
    </row>
    <row r="35" ht="14.25" customHeight="1">
      <c r="A35" s="1273" t="s">
        <v>2725</v>
      </c>
      <c r="B35" s="744"/>
      <c r="C35" s="745"/>
      <c r="D35" s="1195"/>
      <c r="E35" s="1278" t="s">
        <v>2527</v>
      </c>
      <c r="F35" s="1279" t="s">
        <v>1999</v>
      </c>
      <c r="G35" s="519"/>
      <c r="H35" s="469"/>
      <c r="I35" s="519"/>
      <c r="J35" s="519"/>
      <c r="K35" s="519"/>
      <c r="L35" s="519"/>
      <c r="M35" s="519"/>
      <c r="N35" s="519"/>
      <c r="O35" s="519"/>
      <c r="P35" s="519"/>
      <c r="Q35" s="519"/>
      <c r="R35" s="519"/>
      <c r="S35" s="519"/>
      <c r="T35" s="519"/>
      <c r="U35" s="519"/>
      <c r="V35" s="519"/>
      <c r="W35" s="519"/>
      <c r="X35" s="519"/>
      <c r="Y35" s="519"/>
      <c r="Z35" s="519"/>
      <c r="AA35" s="519"/>
      <c r="AB35" s="519"/>
      <c r="AC35" s="519"/>
    </row>
    <row r="36" ht="14.25" customHeight="1">
      <c r="A36" s="591"/>
      <c r="B36" s="591"/>
      <c r="C36" s="591"/>
      <c r="D36" s="591"/>
      <c r="E36" s="591"/>
      <c r="F36" s="591"/>
    </row>
    <row r="37" ht="14.25" customHeight="1">
      <c r="A37" s="591"/>
      <c r="B37" s="591"/>
      <c r="C37" s="591"/>
      <c r="D37" s="591"/>
      <c r="E37" s="591"/>
      <c r="F37" s="591"/>
    </row>
    <row r="38" ht="14.25" customHeight="1">
      <c r="A38" s="591"/>
      <c r="B38" s="591"/>
      <c r="C38" s="591"/>
      <c r="D38" s="591"/>
      <c r="E38" s="591"/>
      <c r="F38" s="591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13">
    <mergeCell ref="A21:C21"/>
    <mergeCell ref="D21:E21"/>
    <mergeCell ref="A23:C23"/>
    <mergeCell ref="D23:E23"/>
    <mergeCell ref="A28:C28"/>
    <mergeCell ref="A35:C35"/>
    <mergeCell ref="A1:C1"/>
    <mergeCell ref="D1:E1"/>
    <mergeCell ref="D2:E2"/>
    <mergeCell ref="A7:C7"/>
    <mergeCell ref="D7:E7"/>
    <mergeCell ref="A14:C14"/>
    <mergeCell ref="D14:E1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5.86"/>
    <col customWidth="1" min="3" max="3" width="42.29"/>
    <col customWidth="1" hidden="1" min="4" max="4" width="12.43"/>
    <col customWidth="1" min="5" max="5" width="22.71"/>
    <col customWidth="1" min="6" max="6" width="51.43"/>
    <col customWidth="1" min="7" max="8" width="10.71"/>
    <col customWidth="1" min="9" max="9" width="11.29"/>
    <col customWidth="1" min="10" max="10" width="12.71"/>
    <col customWidth="1" min="11" max="11" width="12.0"/>
    <col customWidth="1" min="12" max="26" width="10.71"/>
  </cols>
  <sheetData>
    <row r="1" ht="84.75" customHeight="1">
      <c r="A1" s="1281" t="s">
        <v>2731</v>
      </c>
      <c r="B1" s="744"/>
      <c r="C1" s="745"/>
      <c r="D1" s="1272" t="s">
        <v>2630</v>
      </c>
      <c r="E1" s="745"/>
      <c r="F1" s="1265" t="s">
        <v>1999</v>
      </c>
    </row>
    <row r="2" ht="36.0" customHeight="1">
      <c r="A2" s="1266" t="s">
        <v>1138</v>
      </c>
      <c r="B2" s="1267" t="s">
        <v>1139</v>
      </c>
      <c r="C2" s="1268" t="s">
        <v>119</v>
      </c>
      <c r="D2" s="1269" t="s">
        <v>1140</v>
      </c>
      <c r="E2" s="1179"/>
      <c r="F2" s="1270" t="s">
        <v>1141</v>
      </c>
      <c r="I2" s="1244" t="s">
        <v>2732</v>
      </c>
      <c r="J2" s="1244" t="s">
        <v>2733</v>
      </c>
      <c r="K2" s="1244" t="s">
        <v>2734</v>
      </c>
      <c r="L2" s="1282" t="s">
        <v>2735</v>
      </c>
    </row>
    <row r="3" ht="14.25" customHeight="1">
      <c r="A3" s="1283">
        <v>45237.0</v>
      </c>
      <c r="B3" s="1136" t="s">
        <v>2736</v>
      </c>
      <c r="C3" s="1284" t="s">
        <v>2737</v>
      </c>
      <c r="D3" s="1195"/>
      <c r="E3" s="1285"/>
      <c r="F3" s="1286" t="s">
        <v>2738</v>
      </c>
      <c r="I3" s="1287"/>
      <c r="J3" s="1288"/>
      <c r="K3" s="1289"/>
      <c r="L3" s="1290"/>
    </row>
    <row r="4" ht="14.25" customHeight="1">
      <c r="A4" s="1283">
        <v>45237.0</v>
      </c>
      <c r="B4" s="1136" t="s">
        <v>2736</v>
      </c>
      <c r="C4" s="1284" t="s">
        <v>2739</v>
      </c>
      <c r="D4" s="1195"/>
      <c r="E4" s="1285"/>
      <c r="F4" s="1286" t="s">
        <v>2740</v>
      </c>
    </row>
    <row r="5" ht="14.25" customHeight="1">
      <c r="A5" s="1291">
        <v>45258.0</v>
      </c>
      <c r="B5" s="520" t="s">
        <v>2741</v>
      </c>
      <c r="C5" s="1284" t="s">
        <v>2742</v>
      </c>
      <c r="D5" s="1195"/>
      <c r="E5" s="1285"/>
      <c r="F5" s="1286" t="s">
        <v>2743</v>
      </c>
    </row>
    <row r="6" ht="14.25" customHeight="1">
      <c r="A6" s="1291">
        <v>45258.0</v>
      </c>
      <c r="B6" s="520" t="s">
        <v>2741</v>
      </c>
      <c r="C6" s="1284" t="s">
        <v>2744</v>
      </c>
      <c r="D6" s="1195"/>
      <c r="E6" s="1285"/>
      <c r="F6" s="1286" t="s">
        <v>2743</v>
      </c>
    </row>
    <row r="7" ht="14.25" customHeight="1">
      <c r="A7" s="1271"/>
      <c r="B7" s="1271"/>
      <c r="C7" s="1271"/>
      <c r="D7" s="1195"/>
      <c r="E7" s="1116"/>
      <c r="F7" s="520"/>
    </row>
    <row r="8" ht="14.25" customHeight="1">
      <c r="A8" s="1281" t="s">
        <v>2731</v>
      </c>
      <c r="B8" s="744"/>
      <c r="C8" s="745"/>
      <c r="D8" s="1272" t="s">
        <v>2631</v>
      </c>
      <c r="E8" s="745"/>
      <c r="F8" s="1265" t="s">
        <v>1999</v>
      </c>
    </row>
    <row r="9" ht="14.25" customHeight="1">
      <c r="A9" s="1292">
        <v>45288.0</v>
      </c>
      <c r="B9" s="1136" t="s">
        <v>2745</v>
      </c>
      <c r="C9" s="1284" t="s">
        <v>1299</v>
      </c>
      <c r="D9" s="1195"/>
      <c r="E9" s="1116"/>
      <c r="F9" s="1114" t="s">
        <v>2746</v>
      </c>
    </row>
    <row r="10" ht="14.25" customHeight="1">
      <c r="A10" s="1292">
        <v>45288.0</v>
      </c>
      <c r="B10" s="1136" t="s">
        <v>2745</v>
      </c>
      <c r="C10" s="1284" t="s">
        <v>2747</v>
      </c>
      <c r="D10" s="1195"/>
      <c r="E10" s="1116"/>
      <c r="F10" s="1114" t="s">
        <v>2746</v>
      </c>
    </row>
    <row r="11" ht="14.25" customHeight="1">
      <c r="A11" s="1292">
        <v>45288.0</v>
      </c>
      <c r="B11" s="1136" t="s">
        <v>2745</v>
      </c>
      <c r="C11" s="1284" t="s">
        <v>2744</v>
      </c>
      <c r="D11" s="1195"/>
      <c r="E11" s="1116"/>
      <c r="F11" s="1114" t="s">
        <v>2746</v>
      </c>
    </row>
    <row r="12" ht="14.25" customHeight="1">
      <c r="A12" s="1293">
        <v>45261.0</v>
      </c>
      <c r="B12" s="1131" t="s">
        <v>2640</v>
      </c>
      <c r="C12" s="1284" t="s">
        <v>1299</v>
      </c>
      <c r="D12" s="1195"/>
      <c r="E12" s="1116"/>
      <c r="F12" s="1286" t="s">
        <v>2743</v>
      </c>
    </row>
    <row r="13" ht="14.25" customHeight="1">
      <c r="A13" s="1293">
        <v>45261.0</v>
      </c>
      <c r="B13" s="1294" t="s">
        <v>2640</v>
      </c>
      <c r="C13" s="1134" t="s">
        <v>2643</v>
      </c>
      <c r="D13" s="1195"/>
      <c r="E13" s="1116"/>
      <c r="F13" s="1286" t="s">
        <v>2743</v>
      </c>
    </row>
    <row r="14" ht="14.25" customHeight="1">
      <c r="A14" s="1271">
        <v>45271.0</v>
      </c>
      <c r="B14" s="1136" t="s">
        <v>1147</v>
      </c>
      <c r="C14" s="1134" t="s">
        <v>2643</v>
      </c>
      <c r="D14" s="1195"/>
      <c r="E14" s="1116"/>
      <c r="F14" s="1286" t="s">
        <v>2743</v>
      </c>
    </row>
    <row r="15" ht="14.25" customHeight="1">
      <c r="A15" s="1271">
        <v>45271.0</v>
      </c>
      <c r="B15" s="1136" t="s">
        <v>1147</v>
      </c>
      <c r="C15" s="1284" t="s">
        <v>1299</v>
      </c>
      <c r="D15" s="1195"/>
      <c r="E15" s="1116"/>
      <c r="F15" s="1286" t="s">
        <v>2743</v>
      </c>
    </row>
    <row r="16" ht="14.25" customHeight="1">
      <c r="A16" s="1291">
        <v>45290.0</v>
      </c>
      <c r="B16" s="1295" t="s">
        <v>1164</v>
      </c>
      <c r="C16" s="1134" t="s">
        <v>2748</v>
      </c>
      <c r="D16" s="1195"/>
      <c r="E16" s="1116"/>
      <c r="F16" s="1114" t="s">
        <v>2746</v>
      </c>
    </row>
    <row r="17" ht="14.25" customHeight="1">
      <c r="A17" s="1291">
        <v>45290.0</v>
      </c>
      <c r="B17" s="1136" t="s">
        <v>1164</v>
      </c>
      <c r="C17" s="1284" t="s">
        <v>1299</v>
      </c>
      <c r="D17" s="1195"/>
      <c r="E17" s="1116"/>
      <c r="F17" s="1114" t="s">
        <v>2746</v>
      </c>
    </row>
    <row r="18" ht="14.25" customHeight="1">
      <c r="A18" s="1296"/>
      <c r="B18" s="1297"/>
      <c r="C18" s="1298"/>
      <c r="D18" s="1299"/>
      <c r="E18" s="1296"/>
      <c r="F18" s="520"/>
    </row>
    <row r="19" ht="14.25" customHeight="1">
      <c r="A19" s="1281" t="s">
        <v>2731</v>
      </c>
      <c r="B19" s="744"/>
      <c r="C19" s="745"/>
      <c r="D19" s="1272" t="s">
        <v>2729</v>
      </c>
      <c r="E19" s="745"/>
      <c r="F19" s="1265" t="s">
        <v>1999</v>
      </c>
    </row>
    <row r="20" ht="14.25" customHeight="1">
      <c r="A20" s="1300">
        <v>45306.0</v>
      </c>
      <c r="B20" s="1136" t="s">
        <v>1221</v>
      </c>
      <c r="C20" s="1284" t="s">
        <v>2742</v>
      </c>
      <c r="D20" s="1195"/>
      <c r="E20" s="1285"/>
      <c r="F20" s="1286" t="s">
        <v>2743</v>
      </c>
    </row>
    <row r="21" ht="14.25" customHeight="1">
      <c r="A21" s="1300">
        <v>45306.0</v>
      </c>
      <c r="B21" s="1136" t="s">
        <v>1221</v>
      </c>
      <c r="C21" s="1284" t="s">
        <v>2749</v>
      </c>
      <c r="D21" s="1195"/>
      <c r="E21" s="1285"/>
      <c r="F21" s="1286" t="s">
        <v>2743</v>
      </c>
    </row>
    <row r="22" ht="14.25" customHeight="1">
      <c r="A22" s="1300">
        <v>45306.0</v>
      </c>
      <c r="B22" s="1136" t="s">
        <v>1221</v>
      </c>
      <c r="C22" s="1284" t="s">
        <v>2744</v>
      </c>
      <c r="D22" s="1195"/>
      <c r="E22" s="1116"/>
      <c r="F22" s="1286" t="s">
        <v>2743</v>
      </c>
    </row>
    <row r="23" ht="14.25" customHeight="1">
      <c r="A23" s="1271">
        <v>45306.0</v>
      </c>
      <c r="B23" s="1301" t="s">
        <v>1197</v>
      </c>
      <c r="C23" s="1284" t="s">
        <v>1299</v>
      </c>
      <c r="D23" s="1195"/>
      <c r="E23" s="1116"/>
      <c r="F23" s="1114" t="s">
        <v>2750</v>
      </c>
    </row>
    <row r="24" ht="14.25" customHeight="1">
      <c r="A24" s="1271">
        <v>45306.0</v>
      </c>
      <c r="B24" s="1301" t="s">
        <v>1197</v>
      </c>
      <c r="C24" s="1284" t="s">
        <v>2751</v>
      </c>
      <c r="D24" s="1195"/>
      <c r="E24" s="1116"/>
      <c r="F24" s="1114" t="s">
        <v>2750</v>
      </c>
    </row>
    <row r="25" ht="14.25" customHeight="1">
      <c r="A25" s="1195"/>
      <c r="B25" s="1302"/>
      <c r="C25" s="1284"/>
      <c r="D25" s="1195"/>
      <c r="E25" s="1116"/>
      <c r="F25" s="1134"/>
    </row>
    <row r="26" ht="14.25" customHeight="1">
      <c r="A26" s="1195"/>
      <c r="B26" s="1195"/>
      <c r="C26" s="1195"/>
      <c r="D26" s="1195"/>
      <c r="E26" s="1116"/>
      <c r="F26" s="520"/>
    </row>
    <row r="27" ht="14.25" customHeight="1">
      <c r="A27" s="1195"/>
      <c r="B27" s="1195"/>
      <c r="C27" s="1195"/>
      <c r="D27" s="1195"/>
      <c r="E27" s="1116"/>
      <c r="F27" s="520"/>
    </row>
    <row r="28" ht="14.25" customHeight="1">
      <c r="A28" s="1195"/>
      <c r="B28" s="1195"/>
      <c r="C28" s="1195"/>
      <c r="D28" s="1195"/>
      <c r="E28" s="1116"/>
      <c r="F28" s="520"/>
    </row>
    <row r="29" ht="14.25" customHeight="1">
      <c r="A29" s="1195"/>
      <c r="B29" s="1195"/>
      <c r="C29" s="1195"/>
      <c r="D29" s="1195"/>
      <c r="E29" s="1116"/>
      <c r="F29" s="520"/>
    </row>
    <row r="30" ht="14.25" customHeight="1">
      <c r="A30" s="1281" t="s">
        <v>2731</v>
      </c>
      <c r="B30" s="744"/>
      <c r="C30" s="745"/>
      <c r="D30" s="1272" t="s">
        <v>2752</v>
      </c>
      <c r="E30" s="745"/>
      <c r="F30" s="1265" t="s">
        <v>1999</v>
      </c>
    </row>
    <row r="31" ht="14.25" customHeight="1">
      <c r="A31" s="1300">
        <v>45333.0</v>
      </c>
      <c r="B31" s="1303" t="s">
        <v>1265</v>
      </c>
      <c r="C31" s="1284" t="s">
        <v>2751</v>
      </c>
      <c r="D31" s="1195"/>
      <c r="E31" s="1116" t="s">
        <v>2753</v>
      </c>
      <c r="F31" s="1286" t="s">
        <v>2743</v>
      </c>
    </row>
    <row r="32" ht="14.25" customHeight="1">
      <c r="A32" s="1300">
        <v>45333.0</v>
      </c>
      <c r="B32" s="1303" t="s">
        <v>1265</v>
      </c>
      <c r="C32" s="1284" t="s">
        <v>1299</v>
      </c>
      <c r="D32" s="1195"/>
      <c r="E32" s="1116" t="s">
        <v>2489</v>
      </c>
      <c r="F32" s="1286" t="s">
        <v>2743</v>
      </c>
    </row>
    <row r="33" ht="14.25" customHeight="1">
      <c r="A33" s="1300"/>
      <c r="B33" s="1136"/>
      <c r="C33" s="1284"/>
      <c r="D33" s="1195"/>
      <c r="E33" s="1116"/>
      <c r="F33" s="1134"/>
    </row>
    <row r="34" ht="14.25" customHeight="1">
      <c r="A34" s="1195"/>
      <c r="B34" s="1136"/>
      <c r="C34" s="1195"/>
      <c r="D34" s="1195"/>
      <c r="E34" s="1116"/>
      <c r="F34" s="520"/>
    </row>
    <row r="35" ht="14.25" customHeight="1">
      <c r="A35" s="1195"/>
      <c r="B35" s="1195"/>
      <c r="C35" s="1195"/>
      <c r="D35" s="1195"/>
      <c r="E35" s="1116"/>
      <c r="F35" s="520"/>
    </row>
    <row r="36" ht="14.25" customHeight="1">
      <c r="A36" s="1195"/>
      <c r="B36" s="1195"/>
      <c r="C36" s="1195"/>
      <c r="D36" s="1195"/>
      <c r="E36" s="1116"/>
      <c r="F36" s="520"/>
    </row>
    <row r="37" ht="14.25" customHeight="1">
      <c r="A37" s="1195"/>
      <c r="B37" s="1195"/>
      <c r="C37" s="1195"/>
      <c r="D37" s="1195"/>
      <c r="E37" s="1116"/>
      <c r="F37" s="520"/>
    </row>
    <row r="38" ht="14.25" customHeight="1">
      <c r="A38" s="1195"/>
      <c r="B38" s="1195"/>
      <c r="C38" s="1195"/>
      <c r="D38" s="1195"/>
      <c r="E38" s="1116"/>
      <c r="F38" s="520"/>
    </row>
    <row r="39" ht="14.25" customHeight="1">
      <c r="A39" s="1195"/>
      <c r="B39" s="1195"/>
      <c r="C39" s="1195"/>
      <c r="D39" s="1195"/>
      <c r="E39" s="1116"/>
      <c r="F39" s="520"/>
    </row>
    <row r="40" ht="14.25" customHeight="1">
      <c r="A40" s="1195"/>
      <c r="B40" s="1195"/>
      <c r="C40" s="1195"/>
      <c r="D40" s="1195"/>
      <c r="E40" s="1116"/>
      <c r="F40" s="520"/>
    </row>
    <row r="41" ht="14.25" customHeight="1">
      <c r="A41" s="1195"/>
      <c r="B41" s="1195"/>
      <c r="C41" s="1195"/>
      <c r="D41" s="1195"/>
      <c r="E41" s="1116"/>
      <c r="F41" s="520"/>
    </row>
    <row r="42" ht="14.25" customHeight="1">
      <c r="A42" s="1273" t="s">
        <v>2731</v>
      </c>
      <c r="B42" s="744"/>
      <c r="C42" s="745"/>
      <c r="D42" s="1274" t="s">
        <v>2754</v>
      </c>
      <c r="E42" s="745"/>
      <c r="F42" s="1275" t="s">
        <v>1999</v>
      </c>
    </row>
    <row r="43" ht="14.25" customHeight="1">
      <c r="A43" s="1304">
        <v>45364.0</v>
      </c>
      <c r="B43" s="1241" t="s">
        <v>1292</v>
      </c>
      <c r="C43" s="1284" t="s">
        <v>1299</v>
      </c>
      <c r="D43" s="1305"/>
      <c r="E43" s="1116" t="s">
        <v>2753</v>
      </c>
      <c r="F43" s="1306" t="s">
        <v>2755</v>
      </c>
    </row>
    <row r="44" ht="14.25" customHeight="1">
      <c r="A44" s="1304">
        <v>45364.0</v>
      </c>
      <c r="B44" s="1241" t="s">
        <v>1292</v>
      </c>
      <c r="C44" s="1284" t="s">
        <v>2739</v>
      </c>
      <c r="D44" s="1305"/>
      <c r="E44" s="1116" t="s">
        <v>2489</v>
      </c>
      <c r="F44" s="1307" t="s">
        <v>2733</v>
      </c>
    </row>
    <row r="45" ht="14.25" customHeight="1">
      <c r="A45" s="1308"/>
      <c r="B45" s="1309"/>
      <c r="C45" s="1310"/>
      <c r="D45" s="1305"/>
      <c r="E45" s="1311"/>
      <c r="F45" s="1312"/>
    </row>
    <row r="46" ht="14.25" customHeight="1">
      <c r="A46" s="1313"/>
      <c r="B46" s="1314"/>
      <c r="C46" s="1305"/>
      <c r="D46" s="1305"/>
      <c r="E46" s="1311"/>
      <c r="F46" s="1311"/>
    </row>
    <row r="47" ht="14.25" customHeight="1">
      <c r="A47" s="1313"/>
      <c r="B47" s="1305"/>
      <c r="C47" s="1305"/>
      <c r="D47" s="1305"/>
      <c r="E47" s="1311"/>
      <c r="F47" s="1311"/>
    </row>
    <row r="48" ht="14.25" customHeight="1">
      <c r="A48" s="1313"/>
      <c r="B48" s="1305"/>
      <c r="C48" s="1305"/>
      <c r="D48" s="1305"/>
      <c r="E48" s="1305"/>
      <c r="F48" s="1305"/>
    </row>
    <row r="49" ht="14.25" customHeight="1">
      <c r="A49" s="1273" t="s">
        <v>2731</v>
      </c>
      <c r="B49" s="744"/>
      <c r="C49" s="745"/>
      <c r="D49" s="1274" t="s">
        <v>2528</v>
      </c>
      <c r="E49" s="745"/>
      <c r="F49" s="1275" t="s">
        <v>1999</v>
      </c>
    </row>
    <row r="50" ht="14.25" customHeight="1">
      <c r="A50" s="1315">
        <v>45295.0</v>
      </c>
      <c r="B50" s="1301" t="s">
        <v>2691</v>
      </c>
      <c r="C50" s="1284" t="s">
        <v>1299</v>
      </c>
      <c r="D50" s="1305"/>
      <c r="E50" s="1116" t="s">
        <v>2753</v>
      </c>
      <c r="F50" s="1307" t="s">
        <v>2733</v>
      </c>
    </row>
    <row r="51" ht="14.25" customHeight="1">
      <c r="A51" s="1315">
        <v>45295.0</v>
      </c>
      <c r="B51" s="1301" t="s">
        <v>2691</v>
      </c>
      <c r="C51" s="1284" t="s">
        <v>2739</v>
      </c>
      <c r="D51" s="1305"/>
      <c r="E51" s="1316" t="s">
        <v>2756</v>
      </c>
      <c r="F51" s="1307" t="s">
        <v>2733</v>
      </c>
    </row>
    <row r="52" ht="14.25" customHeight="1">
      <c r="A52" s="1313"/>
      <c r="B52" s="1305"/>
      <c r="C52" s="1305"/>
      <c r="D52" s="1305"/>
      <c r="E52" s="1311"/>
      <c r="F52" s="1311"/>
    </row>
    <row r="53" ht="14.25" customHeight="1">
      <c r="A53" s="1313"/>
      <c r="B53" s="1305"/>
      <c r="C53" s="1305"/>
      <c r="D53" s="1305"/>
      <c r="E53" s="1311"/>
      <c r="F53" s="1311"/>
    </row>
    <row r="54" ht="14.25" customHeight="1">
      <c r="A54" s="1273" t="s">
        <v>2731</v>
      </c>
      <c r="B54" s="744"/>
      <c r="C54" s="745"/>
      <c r="D54" s="1274" t="s">
        <v>2576</v>
      </c>
      <c r="E54" s="745"/>
      <c r="F54" s="1275" t="s">
        <v>1999</v>
      </c>
    </row>
    <row r="55" ht="14.25" customHeight="1">
      <c r="A55" s="1313"/>
      <c r="B55" s="1305"/>
      <c r="C55" s="1305"/>
      <c r="D55" s="1305"/>
      <c r="E55" s="1311"/>
      <c r="F55" s="1311"/>
    </row>
    <row r="56" ht="14.25" customHeight="1">
      <c r="A56" s="1313"/>
      <c r="B56" s="1305"/>
      <c r="C56" s="1305"/>
      <c r="D56" s="1305"/>
      <c r="E56" s="1311"/>
      <c r="F56" s="1311"/>
    </row>
    <row r="57" ht="14.25" customHeight="1">
      <c r="A57" s="1317" t="s">
        <v>2731</v>
      </c>
      <c r="B57" s="1318"/>
      <c r="C57" s="1319"/>
      <c r="D57" s="1320" t="s">
        <v>2582</v>
      </c>
      <c r="E57" s="1319"/>
      <c r="F57" s="1275" t="s">
        <v>1999</v>
      </c>
      <c r="G57" s="519"/>
      <c r="H57" s="519"/>
      <c r="I57" s="519"/>
      <c r="J57" s="519"/>
      <c r="K57" s="519"/>
      <c r="L57" s="519"/>
      <c r="M57" s="519"/>
      <c r="N57" s="519"/>
      <c r="O57" s="519"/>
      <c r="P57" s="519"/>
      <c r="Q57" s="519"/>
      <c r="R57" s="519"/>
      <c r="S57" s="519"/>
      <c r="T57" s="519"/>
      <c r="U57" s="519"/>
      <c r="V57" s="519"/>
      <c r="W57" s="519"/>
      <c r="X57" s="519"/>
      <c r="Y57" s="519"/>
      <c r="Z57" s="519"/>
    </row>
    <row r="58" ht="14.25" customHeight="1">
      <c r="A58" s="1313"/>
      <c r="B58" s="1305"/>
      <c r="C58" s="1305"/>
      <c r="D58" s="1305"/>
      <c r="E58" s="1311"/>
      <c r="F58" s="1311"/>
    </row>
    <row r="59" ht="14.25" customHeight="1">
      <c r="A59" s="1313"/>
      <c r="B59" s="1305"/>
      <c r="C59" s="1305"/>
      <c r="D59" s="1305"/>
      <c r="E59" s="1311"/>
      <c r="F59" s="1311"/>
    </row>
    <row r="60" ht="14.25" customHeight="1">
      <c r="A60" s="1317" t="s">
        <v>2731</v>
      </c>
      <c r="B60" s="1318"/>
      <c r="C60" s="1319"/>
      <c r="D60" s="1320" t="s">
        <v>2709</v>
      </c>
      <c r="E60" s="1319"/>
      <c r="F60" s="1275" t="s">
        <v>1999</v>
      </c>
      <c r="G60" s="519"/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</row>
    <row r="61" ht="14.25" customHeight="1">
      <c r="A61" s="591"/>
      <c r="B61" s="591"/>
      <c r="C61" s="591"/>
      <c r="D61" s="591"/>
      <c r="E61" s="591"/>
      <c r="F61" s="591"/>
    </row>
    <row r="62" ht="14.25" customHeight="1">
      <c r="A62" s="591"/>
      <c r="B62" s="591"/>
      <c r="C62" s="591"/>
      <c r="D62" s="591"/>
      <c r="E62" s="591"/>
      <c r="F62" s="591"/>
    </row>
    <row r="63" ht="14.25" customHeight="1">
      <c r="A63" s="1317" t="s">
        <v>2731</v>
      </c>
      <c r="B63" s="1318"/>
      <c r="C63" s="1319"/>
      <c r="D63" s="1320" t="s">
        <v>1709</v>
      </c>
      <c r="E63" s="1319"/>
      <c r="F63" s="1275" t="s">
        <v>1999</v>
      </c>
      <c r="G63" s="519"/>
      <c r="H63" s="519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Y63" s="519"/>
      <c r="Z63" s="519"/>
    </row>
    <row r="64" ht="14.25" customHeight="1">
      <c r="A64" s="1195">
        <v>45505.0</v>
      </c>
      <c r="B64" s="520" t="s">
        <v>2757</v>
      </c>
      <c r="C64" s="1298" t="s">
        <v>2742</v>
      </c>
      <c r="D64" s="591"/>
      <c r="E64" s="591" t="s">
        <v>2753</v>
      </c>
      <c r="F64" s="1114" t="s">
        <v>2750</v>
      </c>
    </row>
    <row r="65" ht="14.25" customHeight="1">
      <c r="A65" s="1195">
        <v>45505.0</v>
      </c>
      <c r="B65" s="520" t="s">
        <v>2757</v>
      </c>
      <c r="C65" s="1284" t="s">
        <v>2739</v>
      </c>
      <c r="D65" s="591"/>
      <c r="E65" s="591" t="s">
        <v>2758</v>
      </c>
      <c r="F65" s="1114" t="s">
        <v>2750</v>
      </c>
    </row>
    <row r="66" ht="14.25" customHeight="1">
      <c r="A66" s="591"/>
      <c r="B66" s="591"/>
      <c r="C66" s="591"/>
      <c r="D66" s="591"/>
      <c r="E66" s="591"/>
      <c r="F66" s="591"/>
    </row>
    <row r="67" ht="14.25" customHeight="1">
      <c r="A67" s="591"/>
      <c r="B67" s="591"/>
      <c r="C67" s="591"/>
      <c r="D67" s="591"/>
      <c r="E67" s="591"/>
      <c r="F67" s="591"/>
    </row>
    <row r="68" ht="14.25" customHeight="1">
      <c r="A68" s="591"/>
      <c r="B68" s="591"/>
      <c r="C68" s="591"/>
      <c r="D68" s="591"/>
      <c r="E68" s="591"/>
      <c r="F68" s="591"/>
    </row>
    <row r="69" ht="14.25" customHeight="1">
      <c r="A69" s="591"/>
      <c r="B69" s="591"/>
      <c r="C69" s="591"/>
      <c r="D69" s="591"/>
      <c r="E69" s="591"/>
      <c r="F69" s="591"/>
    </row>
    <row r="70" ht="14.25" customHeight="1">
      <c r="A70" s="591"/>
      <c r="B70" s="591"/>
      <c r="C70" s="591"/>
      <c r="D70" s="591"/>
      <c r="E70" s="591"/>
      <c r="F70" s="591"/>
    </row>
    <row r="71" ht="14.25" customHeight="1">
      <c r="A71" s="591"/>
      <c r="B71" s="591"/>
      <c r="C71" s="591"/>
      <c r="D71" s="591"/>
      <c r="E71" s="591"/>
      <c r="F71" s="591"/>
    </row>
    <row r="72" ht="14.25" customHeight="1">
      <c r="A72" s="591"/>
      <c r="B72" s="591"/>
      <c r="C72" s="591"/>
      <c r="D72" s="591"/>
      <c r="E72" s="591"/>
      <c r="F72" s="591"/>
    </row>
    <row r="73" ht="14.25" customHeight="1">
      <c r="A73" s="591"/>
      <c r="B73" s="591"/>
      <c r="C73" s="591"/>
      <c r="D73" s="591"/>
      <c r="E73" s="591"/>
      <c r="F73" s="591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21">
    <mergeCell ref="A1:C1"/>
    <mergeCell ref="D1:E1"/>
    <mergeCell ref="D2:E2"/>
    <mergeCell ref="A8:C8"/>
    <mergeCell ref="D8:E8"/>
    <mergeCell ref="A19:C19"/>
    <mergeCell ref="D19:E19"/>
    <mergeCell ref="A54:C54"/>
    <mergeCell ref="A57:C57"/>
    <mergeCell ref="D57:E57"/>
    <mergeCell ref="A60:C60"/>
    <mergeCell ref="D60:E60"/>
    <mergeCell ref="A63:C63"/>
    <mergeCell ref="D63:E63"/>
    <mergeCell ref="A30:C30"/>
    <mergeCell ref="D30:E30"/>
    <mergeCell ref="A42:C42"/>
    <mergeCell ref="D42:E42"/>
    <mergeCell ref="A49:C49"/>
    <mergeCell ref="D49:E49"/>
    <mergeCell ref="D54:E54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CC"/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5.86"/>
    <col customWidth="1" min="3" max="3" width="56.0"/>
    <col customWidth="1" min="4" max="4" width="25.86"/>
    <col customWidth="1" min="5" max="5" width="24.14"/>
    <col customWidth="1" min="6" max="6" width="22.29"/>
    <col customWidth="1" min="7" max="8" width="10.71"/>
    <col customWidth="1" min="9" max="9" width="34.14"/>
    <col customWidth="1" min="10" max="10" width="13.14"/>
    <col customWidth="1" min="11" max="11" width="12.29"/>
    <col customWidth="1" min="12" max="12" width="13.29"/>
    <col customWidth="1" min="13" max="13" width="13.43"/>
    <col customWidth="1" min="14" max="14" width="14.86"/>
    <col customWidth="1" min="15" max="26" width="10.71"/>
  </cols>
  <sheetData>
    <row r="1" ht="65.25" customHeight="1">
      <c r="A1" s="1202" t="s">
        <v>1138</v>
      </c>
      <c r="B1" s="1203" t="s">
        <v>1139</v>
      </c>
      <c r="C1" s="1204" t="s">
        <v>119</v>
      </c>
      <c r="D1" s="1205" t="s">
        <v>1140</v>
      </c>
      <c r="E1" s="745"/>
      <c r="F1" s="1206" t="s">
        <v>1141</v>
      </c>
    </row>
    <row r="2" ht="29.25" customHeight="1">
      <c r="A2" s="1150">
        <v>45171.0</v>
      </c>
      <c r="B2" s="1150" t="s">
        <v>2620</v>
      </c>
      <c r="C2" s="1150" t="s">
        <v>2595</v>
      </c>
      <c r="D2" s="1207"/>
      <c r="E2" s="1208">
        <v>110000.0</v>
      </c>
      <c r="F2" s="1209">
        <v>45000.0</v>
      </c>
    </row>
    <row r="3" ht="28.5" customHeight="1">
      <c r="A3" s="477">
        <v>45175.0</v>
      </c>
      <c r="B3" s="477" t="s">
        <v>2620</v>
      </c>
      <c r="C3" s="477" t="s">
        <v>2608</v>
      </c>
      <c r="D3" s="1188"/>
      <c r="E3" s="1189">
        <v>110000.0</v>
      </c>
      <c r="F3" s="1190">
        <v>45000.0</v>
      </c>
    </row>
    <row r="4" ht="26.25" customHeight="1">
      <c r="A4" s="477">
        <v>45181.0</v>
      </c>
      <c r="B4" s="477" t="s">
        <v>2621</v>
      </c>
      <c r="C4" s="477" t="s">
        <v>2622</v>
      </c>
      <c r="D4" s="1188"/>
      <c r="E4" s="1189">
        <v>500000.0</v>
      </c>
      <c r="F4" s="1190">
        <v>300000.0</v>
      </c>
    </row>
    <row r="5" ht="26.25" customHeight="1">
      <c r="A5" s="477">
        <v>45181.0</v>
      </c>
      <c r="B5" s="477" t="s">
        <v>2621</v>
      </c>
      <c r="C5" s="477" t="s">
        <v>2608</v>
      </c>
      <c r="D5" s="1188"/>
      <c r="E5" s="1189">
        <v>110000.0</v>
      </c>
      <c r="F5" s="1190">
        <v>45000.0</v>
      </c>
    </row>
    <row r="6" ht="26.25" customHeight="1">
      <c r="A6" s="477">
        <v>45186.0</v>
      </c>
      <c r="B6" s="477" t="s">
        <v>2623</v>
      </c>
      <c r="C6" s="477" t="s">
        <v>2595</v>
      </c>
      <c r="D6" s="1188"/>
      <c r="E6" s="1189">
        <v>110000.0</v>
      </c>
      <c r="F6" s="1190">
        <v>45000.0</v>
      </c>
    </row>
    <row r="7" ht="27.75" customHeight="1">
      <c r="A7" s="477">
        <v>45193.0</v>
      </c>
      <c r="B7" s="477" t="s">
        <v>2623</v>
      </c>
      <c r="C7" s="477" t="s">
        <v>2608</v>
      </c>
      <c r="D7" s="1188"/>
      <c r="E7" s="1189">
        <v>110000.0</v>
      </c>
      <c r="F7" s="1190">
        <v>45000.0</v>
      </c>
    </row>
    <row r="8" ht="29.25" customHeight="1">
      <c r="A8" s="477">
        <v>45179.0</v>
      </c>
      <c r="B8" s="477" t="s">
        <v>2626</v>
      </c>
      <c r="C8" s="477" t="s">
        <v>2627</v>
      </c>
      <c r="D8" s="1188"/>
      <c r="E8" s="1189">
        <v>180000.0</v>
      </c>
      <c r="F8" s="1190">
        <v>110000.0</v>
      </c>
    </row>
    <row r="9" ht="28.5" customHeight="1">
      <c r="A9" s="1195"/>
      <c r="B9" s="1106"/>
      <c r="C9" s="1195"/>
      <c r="D9" s="1195"/>
      <c r="E9" s="1116"/>
      <c r="F9" s="1196"/>
    </row>
    <row r="10" ht="14.25" customHeight="1">
      <c r="A10" s="1213" t="s">
        <v>2587</v>
      </c>
      <c r="B10" s="439"/>
      <c r="C10" s="440"/>
      <c r="D10" s="1214" t="s">
        <v>2630</v>
      </c>
      <c r="E10" s="440"/>
      <c r="F10" s="1215" t="s">
        <v>2631</v>
      </c>
      <c r="I10" s="1186" t="s">
        <v>2589</v>
      </c>
      <c r="J10" s="1187" t="s">
        <v>2590</v>
      </c>
      <c r="K10" s="1187" t="s">
        <v>2591</v>
      </c>
      <c r="L10" s="1187" t="s">
        <v>2591</v>
      </c>
      <c r="M10" s="1187" t="s">
        <v>2592</v>
      </c>
      <c r="N10" s="1187" t="s">
        <v>2593</v>
      </c>
    </row>
    <row r="11" ht="30.0" customHeight="1">
      <c r="A11" s="1216">
        <v>45242.0</v>
      </c>
      <c r="B11" s="456" t="s">
        <v>2632</v>
      </c>
      <c r="C11" s="477" t="s">
        <v>2595</v>
      </c>
      <c r="D11" s="456"/>
      <c r="E11" s="1189">
        <v>110000.0</v>
      </c>
      <c r="F11" s="1217">
        <v>45000.0</v>
      </c>
      <c r="I11" s="1191"/>
      <c r="J11" s="1187" t="s">
        <v>2596</v>
      </c>
      <c r="K11" s="1187" t="s">
        <v>2597</v>
      </c>
      <c r="L11" s="1187" t="s">
        <v>2598</v>
      </c>
      <c r="M11" s="1187" t="s">
        <v>2599</v>
      </c>
      <c r="N11" s="1187" t="s">
        <v>2600</v>
      </c>
    </row>
    <row r="12" ht="28.5" customHeight="1">
      <c r="A12" s="1216">
        <v>45247.0</v>
      </c>
      <c r="B12" s="456" t="s">
        <v>2633</v>
      </c>
      <c r="C12" s="456" t="s">
        <v>2634</v>
      </c>
      <c r="D12" s="456"/>
      <c r="E12" s="1189">
        <v>110000.0</v>
      </c>
      <c r="F12" s="1217">
        <v>45000.0</v>
      </c>
      <c r="I12" s="1192" t="s">
        <v>2602</v>
      </c>
      <c r="J12" s="1210">
        <v>55000.0</v>
      </c>
      <c r="K12" s="1193">
        <v>145000.0</v>
      </c>
      <c r="L12" s="1193"/>
      <c r="M12" s="1193"/>
      <c r="N12" s="1193"/>
    </row>
    <row r="13" ht="29.25" customHeight="1">
      <c r="A13" s="1216">
        <v>45251.0</v>
      </c>
      <c r="B13" s="1218" t="s">
        <v>2635</v>
      </c>
      <c r="C13" s="477" t="s">
        <v>2595</v>
      </c>
      <c r="D13" s="456"/>
      <c r="E13" s="1219">
        <v>110000.0</v>
      </c>
      <c r="F13" s="1217">
        <v>45000.0</v>
      </c>
      <c r="I13" s="1192" t="s">
        <v>2609</v>
      </c>
      <c r="J13" s="1193"/>
      <c r="K13" s="1193"/>
      <c r="L13" s="1193"/>
      <c r="M13" s="1193"/>
      <c r="N13" s="1193"/>
    </row>
    <row r="14" ht="30.0" customHeight="1">
      <c r="A14" s="1216">
        <v>45254.0</v>
      </c>
      <c r="B14" s="1218" t="s">
        <v>2635</v>
      </c>
      <c r="C14" s="456" t="s">
        <v>2636</v>
      </c>
      <c r="D14" s="456"/>
      <c r="E14" s="1219">
        <v>110000.0</v>
      </c>
      <c r="F14" s="1217">
        <v>45000.0</v>
      </c>
      <c r="I14" s="1192" t="s">
        <v>2615</v>
      </c>
      <c r="J14" s="1194"/>
      <c r="K14" s="1193"/>
      <c r="L14" s="1193"/>
      <c r="M14" s="1193"/>
      <c r="N14" s="1193"/>
    </row>
    <row r="15" ht="33.75" customHeight="1">
      <c r="A15" s="1220">
        <v>45240.0</v>
      </c>
      <c r="B15" s="1221" t="s">
        <v>2637</v>
      </c>
      <c r="C15" s="1222" t="s">
        <v>2595</v>
      </c>
      <c r="D15" s="1223"/>
      <c r="E15" s="1223">
        <v>180000.0</v>
      </c>
      <c r="F15" s="1224">
        <v>110000.0</v>
      </c>
      <c r="I15" s="591" t="s">
        <v>2624</v>
      </c>
      <c r="J15" s="591">
        <v>200000.0</v>
      </c>
      <c r="K15" s="591">
        <v>300000.0</v>
      </c>
      <c r="L15" s="591"/>
      <c r="M15" s="591"/>
      <c r="N15" s="591"/>
    </row>
    <row r="16" ht="29.25" customHeight="1">
      <c r="A16" s="1220">
        <v>45240.0</v>
      </c>
      <c r="B16" s="1223" t="s">
        <v>2509</v>
      </c>
      <c r="C16" s="1222" t="s">
        <v>2622</v>
      </c>
      <c r="D16" s="1223"/>
      <c r="E16" s="1225">
        <v>500000.0</v>
      </c>
      <c r="F16" s="1224">
        <v>300000.0</v>
      </c>
      <c r="I16" s="1211" t="s">
        <v>2625</v>
      </c>
      <c r="J16" s="591">
        <v>250000.0</v>
      </c>
      <c r="K16" s="591">
        <v>500000.0</v>
      </c>
      <c r="L16" s="591"/>
      <c r="M16" s="591"/>
      <c r="N16" s="591"/>
    </row>
    <row r="17" ht="29.25" customHeight="1">
      <c r="A17" s="1220">
        <v>45258.0</v>
      </c>
      <c r="B17" s="1223" t="s">
        <v>2638</v>
      </c>
      <c r="C17" s="1223" t="s">
        <v>2639</v>
      </c>
      <c r="D17" s="1223"/>
      <c r="E17" s="1225">
        <v>550000.0</v>
      </c>
      <c r="F17" s="1224">
        <v>400000.0</v>
      </c>
      <c r="I17" s="1212" t="s">
        <v>2628</v>
      </c>
      <c r="J17" s="591">
        <v>500000.0</v>
      </c>
      <c r="K17" s="591">
        <v>700000.0</v>
      </c>
      <c r="L17" s="591"/>
      <c r="M17" s="591"/>
      <c r="N17" s="591"/>
    </row>
    <row r="18" ht="26.25" customHeight="1">
      <c r="A18" s="1220">
        <v>45258.0</v>
      </c>
      <c r="B18" s="1226" t="s">
        <v>2640</v>
      </c>
      <c r="C18" s="1222" t="s">
        <v>2595</v>
      </c>
      <c r="D18" s="1223"/>
      <c r="E18" s="1225">
        <v>110000.0</v>
      </c>
      <c r="F18" s="1224">
        <v>45000.0</v>
      </c>
      <c r="I18" s="520" t="s">
        <v>2629</v>
      </c>
      <c r="J18" s="591">
        <v>260000.0</v>
      </c>
      <c r="K18" s="591">
        <v>400000.0</v>
      </c>
      <c r="L18" s="591"/>
      <c r="M18" s="591"/>
      <c r="N18" s="591"/>
    </row>
    <row r="19" ht="18.75" hidden="1" customHeight="1">
      <c r="A19" s="1223"/>
      <c r="B19" s="1223"/>
      <c r="C19" s="1223"/>
      <c r="D19" s="1223"/>
      <c r="E19" s="1223"/>
      <c r="F19" s="1224"/>
    </row>
    <row r="20" ht="14.25" hidden="1" customHeight="1">
      <c r="A20" s="1227" t="s">
        <v>2587</v>
      </c>
      <c r="B20" s="439"/>
      <c r="C20" s="440"/>
      <c r="D20" s="1228" t="s">
        <v>2631</v>
      </c>
      <c r="E20" s="440"/>
      <c r="F20" s="1229" t="s">
        <v>1999</v>
      </c>
    </row>
    <row r="21" ht="22.5" customHeight="1">
      <c r="A21" s="1220">
        <v>45271.0</v>
      </c>
      <c r="B21" s="1223" t="s">
        <v>2641</v>
      </c>
      <c r="C21" s="1223" t="s">
        <v>2642</v>
      </c>
      <c r="D21" s="1230"/>
      <c r="E21" s="1225">
        <v>550000.0</v>
      </c>
      <c r="F21" s="1224">
        <v>400000.0</v>
      </c>
    </row>
    <row r="22" ht="24.0" customHeight="1">
      <c r="A22" s="1231">
        <v>44938.0</v>
      </c>
      <c r="B22" s="1226" t="s">
        <v>2640</v>
      </c>
      <c r="C22" s="1223" t="s">
        <v>2643</v>
      </c>
      <c r="D22" s="1230"/>
      <c r="E22" s="1230"/>
      <c r="F22" s="1224">
        <v>200000.0</v>
      </c>
    </row>
    <row r="23" ht="23.25" customHeight="1">
      <c r="A23" s="1231">
        <v>45266.0</v>
      </c>
      <c r="B23" s="1223" t="s">
        <v>2644</v>
      </c>
      <c r="C23" s="1223" t="s">
        <v>2645</v>
      </c>
      <c r="D23" s="1230"/>
      <c r="E23" s="1225">
        <v>110000.0</v>
      </c>
      <c r="F23" s="1224">
        <v>45000.0</v>
      </c>
    </row>
    <row r="24" ht="21.75" customHeight="1">
      <c r="A24" s="1220">
        <v>45273.0</v>
      </c>
      <c r="B24" s="1223" t="s">
        <v>2644</v>
      </c>
      <c r="C24" s="1223" t="s">
        <v>2646</v>
      </c>
      <c r="D24" s="1230"/>
      <c r="E24" s="1225">
        <v>110000.0</v>
      </c>
      <c r="F24" s="1224">
        <v>45000.0</v>
      </c>
    </row>
    <row r="25" ht="23.25" customHeight="1">
      <c r="A25" s="1220">
        <v>45288.0</v>
      </c>
      <c r="B25" s="1223" t="s">
        <v>2647</v>
      </c>
      <c r="C25" s="1221" t="s">
        <v>2648</v>
      </c>
      <c r="D25" s="1230"/>
      <c r="E25" s="1230"/>
      <c r="F25" s="1224">
        <v>300000.0</v>
      </c>
    </row>
    <row r="26" ht="27.0" customHeight="1">
      <c r="A26" s="1220">
        <v>45281.0</v>
      </c>
      <c r="B26" s="1223" t="s">
        <v>2649</v>
      </c>
      <c r="C26" s="1223" t="s">
        <v>2650</v>
      </c>
      <c r="D26" s="1230"/>
      <c r="E26" s="1230"/>
      <c r="F26" s="1224">
        <v>145000.0</v>
      </c>
    </row>
    <row r="27" ht="29.25" customHeight="1">
      <c r="A27" s="1220">
        <v>45282.0</v>
      </c>
      <c r="B27" s="1223" t="s">
        <v>2649</v>
      </c>
      <c r="C27" s="1221" t="s">
        <v>2651</v>
      </c>
      <c r="D27" s="1230"/>
      <c r="E27" s="1230"/>
      <c r="F27" s="1224">
        <v>300000.0</v>
      </c>
    </row>
    <row r="28" ht="29.25" customHeight="1">
      <c r="A28" s="1220">
        <v>45288.0</v>
      </c>
      <c r="B28" s="1223" t="s">
        <v>2649</v>
      </c>
      <c r="C28" s="1223" t="s">
        <v>2652</v>
      </c>
      <c r="D28" s="1230"/>
      <c r="E28" s="1230"/>
      <c r="F28" s="1224">
        <v>145000.0</v>
      </c>
    </row>
    <row r="29" ht="21.75" customHeight="1">
      <c r="A29" s="1220">
        <v>45284.0</v>
      </c>
      <c r="B29" s="1223" t="s">
        <v>2653</v>
      </c>
      <c r="C29" s="1223" t="s">
        <v>2654</v>
      </c>
      <c r="D29" s="1230"/>
      <c r="E29" s="1230">
        <v>800000.0</v>
      </c>
      <c r="F29" s="1224">
        <v>400000.0</v>
      </c>
    </row>
    <row r="30" ht="23.25" customHeight="1">
      <c r="A30" s="1223" t="s">
        <v>1180</v>
      </c>
      <c r="B30" s="1221" t="s">
        <v>1181</v>
      </c>
      <c r="C30" s="1221" t="s">
        <v>2655</v>
      </c>
      <c r="D30" s="1230"/>
      <c r="E30" s="1230"/>
      <c r="F30" s="1224">
        <v>300000.0</v>
      </c>
    </row>
    <row r="31" ht="22.5" customHeight="1">
      <c r="A31" s="1223" t="s">
        <v>1183</v>
      </c>
      <c r="B31" s="1221" t="s">
        <v>1181</v>
      </c>
      <c r="C31" s="1223" t="s">
        <v>2656</v>
      </c>
      <c r="D31" s="1230"/>
      <c r="E31" s="1230"/>
      <c r="F31" s="1224">
        <v>500000.0</v>
      </c>
    </row>
    <row r="32" ht="21.75" customHeight="1">
      <c r="A32" s="1223" t="s">
        <v>1176</v>
      </c>
      <c r="B32" s="1223" t="s">
        <v>2657</v>
      </c>
      <c r="C32" s="1221" t="s">
        <v>2651</v>
      </c>
      <c r="D32" s="1230"/>
      <c r="E32" s="1230"/>
      <c r="F32" s="1224">
        <v>300000.0</v>
      </c>
    </row>
    <row r="33" ht="21.75" customHeight="1">
      <c r="A33" s="1223" t="s">
        <v>1173</v>
      </c>
      <c r="B33" s="1223" t="s">
        <v>1209</v>
      </c>
      <c r="C33" s="1223" t="s">
        <v>2658</v>
      </c>
      <c r="D33" s="1230"/>
      <c r="E33" s="1230"/>
      <c r="F33" s="1224">
        <v>300000.0</v>
      </c>
    </row>
    <row r="34" ht="22.5" customHeight="1">
      <c r="A34" s="1232">
        <v>45270.0</v>
      </c>
      <c r="B34" s="1223" t="s">
        <v>1142</v>
      </c>
      <c r="C34" s="1223" t="s">
        <v>2659</v>
      </c>
      <c r="D34" s="1230"/>
      <c r="E34" s="1230"/>
      <c r="F34" s="1224">
        <v>90000.0</v>
      </c>
    </row>
    <row r="35" ht="22.5" customHeight="1">
      <c r="A35" s="1230"/>
      <c r="B35" s="1223"/>
      <c r="C35" s="1230"/>
      <c r="D35" s="1230"/>
      <c r="E35" s="1230"/>
      <c r="F35" s="1233">
        <f>SUM(F15:F34)</f>
        <v>4325000</v>
      </c>
    </row>
    <row r="36" ht="22.5" customHeight="1">
      <c r="A36" s="446"/>
      <c r="B36" s="456"/>
      <c r="C36" s="446"/>
      <c r="D36" s="446"/>
      <c r="E36" s="446"/>
      <c r="F36" s="1190"/>
    </row>
    <row r="37" ht="14.25" customHeight="1">
      <c r="B37" s="1118"/>
      <c r="F37" s="1262"/>
    </row>
    <row r="38" ht="14.25" customHeight="1">
      <c r="B38" s="1118"/>
      <c r="F38" s="1262"/>
    </row>
    <row r="39" ht="14.25" customHeight="1">
      <c r="B39" s="1118"/>
      <c r="F39" s="1262"/>
    </row>
    <row r="40" ht="14.25" customHeight="1">
      <c r="B40" s="1118"/>
      <c r="F40" s="1262"/>
    </row>
    <row r="41" ht="14.25" customHeight="1">
      <c r="B41" s="1118"/>
      <c r="F41" s="1262"/>
    </row>
    <row r="42" ht="14.25" customHeight="1">
      <c r="B42" s="1118"/>
      <c r="F42" s="1262"/>
    </row>
    <row r="43" ht="14.25" customHeight="1">
      <c r="B43" s="1118"/>
      <c r="F43" s="1262"/>
    </row>
    <row r="44" ht="14.25" customHeight="1">
      <c r="B44" s="1118"/>
      <c r="F44" s="1262"/>
    </row>
    <row r="45" ht="14.25" customHeight="1">
      <c r="B45" s="1118"/>
      <c r="F45" s="1262"/>
    </row>
    <row r="46" ht="14.25" customHeight="1">
      <c r="B46" s="1118"/>
      <c r="F46" s="1262"/>
    </row>
    <row r="47" ht="14.25" customHeight="1">
      <c r="B47" s="1118"/>
      <c r="F47" s="1262"/>
    </row>
    <row r="48" ht="14.25" customHeight="1">
      <c r="B48" s="1118"/>
      <c r="F48" s="1262"/>
    </row>
    <row r="49" ht="14.25" customHeight="1">
      <c r="B49" s="1118"/>
      <c r="F49" s="1262"/>
    </row>
    <row r="50" ht="14.25" customHeight="1">
      <c r="B50" s="1118"/>
      <c r="F50" s="1262"/>
    </row>
    <row r="51" ht="14.25" customHeight="1">
      <c r="B51" s="1118"/>
      <c r="F51" s="1262"/>
    </row>
    <row r="52" ht="14.25" customHeight="1">
      <c r="B52" s="1118"/>
      <c r="F52" s="1262"/>
    </row>
    <row r="53" ht="14.25" customHeight="1">
      <c r="B53" s="1118"/>
      <c r="F53" s="1262"/>
    </row>
    <row r="54" ht="14.25" customHeight="1">
      <c r="B54" s="1118"/>
      <c r="F54" s="1262"/>
    </row>
    <row r="55" ht="14.25" customHeight="1">
      <c r="B55" s="1118"/>
      <c r="F55" s="1262"/>
    </row>
    <row r="56" ht="14.25" customHeight="1">
      <c r="B56" s="1118"/>
      <c r="F56" s="1262"/>
    </row>
    <row r="57" ht="14.25" customHeight="1">
      <c r="B57" s="1118"/>
      <c r="F57" s="1262"/>
    </row>
    <row r="58" ht="14.25" customHeight="1">
      <c r="B58" s="1118"/>
      <c r="F58" s="1262"/>
    </row>
    <row r="59" ht="14.25" customHeight="1">
      <c r="B59" s="1118"/>
      <c r="F59" s="1262"/>
    </row>
    <row r="60" ht="14.25" customHeight="1">
      <c r="B60" s="1118"/>
      <c r="F60" s="1262"/>
    </row>
    <row r="61" ht="14.25" customHeight="1">
      <c r="B61" s="1118"/>
      <c r="F61" s="1262"/>
    </row>
    <row r="62" ht="14.25" customHeight="1">
      <c r="B62" s="1118"/>
      <c r="F62" s="1262"/>
    </row>
    <row r="63" ht="14.25" customHeight="1">
      <c r="B63" s="1118"/>
      <c r="F63" s="1262"/>
    </row>
    <row r="64" ht="14.25" customHeight="1">
      <c r="B64" s="1118"/>
      <c r="F64" s="1262"/>
    </row>
    <row r="65" ht="14.25" customHeight="1">
      <c r="B65" s="1118"/>
      <c r="F65" s="1262"/>
    </row>
    <row r="66" ht="14.25" customHeight="1">
      <c r="B66" s="1118"/>
      <c r="F66" s="1262"/>
    </row>
    <row r="67" ht="14.25" customHeight="1">
      <c r="B67" s="1118"/>
      <c r="F67" s="1262"/>
    </row>
    <row r="68" ht="14.25" customHeight="1">
      <c r="B68" s="1118"/>
      <c r="F68" s="1262"/>
    </row>
    <row r="69" ht="14.25" customHeight="1">
      <c r="B69" s="1118"/>
      <c r="F69" s="1262"/>
    </row>
    <row r="70" ht="14.25" customHeight="1">
      <c r="B70" s="1118"/>
      <c r="F70" s="1262"/>
    </row>
    <row r="71" ht="14.25" customHeight="1">
      <c r="B71" s="1118"/>
      <c r="F71" s="1262"/>
    </row>
    <row r="72" ht="14.25" customHeight="1">
      <c r="B72" s="1118"/>
      <c r="F72" s="1262"/>
    </row>
    <row r="73" ht="14.25" customHeight="1">
      <c r="B73" s="1118"/>
      <c r="F73" s="1262"/>
    </row>
    <row r="74" ht="14.25" customHeight="1">
      <c r="B74" s="1118"/>
      <c r="F74" s="1262"/>
    </row>
    <row r="75" ht="14.25" customHeight="1">
      <c r="B75" s="1118"/>
      <c r="F75" s="1262"/>
    </row>
    <row r="76" ht="14.25" customHeight="1">
      <c r="B76" s="1118"/>
      <c r="F76" s="1262"/>
    </row>
    <row r="77" ht="14.25" customHeight="1">
      <c r="B77" s="1118"/>
      <c r="F77" s="1262"/>
    </row>
    <row r="78" ht="14.25" customHeight="1">
      <c r="B78" s="1118"/>
      <c r="F78" s="1262"/>
    </row>
    <row r="79" ht="14.25" customHeight="1">
      <c r="B79" s="1118"/>
      <c r="F79" s="1262"/>
    </row>
    <row r="80" ht="14.25" customHeight="1">
      <c r="B80" s="1118"/>
      <c r="F80" s="1262"/>
    </row>
    <row r="81" ht="14.25" customHeight="1">
      <c r="B81" s="1118"/>
      <c r="F81" s="1262"/>
    </row>
    <row r="82" ht="14.25" customHeight="1">
      <c r="B82" s="1118"/>
      <c r="F82" s="1262"/>
    </row>
    <row r="83" ht="14.25" customHeight="1">
      <c r="B83" s="1118"/>
      <c r="F83" s="1262"/>
    </row>
    <row r="84" ht="14.25" customHeight="1">
      <c r="B84" s="1118"/>
      <c r="F84" s="1262"/>
    </row>
    <row r="85" ht="14.25" customHeight="1">
      <c r="B85" s="1118"/>
      <c r="F85" s="1262"/>
    </row>
    <row r="86" ht="14.25" customHeight="1">
      <c r="B86" s="1118"/>
      <c r="F86" s="1262"/>
    </row>
    <row r="87" ht="14.25" customHeight="1">
      <c r="B87" s="1118"/>
      <c r="F87" s="1262"/>
    </row>
    <row r="88" ht="14.25" customHeight="1">
      <c r="B88" s="1118"/>
      <c r="F88" s="1262"/>
    </row>
    <row r="89" ht="14.25" customHeight="1">
      <c r="B89" s="1118"/>
      <c r="F89" s="1262"/>
    </row>
    <row r="90" ht="14.25" customHeight="1">
      <c r="B90" s="1118"/>
      <c r="F90" s="1262"/>
    </row>
    <row r="91" ht="14.25" customHeight="1">
      <c r="B91" s="1118"/>
      <c r="F91" s="1262"/>
    </row>
    <row r="92" ht="14.25" customHeight="1">
      <c r="B92" s="1118"/>
      <c r="F92" s="1262"/>
    </row>
    <row r="93" ht="14.25" customHeight="1">
      <c r="B93" s="1118"/>
      <c r="F93" s="1262"/>
    </row>
    <row r="94" ht="14.25" customHeight="1">
      <c r="B94" s="1118"/>
      <c r="F94" s="1262"/>
    </row>
    <row r="95" ht="14.25" customHeight="1">
      <c r="B95" s="1118"/>
      <c r="F95" s="1262"/>
    </row>
    <row r="96" ht="14.25" customHeight="1">
      <c r="B96" s="1118"/>
      <c r="F96" s="1262"/>
    </row>
    <row r="97" ht="14.25" customHeight="1">
      <c r="B97" s="1118"/>
      <c r="F97" s="1262"/>
    </row>
    <row r="98" ht="14.25" customHeight="1">
      <c r="B98" s="1118"/>
      <c r="F98" s="1262"/>
    </row>
    <row r="99" ht="14.25" customHeight="1">
      <c r="B99" s="1118"/>
      <c r="F99" s="1262"/>
    </row>
    <row r="100" ht="14.25" customHeight="1">
      <c r="B100" s="1118"/>
      <c r="F100" s="1262"/>
    </row>
    <row r="101" ht="14.25" customHeight="1">
      <c r="B101" s="1118"/>
      <c r="F101" s="1262"/>
    </row>
    <row r="102" ht="14.25" customHeight="1">
      <c r="B102" s="1118"/>
      <c r="F102" s="1262"/>
    </row>
    <row r="103" ht="14.25" customHeight="1">
      <c r="B103" s="1118"/>
      <c r="F103" s="1262"/>
    </row>
    <row r="104" ht="14.25" customHeight="1">
      <c r="B104" s="1118"/>
      <c r="F104" s="1262"/>
    </row>
    <row r="105" ht="14.25" customHeight="1">
      <c r="B105" s="1118"/>
      <c r="F105" s="1262"/>
    </row>
    <row r="106" ht="14.25" customHeight="1">
      <c r="B106" s="1118"/>
      <c r="F106" s="1262"/>
    </row>
    <row r="107" ht="14.25" customHeight="1">
      <c r="B107" s="1118"/>
      <c r="F107" s="1262"/>
    </row>
    <row r="108" ht="14.25" customHeight="1">
      <c r="B108" s="1118"/>
      <c r="F108" s="1262"/>
    </row>
    <row r="109" ht="14.25" customHeight="1">
      <c r="B109" s="1118"/>
      <c r="F109" s="1262"/>
    </row>
    <row r="110" ht="14.25" customHeight="1">
      <c r="B110" s="1118"/>
      <c r="F110" s="1262"/>
    </row>
    <row r="111" ht="14.25" customHeight="1">
      <c r="B111" s="1118"/>
      <c r="F111" s="1262"/>
    </row>
    <row r="112" ht="14.25" customHeight="1">
      <c r="B112" s="1118"/>
      <c r="F112" s="1262"/>
    </row>
    <row r="113" ht="14.25" customHeight="1">
      <c r="B113" s="1118"/>
      <c r="F113" s="1262"/>
    </row>
    <row r="114" ht="14.25" customHeight="1">
      <c r="B114" s="1118"/>
      <c r="F114" s="1262"/>
    </row>
    <row r="115" ht="14.25" customHeight="1">
      <c r="B115" s="1118"/>
      <c r="F115" s="1262"/>
    </row>
    <row r="116" ht="14.25" customHeight="1">
      <c r="B116" s="1118"/>
      <c r="F116" s="1262"/>
    </row>
    <row r="117" ht="14.25" customHeight="1">
      <c r="B117" s="1118"/>
      <c r="F117" s="1262"/>
    </row>
    <row r="118" ht="14.25" customHeight="1">
      <c r="B118" s="1118"/>
      <c r="F118" s="1262"/>
    </row>
    <row r="119" ht="14.25" customHeight="1">
      <c r="B119" s="1118"/>
      <c r="F119" s="1262"/>
    </row>
    <row r="120" ht="14.25" customHeight="1">
      <c r="B120" s="1118"/>
      <c r="F120" s="1262"/>
    </row>
    <row r="121" ht="14.25" customHeight="1">
      <c r="B121" s="1118"/>
      <c r="F121" s="1262"/>
    </row>
    <row r="122" ht="14.25" customHeight="1">
      <c r="B122" s="1118"/>
      <c r="F122" s="1262"/>
    </row>
    <row r="123" ht="14.25" customHeight="1">
      <c r="B123" s="1118"/>
      <c r="F123" s="1262"/>
    </row>
    <row r="124" ht="14.25" customHeight="1">
      <c r="B124" s="1118"/>
      <c r="F124" s="1262"/>
    </row>
    <row r="125" ht="14.25" customHeight="1">
      <c r="B125" s="1118"/>
      <c r="F125" s="1262"/>
    </row>
    <row r="126" ht="14.25" customHeight="1">
      <c r="B126" s="1118"/>
      <c r="F126" s="1262"/>
    </row>
    <row r="127" ht="14.25" customHeight="1">
      <c r="B127" s="1118"/>
      <c r="F127" s="1262"/>
    </row>
    <row r="128" ht="14.25" customHeight="1">
      <c r="B128" s="1118"/>
      <c r="F128" s="1262"/>
    </row>
    <row r="129" ht="14.25" customHeight="1">
      <c r="B129" s="1118"/>
      <c r="F129" s="1262"/>
    </row>
    <row r="130" ht="14.25" customHeight="1">
      <c r="B130" s="1118"/>
      <c r="F130" s="1262"/>
    </row>
    <row r="131" ht="14.25" customHeight="1">
      <c r="B131" s="1118"/>
      <c r="F131" s="1262"/>
    </row>
    <row r="132" ht="14.25" customHeight="1">
      <c r="B132" s="1118"/>
      <c r="F132" s="1262"/>
    </row>
    <row r="133" ht="14.25" customHeight="1">
      <c r="B133" s="1118"/>
      <c r="F133" s="1262"/>
    </row>
    <row r="134" ht="14.25" customHeight="1">
      <c r="B134" s="1118"/>
      <c r="F134" s="1262"/>
    </row>
    <row r="135" ht="14.25" customHeight="1">
      <c r="B135" s="1118"/>
      <c r="F135" s="1262"/>
    </row>
    <row r="136" ht="14.25" customHeight="1">
      <c r="B136" s="1118"/>
      <c r="F136" s="1262"/>
    </row>
    <row r="137" ht="14.25" customHeight="1">
      <c r="B137" s="1118"/>
      <c r="F137" s="1262"/>
    </row>
    <row r="138" ht="14.25" customHeight="1">
      <c r="B138" s="1118"/>
      <c r="F138" s="1262"/>
    </row>
    <row r="139" ht="14.25" customHeight="1">
      <c r="B139" s="1118"/>
      <c r="F139" s="1262"/>
    </row>
    <row r="140" ht="14.25" customHeight="1">
      <c r="B140" s="1118"/>
      <c r="F140" s="1262"/>
    </row>
    <row r="141" ht="14.25" customHeight="1">
      <c r="B141" s="1118"/>
      <c r="F141" s="1262"/>
    </row>
    <row r="142" ht="14.25" customHeight="1">
      <c r="B142" s="1118"/>
      <c r="F142" s="1262"/>
    </row>
    <row r="143" ht="14.25" customHeight="1">
      <c r="B143" s="1118"/>
      <c r="F143" s="1262"/>
    </row>
    <row r="144" ht="14.25" customHeight="1">
      <c r="B144" s="1118"/>
      <c r="F144" s="1262"/>
    </row>
    <row r="145" ht="14.25" customHeight="1">
      <c r="B145" s="1118"/>
      <c r="F145" s="1262"/>
    </row>
    <row r="146" ht="14.25" customHeight="1">
      <c r="B146" s="1118"/>
      <c r="F146" s="1262"/>
    </row>
    <row r="147" ht="14.25" customHeight="1">
      <c r="B147" s="1118"/>
      <c r="F147" s="1262"/>
    </row>
    <row r="148" ht="14.25" customHeight="1">
      <c r="B148" s="1118"/>
      <c r="F148" s="1262"/>
    </row>
    <row r="149" ht="14.25" customHeight="1">
      <c r="B149" s="1118"/>
      <c r="F149" s="1262"/>
    </row>
    <row r="150" ht="14.25" customHeight="1">
      <c r="B150" s="1118"/>
      <c r="F150" s="1262"/>
    </row>
    <row r="151" ht="14.25" customHeight="1">
      <c r="B151" s="1118"/>
      <c r="F151" s="1262"/>
    </row>
    <row r="152" ht="14.25" customHeight="1">
      <c r="B152" s="1118"/>
      <c r="F152" s="1262"/>
    </row>
    <row r="153" ht="14.25" customHeight="1">
      <c r="B153" s="1118"/>
      <c r="F153" s="1262"/>
    </row>
    <row r="154" ht="14.25" customHeight="1">
      <c r="B154" s="1118"/>
      <c r="F154" s="1262"/>
    </row>
    <row r="155" ht="14.25" customHeight="1">
      <c r="B155" s="1118"/>
      <c r="F155" s="1262"/>
    </row>
    <row r="156" ht="14.25" customHeight="1">
      <c r="B156" s="1118"/>
      <c r="F156" s="1262"/>
    </row>
    <row r="157" ht="14.25" customHeight="1">
      <c r="B157" s="1118"/>
      <c r="F157" s="1262"/>
    </row>
    <row r="158" ht="14.25" customHeight="1">
      <c r="B158" s="1118"/>
      <c r="F158" s="1262"/>
    </row>
    <row r="159" ht="14.25" customHeight="1">
      <c r="B159" s="1118"/>
      <c r="F159" s="1262"/>
    </row>
    <row r="160" ht="14.25" customHeight="1">
      <c r="B160" s="1118"/>
      <c r="F160" s="1262"/>
    </row>
    <row r="161" ht="14.25" customHeight="1">
      <c r="B161" s="1118"/>
      <c r="F161" s="1262"/>
    </row>
    <row r="162" ht="14.25" customHeight="1">
      <c r="B162" s="1118"/>
      <c r="F162" s="1262"/>
    </row>
    <row r="163" ht="14.25" customHeight="1">
      <c r="B163" s="1118"/>
      <c r="F163" s="1262"/>
    </row>
    <row r="164" ht="14.25" customHeight="1">
      <c r="B164" s="1118"/>
      <c r="F164" s="1262"/>
    </row>
    <row r="165" ht="14.25" customHeight="1">
      <c r="B165" s="1118"/>
      <c r="F165" s="1262"/>
    </row>
    <row r="166" ht="14.25" customHeight="1">
      <c r="B166" s="1118"/>
      <c r="F166" s="1262"/>
    </row>
    <row r="167" ht="14.25" customHeight="1">
      <c r="B167" s="1118"/>
      <c r="F167" s="1262"/>
    </row>
    <row r="168" ht="14.25" customHeight="1">
      <c r="B168" s="1118"/>
      <c r="F168" s="1262"/>
    </row>
    <row r="169" ht="14.25" customHeight="1">
      <c r="B169" s="1118"/>
      <c r="F169" s="1262"/>
    </row>
    <row r="170" ht="14.25" customHeight="1">
      <c r="B170" s="1118"/>
      <c r="F170" s="1262"/>
    </row>
    <row r="171" ht="14.25" customHeight="1">
      <c r="B171" s="1118"/>
      <c r="F171" s="1262"/>
    </row>
    <row r="172" ht="14.25" customHeight="1">
      <c r="B172" s="1118"/>
      <c r="F172" s="1262"/>
    </row>
    <row r="173" ht="14.25" customHeight="1">
      <c r="B173" s="1118"/>
      <c r="F173" s="1262"/>
    </row>
    <row r="174" ht="14.25" customHeight="1">
      <c r="B174" s="1118"/>
      <c r="F174" s="1262"/>
    </row>
    <row r="175" ht="14.25" customHeight="1">
      <c r="B175" s="1118"/>
      <c r="F175" s="1262"/>
    </row>
    <row r="176" ht="14.25" customHeight="1">
      <c r="B176" s="1118"/>
      <c r="F176" s="1262"/>
    </row>
    <row r="177" ht="14.25" customHeight="1">
      <c r="B177" s="1118"/>
      <c r="F177" s="1262"/>
    </row>
    <row r="178" ht="14.25" customHeight="1">
      <c r="B178" s="1118"/>
      <c r="F178" s="1262"/>
    </row>
    <row r="179" ht="14.25" customHeight="1">
      <c r="B179" s="1118"/>
      <c r="F179" s="1262"/>
    </row>
    <row r="180" ht="14.25" customHeight="1">
      <c r="B180" s="1118"/>
      <c r="F180" s="1262"/>
    </row>
    <row r="181" ht="14.25" customHeight="1">
      <c r="B181" s="1118"/>
      <c r="F181" s="1262"/>
    </row>
    <row r="182" ht="14.25" customHeight="1">
      <c r="B182" s="1118"/>
      <c r="F182" s="1262"/>
    </row>
    <row r="183" ht="14.25" customHeight="1">
      <c r="B183" s="1118"/>
      <c r="F183" s="1262"/>
    </row>
    <row r="184" ht="14.25" customHeight="1">
      <c r="B184" s="1118"/>
      <c r="F184" s="1262"/>
    </row>
    <row r="185" ht="14.25" customHeight="1">
      <c r="B185" s="1118"/>
      <c r="F185" s="1262"/>
    </row>
    <row r="186" ht="14.25" customHeight="1">
      <c r="B186" s="1118"/>
      <c r="F186" s="1262"/>
    </row>
    <row r="187" ht="14.25" customHeight="1">
      <c r="B187" s="1118"/>
      <c r="F187" s="1262"/>
    </row>
    <row r="188" ht="14.25" customHeight="1">
      <c r="B188" s="1118"/>
      <c r="F188" s="1262"/>
    </row>
    <row r="189" ht="14.25" customHeight="1">
      <c r="B189" s="1118"/>
      <c r="F189" s="1262"/>
    </row>
    <row r="190" ht="14.25" customHeight="1">
      <c r="B190" s="1118"/>
      <c r="F190" s="1262"/>
    </row>
    <row r="191" ht="14.25" customHeight="1">
      <c r="B191" s="1118"/>
      <c r="F191" s="1262"/>
    </row>
    <row r="192" ht="14.25" customHeight="1">
      <c r="B192" s="1118"/>
      <c r="F192" s="1262"/>
    </row>
    <row r="193" ht="14.25" customHeight="1">
      <c r="B193" s="1118"/>
      <c r="F193" s="1262"/>
    </row>
    <row r="194" ht="14.25" customHeight="1">
      <c r="B194" s="1118"/>
      <c r="F194" s="1262"/>
    </row>
    <row r="195" ht="14.25" customHeight="1">
      <c r="B195" s="1118"/>
      <c r="F195" s="1262"/>
    </row>
    <row r="196" ht="14.25" customHeight="1">
      <c r="B196" s="1118"/>
      <c r="F196" s="1262"/>
    </row>
    <row r="197" ht="14.25" customHeight="1">
      <c r="B197" s="1118"/>
      <c r="F197" s="1262"/>
    </row>
    <row r="198" ht="14.25" customHeight="1">
      <c r="B198" s="1118"/>
      <c r="F198" s="1262"/>
    </row>
    <row r="199" ht="14.25" customHeight="1">
      <c r="B199" s="1118"/>
      <c r="F199" s="1262"/>
    </row>
    <row r="200" ht="14.25" customHeight="1">
      <c r="B200" s="1118"/>
      <c r="F200" s="1262"/>
    </row>
    <row r="201" ht="14.25" customHeight="1">
      <c r="B201" s="1118"/>
      <c r="F201" s="1262"/>
    </row>
    <row r="202" ht="14.25" customHeight="1">
      <c r="B202" s="1118"/>
      <c r="F202" s="1262"/>
    </row>
    <row r="203" ht="14.25" customHeight="1">
      <c r="B203" s="1118"/>
      <c r="F203" s="1262"/>
    </row>
    <row r="204" ht="14.25" customHeight="1">
      <c r="B204" s="1118"/>
      <c r="F204" s="1262"/>
    </row>
    <row r="205" ht="14.25" customHeight="1">
      <c r="B205" s="1118"/>
      <c r="F205" s="1262"/>
    </row>
    <row r="206" ht="14.25" customHeight="1">
      <c r="B206" s="1118"/>
      <c r="F206" s="1262"/>
    </row>
    <row r="207" ht="14.25" customHeight="1">
      <c r="B207" s="1118"/>
      <c r="F207" s="1262"/>
    </row>
    <row r="208" ht="14.25" customHeight="1">
      <c r="B208" s="1118"/>
      <c r="F208" s="1262"/>
    </row>
    <row r="209" ht="14.25" customHeight="1">
      <c r="B209" s="1118"/>
      <c r="F209" s="1262"/>
    </row>
    <row r="210" ht="14.25" customHeight="1">
      <c r="B210" s="1118"/>
      <c r="F210" s="1262"/>
    </row>
    <row r="211" ht="14.25" customHeight="1">
      <c r="B211" s="1118"/>
      <c r="F211" s="1262"/>
    </row>
    <row r="212" ht="14.25" customHeight="1">
      <c r="B212" s="1118"/>
      <c r="F212" s="1262"/>
    </row>
    <row r="213" ht="14.25" customHeight="1">
      <c r="B213" s="1118"/>
      <c r="F213" s="1262"/>
    </row>
    <row r="214" ht="14.25" customHeight="1">
      <c r="B214" s="1118"/>
      <c r="F214" s="1262"/>
    </row>
    <row r="215" ht="14.25" customHeight="1">
      <c r="B215" s="1118"/>
      <c r="F215" s="1262"/>
    </row>
    <row r="216" ht="14.25" customHeight="1">
      <c r="B216" s="1118"/>
      <c r="F216" s="1262"/>
    </row>
    <row r="217" ht="14.25" customHeight="1">
      <c r="B217" s="1118"/>
      <c r="F217" s="1262"/>
    </row>
    <row r="218" ht="14.25" customHeight="1">
      <c r="B218" s="1118"/>
      <c r="F218" s="1262"/>
    </row>
    <row r="219" ht="14.25" customHeight="1">
      <c r="B219" s="1118"/>
      <c r="F219" s="1262"/>
    </row>
    <row r="220" ht="14.25" customHeight="1">
      <c r="B220" s="1118"/>
      <c r="F220" s="1262"/>
    </row>
    <row r="221" ht="14.25" customHeight="1">
      <c r="B221" s="1118"/>
      <c r="F221" s="1262"/>
    </row>
    <row r="222" ht="14.25" customHeight="1">
      <c r="B222" s="1118"/>
      <c r="F222" s="1262"/>
    </row>
    <row r="223" ht="14.25" customHeight="1">
      <c r="B223" s="1118"/>
      <c r="F223" s="1262"/>
    </row>
    <row r="224" ht="14.25" customHeight="1">
      <c r="B224" s="1118"/>
      <c r="F224" s="1262"/>
    </row>
    <row r="225" ht="14.25" customHeight="1">
      <c r="B225" s="1118"/>
      <c r="F225" s="1262"/>
    </row>
    <row r="226" ht="14.25" customHeight="1">
      <c r="B226" s="1118"/>
      <c r="F226" s="1262"/>
    </row>
    <row r="227" ht="14.25" customHeight="1">
      <c r="B227" s="1118"/>
      <c r="F227" s="1262"/>
    </row>
    <row r="228" ht="14.25" customHeight="1">
      <c r="B228" s="1118"/>
      <c r="F228" s="1262"/>
    </row>
    <row r="229" ht="14.25" customHeight="1">
      <c r="B229" s="1118"/>
      <c r="F229" s="1262"/>
    </row>
    <row r="230" ht="14.25" customHeight="1">
      <c r="B230" s="1118"/>
      <c r="F230" s="1262"/>
    </row>
    <row r="231" ht="14.25" customHeight="1">
      <c r="B231" s="1118"/>
      <c r="F231" s="1262"/>
    </row>
    <row r="232" ht="14.25" customHeight="1">
      <c r="B232" s="1118"/>
      <c r="F232" s="1262"/>
    </row>
    <row r="233" ht="14.25" customHeight="1">
      <c r="B233" s="1118"/>
      <c r="F233" s="1262"/>
    </row>
    <row r="234" ht="14.25" customHeight="1">
      <c r="B234" s="1118"/>
      <c r="F234" s="1262"/>
    </row>
    <row r="235" ht="14.25" customHeight="1">
      <c r="B235" s="1118"/>
      <c r="F235" s="1262"/>
    </row>
    <row r="236" ht="14.25" customHeight="1">
      <c r="B236" s="1118"/>
      <c r="F236" s="1262"/>
    </row>
    <row r="237" ht="14.25" customHeight="1">
      <c r="B237" s="1118"/>
      <c r="F237" s="1262"/>
    </row>
    <row r="238" ht="14.25" customHeight="1">
      <c r="B238" s="1118"/>
      <c r="F238" s="1262"/>
    </row>
    <row r="239" ht="14.25" customHeight="1">
      <c r="B239" s="1118"/>
      <c r="F239" s="1262"/>
    </row>
    <row r="240" ht="14.25" customHeight="1">
      <c r="B240" s="1118"/>
      <c r="F240" s="1262"/>
    </row>
    <row r="241" ht="14.25" customHeight="1">
      <c r="B241" s="1118"/>
      <c r="F241" s="1262"/>
    </row>
    <row r="242" ht="14.25" customHeight="1">
      <c r="B242" s="1118"/>
      <c r="F242" s="1262"/>
    </row>
    <row r="243" ht="14.25" customHeight="1">
      <c r="B243" s="1118"/>
      <c r="F243" s="1262"/>
    </row>
    <row r="244" ht="14.25" customHeight="1">
      <c r="B244" s="1118"/>
      <c r="F244" s="1262"/>
    </row>
    <row r="245" ht="14.25" customHeight="1">
      <c r="B245" s="1118"/>
      <c r="F245" s="1262"/>
    </row>
    <row r="246" ht="14.25" customHeight="1">
      <c r="B246" s="1118"/>
      <c r="F246" s="1262"/>
    </row>
    <row r="247" ht="14.25" customHeight="1">
      <c r="B247" s="1118"/>
      <c r="F247" s="1262"/>
    </row>
    <row r="248" ht="14.25" customHeight="1">
      <c r="B248" s="1118"/>
      <c r="F248" s="1262"/>
    </row>
    <row r="249" ht="14.25" customHeight="1">
      <c r="B249" s="1118"/>
      <c r="F249" s="1262"/>
    </row>
    <row r="250" ht="14.25" customHeight="1">
      <c r="B250" s="1118"/>
      <c r="F250" s="1262"/>
    </row>
    <row r="251" ht="14.25" customHeight="1">
      <c r="B251" s="1118"/>
      <c r="F251" s="1262"/>
    </row>
    <row r="252" ht="14.25" customHeight="1">
      <c r="B252" s="1118"/>
      <c r="F252" s="1262"/>
    </row>
    <row r="253" ht="14.25" customHeight="1">
      <c r="B253" s="1118"/>
      <c r="F253" s="1262"/>
    </row>
    <row r="254" ht="14.25" customHeight="1">
      <c r="B254" s="1118"/>
      <c r="F254" s="1262"/>
    </row>
    <row r="255" ht="14.25" customHeight="1">
      <c r="B255" s="1118"/>
      <c r="F255" s="1262"/>
    </row>
    <row r="256" ht="14.25" customHeight="1">
      <c r="B256" s="1118"/>
      <c r="F256" s="1262"/>
    </row>
    <row r="257" ht="14.25" customHeight="1">
      <c r="B257" s="1118"/>
      <c r="F257" s="1262"/>
    </row>
    <row r="258" ht="14.25" customHeight="1">
      <c r="B258" s="1118"/>
      <c r="F258" s="1262"/>
    </row>
    <row r="259" ht="14.25" customHeight="1">
      <c r="B259" s="1118"/>
      <c r="F259" s="1262"/>
    </row>
    <row r="260" ht="14.25" customHeight="1">
      <c r="B260" s="1118"/>
      <c r="F260" s="1262"/>
    </row>
    <row r="261" ht="14.25" customHeight="1">
      <c r="B261" s="1118"/>
      <c r="F261" s="1262"/>
    </row>
    <row r="262" ht="14.25" customHeight="1">
      <c r="B262" s="1118"/>
      <c r="F262" s="1262"/>
    </row>
    <row r="263" ht="14.25" customHeight="1">
      <c r="B263" s="1118"/>
      <c r="F263" s="1262"/>
    </row>
    <row r="264" ht="14.25" customHeight="1">
      <c r="B264" s="1118"/>
      <c r="F264" s="1262"/>
    </row>
    <row r="265" ht="14.25" customHeight="1">
      <c r="B265" s="1118"/>
      <c r="F265" s="1262"/>
    </row>
    <row r="266" ht="14.25" customHeight="1">
      <c r="B266" s="1118"/>
      <c r="F266" s="1262"/>
    </row>
    <row r="267" ht="14.25" customHeight="1">
      <c r="B267" s="1118"/>
      <c r="F267" s="1262"/>
    </row>
    <row r="268" ht="14.25" customHeight="1">
      <c r="B268" s="1118"/>
      <c r="F268" s="1262"/>
    </row>
    <row r="269" ht="14.25" customHeight="1">
      <c r="B269" s="1118"/>
      <c r="F269" s="1262"/>
    </row>
    <row r="270" ht="14.25" customHeight="1">
      <c r="B270" s="1118"/>
      <c r="F270" s="1262"/>
    </row>
    <row r="271" ht="14.25" customHeight="1">
      <c r="B271" s="1118"/>
      <c r="F271" s="1262"/>
    </row>
    <row r="272" ht="14.25" customHeight="1">
      <c r="B272" s="1118"/>
      <c r="F272" s="1262"/>
    </row>
    <row r="273" ht="14.25" customHeight="1">
      <c r="B273" s="1118"/>
      <c r="F273" s="1262"/>
    </row>
    <row r="274" ht="14.25" customHeight="1">
      <c r="B274" s="1118"/>
      <c r="F274" s="1262"/>
    </row>
    <row r="275" ht="14.25" customHeight="1">
      <c r="B275" s="1118"/>
      <c r="F275" s="1262"/>
    </row>
    <row r="276" ht="14.25" customHeight="1">
      <c r="B276" s="1118"/>
      <c r="F276" s="1262"/>
    </row>
    <row r="277" ht="14.25" customHeight="1">
      <c r="B277" s="1118"/>
      <c r="F277" s="1262"/>
    </row>
    <row r="278" ht="14.25" customHeight="1">
      <c r="B278" s="1118"/>
      <c r="F278" s="1262"/>
    </row>
    <row r="279" ht="14.25" customHeight="1">
      <c r="B279" s="1118"/>
      <c r="F279" s="1262"/>
    </row>
    <row r="280" ht="14.25" customHeight="1">
      <c r="B280" s="1118"/>
      <c r="F280" s="1262"/>
    </row>
    <row r="281" ht="14.25" customHeight="1">
      <c r="B281" s="1118"/>
      <c r="F281" s="1262"/>
    </row>
    <row r="282" ht="14.25" customHeight="1">
      <c r="B282" s="1118"/>
      <c r="F282" s="1262"/>
    </row>
    <row r="283" ht="14.25" customHeight="1">
      <c r="B283" s="1118"/>
      <c r="F283" s="1262"/>
    </row>
    <row r="284" ht="14.25" customHeight="1">
      <c r="B284" s="1118"/>
      <c r="F284" s="1262"/>
    </row>
    <row r="285" ht="14.25" customHeight="1">
      <c r="B285" s="1118"/>
      <c r="F285" s="1262"/>
    </row>
    <row r="286" ht="14.25" customHeight="1">
      <c r="B286" s="1118"/>
      <c r="F286" s="1262"/>
    </row>
    <row r="287" ht="14.25" customHeight="1">
      <c r="B287" s="1118"/>
      <c r="F287" s="1262"/>
    </row>
    <row r="288" ht="14.25" customHeight="1">
      <c r="B288" s="1118"/>
      <c r="F288" s="1262"/>
    </row>
    <row r="289" ht="14.25" customHeight="1">
      <c r="B289" s="1118"/>
      <c r="F289" s="1262"/>
    </row>
    <row r="290" ht="14.25" customHeight="1">
      <c r="B290" s="1118"/>
      <c r="F290" s="1262"/>
    </row>
    <row r="291" ht="14.25" customHeight="1">
      <c r="B291" s="1118"/>
      <c r="F291" s="1262"/>
    </row>
    <row r="292" ht="14.25" customHeight="1">
      <c r="B292" s="1118"/>
      <c r="F292" s="1262"/>
    </row>
    <row r="293" ht="14.25" customHeight="1">
      <c r="B293" s="1118"/>
      <c r="F293" s="1262"/>
    </row>
    <row r="294" ht="14.25" customHeight="1">
      <c r="B294" s="1118"/>
      <c r="F294" s="1262"/>
    </row>
    <row r="295" ht="14.25" customHeight="1">
      <c r="B295" s="1118"/>
      <c r="F295" s="1262"/>
    </row>
    <row r="296" ht="14.25" customHeight="1">
      <c r="B296" s="1118"/>
      <c r="F296" s="1262"/>
    </row>
    <row r="297" ht="14.25" customHeight="1">
      <c r="B297" s="1118"/>
      <c r="F297" s="1262"/>
    </row>
    <row r="298" ht="14.25" customHeight="1">
      <c r="B298" s="1118"/>
      <c r="F298" s="1262"/>
    </row>
    <row r="299" ht="14.25" customHeight="1">
      <c r="B299" s="1118"/>
      <c r="F299" s="1262"/>
    </row>
    <row r="300" ht="14.25" customHeight="1">
      <c r="B300" s="1118"/>
      <c r="F300" s="1262"/>
    </row>
    <row r="301" ht="14.25" customHeight="1">
      <c r="B301" s="1118"/>
      <c r="F301" s="1262"/>
    </row>
    <row r="302" ht="14.25" customHeight="1">
      <c r="B302" s="1118"/>
      <c r="F302" s="1262"/>
    </row>
    <row r="303" ht="14.25" customHeight="1">
      <c r="B303" s="1118"/>
      <c r="F303" s="1262"/>
    </row>
    <row r="304" ht="14.25" customHeight="1">
      <c r="B304" s="1118"/>
      <c r="F304" s="1262"/>
    </row>
    <row r="305" ht="14.25" customHeight="1">
      <c r="B305" s="1118"/>
      <c r="F305" s="1262"/>
    </row>
    <row r="306" ht="14.25" customHeight="1">
      <c r="B306" s="1118"/>
      <c r="F306" s="1262"/>
    </row>
    <row r="307" ht="14.25" customHeight="1">
      <c r="B307" s="1118"/>
      <c r="F307" s="1262"/>
    </row>
    <row r="308" ht="14.25" customHeight="1">
      <c r="B308" s="1118"/>
      <c r="F308" s="1262"/>
    </row>
    <row r="309" ht="14.25" customHeight="1">
      <c r="B309" s="1118"/>
      <c r="F309" s="1262"/>
    </row>
    <row r="310" ht="14.25" customHeight="1">
      <c r="B310" s="1118"/>
      <c r="F310" s="1262"/>
    </row>
    <row r="311" ht="14.25" customHeight="1">
      <c r="B311" s="1118"/>
      <c r="F311" s="1262"/>
    </row>
    <row r="312" ht="14.25" customHeight="1">
      <c r="B312" s="1118"/>
      <c r="F312" s="1262"/>
    </row>
    <row r="313" ht="14.25" customHeight="1">
      <c r="B313" s="1118"/>
      <c r="F313" s="1262"/>
    </row>
    <row r="314" ht="14.25" customHeight="1">
      <c r="B314" s="1118"/>
      <c r="F314" s="1262"/>
    </row>
    <row r="315" ht="14.25" customHeight="1">
      <c r="B315" s="1118"/>
      <c r="F315" s="1262"/>
    </row>
    <row r="316" ht="14.25" customHeight="1">
      <c r="B316" s="1118"/>
      <c r="F316" s="1262"/>
    </row>
    <row r="317" ht="14.25" customHeight="1">
      <c r="B317" s="1118"/>
      <c r="F317" s="1262"/>
    </row>
    <row r="318" ht="14.25" customHeight="1">
      <c r="B318" s="1118"/>
      <c r="F318" s="1262"/>
    </row>
    <row r="319" ht="14.25" customHeight="1">
      <c r="B319" s="1118"/>
      <c r="F319" s="1262"/>
    </row>
    <row r="320" ht="14.25" customHeight="1">
      <c r="B320" s="1118"/>
      <c r="F320" s="1262"/>
    </row>
    <row r="321" ht="14.25" customHeight="1">
      <c r="B321" s="1118"/>
      <c r="F321" s="1262"/>
    </row>
    <row r="322" ht="14.25" customHeight="1">
      <c r="B322" s="1118"/>
      <c r="F322" s="1262"/>
    </row>
    <row r="323" ht="14.25" customHeight="1">
      <c r="B323" s="1118"/>
      <c r="F323" s="1262"/>
    </row>
    <row r="324" ht="14.25" customHeight="1">
      <c r="B324" s="1118"/>
      <c r="F324" s="1262"/>
    </row>
    <row r="325" ht="14.25" customHeight="1">
      <c r="B325" s="1118"/>
      <c r="F325" s="1262"/>
    </row>
    <row r="326" ht="14.25" customHeight="1">
      <c r="B326" s="1118"/>
      <c r="F326" s="1262"/>
    </row>
    <row r="327" ht="14.25" customHeight="1">
      <c r="B327" s="1118"/>
      <c r="F327" s="1262"/>
    </row>
    <row r="328" ht="14.25" customHeight="1">
      <c r="B328" s="1118"/>
      <c r="F328" s="1262"/>
    </row>
    <row r="329" ht="14.25" customHeight="1">
      <c r="B329" s="1118"/>
      <c r="F329" s="1262"/>
    </row>
    <row r="330" ht="14.25" customHeight="1">
      <c r="B330" s="1118"/>
      <c r="F330" s="1262"/>
    </row>
    <row r="331" ht="14.25" customHeight="1">
      <c r="B331" s="1118"/>
      <c r="F331" s="1262"/>
    </row>
    <row r="332" ht="14.25" customHeight="1">
      <c r="B332" s="1118"/>
      <c r="F332" s="1262"/>
    </row>
    <row r="333" ht="14.25" customHeight="1">
      <c r="B333" s="1118"/>
      <c r="F333" s="1262"/>
    </row>
    <row r="334" ht="14.25" customHeight="1">
      <c r="B334" s="1118"/>
      <c r="F334" s="1262"/>
    </row>
    <row r="335" ht="14.25" customHeight="1">
      <c r="B335" s="1118"/>
      <c r="F335" s="1262"/>
    </row>
    <row r="336" ht="14.25" customHeight="1">
      <c r="B336" s="1118"/>
      <c r="F336" s="1262"/>
    </row>
    <row r="337" ht="14.25" customHeight="1">
      <c r="B337" s="1118"/>
      <c r="F337" s="1262"/>
    </row>
    <row r="338" ht="14.25" customHeight="1">
      <c r="B338" s="1118"/>
      <c r="F338" s="1262"/>
    </row>
    <row r="339" ht="14.25" customHeight="1">
      <c r="B339" s="1118"/>
      <c r="F339" s="1262"/>
    </row>
    <row r="340" ht="14.25" customHeight="1">
      <c r="B340" s="1118"/>
      <c r="F340" s="1262"/>
    </row>
    <row r="341" ht="14.25" customHeight="1">
      <c r="B341" s="1118"/>
      <c r="F341" s="1262"/>
    </row>
    <row r="342" ht="14.25" customHeight="1">
      <c r="B342" s="1118"/>
      <c r="F342" s="1262"/>
    </row>
    <row r="343" ht="14.25" customHeight="1">
      <c r="B343" s="1118"/>
      <c r="F343" s="1262"/>
    </row>
    <row r="344" ht="14.25" customHeight="1">
      <c r="B344" s="1118"/>
      <c r="F344" s="1262"/>
    </row>
    <row r="345" ht="14.25" customHeight="1">
      <c r="B345" s="1118"/>
      <c r="F345" s="1262"/>
    </row>
    <row r="346" ht="14.25" customHeight="1">
      <c r="B346" s="1118"/>
      <c r="F346" s="1262"/>
    </row>
    <row r="347" ht="14.25" customHeight="1">
      <c r="B347" s="1118"/>
      <c r="F347" s="1262"/>
    </row>
    <row r="348" ht="14.25" customHeight="1">
      <c r="B348" s="1118"/>
      <c r="F348" s="1262"/>
    </row>
    <row r="349" ht="14.25" customHeight="1">
      <c r="B349" s="1118"/>
      <c r="F349" s="1262"/>
    </row>
    <row r="350" ht="14.25" customHeight="1">
      <c r="B350" s="1118"/>
      <c r="F350" s="1262"/>
    </row>
    <row r="351" ht="14.25" customHeight="1">
      <c r="B351" s="1118"/>
      <c r="F351" s="1262"/>
    </row>
    <row r="352" ht="14.25" customHeight="1">
      <c r="B352" s="1118"/>
      <c r="F352" s="1262"/>
    </row>
    <row r="353" ht="14.25" customHeight="1">
      <c r="B353" s="1118"/>
      <c r="F353" s="1262"/>
    </row>
    <row r="354" ht="14.25" customHeight="1">
      <c r="B354" s="1118"/>
      <c r="F354" s="1262"/>
    </row>
    <row r="355" ht="14.25" customHeight="1">
      <c r="B355" s="1118"/>
      <c r="F355" s="1262"/>
    </row>
    <row r="356" ht="14.25" customHeight="1">
      <c r="B356" s="1118"/>
      <c r="F356" s="1262"/>
    </row>
    <row r="357" ht="14.25" customHeight="1">
      <c r="B357" s="1118"/>
      <c r="F357" s="1262"/>
    </row>
    <row r="358" ht="14.25" customHeight="1">
      <c r="B358" s="1118"/>
      <c r="F358" s="1262"/>
    </row>
    <row r="359" ht="14.25" customHeight="1">
      <c r="B359" s="1118"/>
      <c r="F359" s="1262"/>
    </row>
    <row r="360" ht="14.25" customHeight="1">
      <c r="B360" s="1118"/>
      <c r="F360" s="1262"/>
    </row>
    <row r="361" ht="14.25" customHeight="1">
      <c r="B361" s="1118"/>
      <c r="F361" s="1262"/>
    </row>
    <row r="362" ht="14.25" customHeight="1">
      <c r="B362" s="1118"/>
      <c r="F362" s="1262"/>
    </row>
    <row r="363" ht="14.25" customHeight="1">
      <c r="B363" s="1118"/>
      <c r="F363" s="1262"/>
    </row>
    <row r="364" ht="14.25" customHeight="1">
      <c r="B364" s="1118"/>
      <c r="F364" s="1262"/>
    </row>
    <row r="365" ht="14.25" customHeight="1">
      <c r="B365" s="1118"/>
      <c r="F365" s="1262"/>
    </row>
    <row r="366" ht="14.25" customHeight="1">
      <c r="B366" s="1118"/>
      <c r="F366" s="1262"/>
    </row>
    <row r="367" ht="14.25" customHeight="1">
      <c r="B367" s="1118"/>
      <c r="F367" s="1262"/>
    </row>
    <row r="368" ht="14.25" customHeight="1">
      <c r="B368" s="1118"/>
      <c r="F368" s="1262"/>
    </row>
    <row r="369" ht="14.25" customHeight="1">
      <c r="B369" s="1118"/>
      <c r="F369" s="1262"/>
    </row>
    <row r="370" ht="14.25" customHeight="1">
      <c r="B370" s="1118"/>
      <c r="F370" s="1262"/>
    </row>
    <row r="371" ht="14.25" customHeight="1">
      <c r="B371" s="1118"/>
      <c r="F371" s="1262"/>
    </row>
    <row r="372" ht="14.25" customHeight="1">
      <c r="B372" s="1118"/>
      <c r="F372" s="1262"/>
    </row>
    <row r="373" ht="14.25" customHeight="1">
      <c r="B373" s="1118"/>
      <c r="F373" s="1262"/>
    </row>
    <row r="374" ht="14.25" customHeight="1">
      <c r="B374" s="1118"/>
      <c r="F374" s="1262"/>
    </row>
    <row r="375" ht="14.25" customHeight="1">
      <c r="B375" s="1118"/>
      <c r="F375" s="1262"/>
    </row>
    <row r="376" ht="14.25" customHeight="1">
      <c r="B376" s="1118"/>
      <c r="F376" s="1262"/>
    </row>
    <row r="377" ht="14.25" customHeight="1">
      <c r="B377" s="1118"/>
      <c r="F377" s="1262"/>
    </row>
    <row r="378" ht="14.25" customHeight="1">
      <c r="B378" s="1118"/>
      <c r="F378" s="1262"/>
    </row>
    <row r="379" ht="14.25" customHeight="1">
      <c r="B379" s="1118"/>
      <c r="F379" s="1262"/>
    </row>
    <row r="380" ht="14.25" customHeight="1">
      <c r="B380" s="1118"/>
      <c r="F380" s="1262"/>
    </row>
    <row r="381" ht="14.25" customHeight="1">
      <c r="B381" s="1118"/>
      <c r="F381" s="1262"/>
    </row>
    <row r="382" ht="14.25" customHeight="1">
      <c r="B382" s="1118"/>
      <c r="F382" s="1262"/>
    </row>
    <row r="383" ht="14.25" customHeight="1">
      <c r="B383" s="1118"/>
      <c r="F383" s="1262"/>
    </row>
    <row r="384" ht="14.25" customHeight="1">
      <c r="B384" s="1118"/>
      <c r="F384" s="1262"/>
    </row>
    <row r="385" ht="14.25" customHeight="1">
      <c r="B385" s="1118"/>
      <c r="F385" s="1262"/>
    </row>
    <row r="386" ht="14.25" customHeight="1">
      <c r="B386" s="1118"/>
      <c r="F386" s="1262"/>
    </row>
    <row r="387" ht="14.25" customHeight="1">
      <c r="B387" s="1118"/>
      <c r="F387" s="1262"/>
    </row>
    <row r="388" ht="14.25" customHeight="1">
      <c r="B388" s="1118"/>
      <c r="F388" s="1262"/>
    </row>
    <row r="389" ht="14.25" customHeight="1">
      <c r="B389" s="1118"/>
      <c r="F389" s="1262"/>
    </row>
    <row r="390" ht="14.25" customHeight="1">
      <c r="B390" s="1118"/>
      <c r="F390" s="1262"/>
    </row>
    <row r="391" ht="14.25" customHeight="1">
      <c r="B391" s="1118"/>
      <c r="F391" s="1262"/>
    </row>
    <row r="392" ht="14.25" customHeight="1">
      <c r="B392" s="1118"/>
      <c r="F392" s="1262"/>
    </row>
    <row r="393" ht="14.25" customHeight="1">
      <c r="B393" s="1118"/>
      <c r="F393" s="1262"/>
    </row>
    <row r="394" ht="14.25" customHeight="1">
      <c r="B394" s="1118"/>
      <c r="F394" s="1262"/>
    </row>
    <row r="395" ht="14.25" customHeight="1">
      <c r="B395" s="1118"/>
      <c r="F395" s="1262"/>
    </row>
    <row r="396" ht="14.25" customHeight="1">
      <c r="B396" s="1118"/>
      <c r="F396" s="1262"/>
    </row>
    <row r="397" ht="14.25" customHeight="1">
      <c r="B397" s="1118"/>
      <c r="F397" s="1262"/>
    </row>
    <row r="398" ht="14.25" customHeight="1">
      <c r="B398" s="1118"/>
      <c r="F398" s="1262"/>
    </row>
    <row r="399" ht="14.25" customHeight="1">
      <c r="B399" s="1118"/>
      <c r="F399" s="1262"/>
    </row>
    <row r="400" ht="14.25" customHeight="1">
      <c r="B400" s="1118"/>
      <c r="F400" s="1262"/>
    </row>
    <row r="401" ht="14.25" customHeight="1">
      <c r="B401" s="1118"/>
      <c r="F401" s="1262"/>
    </row>
    <row r="402" ht="14.25" customHeight="1">
      <c r="B402" s="1118"/>
      <c r="F402" s="1262"/>
    </row>
    <row r="403" ht="14.25" customHeight="1">
      <c r="B403" s="1118"/>
      <c r="F403" s="1262"/>
    </row>
    <row r="404" ht="14.25" customHeight="1">
      <c r="B404" s="1118"/>
      <c r="F404" s="1262"/>
    </row>
    <row r="405" ht="14.25" customHeight="1">
      <c r="B405" s="1118"/>
      <c r="F405" s="1262"/>
    </row>
    <row r="406" ht="14.25" customHeight="1">
      <c r="B406" s="1118"/>
      <c r="F406" s="1262"/>
    </row>
    <row r="407" ht="14.25" customHeight="1">
      <c r="B407" s="1118"/>
      <c r="F407" s="1262"/>
    </row>
    <row r="408" ht="14.25" customHeight="1">
      <c r="B408" s="1118"/>
      <c r="F408" s="1262"/>
    </row>
    <row r="409" ht="14.25" customHeight="1">
      <c r="B409" s="1118"/>
      <c r="F409" s="1262"/>
    </row>
    <row r="410" ht="14.25" customHeight="1">
      <c r="B410" s="1118"/>
      <c r="F410" s="1262"/>
    </row>
    <row r="411" ht="14.25" customHeight="1">
      <c r="B411" s="1118"/>
      <c r="F411" s="1262"/>
    </row>
    <row r="412" ht="14.25" customHeight="1">
      <c r="B412" s="1118"/>
      <c r="F412" s="1262"/>
    </row>
    <row r="413" ht="14.25" customHeight="1">
      <c r="B413" s="1118"/>
      <c r="F413" s="1262"/>
    </row>
    <row r="414" ht="14.25" customHeight="1">
      <c r="B414" s="1118"/>
      <c r="F414" s="1262"/>
    </row>
    <row r="415" ht="14.25" customHeight="1">
      <c r="B415" s="1118"/>
      <c r="F415" s="1262"/>
    </row>
    <row r="416" ht="14.25" customHeight="1">
      <c r="B416" s="1118"/>
      <c r="F416" s="1262"/>
    </row>
    <row r="417" ht="14.25" customHeight="1">
      <c r="B417" s="1118"/>
      <c r="F417" s="1262"/>
    </row>
    <row r="418" ht="14.25" customHeight="1">
      <c r="B418" s="1118"/>
      <c r="F418" s="1262"/>
    </row>
    <row r="419" ht="14.25" customHeight="1">
      <c r="B419" s="1118"/>
      <c r="F419" s="1262"/>
    </row>
    <row r="420" ht="14.25" customHeight="1">
      <c r="B420" s="1118"/>
      <c r="F420" s="1262"/>
    </row>
    <row r="421" ht="14.25" customHeight="1">
      <c r="B421" s="1118"/>
      <c r="F421" s="1262"/>
    </row>
    <row r="422" ht="14.25" customHeight="1">
      <c r="B422" s="1118"/>
      <c r="F422" s="1262"/>
    </row>
    <row r="423" ht="14.25" customHeight="1">
      <c r="B423" s="1118"/>
      <c r="F423" s="1262"/>
    </row>
    <row r="424" ht="14.25" customHeight="1">
      <c r="B424" s="1118"/>
      <c r="F424" s="1262"/>
    </row>
    <row r="425" ht="14.25" customHeight="1">
      <c r="B425" s="1118"/>
      <c r="F425" s="1262"/>
    </row>
    <row r="426" ht="14.25" customHeight="1">
      <c r="B426" s="1118"/>
      <c r="F426" s="1262"/>
    </row>
    <row r="427" ht="14.25" customHeight="1">
      <c r="B427" s="1118"/>
      <c r="F427" s="1262"/>
    </row>
    <row r="428" ht="14.25" customHeight="1">
      <c r="B428" s="1118"/>
      <c r="F428" s="1262"/>
    </row>
    <row r="429" ht="14.25" customHeight="1">
      <c r="B429" s="1118"/>
      <c r="F429" s="1262"/>
    </row>
    <row r="430" ht="14.25" customHeight="1">
      <c r="B430" s="1118"/>
      <c r="F430" s="1262"/>
    </row>
    <row r="431" ht="14.25" customHeight="1">
      <c r="B431" s="1118"/>
      <c r="F431" s="1262"/>
    </row>
    <row r="432" ht="14.25" customHeight="1">
      <c r="B432" s="1118"/>
      <c r="F432" s="1262"/>
    </row>
    <row r="433" ht="14.25" customHeight="1">
      <c r="B433" s="1118"/>
      <c r="F433" s="1262"/>
    </row>
    <row r="434" ht="14.25" customHeight="1">
      <c r="B434" s="1118"/>
      <c r="F434" s="1262"/>
    </row>
    <row r="435" ht="14.25" customHeight="1">
      <c r="B435" s="1118"/>
      <c r="F435" s="1262"/>
    </row>
    <row r="436" ht="14.25" customHeight="1">
      <c r="B436" s="1118"/>
      <c r="F436" s="1262"/>
    </row>
    <row r="437" ht="14.25" customHeight="1">
      <c r="B437" s="1118"/>
      <c r="F437" s="1262"/>
    </row>
    <row r="438" ht="14.25" customHeight="1">
      <c r="B438" s="1118"/>
      <c r="F438" s="1262"/>
    </row>
    <row r="439" ht="14.25" customHeight="1">
      <c r="B439" s="1118"/>
      <c r="F439" s="1262"/>
    </row>
    <row r="440" ht="14.25" customHeight="1">
      <c r="B440" s="1118"/>
      <c r="F440" s="1262"/>
    </row>
    <row r="441" ht="14.25" customHeight="1">
      <c r="B441" s="1118"/>
      <c r="F441" s="1262"/>
    </row>
    <row r="442" ht="14.25" customHeight="1">
      <c r="B442" s="1118"/>
      <c r="F442" s="1262"/>
    </row>
    <row r="443" ht="14.25" customHeight="1">
      <c r="B443" s="1118"/>
      <c r="F443" s="1262"/>
    </row>
    <row r="444" ht="14.25" customHeight="1">
      <c r="B444" s="1118"/>
      <c r="F444" s="1262"/>
    </row>
    <row r="445" ht="14.25" customHeight="1">
      <c r="B445" s="1118"/>
      <c r="F445" s="1262"/>
    </row>
    <row r="446" ht="14.25" customHeight="1">
      <c r="B446" s="1118"/>
      <c r="F446" s="1262"/>
    </row>
    <row r="447" ht="14.25" customHeight="1">
      <c r="B447" s="1118"/>
      <c r="F447" s="1262"/>
    </row>
    <row r="448" ht="14.25" customHeight="1">
      <c r="B448" s="1118"/>
      <c r="F448" s="1262"/>
    </row>
    <row r="449" ht="14.25" customHeight="1">
      <c r="B449" s="1118"/>
      <c r="F449" s="1262"/>
    </row>
    <row r="450" ht="14.25" customHeight="1">
      <c r="B450" s="1118"/>
      <c r="F450" s="1262"/>
    </row>
    <row r="451" ht="14.25" customHeight="1">
      <c r="B451" s="1118"/>
      <c r="F451" s="1262"/>
    </row>
    <row r="452" ht="14.25" customHeight="1">
      <c r="B452" s="1118"/>
      <c r="F452" s="1262"/>
    </row>
    <row r="453" ht="14.25" customHeight="1">
      <c r="B453" s="1118"/>
      <c r="F453" s="1262"/>
    </row>
    <row r="454" ht="14.25" customHeight="1">
      <c r="B454" s="1118"/>
      <c r="F454" s="1262"/>
    </row>
    <row r="455" ht="14.25" customHeight="1">
      <c r="B455" s="1118"/>
      <c r="F455" s="1262"/>
    </row>
    <row r="456" ht="14.25" customHeight="1">
      <c r="B456" s="1118"/>
      <c r="F456" s="1262"/>
    </row>
    <row r="457" ht="14.25" customHeight="1">
      <c r="B457" s="1118"/>
      <c r="F457" s="1262"/>
    </row>
    <row r="458" ht="14.25" customHeight="1">
      <c r="B458" s="1118"/>
      <c r="F458" s="1262"/>
    </row>
    <row r="459" ht="14.25" customHeight="1">
      <c r="B459" s="1118"/>
      <c r="F459" s="1262"/>
    </row>
    <row r="460" ht="14.25" customHeight="1">
      <c r="B460" s="1118"/>
      <c r="F460" s="1262"/>
    </row>
    <row r="461" ht="14.25" customHeight="1">
      <c r="B461" s="1118"/>
      <c r="F461" s="1262"/>
    </row>
    <row r="462" ht="14.25" customHeight="1">
      <c r="B462" s="1118"/>
      <c r="F462" s="1262"/>
    </row>
    <row r="463" ht="14.25" customHeight="1">
      <c r="B463" s="1118"/>
      <c r="F463" s="1262"/>
    </row>
    <row r="464" ht="14.25" customHeight="1">
      <c r="B464" s="1118"/>
      <c r="F464" s="1262"/>
    </row>
    <row r="465" ht="14.25" customHeight="1">
      <c r="B465" s="1118"/>
      <c r="F465" s="1262"/>
    </row>
    <row r="466" ht="14.25" customHeight="1">
      <c r="B466" s="1118"/>
      <c r="F466" s="1262"/>
    </row>
    <row r="467" ht="14.25" customHeight="1">
      <c r="B467" s="1118"/>
      <c r="F467" s="1262"/>
    </row>
    <row r="468" ht="14.25" customHeight="1">
      <c r="B468" s="1118"/>
      <c r="F468" s="1262"/>
    </row>
    <row r="469" ht="14.25" customHeight="1">
      <c r="B469" s="1118"/>
      <c r="F469" s="1262"/>
    </row>
    <row r="470" ht="14.25" customHeight="1">
      <c r="B470" s="1118"/>
      <c r="F470" s="1262"/>
    </row>
    <row r="471" ht="14.25" customHeight="1">
      <c r="B471" s="1118"/>
      <c r="F471" s="1262"/>
    </row>
    <row r="472" ht="14.25" customHeight="1">
      <c r="B472" s="1118"/>
      <c r="F472" s="1262"/>
    </row>
    <row r="473" ht="14.25" customHeight="1">
      <c r="B473" s="1118"/>
      <c r="F473" s="1262"/>
    </row>
    <row r="474" ht="14.25" customHeight="1">
      <c r="B474" s="1118"/>
      <c r="F474" s="1262"/>
    </row>
    <row r="475" ht="14.25" customHeight="1">
      <c r="B475" s="1118"/>
      <c r="F475" s="1262"/>
    </row>
    <row r="476" ht="14.25" customHeight="1">
      <c r="B476" s="1118"/>
      <c r="F476" s="1262"/>
    </row>
    <row r="477" ht="14.25" customHeight="1">
      <c r="B477" s="1118"/>
      <c r="F477" s="1262"/>
    </row>
    <row r="478" ht="14.25" customHeight="1">
      <c r="B478" s="1118"/>
      <c r="F478" s="1262"/>
    </row>
    <row r="479" ht="14.25" customHeight="1">
      <c r="B479" s="1118"/>
      <c r="F479" s="1262"/>
    </row>
    <row r="480" ht="14.25" customHeight="1">
      <c r="B480" s="1118"/>
      <c r="F480" s="1262"/>
    </row>
    <row r="481" ht="14.25" customHeight="1">
      <c r="B481" s="1118"/>
      <c r="F481" s="1262"/>
    </row>
    <row r="482" ht="14.25" customHeight="1">
      <c r="B482" s="1118"/>
      <c r="F482" s="1262"/>
    </row>
    <row r="483" ht="14.25" customHeight="1">
      <c r="B483" s="1118"/>
      <c r="F483" s="1262"/>
    </row>
    <row r="484" ht="14.25" customHeight="1">
      <c r="B484" s="1118"/>
      <c r="F484" s="1262"/>
    </row>
    <row r="485" ht="14.25" customHeight="1">
      <c r="B485" s="1118"/>
      <c r="F485" s="1262"/>
    </row>
    <row r="486" ht="14.25" customHeight="1">
      <c r="B486" s="1118"/>
      <c r="F486" s="1262"/>
    </row>
    <row r="487" ht="14.25" customHeight="1">
      <c r="B487" s="1118"/>
      <c r="F487" s="1262"/>
    </row>
    <row r="488" ht="14.25" customHeight="1">
      <c r="B488" s="1118"/>
      <c r="F488" s="1262"/>
    </row>
    <row r="489" ht="14.25" customHeight="1">
      <c r="B489" s="1118"/>
      <c r="F489" s="1262"/>
    </row>
    <row r="490" ht="14.25" customHeight="1">
      <c r="B490" s="1118"/>
      <c r="F490" s="1262"/>
    </row>
    <row r="491" ht="14.25" customHeight="1">
      <c r="B491" s="1118"/>
      <c r="F491" s="1262"/>
    </row>
    <row r="492" ht="14.25" customHeight="1">
      <c r="B492" s="1118"/>
      <c r="F492" s="1262"/>
    </row>
    <row r="493" ht="14.25" customHeight="1">
      <c r="B493" s="1118"/>
      <c r="F493" s="1262"/>
    </row>
    <row r="494" ht="14.25" customHeight="1">
      <c r="B494" s="1118"/>
      <c r="F494" s="1262"/>
    </row>
    <row r="495" ht="14.25" customHeight="1">
      <c r="B495" s="1118"/>
      <c r="F495" s="1262"/>
    </row>
    <row r="496" ht="14.25" customHeight="1">
      <c r="B496" s="1118"/>
      <c r="F496" s="1262"/>
    </row>
    <row r="497" ht="14.25" customHeight="1">
      <c r="B497" s="1118"/>
      <c r="F497" s="1262"/>
    </row>
    <row r="498" ht="14.25" customHeight="1">
      <c r="B498" s="1118"/>
      <c r="F498" s="1262"/>
    </row>
    <row r="499" ht="14.25" customHeight="1">
      <c r="B499" s="1118"/>
      <c r="F499" s="1262"/>
    </row>
    <row r="500" ht="14.25" customHeight="1">
      <c r="B500" s="1118"/>
      <c r="F500" s="1262"/>
    </row>
    <row r="501" ht="14.25" customHeight="1">
      <c r="B501" s="1118"/>
      <c r="F501" s="1262"/>
    </row>
    <row r="502" ht="14.25" customHeight="1">
      <c r="B502" s="1118"/>
      <c r="F502" s="1262"/>
    </row>
    <row r="503" ht="14.25" customHeight="1">
      <c r="B503" s="1118"/>
      <c r="F503" s="1262"/>
    </row>
    <row r="504" ht="14.25" customHeight="1">
      <c r="B504" s="1118"/>
      <c r="F504" s="1262"/>
    </row>
    <row r="505" ht="14.25" customHeight="1">
      <c r="B505" s="1118"/>
      <c r="F505" s="1262"/>
    </row>
    <row r="506" ht="14.25" customHeight="1">
      <c r="B506" s="1118"/>
      <c r="F506" s="1262"/>
    </row>
    <row r="507" ht="14.25" customHeight="1">
      <c r="B507" s="1118"/>
      <c r="F507" s="1262"/>
    </row>
    <row r="508" ht="14.25" customHeight="1">
      <c r="B508" s="1118"/>
      <c r="F508" s="1262"/>
    </row>
    <row r="509" ht="14.25" customHeight="1">
      <c r="B509" s="1118"/>
      <c r="F509" s="1262"/>
    </row>
    <row r="510" ht="14.25" customHeight="1">
      <c r="B510" s="1118"/>
      <c r="F510" s="1262"/>
    </row>
    <row r="511" ht="14.25" customHeight="1">
      <c r="B511" s="1118"/>
      <c r="F511" s="1262"/>
    </row>
    <row r="512" ht="14.25" customHeight="1">
      <c r="B512" s="1118"/>
      <c r="F512" s="1262"/>
    </row>
    <row r="513" ht="14.25" customHeight="1">
      <c r="B513" s="1118"/>
      <c r="F513" s="1262"/>
    </row>
    <row r="514" ht="14.25" customHeight="1">
      <c r="B514" s="1118"/>
      <c r="F514" s="1262"/>
    </row>
    <row r="515" ht="14.25" customHeight="1">
      <c r="B515" s="1118"/>
      <c r="F515" s="1262"/>
    </row>
    <row r="516" ht="14.25" customHeight="1">
      <c r="B516" s="1118"/>
      <c r="F516" s="1262"/>
    </row>
    <row r="517" ht="14.25" customHeight="1">
      <c r="B517" s="1118"/>
      <c r="F517" s="1262"/>
    </row>
    <row r="518" ht="14.25" customHeight="1">
      <c r="B518" s="1118"/>
      <c r="F518" s="1262"/>
    </row>
    <row r="519" ht="14.25" customHeight="1">
      <c r="B519" s="1118"/>
      <c r="F519" s="1262"/>
    </row>
    <row r="520" ht="14.25" customHeight="1">
      <c r="B520" s="1118"/>
      <c r="F520" s="1262"/>
    </row>
    <row r="521" ht="14.25" customHeight="1">
      <c r="B521" s="1118"/>
      <c r="F521" s="1262"/>
    </row>
    <row r="522" ht="14.25" customHeight="1">
      <c r="B522" s="1118"/>
      <c r="F522" s="1262"/>
    </row>
    <row r="523" ht="14.25" customHeight="1">
      <c r="B523" s="1118"/>
      <c r="F523" s="1262"/>
    </row>
    <row r="524" ht="14.25" customHeight="1">
      <c r="B524" s="1118"/>
      <c r="F524" s="1262"/>
    </row>
    <row r="525" ht="14.25" customHeight="1">
      <c r="B525" s="1118"/>
      <c r="F525" s="1262"/>
    </row>
    <row r="526" ht="14.25" customHeight="1">
      <c r="B526" s="1118"/>
      <c r="F526" s="1262"/>
    </row>
    <row r="527" ht="14.25" customHeight="1">
      <c r="B527" s="1118"/>
      <c r="F527" s="1262"/>
    </row>
    <row r="528" ht="14.25" customHeight="1">
      <c r="B528" s="1118"/>
      <c r="F528" s="1262"/>
    </row>
    <row r="529" ht="14.25" customHeight="1">
      <c r="B529" s="1118"/>
      <c r="F529" s="1262"/>
    </row>
    <row r="530" ht="14.25" customHeight="1">
      <c r="B530" s="1118"/>
      <c r="F530" s="1262"/>
    </row>
    <row r="531" ht="14.25" customHeight="1">
      <c r="B531" s="1118"/>
      <c r="F531" s="1262"/>
    </row>
    <row r="532" ht="14.25" customHeight="1">
      <c r="B532" s="1118"/>
      <c r="F532" s="1262"/>
    </row>
    <row r="533" ht="14.25" customHeight="1">
      <c r="B533" s="1118"/>
      <c r="F533" s="1262"/>
    </row>
    <row r="534" ht="14.25" customHeight="1">
      <c r="B534" s="1118"/>
      <c r="F534" s="1262"/>
    </row>
    <row r="535" ht="14.25" customHeight="1">
      <c r="B535" s="1118"/>
      <c r="F535" s="1262"/>
    </row>
    <row r="536" ht="14.25" customHeight="1">
      <c r="B536" s="1118"/>
      <c r="F536" s="1262"/>
    </row>
    <row r="537" ht="14.25" customHeight="1">
      <c r="B537" s="1118"/>
      <c r="F537" s="1262"/>
    </row>
    <row r="538" ht="14.25" customHeight="1">
      <c r="B538" s="1118"/>
      <c r="F538" s="1262"/>
    </row>
    <row r="539" ht="14.25" customHeight="1">
      <c r="B539" s="1118"/>
      <c r="F539" s="1262"/>
    </row>
    <row r="540" ht="14.25" customHeight="1">
      <c r="B540" s="1118"/>
      <c r="F540" s="1262"/>
    </row>
    <row r="541" ht="14.25" customHeight="1">
      <c r="B541" s="1118"/>
      <c r="F541" s="1262"/>
    </row>
    <row r="542" ht="14.25" customHeight="1">
      <c r="B542" s="1118"/>
      <c r="F542" s="1262"/>
    </row>
    <row r="543" ht="14.25" customHeight="1">
      <c r="B543" s="1118"/>
      <c r="F543" s="1262"/>
    </row>
    <row r="544" ht="14.25" customHeight="1">
      <c r="B544" s="1118"/>
      <c r="F544" s="1262"/>
    </row>
    <row r="545" ht="14.25" customHeight="1">
      <c r="B545" s="1118"/>
      <c r="F545" s="1262"/>
    </row>
    <row r="546" ht="14.25" customHeight="1">
      <c r="B546" s="1118"/>
      <c r="F546" s="1262"/>
    </row>
    <row r="547" ht="14.25" customHeight="1">
      <c r="B547" s="1118"/>
      <c r="F547" s="1262"/>
    </row>
    <row r="548" ht="14.25" customHeight="1">
      <c r="B548" s="1118"/>
      <c r="F548" s="1262"/>
    </row>
    <row r="549" ht="14.25" customHeight="1">
      <c r="B549" s="1118"/>
      <c r="F549" s="1262"/>
    </row>
    <row r="550" ht="14.25" customHeight="1">
      <c r="B550" s="1118"/>
      <c r="F550" s="1262"/>
    </row>
    <row r="551" ht="14.25" customHeight="1">
      <c r="B551" s="1118"/>
      <c r="F551" s="1262"/>
    </row>
    <row r="552" ht="14.25" customHeight="1">
      <c r="B552" s="1118"/>
      <c r="F552" s="1262"/>
    </row>
    <row r="553" ht="14.25" customHeight="1">
      <c r="B553" s="1118"/>
      <c r="F553" s="1262"/>
    </row>
    <row r="554" ht="14.25" customHeight="1">
      <c r="B554" s="1118"/>
      <c r="F554" s="1262"/>
    </row>
    <row r="555" ht="14.25" customHeight="1">
      <c r="B555" s="1118"/>
      <c r="F555" s="1262"/>
    </row>
    <row r="556" ht="14.25" customHeight="1">
      <c r="B556" s="1118"/>
      <c r="F556" s="1262"/>
    </row>
    <row r="557" ht="14.25" customHeight="1">
      <c r="B557" s="1118"/>
      <c r="F557" s="1262"/>
    </row>
    <row r="558" ht="14.25" customHeight="1">
      <c r="B558" s="1118"/>
      <c r="F558" s="1262"/>
    </row>
    <row r="559" ht="14.25" customHeight="1">
      <c r="B559" s="1118"/>
      <c r="F559" s="1262"/>
    </row>
    <row r="560" ht="14.25" customHeight="1">
      <c r="B560" s="1118"/>
      <c r="F560" s="1262"/>
    </row>
    <row r="561" ht="14.25" customHeight="1">
      <c r="B561" s="1118"/>
      <c r="F561" s="1262"/>
    </row>
    <row r="562" ht="14.25" customHeight="1">
      <c r="B562" s="1118"/>
      <c r="F562" s="1262"/>
    </row>
    <row r="563" ht="14.25" customHeight="1">
      <c r="B563" s="1118"/>
      <c r="F563" s="1262"/>
    </row>
    <row r="564" ht="14.25" customHeight="1">
      <c r="B564" s="1118"/>
      <c r="F564" s="1262"/>
    </row>
    <row r="565" ht="14.25" customHeight="1">
      <c r="B565" s="1118"/>
      <c r="F565" s="1262"/>
    </row>
    <row r="566" ht="14.25" customHeight="1">
      <c r="B566" s="1118"/>
      <c r="F566" s="1262"/>
    </row>
    <row r="567" ht="14.25" customHeight="1">
      <c r="B567" s="1118"/>
      <c r="F567" s="1262"/>
    </row>
    <row r="568" ht="14.25" customHeight="1">
      <c r="B568" s="1118"/>
      <c r="F568" s="1262"/>
    </row>
    <row r="569" ht="14.25" customHeight="1">
      <c r="B569" s="1118"/>
      <c r="F569" s="1262"/>
    </row>
    <row r="570" ht="14.25" customHeight="1">
      <c r="B570" s="1118"/>
      <c r="F570" s="1262"/>
    </row>
    <row r="571" ht="14.25" customHeight="1">
      <c r="B571" s="1118"/>
      <c r="F571" s="1262"/>
    </row>
    <row r="572" ht="14.25" customHeight="1">
      <c r="B572" s="1118"/>
      <c r="F572" s="1262"/>
    </row>
    <row r="573" ht="14.25" customHeight="1">
      <c r="B573" s="1118"/>
      <c r="F573" s="1262"/>
    </row>
    <row r="574" ht="14.25" customHeight="1">
      <c r="B574" s="1118"/>
      <c r="F574" s="1262"/>
    </row>
    <row r="575" ht="14.25" customHeight="1">
      <c r="B575" s="1118"/>
      <c r="F575" s="1262"/>
    </row>
    <row r="576" ht="14.25" customHeight="1">
      <c r="B576" s="1118"/>
      <c r="F576" s="1262"/>
    </row>
    <row r="577" ht="14.25" customHeight="1">
      <c r="B577" s="1118"/>
      <c r="F577" s="1262"/>
    </row>
    <row r="578" ht="14.25" customHeight="1">
      <c r="B578" s="1118"/>
      <c r="F578" s="1262"/>
    </row>
    <row r="579" ht="14.25" customHeight="1">
      <c r="B579" s="1118"/>
      <c r="F579" s="1262"/>
    </row>
    <row r="580" ht="14.25" customHeight="1">
      <c r="B580" s="1118"/>
      <c r="F580" s="1262"/>
    </row>
    <row r="581" ht="14.25" customHeight="1">
      <c r="B581" s="1118"/>
      <c r="F581" s="1262"/>
    </row>
    <row r="582" ht="14.25" customHeight="1">
      <c r="B582" s="1118"/>
      <c r="F582" s="1262"/>
    </row>
    <row r="583" ht="14.25" customHeight="1">
      <c r="B583" s="1118"/>
      <c r="F583" s="1262"/>
    </row>
    <row r="584" ht="14.25" customHeight="1">
      <c r="B584" s="1118"/>
      <c r="F584" s="1262"/>
    </row>
    <row r="585" ht="14.25" customHeight="1">
      <c r="B585" s="1118"/>
      <c r="F585" s="1262"/>
    </row>
    <row r="586" ht="14.25" customHeight="1">
      <c r="B586" s="1118"/>
      <c r="F586" s="1262"/>
    </row>
    <row r="587" ht="14.25" customHeight="1">
      <c r="B587" s="1118"/>
      <c r="F587" s="1262"/>
    </row>
    <row r="588" ht="14.25" customHeight="1">
      <c r="B588" s="1118"/>
      <c r="F588" s="1262"/>
    </row>
    <row r="589" ht="14.25" customHeight="1">
      <c r="B589" s="1118"/>
      <c r="F589" s="1262"/>
    </row>
    <row r="590" ht="14.25" customHeight="1">
      <c r="B590" s="1118"/>
      <c r="F590" s="1262"/>
    </row>
    <row r="591" ht="14.25" customHeight="1">
      <c r="B591" s="1118"/>
      <c r="F591" s="1262"/>
    </row>
    <row r="592" ht="14.25" customHeight="1">
      <c r="B592" s="1118"/>
      <c r="F592" s="1262"/>
    </row>
    <row r="593" ht="14.25" customHeight="1">
      <c r="B593" s="1118"/>
      <c r="F593" s="1262"/>
    </row>
    <row r="594" ht="14.25" customHeight="1">
      <c r="B594" s="1118"/>
      <c r="F594" s="1262"/>
    </row>
    <row r="595" ht="14.25" customHeight="1">
      <c r="B595" s="1118"/>
      <c r="F595" s="1262"/>
    </row>
    <row r="596" ht="14.25" customHeight="1">
      <c r="B596" s="1118"/>
      <c r="F596" s="1262"/>
    </row>
    <row r="597" ht="14.25" customHeight="1">
      <c r="B597" s="1118"/>
      <c r="F597" s="1262"/>
    </row>
    <row r="598" ht="14.25" customHeight="1">
      <c r="B598" s="1118"/>
      <c r="F598" s="1262"/>
    </row>
    <row r="599" ht="14.25" customHeight="1">
      <c r="B599" s="1118"/>
      <c r="F599" s="1262"/>
    </row>
    <row r="600" ht="14.25" customHeight="1">
      <c r="B600" s="1118"/>
      <c r="F600" s="1262"/>
    </row>
    <row r="601" ht="14.25" customHeight="1">
      <c r="B601" s="1118"/>
      <c r="F601" s="1262"/>
    </row>
    <row r="602" ht="14.25" customHeight="1">
      <c r="B602" s="1118"/>
      <c r="F602" s="1262"/>
    </row>
    <row r="603" ht="14.25" customHeight="1">
      <c r="B603" s="1118"/>
      <c r="F603" s="1262"/>
    </row>
    <row r="604" ht="14.25" customHeight="1">
      <c r="B604" s="1118"/>
      <c r="F604" s="1262"/>
    </row>
    <row r="605" ht="14.25" customHeight="1">
      <c r="B605" s="1118"/>
      <c r="F605" s="1262"/>
    </row>
    <row r="606" ht="14.25" customHeight="1">
      <c r="B606" s="1118"/>
      <c r="F606" s="1262"/>
    </row>
    <row r="607" ht="14.25" customHeight="1">
      <c r="B607" s="1118"/>
      <c r="F607" s="1262"/>
    </row>
    <row r="608" ht="14.25" customHeight="1">
      <c r="B608" s="1118"/>
      <c r="F608" s="1262"/>
    </row>
    <row r="609" ht="14.25" customHeight="1">
      <c r="B609" s="1118"/>
      <c r="F609" s="1262"/>
    </row>
    <row r="610" ht="14.25" customHeight="1">
      <c r="B610" s="1118"/>
      <c r="F610" s="1262"/>
    </row>
    <row r="611" ht="14.25" customHeight="1">
      <c r="B611" s="1118"/>
      <c r="F611" s="1262"/>
    </row>
    <row r="612" ht="14.25" customHeight="1">
      <c r="B612" s="1118"/>
      <c r="F612" s="1262"/>
    </row>
    <row r="613" ht="14.25" customHeight="1">
      <c r="B613" s="1118"/>
      <c r="F613" s="1262"/>
    </row>
    <row r="614" ht="14.25" customHeight="1">
      <c r="B614" s="1118"/>
      <c r="F614" s="1262"/>
    </row>
    <row r="615" ht="14.25" customHeight="1">
      <c r="B615" s="1118"/>
      <c r="F615" s="1262"/>
    </row>
    <row r="616" ht="14.25" customHeight="1">
      <c r="B616" s="1118"/>
      <c r="F616" s="1262"/>
    </row>
    <row r="617" ht="14.25" customHeight="1">
      <c r="B617" s="1118"/>
      <c r="F617" s="1262"/>
    </row>
    <row r="618" ht="14.25" customHeight="1">
      <c r="B618" s="1118"/>
      <c r="F618" s="1262"/>
    </row>
    <row r="619" ht="14.25" customHeight="1">
      <c r="B619" s="1118"/>
      <c r="F619" s="1262"/>
    </row>
    <row r="620" ht="14.25" customHeight="1">
      <c r="B620" s="1118"/>
      <c r="F620" s="1262"/>
    </row>
    <row r="621" ht="14.25" customHeight="1">
      <c r="B621" s="1118"/>
      <c r="F621" s="1262"/>
    </row>
    <row r="622" ht="14.25" customHeight="1">
      <c r="B622" s="1118"/>
      <c r="F622" s="1262"/>
    </row>
    <row r="623" ht="14.25" customHeight="1">
      <c r="B623" s="1118"/>
      <c r="F623" s="1262"/>
    </row>
    <row r="624" ht="14.25" customHeight="1">
      <c r="B624" s="1118"/>
      <c r="F624" s="1262"/>
    </row>
    <row r="625" ht="14.25" customHeight="1">
      <c r="B625" s="1118"/>
      <c r="F625" s="1262"/>
    </row>
    <row r="626" ht="14.25" customHeight="1">
      <c r="B626" s="1118"/>
      <c r="F626" s="1262"/>
    </row>
    <row r="627" ht="14.25" customHeight="1">
      <c r="B627" s="1118"/>
      <c r="F627" s="1262"/>
    </row>
    <row r="628" ht="14.25" customHeight="1">
      <c r="B628" s="1118"/>
      <c r="F628" s="1262"/>
    </row>
    <row r="629" ht="14.25" customHeight="1">
      <c r="B629" s="1118"/>
      <c r="F629" s="1262"/>
    </row>
    <row r="630" ht="14.25" customHeight="1">
      <c r="B630" s="1118"/>
      <c r="F630" s="1262"/>
    </row>
    <row r="631" ht="14.25" customHeight="1">
      <c r="B631" s="1118"/>
      <c r="F631" s="1262"/>
    </row>
    <row r="632" ht="14.25" customHeight="1">
      <c r="B632" s="1118"/>
      <c r="F632" s="1262"/>
    </row>
    <row r="633" ht="14.25" customHeight="1">
      <c r="B633" s="1118"/>
      <c r="F633" s="1262"/>
    </row>
    <row r="634" ht="14.25" customHeight="1">
      <c r="B634" s="1118"/>
      <c r="F634" s="1262"/>
    </row>
    <row r="635" ht="14.25" customHeight="1">
      <c r="B635" s="1118"/>
      <c r="F635" s="1262"/>
    </row>
    <row r="636" ht="14.25" customHeight="1">
      <c r="B636" s="1118"/>
      <c r="F636" s="1262"/>
    </row>
    <row r="637" ht="14.25" customHeight="1">
      <c r="B637" s="1118"/>
      <c r="F637" s="1262"/>
    </row>
    <row r="638" ht="14.25" customHeight="1">
      <c r="B638" s="1118"/>
      <c r="F638" s="1262"/>
    </row>
    <row r="639" ht="14.25" customHeight="1">
      <c r="B639" s="1118"/>
      <c r="F639" s="1262"/>
    </row>
    <row r="640" ht="14.25" customHeight="1">
      <c r="B640" s="1118"/>
      <c r="F640" s="1262"/>
    </row>
    <row r="641" ht="14.25" customHeight="1">
      <c r="B641" s="1118"/>
      <c r="F641" s="1262"/>
    </row>
    <row r="642" ht="14.25" customHeight="1">
      <c r="B642" s="1118"/>
      <c r="F642" s="1262"/>
    </row>
    <row r="643" ht="14.25" customHeight="1">
      <c r="B643" s="1118"/>
      <c r="F643" s="1262"/>
    </row>
    <row r="644" ht="14.25" customHeight="1">
      <c r="B644" s="1118"/>
      <c r="F644" s="1262"/>
    </row>
    <row r="645" ht="14.25" customHeight="1">
      <c r="B645" s="1118"/>
      <c r="F645" s="1262"/>
    </row>
    <row r="646" ht="14.25" customHeight="1">
      <c r="B646" s="1118"/>
      <c r="F646" s="1262"/>
    </row>
    <row r="647" ht="14.25" customHeight="1">
      <c r="B647" s="1118"/>
      <c r="F647" s="1262"/>
    </row>
    <row r="648" ht="14.25" customHeight="1">
      <c r="B648" s="1118"/>
      <c r="F648" s="1262"/>
    </row>
    <row r="649" ht="14.25" customHeight="1">
      <c r="B649" s="1118"/>
      <c r="F649" s="1262"/>
    </row>
    <row r="650" ht="14.25" customHeight="1">
      <c r="B650" s="1118"/>
      <c r="F650" s="1262"/>
    </row>
    <row r="651" ht="14.25" customHeight="1">
      <c r="B651" s="1118"/>
      <c r="F651" s="1262"/>
    </row>
    <row r="652" ht="14.25" customHeight="1">
      <c r="B652" s="1118"/>
      <c r="F652" s="1262"/>
    </row>
    <row r="653" ht="14.25" customHeight="1">
      <c r="B653" s="1118"/>
      <c r="F653" s="1262"/>
    </row>
    <row r="654" ht="14.25" customHeight="1">
      <c r="B654" s="1118"/>
      <c r="F654" s="1262"/>
    </row>
    <row r="655" ht="14.25" customHeight="1">
      <c r="B655" s="1118"/>
      <c r="F655" s="1262"/>
    </row>
    <row r="656" ht="14.25" customHeight="1">
      <c r="B656" s="1118"/>
      <c r="F656" s="1262"/>
    </row>
    <row r="657" ht="14.25" customHeight="1">
      <c r="B657" s="1118"/>
      <c r="F657" s="1262"/>
    </row>
    <row r="658" ht="14.25" customHeight="1">
      <c r="B658" s="1118"/>
      <c r="F658" s="1262"/>
    </row>
    <row r="659" ht="14.25" customHeight="1">
      <c r="B659" s="1118"/>
      <c r="F659" s="1262"/>
    </row>
    <row r="660" ht="14.25" customHeight="1">
      <c r="B660" s="1118"/>
      <c r="F660" s="1262"/>
    </row>
    <row r="661" ht="14.25" customHeight="1">
      <c r="B661" s="1118"/>
      <c r="F661" s="1262"/>
    </row>
    <row r="662" ht="14.25" customHeight="1">
      <c r="B662" s="1118"/>
      <c r="F662" s="1262"/>
    </row>
    <row r="663" ht="14.25" customHeight="1">
      <c r="B663" s="1118"/>
      <c r="F663" s="1262"/>
    </row>
    <row r="664" ht="14.25" customHeight="1">
      <c r="B664" s="1118"/>
      <c r="F664" s="1262"/>
    </row>
    <row r="665" ht="14.25" customHeight="1">
      <c r="B665" s="1118"/>
      <c r="F665" s="1262"/>
    </row>
    <row r="666" ht="14.25" customHeight="1">
      <c r="B666" s="1118"/>
      <c r="F666" s="1262"/>
    </row>
    <row r="667" ht="14.25" customHeight="1">
      <c r="B667" s="1118"/>
      <c r="F667" s="1262"/>
    </row>
    <row r="668" ht="14.25" customHeight="1">
      <c r="B668" s="1118"/>
      <c r="F668" s="1262"/>
    </row>
    <row r="669" ht="14.25" customHeight="1">
      <c r="B669" s="1118"/>
      <c r="F669" s="1262"/>
    </row>
    <row r="670" ht="14.25" customHeight="1">
      <c r="B670" s="1118"/>
      <c r="F670" s="1262"/>
    </row>
    <row r="671" ht="14.25" customHeight="1">
      <c r="B671" s="1118"/>
      <c r="F671" s="1262"/>
    </row>
    <row r="672" ht="14.25" customHeight="1">
      <c r="B672" s="1118"/>
      <c r="F672" s="1262"/>
    </row>
    <row r="673" ht="14.25" customHeight="1">
      <c r="B673" s="1118"/>
      <c r="F673" s="1262"/>
    </row>
    <row r="674" ht="14.25" customHeight="1">
      <c r="B674" s="1118"/>
      <c r="F674" s="1262"/>
    </row>
    <row r="675" ht="14.25" customHeight="1">
      <c r="B675" s="1118"/>
      <c r="F675" s="1262"/>
    </row>
    <row r="676" ht="14.25" customHeight="1">
      <c r="B676" s="1118"/>
      <c r="F676" s="1262"/>
    </row>
    <row r="677" ht="14.25" customHeight="1">
      <c r="B677" s="1118"/>
      <c r="F677" s="1262"/>
    </row>
    <row r="678" ht="14.25" customHeight="1">
      <c r="B678" s="1118"/>
      <c r="F678" s="1262"/>
    </row>
    <row r="679" ht="14.25" customHeight="1">
      <c r="B679" s="1118"/>
      <c r="F679" s="1262"/>
    </row>
    <row r="680" ht="14.25" customHeight="1">
      <c r="B680" s="1118"/>
      <c r="F680" s="1262"/>
    </row>
    <row r="681" ht="14.25" customHeight="1">
      <c r="B681" s="1118"/>
      <c r="F681" s="1262"/>
    </row>
    <row r="682" ht="14.25" customHeight="1">
      <c r="B682" s="1118"/>
      <c r="F682" s="1262"/>
    </row>
    <row r="683" ht="14.25" customHeight="1">
      <c r="B683" s="1118"/>
      <c r="F683" s="1262"/>
    </row>
    <row r="684" ht="14.25" customHeight="1">
      <c r="B684" s="1118"/>
      <c r="F684" s="1262"/>
    </row>
    <row r="685" ht="14.25" customHeight="1">
      <c r="B685" s="1118"/>
      <c r="F685" s="1262"/>
    </row>
    <row r="686" ht="14.25" customHeight="1">
      <c r="B686" s="1118"/>
      <c r="F686" s="1262"/>
    </row>
    <row r="687" ht="14.25" customHeight="1">
      <c r="B687" s="1118"/>
      <c r="F687" s="1262"/>
    </row>
    <row r="688" ht="14.25" customHeight="1">
      <c r="B688" s="1118"/>
      <c r="F688" s="1262"/>
    </row>
    <row r="689" ht="14.25" customHeight="1">
      <c r="B689" s="1118"/>
      <c r="F689" s="1262"/>
    </row>
    <row r="690" ht="14.25" customHeight="1">
      <c r="B690" s="1118"/>
      <c r="F690" s="1262"/>
    </row>
    <row r="691" ht="14.25" customHeight="1">
      <c r="B691" s="1118"/>
      <c r="F691" s="1262"/>
    </row>
    <row r="692" ht="14.25" customHeight="1">
      <c r="B692" s="1118"/>
      <c r="F692" s="1262"/>
    </row>
    <row r="693" ht="14.25" customHeight="1">
      <c r="B693" s="1118"/>
      <c r="F693" s="1262"/>
    </row>
    <row r="694" ht="14.25" customHeight="1">
      <c r="B694" s="1118"/>
      <c r="F694" s="1262"/>
    </row>
    <row r="695" ht="14.25" customHeight="1">
      <c r="B695" s="1118"/>
      <c r="F695" s="1262"/>
    </row>
    <row r="696" ht="14.25" customHeight="1">
      <c r="B696" s="1118"/>
      <c r="F696" s="1262"/>
    </row>
    <row r="697" ht="14.25" customHeight="1">
      <c r="B697" s="1118"/>
      <c r="F697" s="1262"/>
    </row>
    <row r="698" ht="14.25" customHeight="1">
      <c r="B698" s="1118"/>
      <c r="F698" s="1262"/>
    </row>
    <row r="699" ht="14.25" customHeight="1">
      <c r="B699" s="1118"/>
      <c r="F699" s="1262"/>
    </row>
    <row r="700" ht="14.25" customHeight="1">
      <c r="B700" s="1118"/>
      <c r="F700" s="1262"/>
    </row>
    <row r="701" ht="14.25" customHeight="1">
      <c r="B701" s="1118"/>
      <c r="F701" s="1262"/>
    </row>
    <row r="702" ht="14.25" customHeight="1">
      <c r="B702" s="1118"/>
      <c r="F702" s="1262"/>
    </row>
    <row r="703" ht="14.25" customHeight="1">
      <c r="B703" s="1118"/>
      <c r="F703" s="1262"/>
    </row>
    <row r="704" ht="14.25" customHeight="1">
      <c r="B704" s="1118"/>
      <c r="F704" s="1262"/>
    </row>
    <row r="705" ht="14.25" customHeight="1">
      <c r="B705" s="1118"/>
      <c r="F705" s="1262"/>
    </row>
    <row r="706" ht="14.25" customHeight="1">
      <c r="B706" s="1118"/>
      <c r="F706" s="1262"/>
    </row>
    <row r="707" ht="14.25" customHeight="1">
      <c r="B707" s="1118"/>
      <c r="F707" s="1262"/>
    </row>
    <row r="708" ht="14.25" customHeight="1">
      <c r="B708" s="1118"/>
      <c r="F708" s="1262"/>
    </row>
    <row r="709" ht="14.25" customHeight="1">
      <c r="B709" s="1118"/>
      <c r="F709" s="1262"/>
    </row>
    <row r="710" ht="14.25" customHeight="1">
      <c r="B710" s="1118"/>
      <c r="F710" s="1262"/>
    </row>
    <row r="711" ht="14.25" customHeight="1">
      <c r="B711" s="1118"/>
      <c r="F711" s="1262"/>
    </row>
    <row r="712" ht="14.25" customHeight="1">
      <c r="B712" s="1118"/>
      <c r="F712" s="1262"/>
    </row>
    <row r="713" ht="14.25" customHeight="1">
      <c r="B713" s="1118"/>
      <c r="F713" s="1262"/>
    </row>
    <row r="714" ht="14.25" customHeight="1">
      <c r="B714" s="1118"/>
      <c r="F714" s="1262"/>
    </row>
    <row r="715" ht="14.25" customHeight="1">
      <c r="B715" s="1118"/>
      <c r="F715" s="1262"/>
    </row>
    <row r="716" ht="14.25" customHeight="1">
      <c r="B716" s="1118"/>
      <c r="F716" s="1262"/>
    </row>
    <row r="717" ht="14.25" customHeight="1">
      <c r="B717" s="1118"/>
      <c r="F717" s="1262"/>
    </row>
    <row r="718" ht="14.25" customHeight="1">
      <c r="B718" s="1118"/>
      <c r="F718" s="1262"/>
    </row>
    <row r="719" ht="14.25" customHeight="1">
      <c r="B719" s="1118"/>
      <c r="F719" s="1262"/>
    </row>
    <row r="720" ht="14.25" customHeight="1">
      <c r="B720" s="1118"/>
      <c r="F720" s="1262"/>
    </row>
    <row r="721" ht="14.25" customHeight="1">
      <c r="B721" s="1118"/>
      <c r="F721" s="1262"/>
    </row>
    <row r="722" ht="14.25" customHeight="1">
      <c r="B722" s="1118"/>
      <c r="F722" s="1262"/>
    </row>
    <row r="723" ht="14.25" customHeight="1">
      <c r="B723" s="1118"/>
      <c r="F723" s="1262"/>
    </row>
    <row r="724" ht="14.25" customHeight="1">
      <c r="B724" s="1118"/>
      <c r="F724" s="1262"/>
    </row>
    <row r="725" ht="14.25" customHeight="1">
      <c r="B725" s="1118"/>
      <c r="F725" s="1262"/>
    </row>
    <row r="726" ht="14.25" customHeight="1">
      <c r="B726" s="1118"/>
      <c r="F726" s="1262"/>
    </row>
    <row r="727" ht="14.25" customHeight="1">
      <c r="B727" s="1118"/>
      <c r="F727" s="1262"/>
    </row>
    <row r="728" ht="14.25" customHeight="1">
      <c r="B728" s="1118"/>
      <c r="F728" s="1262"/>
    </row>
    <row r="729" ht="14.25" customHeight="1">
      <c r="B729" s="1118"/>
      <c r="F729" s="1262"/>
    </row>
    <row r="730" ht="14.25" customHeight="1">
      <c r="B730" s="1118"/>
      <c r="F730" s="1262"/>
    </row>
    <row r="731" ht="14.25" customHeight="1">
      <c r="B731" s="1118"/>
      <c r="F731" s="1262"/>
    </row>
    <row r="732" ht="14.25" customHeight="1">
      <c r="B732" s="1118"/>
      <c r="F732" s="1262"/>
    </row>
    <row r="733" ht="14.25" customHeight="1">
      <c r="B733" s="1118"/>
      <c r="F733" s="1262"/>
    </row>
    <row r="734" ht="14.25" customHeight="1">
      <c r="B734" s="1118"/>
      <c r="F734" s="1262"/>
    </row>
    <row r="735" ht="14.25" customHeight="1">
      <c r="B735" s="1118"/>
      <c r="F735" s="1262"/>
    </row>
    <row r="736" ht="14.25" customHeight="1">
      <c r="B736" s="1118"/>
      <c r="F736" s="1262"/>
    </row>
    <row r="737" ht="14.25" customHeight="1">
      <c r="B737" s="1118"/>
      <c r="F737" s="1262"/>
    </row>
    <row r="738" ht="14.25" customHeight="1">
      <c r="B738" s="1118"/>
      <c r="F738" s="1262"/>
    </row>
    <row r="739" ht="14.25" customHeight="1">
      <c r="B739" s="1118"/>
      <c r="F739" s="1262"/>
    </row>
    <row r="740" ht="14.25" customHeight="1">
      <c r="B740" s="1118"/>
      <c r="F740" s="1262"/>
    </row>
    <row r="741" ht="14.25" customHeight="1">
      <c r="B741" s="1118"/>
      <c r="F741" s="1262"/>
    </row>
    <row r="742" ht="14.25" customHeight="1">
      <c r="B742" s="1118"/>
      <c r="F742" s="1262"/>
    </row>
    <row r="743" ht="14.25" customHeight="1">
      <c r="B743" s="1118"/>
      <c r="F743" s="1262"/>
    </row>
    <row r="744" ht="14.25" customHeight="1">
      <c r="B744" s="1118"/>
      <c r="F744" s="1262"/>
    </row>
    <row r="745" ht="14.25" customHeight="1">
      <c r="B745" s="1118"/>
      <c r="F745" s="1262"/>
    </row>
    <row r="746" ht="14.25" customHeight="1">
      <c r="B746" s="1118"/>
      <c r="F746" s="1262"/>
    </row>
    <row r="747" ht="14.25" customHeight="1">
      <c r="B747" s="1118"/>
      <c r="F747" s="1262"/>
    </row>
    <row r="748" ht="14.25" customHeight="1">
      <c r="B748" s="1118"/>
      <c r="F748" s="1262"/>
    </row>
    <row r="749" ht="14.25" customHeight="1">
      <c r="B749" s="1118"/>
      <c r="F749" s="1262"/>
    </row>
    <row r="750" ht="14.25" customHeight="1">
      <c r="B750" s="1118"/>
      <c r="F750" s="1262"/>
    </row>
    <row r="751" ht="14.25" customHeight="1">
      <c r="B751" s="1118"/>
      <c r="F751" s="1262"/>
    </row>
    <row r="752" ht="14.25" customHeight="1">
      <c r="B752" s="1118"/>
      <c r="F752" s="1262"/>
    </row>
    <row r="753" ht="14.25" customHeight="1">
      <c r="B753" s="1118"/>
      <c r="F753" s="1262"/>
    </row>
    <row r="754" ht="14.25" customHeight="1">
      <c r="B754" s="1118"/>
      <c r="F754" s="1262"/>
    </row>
    <row r="755" ht="14.25" customHeight="1">
      <c r="B755" s="1118"/>
      <c r="F755" s="1262"/>
    </row>
    <row r="756" ht="14.25" customHeight="1">
      <c r="B756" s="1118"/>
      <c r="F756" s="1262"/>
    </row>
    <row r="757" ht="14.25" customHeight="1">
      <c r="B757" s="1118"/>
      <c r="F757" s="1262"/>
    </row>
    <row r="758" ht="14.25" customHeight="1">
      <c r="B758" s="1118"/>
      <c r="F758" s="1262"/>
    </row>
    <row r="759" ht="14.25" customHeight="1">
      <c r="B759" s="1118"/>
      <c r="F759" s="1262"/>
    </row>
    <row r="760" ht="14.25" customHeight="1">
      <c r="B760" s="1118"/>
      <c r="F760" s="1262"/>
    </row>
    <row r="761" ht="14.25" customHeight="1">
      <c r="B761" s="1118"/>
      <c r="F761" s="1262"/>
    </row>
    <row r="762" ht="14.25" customHeight="1">
      <c r="B762" s="1118"/>
      <c r="F762" s="1262"/>
    </row>
    <row r="763" ht="14.25" customHeight="1">
      <c r="B763" s="1118"/>
      <c r="F763" s="1262"/>
    </row>
    <row r="764" ht="14.25" customHeight="1">
      <c r="B764" s="1118"/>
      <c r="F764" s="1262"/>
    </row>
    <row r="765" ht="14.25" customHeight="1">
      <c r="B765" s="1118"/>
      <c r="F765" s="1262"/>
    </row>
    <row r="766" ht="14.25" customHeight="1">
      <c r="B766" s="1118"/>
      <c r="F766" s="1262"/>
    </row>
    <row r="767" ht="14.25" customHeight="1">
      <c r="B767" s="1118"/>
      <c r="F767" s="1262"/>
    </row>
    <row r="768" ht="14.25" customHeight="1">
      <c r="B768" s="1118"/>
      <c r="F768" s="1262"/>
    </row>
    <row r="769" ht="14.25" customHeight="1">
      <c r="B769" s="1118"/>
      <c r="F769" s="1262"/>
    </row>
    <row r="770" ht="14.25" customHeight="1">
      <c r="B770" s="1118"/>
      <c r="F770" s="1262"/>
    </row>
    <row r="771" ht="14.25" customHeight="1">
      <c r="B771" s="1118"/>
      <c r="F771" s="1262"/>
    </row>
    <row r="772" ht="14.25" customHeight="1">
      <c r="B772" s="1118"/>
      <c r="F772" s="1262"/>
    </row>
    <row r="773" ht="14.25" customHeight="1">
      <c r="B773" s="1118"/>
      <c r="F773" s="1262"/>
    </row>
    <row r="774" ht="14.25" customHeight="1">
      <c r="B774" s="1118"/>
      <c r="F774" s="1262"/>
    </row>
    <row r="775" ht="14.25" customHeight="1">
      <c r="B775" s="1118"/>
      <c r="F775" s="1262"/>
    </row>
    <row r="776" ht="14.25" customHeight="1">
      <c r="B776" s="1118"/>
      <c r="F776" s="1262"/>
    </row>
    <row r="777" ht="14.25" customHeight="1">
      <c r="B777" s="1118"/>
      <c r="F777" s="1262"/>
    </row>
    <row r="778" ht="14.25" customHeight="1">
      <c r="B778" s="1118"/>
      <c r="F778" s="1262"/>
    </row>
    <row r="779" ht="14.25" customHeight="1">
      <c r="B779" s="1118"/>
      <c r="F779" s="1262"/>
    </row>
    <row r="780" ht="14.25" customHeight="1">
      <c r="B780" s="1118"/>
      <c r="F780" s="1262"/>
    </row>
    <row r="781" ht="14.25" customHeight="1">
      <c r="B781" s="1118"/>
      <c r="F781" s="1262"/>
    </row>
    <row r="782" ht="14.25" customHeight="1">
      <c r="B782" s="1118"/>
      <c r="F782" s="1262"/>
    </row>
    <row r="783" ht="14.25" customHeight="1">
      <c r="B783" s="1118"/>
      <c r="F783" s="1262"/>
    </row>
    <row r="784" ht="14.25" customHeight="1">
      <c r="B784" s="1118"/>
      <c r="F784" s="1262"/>
    </row>
    <row r="785" ht="14.25" customHeight="1">
      <c r="B785" s="1118"/>
      <c r="F785" s="1262"/>
    </row>
    <row r="786" ht="14.25" customHeight="1">
      <c r="B786" s="1118"/>
      <c r="F786" s="1262"/>
    </row>
    <row r="787" ht="14.25" customHeight="1">
      <c r="B787" s="1118"/>
      <c r="F787" s="1262"/>
    </row>
    <row r="788" ht="14.25" customHeight="1">
      <c r="B788" s="1118"/>
      <c r="F788" s="1262"/>
    </row>
    <row r="789" ht="14.25" customHeight="1">
      <c r="B789" s="1118"/>
      <c r="F789" s="1262"/>
    </row>
    <row r="790" ht="14.25" customHeight="1">
      <c r="B790" s="1118"/>
      <c r="F790" s="1262"/>
    </row>
    <row r="791" ht="14.25" customHeight="1">
      <c r="B791" s="1118"/>
      <c r="F791" s="1262"/>
    </row>
    <row r="792" ht="14.25" customHeight="1">
      <c r="B792" s="1118"/>
      <c r="F792" s="1262"/>
    </row>
    <row r="793" ht="14.25" customHeight="1">
      <c r="B793" s="1118"/>
      <c r="F793" s="1262"/>
    </row>
    <row r="794" ht="14.25" customHeight="1">
      <c r="B794" s="1118"/>
      <c r="F794" s="1262"/>
    </row>
    <row r="795" ht="14.25" customHeight="1">
      <c r="B795" s="1118"/>
      <c r="F795" s="1262"/>
    </row>
    <row r="796" ht="14.25" customHeight="1">
      <c r="B796" s="1118"/>
      <c r="F796" s="1262"/>
    </row>
    <row r="797" ht="14.25" customHeight="1">
      <c r="B797" s="1118"/>
      <c r="F797" s="1262"/>
    </row>
    <row r="798" ht="14.25" customHeight="1">
      <c r="B798" s="1118"/>
      <c r="F798" s="1262"/>
    </row>
    <row r="799" ht="14.25" customHeight="1">
      <c r="B799" s="1118"/>
      <c r="F799" s="1262"/>
    </row>
    <row r="800" ht="14.25" customHeight="1">
      <c r="B800" s="1118"/>
      <c r="F800" s="1262"/>
    </row>
    <row r="801" ht="14.25" customHeight="1">
      <c r="B801" s="1118"/>
      <c r="F801" s="1262"/>
    </row>
    <row r="802" ht="14.25" customHeight="1">
      <c r="B802" s="1118"/>
      <c r="F802" s="1262"/>
    </row>
    <row r="803" ht="14.25" customHeight="1">
      <c r="B803" s="1118"/>
      <c r="F803" s="1262"/>
    </row>
    <row r="804" ht="14.25" customHeight="1">
      <c r="B804" s="1118"/>
      <c r="F804" s="1262"/>
    </row>
    <row r="805" ht="14.25" customHeight="1">
      <c r="B805" s="1118"/>
      <c r="F805" s="1262"/>
    </row>
    <row r="806" ht="14.25" customHeight="1">
      <c r="B806" s="1118"/>
      <c r="F806" s="1262"/>
    </row>
    <row r="807" ht="14.25" customHeight="1">
      <c r="B807" s="1118"/>
      <c r="F807" s="1262"/>
    </row>
    <row r="808" ht="14.25" customHeight="1">
      <c r="B808" s="1118"/>
      <c r="F808" s="1262"/>
    </row>
    <row r="809" ht="14.25" customHeight="1">
      <c r="B809" s="1118"/>
      <c r="F809" s="1262"/>
    </row>
    <row r="810" ht="14.25" customHeight="1">
      <c r="B810" s="1118"/>
      <c r="F810" s="1262"/>
    </row>
    <row r="811" ht="14.25" customHeight="1">
      <c r="B811" s="1118"/>
      <c r="F811" s="1262"/>
    </row>
    <row r="812" ht="14.25" customHeight="1">
      <c r="B812" s="1118"/>
      <c r="F812" s="1262"/>
    </row>
    <row r="813" ht="14.25" customHeight="1">
      <c r="B813" s="1118"/>
      <c r="F813" s="1262"/>
    </row>
    <row r="814" ht="14.25" customHeight="1">
      <c r="B814" s="1118"/>
      <c r="F814" s="1262"/>
    </row>
    <row r="815" ht="14.25" customHeight="1">
      <c r="B815" s="1118"/>
      <c r="F815" s="1262"/>
    </row>
    <row r="816" ht="14.25" customHeight="1">
      <c r="B816" s="1118"/>
      <c r="F816" s="1262"/>
    </row>
    <row r="817" ht="14.25" customHeight="1">
      <c r="B817" s="1118"/>
      <c r="F817" s="1262"/>
    </row>
    <row r="818" ht="14.25" customHeight="1">
      <c r="B818" s="1118"/>
      <c r="F818" s="1262"/>
    </row>
    <row r="819" ht="14.25" customHeight="1">
      <c r="B819" s="1118"/>
      <c r="F819" s="1262"/>
    </row>
    <row r="820" ht="14.25" customHeight="1">
      <c r="B820" s="1118"/>
      <c r="F820" s="1262"/>
    </row>
    <row r="821" ht="14.25" customHeight="1">
      <c r="B821" s="1118"/>
      <c r="F821" s="1262"/>
    </row>
    <row r="822" ht="14.25" customHeight="1">
      <c r="B822" s="1118"/>
      <c r="F822" s="1262"/>
    </row>
    <row r="823" ht="14.25" customHeight="1">
      <c r="B823" s="1118"/>
      <c r="F823" s="1262"/>
    </row>
    <row r="824" ht="14.25" customHeight="1">
      <c r="B824" s="1118"/>
      <c r="F824" s="1262"/>
    </row>
    <row r="825" ht="14.25" customHeight="1">
      <c r="B825" s="1118"/>
      <c r="F825" s="1262"/>
    </row>
    <row r="826" ht="14.25" customHeight="1">
      <c r="B826" s="1118"/>
      <c r="F826" s="1262"/>
    </row>
    <row r="827" ht="14.25" customHeight="1">
      <c r="B827" s="1118"/>
      <c r="F827" s="1262"/>
    </row>
    <row r="828" ht="14.25" customHeight="1">
      <c r="B828" s="1118"/>
      <c r="F828" s="1262"/>
    </row>
    <row r="829" ht="14.25" customHeight="1">
      <c r="B829" s="1118"/>
      <c r="F829" s="1262"/>
    </row>
    <row r="830" ht="14.25" customHeight="1">
      <c r="B830" s="1118"/>
      <c r="F830" s="1262"/>
    </row>
    <row r="831" ht="14.25" customHeight="1">
      <c r="B831" s="1118"/>
      <c r="F831" s="1262"/>
    </row>
    <row r="832" ht="14.25" customHeight="1">
      <c r="B832" s="1118"/>
      <c r="F832" s="1262"/>
    </row>
    <row r="833" ht="14.25" customHeight="1">
      <c r="B833" s="1118"/>
      <c r="F833" s="1262"/>
    </row>
    <row r="834" ht="14.25" customHeight="1">
      <c r="B834" s="1118"/>
      <c r="F834" s="1262"/>
    </row>
    <row r="835" ht="14.25" customHeight="1">
      <c r="B835" s="1118"/>
      <c r="F835" s="1262"/>
    </row>
    <row r="836" ht="14.25" customHeight="1">
      <c r="B836" s="1118"/>
      <c r="F836" s="1262"/>
    </row>
    <row r="837" ht="14.25" customHeight="1">
      <c r="B837" s="1118"/>
      <c r="F837" s="1262"/>
    </row>
    <row r="838" ht="14.25" customHeight="1">
      <c r="B838" s="1118"/>
      <c r="F838" s="1262"/>
    </row>
    <row r="839" ht="14.25" customHeight="1">
      <c r="B839" s="1118"/>
      <c r="F839" s="1262"/>
    </row>
    <row r="840" ht="14.25" customHeight="1">
      <c r="B840" s="1118"/>
      <c r="F840" s="1262"/>
    </row>
    <row r="841" ht="14.25" customHeight="1">
      <c r="B841" s="1118"/>
      <c r="F841" s="1262"/>
    </row>
    <row r="842" ht="14.25" customHeight="1">
      <c r="B842" s="1118"/>
      <c r="F842" s="1262"/>
    </row>
    <row r="843" ht="14.25" customHeight="1">
      <c r="B843" s="1118"/>
      <c r="F843" s="1262"/>
    </row>
    <row r="844" ht="14.25" customHeight="1">
      <c r="B844" s="1118"/>
      <c r="F844" s="1262"/>
    </row>
    <row r="845" ht="14.25" customHeight="1">
      <c r="B845" s="1118"/>
      <c r="F845" s="1262"/>
    </row>
    <row r="846" ht="14.25" customHeight="1">
      <c r="B846" s="1118"/>
      <c r="F846" s="1262"/>
    </row>
    <row r="847" ht="14.25" customHeight="1">
      <c r="B847" s="1118"/>
      <c r="F847" s="1262"/>
    </row>
    <row r="848" ht="14.25" customHeight="1">
      <c r="B848" s="1118"/>
      <c r="F848" s="1262"/>
    </row>
    <row r="849" ht="14.25" customHeight="1">
      <c r="B849" s="1118"/>
      <c r="F849" s="1262"/>
    </row>
    <row r="850" ht="14.25" customHeight="1">
      <c r="B850" s="1118"/>
      <c r="F850" s="1262"/>
    </row>
    <row r="851" ht="14.25" customHeight="1">
      <c r="B851" s="1118"/>
      <c r="F851" s="1262"/>
    </row>
    <row r="852" ht="14.25" customHeight="1">
      <c r="B852" s="1118"/>
      <c r="F852" s="1262"/>
    </row>
    <row r="853" ht="14.25" customHeight="1">
      <c r="B853" s="1118"/>
      <c r="F853" s="1262"/>
    </row>
    <row r="854" ht="14.25" customHeight="1">
      <c r="B854" s="1118"/>
      <c r="F854" s="1262"/>
    </row>
    <row r="855" ht="14.25" customHeight="1">
      <c r="B855" s="1118"/>
      <c r="F855" s="1262"/>
    </row>
    <row r="856" ht="14.25" customHeight="1">
      <c r="B856" s="1118"/>
      <c r="F856" s="1262"/>
    </row>
    <row r="857" ht="14.25" customHeight="1">
      <c r="B857" s="1118"/>
      <c r="F857" s="1262"/>
    </row>
    <row r="858" ht="14.25" customHeight="1">
      <c r="B858" s="1118"/>
      <c r="F858" s="1262"/>
    </row>
    <row r="859" ht="14.25" customHeight="1">
      <c r="B859" s="1118"/>
      <c r="F859" s="1262"/>
    </row>
    <row r="860" ht="14.25" customHeight="1">
      <c r="B860" s="1118"/>
      <c r="F860" s="1262"/>
    </row>
    <row r="861" ht="14.25" customHeight="1">
      <c r="B861" s="1118"/>
      <c r="F861" s="1262"/>
    </row>
    <row r="862" ht="14.25" customHeight="1">
      <c r="B862" s="1118"/>
      <c r="F862" s="1262"/>
    </row>
    <row r="863" ht="14.25" customHeight="1">
      <c r="B863" s="1118"/>
      <c r="F863" s="1262"/>
    </row>
    <row r="864" ht="14.25" customHeight="1">
      <c r="B864" s="1118"/>
      <c r="F864" s="1262"/>
    </row>
    <row r="865" ht="14.25" customHeight="1">
      <c r="B865" s="1118"/>
      <c r="F865" s="1262"/>
    </row>
    <row r="866" ht="14.25" customHeight="1">
      <c r="B866" s="1118"/>
      <c r="F866" s="1262"/>
    </row>
    <row r="867" ht="14.25" customHeight="1">
      <c r="B867" s="1118"/>
      <c r="F867" s="1262"/>
    </row>
    <row r="868" ht="14.25" customHeight="1">
      <c r="B868" s="1118"/>
      <c r="F868" s="1262"/>
    </row>
    <row r="869" ht="14.25" customHeight="1">
      <c r="B869" s="1118"/>
      <c r="F869" s="1262"/>
    </row>
    <row r="870" ht="14.25" customHeight="1">
      <c r="B870" s="1118"/>
      <c r="F870" s="1262"/>
    </row>
    <row r="871" ht="14.25" customHeight="1">
      <c r="B871" s="1118"/>
      <c r="F871" s="1262"/>
    </row>
    <row r="872" ht="14.25" customHeight="1">
      <c r="B872" s="1118"/>
      <c r="F872" s="1262"/>
    </row>
    <row r="873" ht="14.25" customHeight="1">
      <c r="B873" s="1118"/>
      <c r="F873" s="1262"/>
    </row>
    <row r="874" ht="14.25" customHeight="1">
      <c r="B874" s="1118"/>
      <c r="F874" s="1262"/>
    </row>
    <row r="875" ht="14.25" customHeight="1">
      <c r="B875" s="1118"/>
      <c r="F875" s="1262"/>
    </row>
  </sheetData>
  <mergeCells count="6">
    <mergeCell ref="D1:E1"/>
    <mergeCell ref="A10:C10"/>
    <mergeCell ref="D10:E10"/>
    <mergeCell ref="I10:I11"/>
    <mergeCell ref="A20:C20"/>
    <mergeCell ref="D20:E20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FF99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35.43"/>
    <col customWidth="1" min="3" max="3" width="50.29"/>
    <col customWidth="1" hidden="1" min="4" max="4" width="12.43"/>
    <col customWidth="1" min="5" max="5" width="19.71"/>
    <col customWidth="1" min="6" max="6" width="96.86"/>
    <col customWidth="1" min="7" max="7" width="21.43"/>
    <col customWidth="1" min="8" max="8" width="22.86"/>
    <col customWidth="1" min="9" max="9" width="11.29"/>
    <col customWidth="1" min="10" max="10" width="12.71"/>
    <col customWidth="1" min="11" max="11" width="12.0"/>
    <col customWidth="1" min="12" max="26" width="10.71"/>
  </cols>
  <sheetData>
    <row r="1" ht="84.75" customHeight="1">
      <c r="A1" s="1281" t="s">
        <v>2759</v>
      </c>
      <c r="B1" s="744"/>
      <c r="C1" s="745"/>
      <c r="D1" s="1272"/>
      <c r="E1" s="745"/>
      <c r="F1" s="1101" t="s">
        <v>1999</v>
      </c>
      <c r="G1" s="1321" t="s">
        <v>2760</v>
      </c>
      <c r="H1" s="1321" t="s">
        <v>2761</v>
      </c>
    </row>
    <row r="2" ht="36.0" customHeight="1">
      <c r="A2" s="1266" t="s">
        <v>1138</v>
      </c>
      <c r="B2" s="1322" t="s">
        <v>1139</v>
      </c>
      <c r="C2" s="1323" t="s">
        <v>119</v>
      </c>
      <c r="D2" s="1269" t="s">
        <v>2762</v>
      </c>
      <c r="E2" s="1179"/>
      <c r="F2" s="1324" t="s">
        <v>2763</v>
      </c>
      <c r="G2" s="591"/>
      <c r="H2" s="591"/>
      <c r="I2" s="1244" t="s">
        <v>2732</v>
      </c>
      <c r="J2" s="1244" t="s">
        <v>2733</v>
      </c>
      <c r="K2" s="1244" t="s">
        <v>2734</v>
      </c>
      <c r="L2" s="1282" t="s">
        <v>2735</v>
      </c>
    </row>
    <row r="3" ht="27.75" hidden="1" customHeight="1">
      <c r="A3" s="1325">
        <v>45259.0</v>
      </c>
      <c r="B3" s="462" t="s">
        <v>2640</v>
      </c>
      <c r="C3" s="502" t="s">
        <v>2764</v>
      </c>
      <c r="D3" s="1326"/>
      <c r="E3" s="1327" t="s">
        <v>2003</v>
      </c>
      <c r="F3" s="1328" t="s">
        <v>2765</v>
      </c>
      <c r="G3" s="591"/>
      <c r="H3" s="591"/>
      <c r="I3" s="1287"/>
      <c r="J3" s="1288"/>
      <c r="K3" s="1289"/>
      <c r="L3" s="1290"/>
    </row>
    <row r="4" ht="29.25" hidden="1" customHeight="1">
      <c r="A4" s="1325">
        <v>45260.0</v>
      </c>
      <c r="B4" s="462" t="s">
        <v>2640</v>
      </c>
      <c r="C4" s="456" t="s">
        <v>1275</v>
      </c>
      <c r="D4" s="565"/>
      <c r="E4" s="1327" t="s">
        <v>2003</v>
      </c>
      <c r="F4" s="1328" t="s">
        <v>2766</v>
      </c>
      <c r="G4" s="591"/>
      <c r="H4" s="591"/>
    </row>
    <row r="5" ht="24.75" hidden="1" customHeight="1">
      <c r="A5" s="1283">
        <v>45260.0</v>
      </c>
      <c r="B5" s="462" t="s">
        <v>2767</v>
      </c>
      <c r="C5" s="502" t="s">
        <v>2768</v>
      </c>
      <c r="D5" s="1329"/>
      <c r="E5" s="1327" t="s">
        <v>2003</v>
      </c>
      <c r="F5" s="1328" t="s">
        <v>2766</v>
      </c>
      <c r="G5" s="591"/>
      <c r="H5" s="591"/>
    </row>
    <row r="6" ht="14.25" hidden="1" customHeight="1">
      <c r="A6" s="1281"/>
      <c r="B6" s="744"/>
      <c r="C6" s="745"/>
      <c r="D6" s="1272" t="s">
        <v>2631</v>
      </c>
      <c r="E6" s="745"/>
      <c r="F6" s="1330"/>
      <c r="G6" s="591"/>
      <c r="H6" s="591"/>
    </row>
    <row r="7" ht="29.25" hidden="1" customHeight="1">
      <c r="A7" s="1331">
        <v>45261.0</v>
      </c>
      <c r="B7" s="462" t="s">
        <v>2640</v>
      </c>
      <c r="C7" s="462" t="s">
        <v>1299</v>
      </c>
      <c r="D7" s="564"/>
      <c r="E7" s="1327" t="s">
        <v>2003</v>
      </c>
      <c r="F7" s="1328" t="s">
        <v>2766</v>
      </c>
      <c r="G7" s="591"/>
      <c r="H7" s="591"/>
    </row>
    <row r="8" ht="27.75" hidden="1" customHeight="1">
      <c r="A8" s="1331">
        <v>45261.0</v>
      </c>
      <c r="B8" s="462" t="s">
        <v>2640</v>
      </c>
      <c r="C8" s="491" t="s">
        <v>2643</v>
      </c>
      <c r="D8" s="1188"/>
      <c r="E8" s="1327" t="s">
        <v>2003</v>
      </c>
      <c r="F8" s="1328" t="s">
        <v>2769</v>
      </c>
      <c r="G8" s="591"/>
      <c r="H8" s="591"/>
    </row>
    <row r="9" ht="30.0" hidden="1" customHeight="1">
      <c r="A9" s="1332">
        <v>45262.0</v>
      </c>
      <c r="B9" s="450" t="s">
        <v>2770</v>
      </c>
      <c r="C9" s="502" t="s">
        <v>2771</v>
      </c>
      <c r="D9" s="1188"/>
      <c r="E9" s="1327" t="s">
        <v>2003</v>
      </c>
      <c r="F9" s="1328" t="s">
        <v>2772</v>
      </c>
      <c r="G9" s="591"/>
      <c r="H9" s="591"/>
    </row>
    <row r="10" ht="30.0" hidden="1" customHeight="1">
      <c r="A10" s="1332">
        <v>45262.0</v>
      </c>
      <c r="B10" s="462" t="s">
        <v>2767</v>
      </c>
      <c r="C10" s="499" t="s">
        <v>2773</v>
      </c>
      <c r="D10" s="1188"/>
      <c r="E10" s="1327" t="s">
        <v>2003</v>
      </c>
      <c r="F10" s="1328" t="s">
        <v>2774</v>
      </c>
      <c r="G10" s="591"/>
      <c r="H10" s="591"/>
    </row>
    <row r="11" ht="30.0" hidden="1" customHeight="1">
      <c r="A11" s="1333">
        <v>45263.0</v>
      </c>
      <c r="B11" s="450" t="s">
        <v>2770</v>
      </c>
      <c r="C11" s="502" t="s">
        <v>2764</v>
      </c>
      <c r="D11" s="1188"/>
      <c r="E11" s="1327" t="s">
        <v>2003</v>
      </c>
      <c r="F11" s="1328" t="s">
        <v>2775</v>
      </c>
      <c r="G11" s="591"/>
      <c r="H11" s="591"/>
    </row>
    <row r="12" ht="30.0" hidden="1" customHeight="1">
      <c r="A12" s="1333">
        <v>45264.0</v>
      </c>
      <c r="B12" s="499" t="s">
        <v>2776</v>
      </c>
      <c r="C12" s="456" t="s">
        <v>2777</v>
      </c>
      <c r="D12" s="446"/>
      <c r="E12" s="1327" t="s">
        <v>2003</v>
      </c>
      <c r="F12" s="1328" t="s">
        <v>2778</v>
      </c>
      <c r="G12" s="591"/>
      <c r="H12" s="591"/>
    </row>
    <row r="13" ht="28.5" hidden="1" customHeight="1">
      <c r="A13" s="1333">
        <v>45266.0</v>
      </c>
      <c r="B13" s="450" t="s">
        <v>2644</v>
      </c>
      <c r="C13" s="456" t="s">
        <v>2645</v>
      </c>
      <c r="D13" s="1188"/>
      <c r="E13" s="1327" t="s">
        <v>2003</v>
      </c>
      <c r="F13" s="1328" t="s">
        <v>2779</v>
      </c>
      <c r="G13" s="591"/>
      <c r="H13" s="591"/>
    </row>
    <row r="14" ht="27.75" hidden="1" customHeight="1">
      <c r="A14" s="1333">
        <v>45267.0</v>
      </c>
      <c r="B14" s="450" t="s">
        <v>2644</v>
      </c>
      <c r="C14" s="502" t="s">
        <v>2780</v>
      </c>
      <c r="D14" s="446"/>
      <c r="E14" s="1327" t="s">
        <v>2003</v>
      </c>
      <c r="F14" s="1328" t="s">
        <v>2779</v>
      </c>
      <c r="G14" s="591"/>
      <c r="H14" s="591"/>
    </row>
    <row r="15" ht="26.25" hidden="1" customHeight="1">
      <c r="A15" s="1333">
        <v>45267.0</v>
      </c>
      <c r="B15" s="450" t="s">
        <v>1142</v>
      </c>
      <c r="C15" s="480" t="s">
        <v>2781</v>
      </c>
      <c r="D15" s="1188"/>
      <c r="E15" s="1327" t="s">
        <v>2003</v>
      </c>
      <c r="F15" s="1328" t="s">
        <v>2779</v>
      </c>
      <c r="G15" s="591"/>
      <c r="H15" s="591"/>
    </row>
    <row r="16" ht="26.25" hidden="1" customHeight="1">
      <c r="A16" s="1333">
        <v>45268.0</v>
      </c>
      <c r="B16" s="450" t="s">
        <v>2644</v>
      </c>
      <c r="C16" s="480" t="s">
        <v>2782</v>
      </c>
      <c r="D16" s="1188"/>
      <c r="E16" s="1327" t="s">
        <v>2003</v>
      </c>
      <c r="F16" s="1328" t="s">
        <v>2783</v>
      </c>
      <c r="G16" s="591"/>
      <c r="H16" s="591"/>
    </row>
    <row r="17" ht="26.25" hidden="1" customHeight="1">
      <c r="A17" s="1333">
        <v>45269.0</v>
      </c>
      <c r="B17" s="450" t="s">
        <v>1147</v>
      </c>
      <c r="C17" s="456" t="s">
        <v>2784</v>
      </c>
      <c r="D17" s="1188"/>
      <c r="E17" s="1327" t="s">
        <v>2003</v>
      </c>
      <c r="F17" s="1328" t="s">
        <v>2779</v>
      </c>
      <c r="G17" s="591"/>
      <c r="H17" s="591"/>
    </row>
    <row r="18" ht="26.25" hidden="1" customHeight="1">
      <c r="A18" s="1333">
        <v>45269.0</v>
      </c>
      <c r="B18" s="462" t="s">
        <v>2785</v>
      </c>
      <c r="C18" s="462" t="s">
        <v>2786</v>
      </c>
      <c r="D18" s="1188"/>
      <c r="E18" s="1327" t="s">
        <v>2003</v>
      </c>
      <c r="F18" s="1328" t="s">
        <v>2779</v>
      </c>
      <c r="G18" s="591"/>
      <c r="H18" s="591"/>
    </row>
    <row r="19" ht="26.25" hidden="1" customHeight="1">
      <c r="A19" s="1333">
        <v>45269.0</v>
      </c>
      <c r="B19" s="462" t="s">
        <v>1142</v>
      </c>
      <c r="C19" s="1334" t="s">
        <v>2787</v>
      </c>
      <c r="D19" s="477"/>
      <c r="E19" s="1327" t="s">
        <v>2003</v>
      </c>
      <c r="F19" s="1328" t="s">
        <v>2779</v>
      </c>
      <c r="G19" s="591"/>
      <c r="H19" s="591"/>
    </row>
    <row r="20" ht="26.25" hidden="1" customHeight="1">
      <c r="A20" s="1333">
        <v>45270.0</v>
      </c>
      <c r="B20" s="462" t="s">
        <v>2788</v>
      </c>
      <c r="C20" s="1334" t="s">
        <v>2789</v>
      </c>
      <c r="D20" s="477"/>
      <c r="E20" s="1327" t="s">
        <v>2003</v>
      </c>
      <c r="F20" s="1328" t="s">
        <v>2779</v>
      </c>
      <c r="G20" s="591"/>
      <c r="H20" s="591"/>
    </row>
    <row r="21" ht="26.25" hidden="1" customHeight="1">
      <c r="A21" s="1333">
        <v>45270.0</v>
      </c>
      <c r="B21" s="462" t="s">
        <v>1147</v>
      </c>
      <c r="C21" s="1334" t="s">
        <v>2790</v>
      </c>
      <c r="D21" s="477"/>
      <c r="E21" s="1327" t="s">
        <v>2003</v>
      </c>
      <c r="F21" s="1328" t="s">
        <v>2779</v>
      </c>
      <c r="G21" s="591"/>
      <c r="H21" s="591"/>
    </row>
    <row r="22" ht="26.25" hidden="1" customHeight="1">
      <c r="A22" s="1333">
        <v>45270.0</v>
      </c>
      <c r="B22" s="462" t="s">
        <v>1142</v>
      </c>
      <c r="C22" s="499" t="s">
        <v>2791</v>
      </c>
      <c r="D22" s="489"/>
      <c r="E22" s="1327" t="s">
        <v>2003</v>
      </c>
      <c r="F22" s="1328" t="s">
        <v>2779</v>
      </c>
      <c r="G22" s="591"/>
      <c r="H22" s="591"/>
    </row>
    <row r="23" ht="26.25" hidden="1" customHeight="1">
      <c r="A23" s="1333">
        <v>45271.0</v>
      </c>
      <c r="B23" s="450" t="s">
        <v>2644</v>
      </c>
      <c r="C23" s="480" t="s">
        <v>2792</v>
      </c>
      <c r="D23" s="489"/>
      <c r="E23" s="1327" t="s">
        <v>2003</v>
      </c>
      <c r="F23" s="1328" t="s">
        <v>2779</v>
      </c>
      <c r="G23" s="591"/>
      <c r="H23" s="591"/>
    </row>
    <row r="24" ht="26.25" hidden="1" customHeight="1">
      <c r="A24" s="1333">
        <v>45271.0</v>
      </c>
      <c r="B24" s="462" t="s">
        <v>2788</v>
      </c>
      <c r="C24" s="462" t="s">
        <v>2793</v>
      </c>
      <c r="D24" s="489"/>
      <c r="E24" s="1327" t="s">
        <v>2003</v>
      </c>
      <c r="F24" s="1328" t="s">
        <v>2779</v>
      </c>
      <c r="G24" s="591"/>
      <c r="H24" s="591"/>
    </row>
    <row r="25" ht="26.25" hidden="1" customHeight="1">
      <c r="A25" s="1333">
        <v>45271.0</v>
      </c>
      <c r="B25" s="499" t="s">
        <v>1142</v>
      </c>
      <c r="C25" s="462" t="s">
        <v>2793</v>
      </c>
      <c r="D25" s="1188"/>
      <c r="E25" s="1327" t="s">
        <v>2003</v>
      </c>
      <c r="F25" s="1328" t="s">
        <v>2779</v>
      </c>
      <c r="G25" s="591"/>
      <c r="H25" s="591"/>
    </row>
    <row r="26" ht="26.25" hidden="1" customHeight="1">
      <c r="A26" s="1333">
        <v>45271.0</v>
      </c>
      <c r="B26" s="462" t="s">
        <v>1147</v>
      </c>
      <c r="C26" s="462" t="s">
        <v>2794</v>
      </c>
      <c r="D26" s="1188"/>
      <c r="E26" s="1327" t="s">
        <v>2003</v>
      </c>
      <c r="F26" s="1328" t="s">
        <v>2779</v>
      </c>
      <c r="G26" s="591"/>
      <c r="H26" s="591"/>
    </row>
    <row r="27" ht="26.25" hidden="1" customHeight="1">
      <c r="A27" s="1333">
        <v>45271.0</v>
      </c>
      <c r="B27" s="462" t="s">
        <v>1147</v>
      </c>
      <c r="C27" s="462" t="s">
        <v>2795</v>
      </c>
      <c r="D27" s="1188"/>
      <c r="E27" s="1327" t="s">
        <v>2003</v>
      </c>
      <c r="F27" s="1328" t="s">
        <v>2779</v>
      </c>
      <c r="G27" s="591"/>
      <c r="H27" s="591"/>
    </row>
    <row r="28" ht="26.25" hidden="1" customHeight="1">
      <c r="A28" s="1333">
        <v>45271.0</v>
      </c>
      <c r="B28" s="462" t="s">
        <v>2531</v>
      </c>
      <c r="C28" s="462" t="s">
        <v>2796</v>
      </c>
      <c r="D28" s="1188"/>
      <c r="E28" s="1327" t="s">
        <v>2003</v>
      </c>
      <c r="F28" s="1328" t="s">
        <v>2779</v>
      </c>
      <c r="G28" s="591"/>
      <c r="H28" s="591"/>
    </row>
    <row r="29" ht="26.25" hidden="1" customHeight="1">
      <c r="A29" s="1335">
        <v>45271.0</v>
      </c>
      <c r="B29" s="462" t="s">
        <v>2785</v>
      </c>
      <c r="C29" s="499" t="s">
        <v>2797</v>
      </c>
      <c r="D29" s="1188"/>
      <c r="E29" s="1327" t="s">
        <v>2003</v>
      </c>
      <c r="F29" s="1328" t="s">
        <v>2779</v>
      </c>
      <c r="G29" s="591"/>
      <c r="H29" s="591"/>
    </row>
    <row r="30" ht="26.25" hidden="1" customHeight="1">
      <c r="A30" s="1333">
        <v>45272.0</v>
      </c>
      <c r="B30" s="450" t="s">
        <v>2644</v>
      </c>
      <c r="C30" s="462" t="s">
        <v>2793</v>
      </c>
      <c r="D30" s="1188"/>
      <c r="E30" s="1327" t="s">
        <v>2003</v>
      </c>
      <c r="F30" s="1328" t="s">
        <v>2779</v>
      </c>
      <c r="G30" s="591"/>
      <c r="H30" s="591"/>
    </row>
    <row r="31" ht="26.25" hidden="1" customHeight="1">
      <c r="A31" s="1333">
        <v>45272.0</v>
      </c>
      <c r="B31" s="462" t="s">
        <v>2788</v>
      </c>
      <c r="C31" s="499" t="s">
        <v>2798</v>
      </c>
      <c r="D31" s="1188"/>
      <c r="E31" s="1327" t="s">
        <v>2003</v>
      </c>
      <c r="F31" s="1328" t="s">
        <v>2779</v>
      </c>
      <c r="G31" s="591"/>
      <c r="H31" s="591"/>
    </row>
    <row r="32" ht="26.25" hidden="1" customHeight="1">
      <c r="A32" s="1333">
        <v>45272.0</v>
      </c>
      <c r="B32" s="450" t="s">
        <v>1147</v>
      </c>
      <c r="C32" s="462" t="s">
        <v>2799</v>
      </c>
      <c r="D32" s="1188"/>
      <c r="E32" s="1327" t="s">
        <v>2003</v>
      </c>
      <c r="F32" s="1328" t="s">
        <v>2779</v>
      </c>
      <c r="G32" s="591"/>
      <c r="H32" s="591"/>
    </row>
    <row r="33" ht="26.25" hidden="1" customHeight="1">
      <c r="A33" s="1333">
        <v>45272.0</v>
      </c>
      <c r="B33" s="462" t="s">
        <v>2800</v>
      </c>
      <c r="C33" s="462" t="s">
        <v>2801</v>
      </c>
      <c r="D33" s="1188"/>
      <c r="E33" s="1327" t="s">
        <v>2003</v>
      </c>
      <c r="F33" s="1328" t="s">
        <v>2802</v>
      </c>
      <c r="G33" s="591"/>
      <c r="H33" s="591"/>
    </row>
    <row r="34" ht="26.25" hidden="1" customHeight="1">
      <c r="A34" s="1333">
        <v>45272.0</v>
      </c>
      <c r="B34" s="462" t="s">
        <v>2800</v>
      </c>
      <c r="C34" s="462" t="s">
        <v>2803</v>
      </c>
      <c r="D34" s="1188"/>
      <c r="E34" s="1327" t="s">
        <v>2003</v>
      </c>
      <c r="F34" s="1328" t="s">
        <v>2804</v>
      </c>
      <c r="G34" s="591"/>
      <c r="H34" s="591"/>
    </row>
    <row r="35" ht="26.25" hidden="1" customHeight="1">
      <c r="A35" s="1333">
        <v>45272.0</v>
      </c>
      <c r="B35" s="462" t="s">
        <v>2785</v>
      </c>
      <c r="C35" s="462" t="s">
        <v>2801</v>
      </c>
      <c r="D35" s="1188"/>
      <c r="E35" s="1327" t="s">
        <v>2003</v>
      </c>
      <c r="F35" s="1328" t="s">
        <v>2804</v>
      </c>
      <c r="G35" s="591"/>
      <c r="H35" s="591"/>
    </row>
    <row r="36" ht="26.25" hidden="1" customHeight="1">
      <c r="A36" s="1333">
        <v>45272.0</v>
      </c>
      <c r="B36" s="462" t="s">
        <v>2785</v>
      </c>
      <c r="C36" s="462" t="s">
        <v>2803</v>
      </c>
      <c r="D36" s="1188"/>
      <c r="E36" s="1327" t="s">
        <v>2003</v>
      </c>
      <c r="F36" s="1328" t="s">
        <v>2804</v>
      </c>
      <c r="G36" s="591"/>
      <c r="H36" s="591"/>
    </row>
    <row r="37" ht="26.25" hidden="1" customHeight="1">
      <c r="A37" s="491" t="s">
        <v>2805</v>
      </c>
      <c r="B37" s="450" t="s">
        <v>2644</v>
      </c>
      <c r="C37" s="462" t="s">
        <v>2801</v>
      </c>
      <c r="D37" s="1188"/>
      <c r="E37" s="1327" t="s">
        <v>2003</v>
      </c>
      <c r="F37" s="1328" t="s">
        <v>2779</v>
      </c>
      <c r="G37" s="591"/>
      <c r="H37" s="591"/>
    </row>
    <row r="38" ht="26.25" hidden="1" customHeight="1">
      <c r="A38" s="1332">
        <v>45274.0</v>
      </c>
      <c r="B38" s="450" t="s">
        <v>1147</v>
      </c>
      <c r="C38" s="462" t="s">
        <v>2806</v>
      </c>
      <c r="D38" s="1188"/>
      <c r="E38" s="1327" t="s">
        <v>2003</v>
      </c>
      <c r="F38" s="1328" t="s">
        <v>2779</v>
      </c>
      <c r="G38" s="591"/>
      <c r="H38" s="591"/>
    </row>
    <row r="39" ht="26.25" hidden="1" customHeight="1">
      <c r="A39" s="1332">
        <v>45275.0</v>
      </c>
      <c r="B39" s="462" t="s">
        <v>2807</v>
      </c>
      <c r="C39" s="480" t="s">
        <v>2792</v>
      </c>
      <c r="D39" s="1188"/>
      <c r="E39" s="1327" t="s">
        <v>2003</v>
      </c>
      <c r="F39" s="1328" t="s">
        <v>2779</v>
      </c>
      <c r="G39" s="591"/>
      <c r="H39" s="591"/>
    </row>
    <row r="40" ht="26.25" hidden="1" customHeight="1">
      <c r="A40" s="1332">
        <v>45275.0</v>
      </c>
      <c r="B40" s="462" t="s">
        <v>2808</v>
      </c>
      <c r="C40" s="462" t="s">
        <v>2809</v>
      </c>
      <c r="D40" s="1188"/>
      <c r="E40" s="1327" t="s">
        <v>2003</v>
      </c>
      <c r="F40" s="1328" t="s">
        <v>2779</v>
      </c>
      <c r="G40" s="591"/>
      <c r="H40" s="591"/>
    </row>
    <row r="41" ht="26.25" hidden="1" customHeight="1">
      <c r="A41" s="1332">
        <v>45276.0</v>
      </c>
      <c r="B41" s="462" t="s">
        <v>2785</v>
      </c>
      <c r="C41" s="462" t="s">
        <v>2810</v>
      </c>
      <c r="D41" s="1188"/>
      <c r="E41" s="1327" t="s">
        <v>2003</v>
      </c>
      <c r="F41" s="1328" t="s">
        <v>2779</v>
      </c>
      <c r="G41" s="591"/>
      <c r="H41" s="591"/>
    </row>
    <row r="42" ht="26.25" hidden="1" customHeight="1">
      <c r="A42" s="1332">
        <v>45277.0</v>
      </c>
      <c r="B42" s="462" t="s">
        <v>2811</v>
      </c>
      <c r="C42" s="499" t="s">
        <v>2798</v>
      </c>
      <c r="D42" s="1188"/>
      <c r="E42" s="1327" t="s">
        <v>2003</v>
      </c>
      <c r="F42" s="1328" t="s">
        <v>2779</v>
      </c>
      <c r="G42" s="591"/>
      <c r="H42" s="591"/>
    </row>
    <row r="43" ht="26.25" hidden="1" customHeight="1">
      <c r="A43" s="1332">
        <v>45277.0</v>
      </c>
      <c r="B43" s="462" t="s">
        <v>2812</v>
      </c>
      <c r="C43" s="462" t="s">
        <v>2787</v>
      </c>
      <c r="D43" s="1188"/>
      <c r="E43" s="1327" t="s">
        <v>2003</v>
      </c>
      <c r="F43" s="1328" t="s">
        <v>2813</v>
      </c>
      <c r="G43" s="591"/>
      <c r="H43" s="591"/>
    </row>
    <row r="44" ht="26.25" hidden="1" customHeight="1">
      <c r="A44" s="1332">
        <v>45278.0</v>
      </c>
      <c r="B44" s="462" t="s">
        <v>2811</v>
      </c>
      <c r="C44" s="462" t="s">
        <v>2793</v>
      </c>
      <c r="D44" s="1188"/>
      <c r="E44" s="1327" t="s">
        <v>2003</v>
      </c>
      <c r="F44" s="1328" t="s">
        <v>2779</v>
      </c>
      <c r="G44" s="591"/>
      <c r="H44" s="591"/>
    </row>
    <row r="45" ht="26.25" hidden="1" customHeight="1">
      <c r="A45" s="1333">
        <v>45278.0</v>
      </c>
      <c r="B45" s="462" t="s">
        <v>2534</v>
      </c>
      <c r="C45" s="490" t="s">
        <v>1255</v>
      </c>
      <c r="D45" s="1188"/>
      <c r="E45" s="1327" t="s">
        <v>2003</v>
      </c>
      <c r="F45" s="1328" t="s">
        <v>2779</v>
      </c>
      <c r="G45" s="591"/>
      <c r="H45" s="591"/>
    </row>
    <row r="46" ht="26.25" hidden="1" customHeight="1">
      <c r="A46" s="1333">
        <v>45278.0</v>
      </c>
      <c r="B46" s="462" t="s">
        <v>2534</v>
      </c>
      <c r="C46" s="456" t="s">
        <v>2536</v>
      </c>
      <c r="D46" s="1188"/>
      <c r="E46" s="1327" t="s">
        <v>2003</v>
      </c>
      <c r="F46" s="1328" t="s">
        <v>2779</v>
      </c>
      <c r="G46" s="591"/>
      <c r="H46" s="591"/>
    </row>
    <row r="47" ht="26.25" hidden="1" customHeight="1">
      <c r="A47" s="1333">
        <v>45279.0</v>
      </c>
      <c r="B47" s="499" t="s">
        <v>2814</v>
      </c>
      <c r="C47" s="502" t="s">
        <v>2815</v>
      </c>
      <c r="D47" s="1188"/>
      <c r="E47" s="1327" t="s">
        <v>2003</v>
      </c>
      <c r="F47" s="1328" t="s">
        <v>2779</v>
      </c>
      <c r="G47" s="591"/>
      <c r="H47" s="591"/>
    </row>
    <row r="48" ht="26.25" hidden="1" customHeight="1">
      <c r="A48" s="1333">
        <v>45279.0</v>
      </c>
      <c r="B48" s="462" t="s">
        <v>2534</v>
      </c>
      <c r="C48" s="462" t="s">
        <v>1328</v>
      </c>
      <c r="D48" s="1188"/>
      <c r="E48" s="1327" t="s">
        <v>2003</v>
      </c>
      <c r="F48" s="1328" t="s">
        <v>2779</v>
      </c>
      <c r="G48" s="591"/>
      <c r="H48" s="591"/>
    </row>
    <row r="49" ht="26.25" hidden="1" customHeight="1">
      <c r="A49" s="1333">
        <v>45280.0</v>
      </c>
      <c r="B49" s="462" t="s">
        <v>2816</v>
      </c>
      <c r="C49" s="462" t="s">
        <v>2817</v>
      </c>
      <c r="D49" s="1188"/>
      <c r="E49" s="1327" t="s">
        <v>2003</v>
      </c>
      <c r="F49" s="1328" t="s">
        <v>2779</v>
      </c>
      <c r="G49" s="591"/>
      <c r="H49" s="591"/>
    </row>
    <row r="50" ht="26.25" hidden="1" customHeight="1">
      <c r="A50" s="1333">
        <v>45280.0</v>
      </c>
      <c r="B50" s="462" t="s">
        <v>2818</v>
      </c>
      <c r="C50" s="462" t="s">
        <v>2793</v>
      </c>
      <c r="D50" s="1188"/>
      <c r="E50" s="1327" t="s">
        <v>2003</v>
      </c>
      <c r="F50" s="1328" t="s">
        <v>2779</v>
      </c>
      <c r="G50" s="591"/>
      <c r="H50" s="591"/>
    </row>
    <row r="51" ht="26.25" hidden="1" customHeight="1">
      <c r="A51" s="1333">
        <v>45280.0</v>
      </c>
      <c r="B51" s="462" t="s">
        <v>2534</v>
      </c>
      <c r="C51" s="462" t="s">
        <v>2819</v>
      </c>
      <c r="D51" s="1188"/>
      <c r="E51" s="1327" t="s">
        <v>2003</v>
      </c>
      <c r="F51" s="1328" t="s">
        <v>2779</v>
      </c>
      <c r="G51" s="591"/>
      <c r="H51" s="591"/>
    </row>
    <row r="52" ht="26.25" hidden="1" customHeight="1">
      <c r="A52" s="1333">
        <v>45281.0</v>
      </c>
      <c r="B52" s="462" t="s">
        <v>2534</v>
      </c>
      <c r="C52" s="462" t="s">
        <v>2793</v>
      </c>
      <c r="D52" s="1188"/>
      <c r="E52" s="1327" t="s">
        <v>2003</v>
      </c>
      <c r="F52" s="1328" t="s">
        <v>2779</v>
      </c>
      <c r="G52" s="591"/>
      <c r="H52" s="591"/>
    </row>
    <row r="53" ht="26.25" hidden="1" customHeight="1">
      <c r="A53" s="1333">
        <v>45281.0</v>
      </c>
      <c r="B53" s="462" t="s">
        <v>1155</v>
      </c>
      <c r="C53" s="456" t="s">
        <v>2650</v>
      </c>
      <c r="D53" s="1188"/>
      <c r="E53" s="1327" t="s">
        <v>2003</v>
      </c>
      <c r="F53" s="1328" t="s">
        <v>2779</v>
      </c>
      <c r="G53" s="591"/>
      <c r="H53" s="591"/>
    </row>
    <row r="54" ht="26.25" hidden="1" customHeight="1">
      <c r="A54" s="1333">
        <v>45281.0</v>
      </c>
      <c r="B54" s="499" t="s">
        <v>2820</v>
      </c>
      <c r="C54" s="462" t="s">
        <v>2821</v>
      </c>
      <c r="D54" s="1188"/>
      <c r="E54" s="1327" t="s">
        <v>2003</v>
      </c>
      <c r="F54" s="1328" t="s">
        <v>2779</v>
      </c>
      <c r="G54" s="591"/>
      <c r="H54" s="591"/>
    </row>
    <row r="55" ht="26.25" hidden="1" customHeight="1">
      <c r="A55" s="1333">
        <v>45281.0</v>
      </c>
      <c r="B55" s="462" t="s">
        <v>1155</v>
      </c>
      <c r="C55" s="456" t="s">
        <v>2822</v>
      </c>
      <c r="D55" s="1188"/>
      <c r="E55" s="1327" t="s">
        <v>2003</v>
      </c>
      <c r="F55" s="1328" t="s">
        <v>2779</v>
      </c>
      <c r="G55" s="591"/>
      <c r="H55" s="591"/>
    </row>
    <row r="56" ht="26.25" hidden="1" customHeight="1">
      <c r="A56" s="1333">
        <v>45282.0</v>
      </c>
      <c r="B56" s="499" t="s">
        <v>1157</v>
      </c>
      <c r="C56" s="462" t="s">
        <v>1328</v>
      </c>
      <c r="D56" s="1188"/>
      <c r="E56" s="1327" t="s">
        <v>2003</v>
      </c>
      <c r="F56" s="1328" t="s">
        <v>2779</v>
      </c>
      <c r="G56" s="591"/>
      <c r="H56" s="591"/>
    </row>
    <row r="57" ht="26.25" hidden="1" customHeight="1">
      <c r="A57" s="1333">
        <v>45282.0</v>
      </c>
      <c r="B57" s="462" t="s">
        <v>1155</v>
      </c>
      <c r="C57" s="502" t="s">
        <v>2823</v>
      </c>
      <c r="D57" s="1188"/>
      <c r="E57" s="1327" t="s">
        <v>2003</v>
      </c>
      <c r="F57" s="1328" t="s">
        <v>2779</v>
      </c>
      <c r="G57" s="591"/>
      <c r="H57" s="591"/>
    </row>
    <row r="58" ht="26.25" hidden="1" customHeight="1">
      <c r="A58" s="1333">
        <v>45282.0</v>
      </c>
      <c r="B58" s="462" t="s">
        <v>2534</v>
      </c>
      <c r="C58" s="491" t="s">
        <v>2787</v>
      </c>
      <c r="D58" s="1188"/>
      <c r="E58" s="1327" t="s">
        <v>2003</v>
      </c>
      <c r="F58" s="1328" t="s">
        <v>2779</v>
      </c>
      <c r="G58" s="591"/>
      <c r="H58" s="591"/>
    </row>
    <row r="59" ht="26.25" hidden="1" customHeight="1">
      <c r="A59" s="1333">
        <v>45283.0</v>
      </c>
      <c r="B59" s="499" t="s">
        <v>2820</v>
      </c>
      <c r="C59" s="462" t="s">
        <v>2793</v>
      </c>
      <c r="D59" s="1188"/>
      <c r="E59" s="1327" t="s">
        <v>2003</v>
      </c>
      <c r="F59" s="1328" t="s">
        <v>2779</v>
      </c>
      <c r="G59" s="591"/>
      <c r="H59" s="591"/>
    </row>
    <row r="60" ht="26.25" hidden="1" customHeight="1">
      <c r="A60" s="1333">
        <v>45283.0</v>
      </c>
      <c r="B60" s="462" t="s">
        <v>2824</v>
      </c>
      <c r="C60" s="456" t="s">
        <v>1246</v>
      </c>
      <c r="D60" s="1188"/>
      <c r="E60" s="1327" t="s">
        <v>2003</v>
      </c>
      <c r="F60" s="1328" t="s">
        <v>2779</v>
      </c>
      <c r="G60" s="591"/>
      <c r="H60" s="591"/>
    </row>
    <row r="61" ht="26.25" hidden="1" customHeight="1">
      <c r="A61" s="1333">
        <v>45283.0</v>
      </c>
      <c r="B61" s="462" t="s">
        <v>1155</v>
      </c>
      <c r="C61" s="462" t="s">
        <v>2825</v>
      </c>
      <c r="D61" s="1188"/>
      <c r="E61" s="1327" t="s">
        <v>2003</v>
      </c>
      <c r="F61" s="1328" t="s">
        <v>2779</v>
      </c>
      <c r="G61" s="591"/>
      <c r="H61" s="591"/>
    </row>
    <row r="62" ht="26.25" hidden="1" customHeight="1">
      <c r="A62" s="1333">
        <v>45283.0</v>
      </c>
      <c r="B62" s="499" t="s">
        <v>1157</v>
      </c>
      <c r="C62" s="462" t="s">
        <v>2793</v>
      </c>
      <c r="D62" s="1188"/>
      <c r="E62" s="1327" t="s">
        <v>2003</v>
      </c>
      <c r="F62" s="1328" t="s">
        <v>2779</v>
      </c>
      <c r="G62" s="591"/>
      <c r="H62" s="591"/>
    </row>
    <row r="63" ht="26.25" hidden="1" customHeight="1">
      <c r="A63" s="1333">
        <v>45283.0</v>
      </c>
      <c r="B63" s="462" t="s">
        <v>2534</v>
      </c>
      <c r="C63" s="499" t="s">
        <v>2798</v>
      </c>
      <c r="D63" s="1188"/>
      <c r="E63" s="1327" t="s">
        <v>2003</v>
      </c>
      <c r="F63" s="1328" t="s">
        <v>2779</v>
      </c>
      <c r="G63" s="591"/>
      <c r="H63" s="591"/>
    </row>
    <row r="64" ht="26.25" hidden="1" customHeight="1">
      <c r="A64" s="1333">
        <v>45283.0</v>
      </c>
      <c r="B64" s="462" t="s">
        <v>1155</v>
      </c>
      <c r="C64" s="456" t="s">
        <v>2826</v>
      </c>
      <c r="D64" s="1188"/>
      <c r="E64" s="1327" t="s">
        <v>2003</v>
      </c>
      <c r="F64" s="1328" t="s">
        <v>2779</v>
      </c>
      <c r="G64" s="591"/>
      <c r="H64" s="591"/>
    </row>
    <row r="65" ht="21.0" hidden="1" customHeight="1">
      <c r="A65" s="1333">
        <v>45284.0</v>
      </c>
      <c r="B65" s="499" t="s">
        <v>2745</v>
      </c>
      <c r="C65" s="456" t="s">
        <v>2827</v>
      </c>
      <c r="D65" s="1195"/>
      <c r="E65" s="1327" t="s">
        <v>2003</v>
      </c>
      <c r="F65" s="1328" t="s">
        <v>2828</v>
      </c>
      <c r="G65" s="591"/>
      <c r="H65" s="591"/>
    </row>
    <row r="66" ht="25.5" hidden="1" customHeight="1">
      <c r="A66" s="1333">
        <v>45284.0</v>
      </c>
      <c r="B66" s="462" t="s">
        <v>1170</v>
      </c>
      <c r="C66" s="462" t="s">
        <v>2829</v>
      </c>
      <c r="D66" s="1195"/>
      <c r="E66" s="1327" t="s">
        <v>2003</v>
      </c>
      <c r="F66" s="1328" t="s">
        <v>2779</v>
      </c>
      <c r="G66" s="591"/>
      <c r="H66" s="591"/>
    </row>
    <row r="67" ht="25.5" hidden="1" customHeight="1">
      <c r="A67" s="1333">
        <v>45284.0</v>
      </c>
      <c r="B67" s="499" t="s">
        <v>2653</v>
      </c>
      <c r="C67" s="456" t="s">
        <v>2654</v>
      </c>
      <c r="D67" s="1195"/>
      <c r="E67" s="1327" t="s">
        <v>2003</v>
      </c>
      <c r="F67" s="1328" t="s">
        <v>2779</v>
      </c>
      <c r="G67" s="591"/>
      <c r="H67" s="591"/>
    </row>
    <row r="68" ht="25.5" hidden="1" customHeight="1">
      <c r="A68" s="1333">
        <v>45284.0</v>
      </c>
      <c r="B68" s="462" t="s">
        <v>1157</v>
      </c>
      <c r="C68" s="491" t="s">
        <v>2787</v>
      </c>
      <c r="D68" s="1195"/>
      <c r="E68" s="1327" t="s">
        <v>2003</v>
      </c>
      <c r="F68" s="1328" t="s">
        <v>2779</v>
      </c>
      <c r="G68" s="591"/>
      <c r="H68" s="591"/>
    </row>
    <row r="69" ht="25.5" hidden="1" customHeight="1">
      <c r="A69" s="1333">
        <v>45284.0</v>
      </c>
      <c r="B69" s="462" t="s">
        <v>2830</v>
      </c>
      <c r="C69" s="491" t="s">
        <v>2831</v>
      </c>
      <c r="D69" s="1195"/>
      <c r="E69" s="1327" t="s">
        <v>2003</v>
      </c>
      <c r="F69" s="1328" t="s">
        <v>2779</v>
      </c>
      <c r="G69" s="591"/>
      <c r="H69" s="591"/>
    </row>
    <row r="70" ht="25.5" hidden="1" customHeight="1">
      <c r="A70" s="1333">
        <v>45285.0</v>
      </c>
      <c r="B70" s="462" t="s">
        <v>2647</v>
      </c>
      <c r="C70" s="462" t="s">
        <v>2832</v>
      </c>
      <c r="D70" s="1195"/>
      <c r="E70" s="1327" t="s">
        <v>2003</v>
      </c>
      <c r="F70" s="1328" t="s">
        <v>2779</v>
      </c>
      <c r="G70" s="591"/>
      <c r="H70" s="591"/>
    </row>
    <row r="71" ht="25.5" hidden="1" customHeight="1">
      <c r="A71" s="1333">
        <v>45286.0</v>
      </c>
      <c r="B71" s="499" t="s">
        <v>2745</v>
      </c>
      <c r="C71" s="462" t="s">
        <v>2833</v>
      </c>
      <c r="D71" s="1195"/>
      <c r="E71" s="1327" t="s">
        <v>2003</v>
      </c>
      <c r="F71" s="1328" t="s">
        <v>2779</v>
      </c>
      <c r="G71" s="591"/>
      <c r="H71" s="591"/>
    </row>
    <row r="72" ht="25.5" hidden="1" customHeight="1">
      <c r="A72" s="1333">
        <v>45286.0</v>
      </c>
      <c r="B72" s="462" t="s">
        <v>1155</v>
      </c>
      <c r="C72" s="462" t="s">
        <v>2834</v>
      </c>
      <c r="D72" s="1195"/>
      <c r="E72" s="1327" t="s">
        <v>2003</v>
      </c>
      <c r="F72" s="1328" t="s">
        <v>2779</v>
      </c>
      <c r="G72" s="591"/>
      <c r="H72" s="591"/>
    </row>
    <row r="73" ht="22.5" hidden="1" customHeight="1">
      <c r="A73" s="1333">
        <v>45286.0</v>
      </c>
      <c r="B73" s="462" t="s">
        <v>1155</v>
      </c>
      <c r="C73" s="462" t="s">
        <v>2835</v>
      </c>
      <c r="D73" s="1195"/>
      <c r="E73" s="1327" t="s">
        <v>2003</v>
      </c>
      <c r="F73" s="1328" t="s">
        <v>2779</v>
      </c>
      <c r="G73" s="591"/>
      <c r="H73" s="591"/>
    </row>
    <row r="74" ht="22.5" hidden="1" customHeight="1">
      <c r="A74" s="1333">
        <v>45286.0</v>
      </c>
      <c r="B74" s="462" t="s">
        <v>2836</v>
      </c>
      <c r="C74" s="462" t="s">
        <v>2837</v>
      </c>
      <c r="D74" s="1195"/>
      <c r="E74" s="1327" t="s">
        <v>2003</v>
      </c>
      <c r="F74" s="1328" t="s">
        <v>2779</v>
      </c>
      <c r="G74" s="591"/>
      <c r="H74" s="591"/>
    </row>
    <row r="75" ht="22.5" hidden="1" customHeight="1">
      <c r="A75" s="1336">
        <v>45287.0</v>
      </c>
      <c r="B75" s="462" t="s">
        <v>2647</v>
      </c>
      <c r="C75" s="462" t="s">
        <v>2838</v>
      </c>
      <c r="D75" s="1195"/>
      <c r="E75" s="1327" t="s">
        <v>2003</v>
      </c>
      <c r="F75" s="1328" t="s">
        <v>2779</v>
      </c>
      <c r="G75" s="591"/>
      <c r="H75" s="591"/>
    </row>
    <row r="76" ht="22.5" hidden="1" customHeight="1">
      <c r="A76" s="1133" t="s">
        <v>2839</v>
      </c>
      <c r="B76" s="462" t="s">
        <v>2840</v>
      </c>
      <c r="C76" s="462" t="s">
        <v>2841</v>
      </c>
      <c r="D76" s="1195"/>
      <c r="E76" s="1327" t="s">
        <v>2003</v>
      </c>
      <c r="F76" s="1328" t="s">
        <v>2779</v>
      </c>
      <c r="G76" s="591"/>
      <c r="H76" s="591"/>
    </row>
    <row r="77" ht="21.75" hidden="1" customHeight="1">
      <c r="A77" s="1133" t="s">
        <v>1173</v>
      </c>
      <c r="B77" s="462" t="s">
        <v>1155</v>
      </c>
      <c r="C77" s="462" t="s">
        <v>2842</v>
      </c>
      <c r="D77" s="1195"/>
      <c r="E77" s="1327" t="s">
        <v>2003</v>
      </c>
      <c r="F77" s="1328" t="s">
        <v>2779</v>
      </c>
      <c r="G77" s="591"/>
      <c r="H77" s="591"/>
    </row>
    <row r="78" ht="22.5" hidden="1" customHeight="1">
      <c r="A78" s="1133" t="s">
        <v>1173</v>
      </c>
      <c r="B78" s="499" t="s">
        <v>1209</v>
      </c>
      <c r="C78" s="456" t="s">
        <v>2658</v>
      </c>
      <c r="D78" s="1195"/>
      <c r="E78" s="1327" t="s">
        <v>2003</v>
      </c>
      <c r="F78" s="1328" t="s">
        <v>2779</v>
      </c>
      <c r="G78" s="591"/>
      <c r="H78" s="591"/>
    </row>
    <row r="79" ht="24.75" hidden="1" customHeight="1">
      <c r="A79" s="1133" t="s">
        <v>1173</v>
      </c>
      <c r="B79" s="462" t="s">
        <v>2843</v>
      </c>
      <c r="C79" s="462" t="s">
        <v>2844</v>
      </c>
      <c r="D79" s="1195"/>
      <c r="E79" s="1327" t="s">
        <v>2003</v>
      </c>
      <c r="F79" s="1328" t="s">
        <v>2779</v>
      </c>
      <c r="G79" s="591"/>
      <c r="H79" s="591"/>
    </row>
    <row r="80" ht="24.75" hidden="1" customHeight="1">
      <c r="A80" s="1133" t="s">
        <v>1173</v>
      </c>
      <c r="B80" s="462" t="s">
        <v>2845</v>
      </c>
      <c r="C80" s="462" t="s">
        <v>2846</v>
      </c>
      <c r="D80" s="1195"/>
      <c r="E80" s="1327" t="s">
        <v>2003</v>
      </c>
      <c r="F80" s="1328" t="s">
        <v>2779</v>
      </c>
      <c r="G80" s="591"/>
      <c r="H80" s="591"/>
    </row>
    <row r="81" ht="24.75" hidden="1" customHeight="1">
      <c r="A81" s="1133" t="s">
        <v>1173</v>
      </c>
      <c r="B81" s="462" t="s">
        <v>2647</v>
      </c>
      <c r="C81" s="491" t="s">
        <v>2847</v>
      </c>
      <c r="D81" s="1195"/>
      <c r="E81" s="1327" t="s">
        <v>2003</v>
      </c>
      <c r="F81" s="1328" t="s">
        <v>2779</v>
      </c>
      <c r="G81" s="591"/>
      <c r="H81" s="591"/>
    </row>
    <row r="82" ht="24.75" hidden="1" customHeight="1">
      <c r="A82" s="1133" t="s">
        <v>1176</v>
      </c>
      <c r="B82" s="462" t="s">
        <v>2848</v>
      </c>
      <c r="C82" s="462" t="s">
        <v>2798</v>
      </c>
      <c r="D82" s="1195"/>
      <c r="E82" s="1327" t="s">
        <v>2003</v>
      </c>
      <c r="F82" s="1328" t="s">
        <v>2779</v>
      </c>
      <c r="G82" s="591"/>
      <c r="H82" s="591"/>
    </row>
    <row r="83" ht="24.75" hidden="1" customHeight="1">
      <c r="A83" s="1133" t="s">
        <v>1176</v>
      </c>
      <c r="B83" s="462" t="s">
        <v>2845</v>
      </c>
      <c r="C83" s="462" t="s">
        <v>2849</v>
      </c>
      <c r="D83" s="1195"/>
      <c r="E83" s="1327" t="s">
        <v>2003</v>
      </c>
      <c r="F83" s="1328" t="s">
        <v>2779</v>
      </c>
      <c r="G83" s="591"/>
      <c r="H83" s="591"/>
    </row>
    <row r="84" ht="24.75" hidden="1" customHeight="1">
      <c r="A84" s="1133" t="s">
        <v>1176</v>
      </c>
      <c r="B84" s="462" t="s">
        <v>2850</v>
      </c>
      <c r="C84" s="462" t="s">
        <v>2851</v>
      </c>
      <c r="D84" s="1195"/>
      <c r="E84" s="1327" t="s">
        <v>2003</v>
      </c>
      <c r="F84" s="1328" t="s">
        <v>2779</v>
      </c>
      <c r="G84" s="591"/>
      <c r="H84" s="591"/>
    </row>
    <row r="85" ht="24.75" hidden="1" customHeight="1">
      <c r="A85" s="1133" t="s">
        <v>1176</v>
      </c>
      <c r="B85" s="462" t="s">
        <v>1261</v>
      </c>
      <c r="C85" s="462" t="s">
        <v>2852</v>
      </c>
      <c r="D85" s="1195"/>
      <c r="E85" s="1327" t="s">
        <v>2003</v>
      </c>
      <c r="F85" s="1328" t="s">
        <v>2779</v>
      </c>
      <c r="G85" s="591"/>
      <c r="H85" s="591"/>
    </row>
    <row r="86" ht="24.75" hidden="1" customHeight="1">
      <c r="A86" s="1133" t="s">
        <v>1176</v>
      </c>
      <c r="B86" s="499" t="s">
        <v>1177</v>
      </c>
      <c r="C86" s="462" t="s">
        <v>2853</v>
      </c>
      <c r="D86" s="1195"/>
      <c r="E86" s="1327" t="s">
        <v>2003</v>
      </c>
      <c r="F86" s="1328" t="s">
        <v>2779</v>
      </c>
      <c r="G86" s="591"/>
      <c r="H86" s="591"/>
    </row>
    <row r="87" ht="24.75" hidden="1" customHeight="1">
      <c r="A87" s="1133" t="s">
        <v>1176</v>
      </c>
      <c r="B87" s="462" t="s">
        <v>2854</v>
      </c>
      <c r="C87" s="462" t="s">
        <v>2855</v>
      </c>
      <c r="D87" s="1195"/>
      <c r="E87" s="1327" t="s">
        <v>2003</v>
      </c>
      <c r="F87" s="1328" t="s">
        <v>2856</v>
      </c>
      <c r="G87" s="591"/>
      <c r="H87" s="591"/>
    </row>
    <row r="88" ht="24.75" hidden="1" customHeight="1">
      <c r="A88" s="1133" t="s">
        <v>1176</v>
      </c>
      <c r="B88" s="462" t="s">
        <v>2857</v>
      </c>
      <c r="C88" s="491" t="s">
        <v>2858</v>
      </c>
      <c r="D88" s="1195"/>
      <c r="E88" s="1327" t="s">
        <v>2003</v>
      </c>
      <c r="F88" s="1328" t="s">
        <v>2856</v>
      </c>
      <c r="G88" s="591"/>
      <c r="H88" s="591"/>
    </row>
    <row r="89" ht="24.75" hidden="1" customHeight="1">
      <c r="A89" s="1133" t="s">
        <v>1176</v>
      </c>
      <c r="B89" s="462" t="s">
        <v>1209</v>
      </c>
      <c r="C89" s="462" t="s">
        <v>2859</v>
      </c>
      <c r="D89" s="1195"/>
      <c r="E89" s="1327" t="s">
        <v>2003</v>
      </c>
      <c r="F89" s="1328" t="s">
        <v>2779</v>
      </c>
      <c r="G89" s="591"/>
      <c r="H89" s="591"/>
    </row>
    <row r="90" ht="24.75" hidden="1" customHeight="1">
      <c r="A90" s="1133" t="s">
        <v>1176</v>
      </c>
      <c r="B90" s="462" t="s">
        <v>1209</v>
      </c>
      <c r="C90" s="462" t="s">
        <v>2860</v>
      </c>
      <c r="D90" s="1195"/>
      <c r="E90" s="1327" t="s">
        <v>2003</v>
      </c>
      <c r="F90" s="1328" t="s">
        <v>2779</v>
      </c>
      <c r="G90" s="591"/>
      <c r="H90" s="591"/>
    </row>
    <row r="91" ht="24.75" hidden="1" customHeight="1">
      <c r="A91" s="1133" t="s">
        <v>1180</v>
      </c>
      <c r="B91" s="462" t="s">
        <v>2861</v>
      </c>
      <c r="C91" s="462" t="s">
        <v>2862</v>
      </c>
      <c r="D91" s="1195"/>
      <c r="E91" s="1327" t="s">
        <v>2003</v>
      </c>
      <c r="F91" s="1328" t="s">
        <v>2779</v>
      </c>
      <c r="G91" s="591"/>
      <c r="H91" s="591"/>
    </row>
    <row r="92" ht="24.75" hidden="1" customHeight="1">
      <c r="A92" s="1133" t="s">
        <v>1180</v>
      </c>
      <c r="B92" s="462" t="s">
        <v>2854</v>
      </c>
      <c r="C92" s="462" t="s">
        <v>2851</v>
      </c>
      <c r="D92" s="1195"/>
      <c r="E92" s="1327" t="s">
        <v>2003</v>
      </c>
      <c r="F92" s="1328" t="s">
        <v>2779</v>
      </c>
      <c r="G92" s="591"/>
      <c r="H92" s="591"/>
    </row>
    <row r="93" ht="24.75" hidden="1" customHeight="1">
      <c r="A93" s="1133" t="s">
        <v>1180</v>
      </c>
      <c r="B93" s="462" t="s">
        <v>2863</v>
      </c>
      <c r="C93" s="462" t="s">
        <v>1275</v>
      </c>
      <c r="D93" s="1195"/>
      <c r="E93" s="1327" t="s">
        <v>2003</v>
      </c>
      <c r="F93" s="1328" t="s">
        <v>2779</v>
      </c>
      <c r="G93" s="591"/>
      <c r="H93" s="591"/>
    </row>
    <row r="94" ht="24.75" hidden="1" customHeight="1">
      <c r="A94" s="1133" t="s">
        <v>1180</v>
      </c>
      <c r="B94" s="462" t="s">
        <v>2857</v>
      </c>
      <c r="C94" s="462" t="s">
        <v>1364</v>
      </c>
      <c r="D94" s="1195"/>
      <c r="E94" s="1327" t="s">
        <v>2003</v>
      </c>
      <c r="F94" s="1328" t="s">
        <v>2779</v>
      </c>
      <c r="G94" s="591"/>
      <c r="H94" s="591"/>
    </row>
    <row r="95" ht="24.75" hidden="1" customHeight="1">
      <c r="A95" s="1133" t="s">
        <v>1180</v>
      </c>
      <c r="B95" s="462" t="s">
        <v>2864</v>
      </c>
      <c r="C95" s="462" t="s">
        <v>2865</v>
      </c>
      <c r="D95" s="1195"/>
      <c r="E95" s="1327" t="s">
        <v>2003</v>
      </c>
      <c r="F95" s="1328" t="s">
        <v>2779</v>
      </c>
      <c r="G95" s="591"/>
      <c r="H95" s="591"/>
    </row>
    <row r="96" ht="24.75" hidden="1" customHeight="1">
      <c r="A96" s="1133" t="s">
        <v>1180</v>
      </c>
      <c r="B96" s="462" t="s">
        <v>1181</v>
      </c>
      <c r="C96" s="462" t="s">
        <v>2866</v>
      </c>
      <c r="D96" s="1195"/>
      <c r="E96" s="1327" t="s">
        <v>2003</v>
      </c>
      <c r="F96" s="1328" t="s">
        <v>2779</v>
      </c>
      <c r="G96" s="591"/>
      <c r="H96" s="591"/>
    </row>
    <row r="97" ht="24.75" hidden="1" customHeight="1">
      <c r="A97" s="1133" t="s">
        <v>1180</v>
      </c>
      <c r="B97" s="462" t="s">
        <v>1181</v>
      </c>
      <c r="C97" s="462" t="s">
        <v>2867</v>
      </c>
      <c r="D97" s="1195"/>
      <c r="E97" s="1327" t="s">
        <v>2003</v>
      </c>
      <c r="F97" s="1328" t="s">
        <v>2779</v>
      </c>
      <c r="G97" s="591"/>
      <c r="H97" s="591"/>
    </row>
    <row r="98" ht="24.75" hidden="1" customHeight="1">
      <c r="A98" s="1133" t="s">
        <v>1180</v>
      </c>
      <c r="B98" s="462" t="s">
        <v>2864</v>
      </c>
      <c r="C98" s="491" t="s">
        <v>2858</v>
      </c>
      <c r="D98" s="1195"/>
      <c r="E98" s="1327" t="s">
        <v>2003</v>
      </c>
      <c r="F98" s="1328" t="s">
        <v>2779</v>
      </c>
      <c r="G98" s="591"/>
      <c r="H98" s="591"/>
    </row>
    <row r="99" ht="24.75" hidden="1" customHeight="1">
      <c r="A99" s="1133" t="s">
        <v>1180</v>
      </c>
      <c r="B99" s="462" t="s">
        <v>2845</v>
      </c>
      <c r="C99" s="491" t="s">
        <v>2858</v>
      </c>
      <c r="D99" s="1195"/>
      <c r="E99" s="1327" t="s">
        <v>2003</v>
      </c>
      <c r="F99" s="1328" t="s">
        <v>2779</v>
      </c>
      <c r="G99" s="591"/>
      <c r="H99" s="591"/>
    </row>
    <row r="100" ht="24.75" hidden="1" customHeight="1">
      <c r="A100" s="1133" t="s">
        <v>1180</v>
      </c>
      <c r="B100" s="462" t="s">
        <v>1209</v>
      </c>
      <c r="C100" s="462" t="s">
        <v>2868</v>
      </c>
      <c r="D100" s="1195"/>
      <c r="E100" s="1327" t="s">
        <v>2003</v>
      </c>
      <c r="F100" s="1328" t="s">
        <v>2779</v>
      </c>
      <c r="G100" s="591"/>
      <c r="H100" s="591"/>
    </row>
    <row r="101" ht="24.75" hidden="1" customHeight="1">
      <c r="A101" s="1133" t="s">
        <v>1180</v>
      </c>
      <c r="B101" s="462" t="s">
        <v>2863</v>
      </c>
      <c r="C101" s="462" t="s">
        <v>2869</v>
      </c>
      <c r="D101" s="1195"/>
      <c r="E101" s="1327" t="s">
        <v>2003</v>
      </c>
      <c r="F101" s="1328" t="s">
        <v>2779</v>
      </c>
      <c r="G101" s="591"/>
      <c r="H101" s="591"/>
    </row>
    <row r="102" ht="24.75" hidden="1" customHeight="1">
      <c r="A102" s="1133" t="s">
        <v>1183</v>
      </c>
      <c r="B102" s="462" t="s">
        <v>2870</v>
      </c>
      <c r="C102" s="462" t="s">
        <v>2793</v>
      </c>
      <c r="D102" s="1195"/>
      <c r="E102" s="1327" t="s">
        <v>2003</v>
      </c>
      <c r="F102" s="1328" t="s">
        <v>2779</v>
      </c>
      <c r="G102" s="591"/>
      <c r="H102" s="591"/>
    </row>
    <row r="103" ht="24.75" hidden="1" customHeight="1">
      <c r="A103" s="1133" t="s">
        <v>1183</v>
      </c>
      <c r="B103" s="462" t="s">
        <v>2871</v>
      </c>
      <c r="C103" s="462" t="s">
        <v>2833</v>
      </c>
      <c r="D103" s="1195"/>
      <c r="E103" s="1327" t="s">
        <v>2003</v>
      </c>
      <c r="F103" s="1328" t="s">
        <v>2779</v>
      </c>
      <c r="G103" s="591"/>
      <c r="H103" s="591"/>
    </row>
    <row r="104" ht="24.75" hidden="1" customHeight="1">
      <c r="A104" s="1133" t="s">
        <v>1183</v>
      </c>
      <c r="B104" s="462" t="s">
        <v>1209</v>
      </c>
      <c r="C104" s="462" t="s">
        <v>2872</v>
      </c>
      <c r="D104" s="1195"/>
      <c r="E104" s="1327" t="s">
        <v>2003</v>
      </c>
      <c r="F104" s="1337" t="s">
        <v>2873</v>
      </c>
      <c r="G104" s="591"/>
      <c r="H104" s="591"/>
    </row>
    <row r="105" ht="24.75" hidden="1" customHeight="1">
      <c r="A105" s="1133" t="s">
        <v>1183</v>
      </c>
      <c r="B105" s="462" t="s">
        <v>2864</v>
      </c>
      <c r="C105" s="462" t="s">
        <v>2849</v>
      </c>
      <c r="D105" s="1195"/>
      <c r="E105" s="1327" t="s">
        <v>2003</v>
      </c>
      <c r="F105" s="1328" t="s">
        <v>2779</v>
      </c>
      <c r="G105" s="591"/>
      <c r="H105" s="591"/>
    </row>
    <row r="106" ht="24.75" hidden="1" customHeight="1">
      <c r="A106" s="1133" t="s">
        <v>1183</v>
      </c>
      <c r="B106" s="462" t="s">
        <v>2854</v>
      </c>
      <c r="C106" s="462" t="s">
        <v>2793</v>
      </c>
      <c r="D106" s="1195"/>
      <c r="E106" s="1327" t="s">
        <v>2003</v>
      </c>
      <c r="F106" s="1328" t="s">
        <v>2779</v>
      </c>
      <c r="G106" s="591"/>
      <c r="H106" s="591"/>
    </row>
    <row r="107" ht="24.75" hidden="1" customHeight="1">
      <c r="A107" s="1133" t="s">
        <v>1183</v>
      </c>
      <c r="B107" s="462" t="s">
        <v>2863</v>
      </c>
      <c r="C107" s="462" t="s">
        <v>2798</v>
      </c>
      <c r="D107" s="1195"/>
      <c r="E107" s="1327" t="s">
        <v>2003</v>
      </c>
      <c r="F107" s="1328" t="s">
        <v>2779</v>
      </c>
      <c r="G107" s="591"/>
      <c r="H107" s="591"/>
    </row>
    <row r="108" ht="24.75" hidden="1" customHeight="1">
      <c r="A108" s="1133" t="s">
        <v>1183</v>
      </c>
      <c r="B108" s="462" t="s">
        <v>2874</v>
      </c>
      <c r="C108" s="462" t="s">
        <v>2851</v>
      </c>
      <c r="D108" s="1195"/>
      <c r="E108" s="1327" t="s">
        <v>2003</v>
      </c>
      <c r="F108" s="1328" t="s">
        <v>2779</v>
      </c>
      <c r="G108" s="591"/>
      <c r="H108" s="591"/>
    </row>
    <row r="109" ht="24.75" hidden="1" customHeight="1">
      <c r="A109" s="1133" t="s">
        <v>1183</v>
      </c>
      <c r="B109" s="462" t="s">
        <v>1181</v>
      </c>
      <c r="C109" s="462" t="s">
        <v>2875</v>
      </c>
      <c r="D109" s="1195"/>
      <c r="E109" s="1327" t="s">
        <v>2003</v>
      </c>
      <c r="F109" s="1328" t="s">
        <v>2876</v>
      </c>
      <c r="G109" s="591"/>
      <c r="H109" s="591"/>
    </row>
    <row r="110" ht="24.75" hidden="1" customHeight="1">
      <c r="A110" s="1133"/>
      <c r="B110" s="462"/>
      <c r="C110" s="462"/>
      <c r="D110" s="1195"/>
      <c r="E110" s="520"/>
      <c r="F110" s="491"/>
      <c r="G110" s="591"/>
      <c r="H110" s="591"/>
    </row>
    <row r="111" ht="14.25" hidden="1" customHeight="1">
      <c r="A111" s="1336"/>
      <c r="B111" s="1338"/>
      <c r="C111" s="1339"/>
      <c r="D111" s="1340" t="s">
        <v>2729</v>
      </c>
      <c r="E111" s="1341"/>
      <c r="F111" s="1330"/>
      <c r="G111" s="591"/>
      <c r="H111" s="591"/>
    </row>
    <row r="112" ht="25.5" hidden="1" customHeight="1">
      <c r="A112" s="1336">
        <v>45292.0</v>
      </c>
      <c r="B112" s="462" t="s">
        <v>2871</v>
      </c>
      <c r="C112" s="1342" t="s">
        <v>2877</v>
      </c>
      <c r="D112" s="1195"/>
      <c r="E112" s="1327" t="s">
        <v>2003</v>
      </c>
      <c r="F112" s="1328" t="s">
        <v>2779</v>
      </c>
      <c r="G112" s="591"/>
      <c r="H112" s="591"/>
    </row>
    <row r="113" ht="23.25" hidden="1" customHeight="1">
      <c r="A113" s="1336">
        <v>45292.0</v>
      </c>
      <c r="B113" s="462" t="s">
        <v>1209</v>
      </c>
      <c r="C113" s="462" t="s">
        <v>2878</v>
      </c>
      <c r="D113" s="1195"/>
      <c r="E113" s="1327" t="s">
        <v>2003</v>
      </c>
      <c r="F113" s="1343" t="s">
        <v>2879</v>
      </c>
      <c r="G113" s="591"/>
      <c r="H113" s="591"/>
    </row>
    <row r="114" ht="24.75" hidden="1" customHeight="1">
      <c r="A114" s="1336">
        <v>45292.0</v>
      </c>
      <c r="B114" s="462" t="s">
        <v>2864</v>
      </c>
      <c r="C114" s="462" t="s">
        <v>2880</v>
      </c>
      <c r="D114" s="1195"/>
      <c r="E114" s="1327" t="s">
        <v>2003</v>
      </c>
      <c r="F114" s="1328" t="s">
        <v>2779</v>
      </c>
      <c r="G114" s="591"/>
      <c r="H114" s="591"/>
    </row>
    <row r="115" ht="24.0" hidden="1" customHeight="1">
      <c r="A115" s="1336">
        <v>45292.0</v>
      </c>
      <c r="B115" s="450" t="s">
        <v>2881</v>
      </c>
      <c r="C115" s="480" t="s">
        <v>2792</v>
      </c>
      <c r="D115" s="1195"/>
      <c r="E115" s="1327" t="s">
        <v>2003</v>
      </c>
      <c r="F115" s="1328" t="s">
        <v>2779</v>
      </c>
      <c r="G115" s="591"/>
      <c r="H115" s="591"/>
    </row>
    <row r="116" ht="24.75" hidden="1" customHeight="1">
      <c r="A116" s="1336">
        <v>45292.0</v>
      </c>
      <c r="B116" s="462" t="s">
        <v>2857</v>
      </c>
      <c r="C116" s="462" t="s">
        <v>2849</v>
      </c>
      <c r="D116" s="591"/>
      <c r="E116" s="1327" t="s">
        <v>2003</v>
      </c>
      <c r="F116" s="1328" t="s">
        <v>2779</v>
      </c>
      <c r="G116" s="591"/>
      <c r="H116" s="591"/>
    </row>
    <row r="117" ht="27.0" hidden="1" customHeight="1">
      <c r="A117" s="1336">
        <v>45292.0</v>
      </c>
      <c r="B117" s="450" t="s">
        <v>2664</v>
      </c>
      <c r="C117" s="456" t="s">
        <v>2882</v>
      </c>
      <c r="D117" s="1195"/>
      <c r="E117" s="1327" t="s">
        <v>2003</v>
      </c>
      <c r="F117" s="1328" t="s">
        <v>2779</v>
      </c>
      <c r="G117" s="591"/>
      <c r="H117" s="591"/>
    </row>
    <row r="118" ht="22.5" hidden="1" customHeight="1">
      <c r="A118" s="1336">
        <v>45323.0</v>
      </c>
      <c r="B118" s="450" t="s">
        <v>1167</v>
      </c>
      <c r="C118" s="731" t="s">
        <v>2883</v>
      </c>
      <c r="D118" s="1195"/>
      <c r="E118" s="1327" t="s">
        <v>2003</v>
      </c>
      <c r="F118" s="1328" t="s">
        <v>2884</v>
      </c>
      <c r="G118" s="591"/>
      <c r="H118" s="591"/>
    </row>
    <row r="119" ht="21.0" hidden="1" customHeight="1">
      <c r="A119" s="1336">
        <v>45323.0</v>
      </c>
      <c r="B119" s="450" t="s">
        <v>2885</v>
      </c>
      <c r="C119" s="480" t="s">
        <v>2792</v>
      </c>
      <c r="D119" s="1195"/>
      <c r="E119" s="1327" t="s">
        <v>2003</v>
      </c>
      <c r="F119" s="1328" t="s">
        <v>2779</v>
      </c>
      <c r="G119" s="591"/>
      <c r="H119" s="591"/>
    </row>
    <row r="120" ht="24.0" hidden="1" customHeight="1">
      <c r="A120" s="1336">
        <v>45323.0</v>
      </c>
      <c r="B120" s="462" t="s">
        <v>1181</v>
      </c>
      <c r="C120" s="456" t="s">
        <v>2886</v>
      </c>
      <c r="D120" s="1195"/>
      <c r="E120" s="1327" t="s">
        <v>2003</v>
      </c>
      <c r="F120" s="1328" t="s">
        <v>2887</v>
      </c>
      <c r="G120" s="591"/>
      <c r="H120" s="591"/>
    </row>
    <row r="121" ht="21.0" hidden="1" customHeight="1">
      <c r="A121" s="1336">
        <v>45323.0</v>
      </c>
      <c r="B121" s="450" t="s">
        <v>2657</v>
      </c>
      <c r="C121" s="456" t="s">
        <v>2888</v>
      </c>
      <c r="D121" s="1195"/>
      <c r="E121" s="1327" t="s">
        <v>2003</v>
      </c>
      <c r="F121" s="1328" t="s">
        <v>2889</v>
      </c>
      <c r="G121" s="591"/>
      <c r="H121" s="591"/>
    </row>
    <row r="122" ht="24.0" hidden="1" customHeight="1">
      <c r="A122" s="1336">
        <v>45323.0</v>
      </c>
      <c r="B122" s="462" t="s">
        <v>2863</v>
      </c>
      <c r="C122" s="462" t="s">
        <v>2793</v>
      </c>
      <c r="D122" s="1195"/>
      <c r="E122" s="1327" t="s">
        <v>2003</v>
      </c>
      <c r="F122" s="1328" t="s">
        <v>2779</v>
      </c>
      <c r="G122" s="591"/>
      <c r="H122" s="591"/>
    </row>
    <row r="123" ht="24.0" hidden="1" customHeight="1">
      <c r="A123" s="1336">
        <v>45323.0</v>
      </c>
      <c r="B123" s="1344" t="s">
        <v>2881</v>
      </c>
      <c r="C123" s="462" t="s">
        <v>2798</v>
      </c>
      <c r="D123" s="1195"/>
      <c r="E123" s="1327" t="s">
        <v>2003</v>
      </c>
      <c r="F123" s="1328" t="s">
        <v>2779</v>
      </c>
      <c r="G123" s="591"/>
      <c r="H123" s="591"/>
    </row>
    <row r="124" ht="21.75" hidden="1" customHeight="1">
      <c r="A124" s="1336">
        <v>45323.0</v>
      </c>
      <c r="B124" s="1344" t="s">
        <v>1235</v>
      </c>
      <c r="C124" s="1345" t="s">
        <v>2890</v>
      </c>
      <c r="D124" s="1195"/>
      <c r="E124" s="1327" t="s">
        <v>2003</v>
      </c>
      <c r="F124" s="1328" t="s">
        <v>2779</v>
      </c>
      <c r="G124" s="591"/>
      <c r="H124" s="591"/>
    </row>
    <row r="125" ht="21.75" hidden="1" customHeight="1">
      <c r="A125" s="1336">
        <v>45323.0</v>
      </c>
      <c r="B125" s="1344" t="s">
        <v>2891</v>
      </c>
      <c r="C125" s="1345" t="s">
        <v>1158</v>
      </c>
      <c r="D125" s="1195"/>
      <c r="E125" s="1327" t="s">
        <v>2003</v>
      </c>
      <c r="F125" s="1328" t="s">
        <v>2779</v>
      </c>
      <c r="G125" s="591"/>
      <c r="H125" s="591"/>
    </row>
    <row r="126" ht="21.75" hidden="1" customHeight="1">
      <c r="A126" s="1336">
        <v>45323.0</v>
      </c>
      <c r="B126" s="1344" t="s">
        <v>2892</v>
      </c>
      <c r="C126" s="1345" t="s">
        <v>2893</v>
      </c>
      <c r="D126" s="1195"/>
      <c r="E126" s="1327" t="s">
        <v>2003</v>
      </c>
      <c r="F126" s="1328" t="s">
        <v>2894</v>
      </c>
      <c r="G126" s="591"/>
      <c r="H126" s="591"/>
    </row>
    <row r="127" ht="21.75" hidden="1" customHeight="1">
      <c r="A127" s="1336">
        <v>45323.0</v>
      </c>
      <c r="B127" s="1344" t="s">
        <v>2843</v>
      </c>
      <c r="C127" s="1345" t="s">
        <v>2888</v>
      </c>
      <c r="D127" s="1195"/>
      <c r="E127" s="1327" t="s">
        <v>2003</v>
      </c>
      <c r="F127" s="1328" t="s">
        <v>2779</v>
      </c>
      <c r="G127" s="591"/>
      <c r="H127" s="591"/>
    </row>
    <row r="128" ht="21.75" hidden="1" customHeight="1">
      <c r="A128" s="1336">
        <v>45352.0</v>
      </c>
      <c r="B128" s="450" t="s">
        <v>1167</v>
      </c>
      <c r="C128" s="1345" t="s">
        <v>2895</v>
      </c>
      <c r="D128" s="1195"/>
      <c r="E128" s="1327" t="s">
        <v>2003</v>
      </c>
      <c r="F128" s="456"/>
      <c r="G128" s="591"/>
      <c r="H128" s="591"/>
    </row>
    <row r="129" ht="21.75" hidden="1" customHeight="1">
      <c r="A129" s="1336">
        <v>45352.0</v>
      </c>
      <c r="B129" s="1344" t="s">
        <v>2657</v>
      </c>
      <c r="C129" s="1345" t="s">
        <v>2896</v>
      </c>
      <c r="D129" s="1195"/>
      <c r="E129" s="1327" t="s">
        <v>2003</v>
      </c>
      <c r="F129" s="1328" t="s">
        <v>2779</v>
      </c>
      <c r="G129" s="591"/>
      <c r="H129" s="591"/>
    </row>
    <row r="130" ht="21.75" hidden="1" customHeight="1">
      <c r="A130" s="1336">
        <v>45352.0</v>
      </c>
      <c r="B130" s="462" t="s">
        <v>1209</v>
      </c>
      <c r="C130" s="462" t="s">
        <v>2897</v>
      </c>
      <c r="D130" s="1195"/>
      <c r="E130" s="1327" t="s">
        <v>2003</v>
      </c>
      <c r="F130" s="1328" t="s">
        <v>2898</v>
      </c>
      <c r="G130" s="591"/>
      <c r="H130" s="591"/>
    </row>
    <row r="131" ht="21.75" hidden="1" customHeight="1">
      <c r="A131" s="1336">
        <v>45352.0</v>
      </c>
      <c r="B131" s="1344" t="s">
        <v>1235</v>
      </c>
      <c r="C131" s="477" t="s">
        <v>2622</v>
      </c>
      <c r="D131" s="1195"/>
      <c r="E131" s="1327" t="s">
        <v>2003</v>
      </c>
      <c r="F131" s="1328" t="s">
        <v>2779</v>
      </c>
      <c r="G131" s="591"/>
      <c r="H131" s="591"/>
    </row>
    <row r="132" ht="21.75" hidden="1" customHeight="1">
      <c r="A132" s="1336">
        <v>45352.0</v>
      </c>
      <c r="B132" s="1344" t="s">
        <v>2891</v>
      </c>
      <c r="C132" s="462" t="s">
        <v>2867</v>
      </c>
      <c r="D132" s="1195"/>
      <c r="E132" s="1327" t="s">
        <v>2003</v>
      </c>
      <c r="F132" s="1328" t="s">
        <v>2779</v>
      </c>
      <c r="G132" s="591"/>
      <c r="H132" s="591"/>
    </row>
    <row r="133" ht="21.75" hidden="1" customHeight="1">
      <c r="A133" s="1336">
        <v>45352.0</v>
      </c>
      <c r="B133" s="462" t="s">
        <v>1181</v>
      </c>
      <c r="C133" s="456" t="s">
        <v>2667</v>
      </c>
      <c r="D133" s="1195"/>
      <c r="E133" s="1327" t="s">
        <v>2003</v>
      </c>
      <c r="F133" s="1328" t="s">
        <v>2779</v>
      </c>
      <c r="G133" s="591"/>
      <c r="H133" s="591"/>
    </row>
    <row r="134" ht="21.75" hidden="1" customHeight="1">
      <c r="A134" s="1336">
        <v>45294.0</v>
      </c>
      <c r="B134" s="462" t="s">
        <v>1181</v>
      </c>
      <c r="C134" s="456" t="s">
        <v>2899</v>
      </c>
      <c r="D134" s="1195"/>
      <c r="E134" s="1327" t="s">
        <v>2003</v>
      </c>
      <c r="F134" s="1328"/>
      <c r="G134" s="591"/>
      <c r="H134" s="591"/>
    </row>
    <row r="135" ht="21.75" hidden="1" customHeight="1">
      <c r="A135" s="1336">
        <v>45352.0</v>
      </c>
      <c r="B135" s="462" t="s">
        <v>1181</v>
      </c>
      <c r="C135" s="456" t="s">
        <v>2666</v>
      </c>
      <c r="D135" s="1195"/>
      <c r="E135" s="1327" t="s">
        <v>2003</v>
      </c>
      <c r="F135" s="1328" t="s">
        <v>2779</v>
      </c>
      <c r="G135" s="591"/>
      <c r="H135" s="591"/>
    </row>
    <row r="136" ht="21.75" hidden="1" customHeight="1">
      <c r="A136" s="1336">
        <v>45352.0</v>
      </c>
      <c r="B136" s="462" t="s">
        <v>2900</v>
      </c>
      <c r="C136" s="462" t="s">
        <v>2901</v>
      </c>
      <c r="D136" s="1195"/>
      <c r="E136" s="1327" t="s">
        <v>2003</v>
      </c>
      <c r="F136" s="1328" t="s">
        <v>2779</v>
      </c>
      <c r="G136" s="591"/>
      <c r="H136" s="591"/>
    </row>
    <row r="137" ht="21.75" hidden="1" customHeight="1">
      <c r="A137" s="1336">
        <v>45352.0</v>
      </c>
      <c r="B137" s="462" t="s">
        <v>2863</v>
      </c>
      <c r="C137" s="462" t="s">
        <v>2901</v>
      </c>
      <c r="D137" s="1195"/>
      <c r="E137" s="1327" t="s">
        <v>2003</v>
      </c>
      <c r="F137" s="1328" t="s">
        <v>2779</v>
      </c>
      <c r="G137" s="591"/>
      <c r="H137" s="591"/>
    </row>
    <row r="138" ht="21.75" hidden="1" customHeight="1">
      <c r="A138" s="1336">
        <v>45352.0</v>
      </c>
      <c r="B138" s="450" t="s">
        <v>1235</v>
      </c>
      <c r="C138" s="1345" t="s">
        <v>2902</v>
      </c>
      <c r="D138" s="1195"/>
      <c r="E138" s="1327" t="s">
        <v>2003</v>
      </c>
      <c r="F138" s="1328" t="s">
        <v>2779</v>
      </c>
      <c r="G138" s="591"/>
      <c r="H138" s="591"/>
    </row>
    <row r="139" ht="21.75" hidden="1" customHeight="1">
      <c r="A139" s="1336">
        <v>45383.0</v>
      </c>
      <c r="B139" s="462" t="s">
        <v>2903</v>
      </c>
      <c r="C139" s="462" t="s">
        <v>2904</v>
      </c>
      <c r="D139" s="1195"/>
      <c r="E139" s="1327" t="s">
        <v>2003</v>
      </c>
      <c r="F139" s="1328" t="s">
        <v>2779</v>
      </c>
      <c r="G139" s="591"/>
      <c r="H139" s="591"/>
    </row>
    <row r="140" ht="21.75" hidden="1" customHeight="1">
      <c r="A140" s="1336">
        <v>45383.0</v>
      </c>
      <c r="B140" s="1344" t="s">
        <v>2905</v>
      </c>
      <c r="C140" s="462" t="s">
        <v>2798</v>
      </c>
      <c r="D140" s="1195"/>
      <c r="E140" s="1327" t="s">
        <v>2003</v>
      </c>
      <c r="F140" s="1328" t="s">
        <v>2779</v>
      </c>
      <c r="G140" s="591"/>
      <c r="H140" s="591"/>
    </row>
    <row r="141" ht="21.75" hidden="1" customHeight="1">
      <c r="A141" s="1336">
        <v>45383.0</v>
      </c>
      <c r="B141" s="1344" t="s">
        <v>2906</v>
      </c>
      <c r="C141" s="480" t="s">
        <v>2792</v>
      </c>
      <c r="D141" s="1195"/>
      <c r="E141" s="1327" t="s">
        <v>2003</v>
      </c>
      <c r="F141" s="1328" t="s">
        <v>2779</v>
      </c>
      <c r="G141" s="591"/>
      <c r="H141" s="591"/>
    </row>
    <row r="142" ht="21.75" hidden="1" customHeight="1">
      <c r="A142" s="1336">
        <v>45383.0</v>
      </c>
      <c r="B142" s="450" t="s">
        <v>1167</v>
      </c>
      <c r="C142" s="1345" t="s">
        <v>2907</v>
      </c>
      <c r="D142" s="1195"/>
      <c r="E142" s="1327" t="s">
        <v>2003</v>
      </c>
      <c r="F142" s="1328" t="s">
        <v>2908</v>
      </c>
      <c r="G142" s="591"/>
      <c r="H142" s="591"/>
    </row>
    <row r="143" ht="21.75" hidden="1" customHeight="1">
      <c r="A143" s="1336">
        <v>45383.0</v>
      </c>
      <c r="B143" s="450" t="s">
        <v>2543</v>
      </c>
      <c r="C143" s="1345" t="s">
        <v>2907</v>
      </c>
      <c r="D143" s="1195"/>
      <c r="E143" s="1327" t="s">
        <v>2003</v>
      </c>
      <c r="F143" s="1328" t="s">
        <v>2909</v>
      </c>
      <c r="G143" s="591"/>
      <c r="H143" s="591"/>
    </row>
    <row r="144" ht="21.75" hidden="1" customHeight="1">
      <c r="A144" s="1336">
        <v>45383.0</v>
      </c>
      <c r="B144" s="1344" t="s">
        <v>2900</v>
      </c>
      <c r="C144" s="1345" t="s">
        <v>2910</v>
      </c>
      <c r="D144" s="1195"/>
      <c r="E144" s="1327" t="s">
        <v>2003</v>
      </c>
      <c r="F144" s="1328" t="s">
        <v>2911</v>
      </c>
      <c r="G144" s="591"/>
      <c r="H144" s="591"/>
    </row>
    <row r="145" ht="21.75" hidden="1" customHeight="1">
      <c r="A145" s="1336">
        <v>45383.0</v>
      </c>
      <c r="B145" s="1344" t="s">
        <v>2912</v>
      </c>
      <c r="C145" s="480" t="s">
        <v>2792</v>
      </c>
      <c r="D145" s="1195"/>
      <c r="E145" s="1327" t="s">
        <v>2003</v>
      </c>
      <c r="F145" s="1328" t="s">
        <v>2779</v>
      </c>
      <c r="G145" s="591"/>
      <c r="H145" s="591"/>
    </row>
    <row r="146" ht="21.75" hidden="1" customHeight="1">
      <c r="A146" s="1336">
        <v>45383.0</v>
      </c>
      <c r="B146" s="1344" t="s">
        <v>2913</v>
      </c>
      <c r="C146" s="1345" t="s">
        <v>2914</v>
      </c>
      <c r="D146" s="1195"/>
      <c r="E146" s="1327" t="s">
        <v>2003</v>
      </c>
      <c r="F146" s="1328" t="s">
        <v>2779</v>
      </c>
      <c r="G146" s="591"/>
      <c r="H146" s="591"/>
    </row>
    <row r="147" ht="21.75" hidden="1" customHeight="1">
      <c r="A147" s="1336">
        <v>45383.0</v>
      </c>
      <c r="B147" s="462" t="s">
        <v>1209</v>
      </c>
      <c r="C147" s="462" t="s">
        <v>2915</v>
      </c>
      <c r="D147" s="1195"/>
      <c r="E147" s="1327" t="s">
        <v>2003</v>
      </c>
      <c r="F147" s="1328" t="s">
        <v>2916</v>
      </c>
      <c r="G147" s="591"/>
      <c r="H147" s="591"/>
    </row>
    <row r="148" ht="21.75" hidden="1" customHeight="1">
      <c r="A148" s="1336">
        <v>45296.0</v>
      </c>
      <c r="B148" s="1344" t="s">
        <v>2917</v>
      </c>
      <c r="C148" s="1345" t="s">
        <v>2918</v>
      </c>
      <c r="D148" s="1195"/>
      <c r="E148" s="1327" t="s">
        <v>2003</v>
      </c>
      <c r="F148" s="1328" t="s">
        <v>2779</v>
      </c>
      <c r="G148" s="591"/>
      <c r="H148" s="591"/>
    </row>
    <row r="149" ht="21.75" hidden="1" customHeight="1">
      <c r="A149" s="1336">
        <v>45296.0</v>
      </c>
      <c r="B149" s="1344" t="s">
        <v>2919</v>
      </c>
      <c r="C149" s="462" t="s">
        <v>2867</v>
      </c>
      <c r="D149" s="1195"/>
      <c r="E149" s="1327" t="s">
        <v>2003</v>
      </c>
      <c r="F149" s="1328" t="s">
        <v>2898</v>
      </c>
      <c r="G149" s="591"/>
      <c r="H149" s="591"/>
    </row>
    <row r="150" ht="21.75" hidden="1" customHeight="1">
      <c r="A150" s="1336">
        <v>45296.0</v>
      </c>
      <c r="B150" s="462" t="s">
        <v>1181</v>
      </c>
      <c r="C150" s="1345" t="s">
        <v>2920</v>
      </c>
      <c r="D150" s="1195"/>
      <c r="E150" s="1327" t="s">
        <v>2003</v>
      </c>
      <c r="F150" s="1328" t="s">
        <v>2898</v>
      </c>
      <c r="G150" s="591"/>
      <c r="H150" s="591"/>
    </row>
    <row r="151" ht="21.75" hidden="1" customHeight="1">
      <c r="A151" s="1336">
        <v>45296.0</v>
      </c>
      <c r="B151" s="462" t="s">
        <v>1181</v>
      </c>
      <c r="C151" s="1345" t="s">
        <v>2921</v>
      </c>
      <c r="D151" s="1195"/>
      <c r="E151" s="1327" t="s">
        <v>2003</v>
      </c>
      <c r="F151" s="1328" t="s">
        <v>2898</v>
      </c>
      <c r="G151" s="591"/>
      <c r="H151" s="591"/>
    </row>
    <row r="152" ht="21.75" hidden="1" customHeight="1">
      <c r="A152" s="1336">
        <v>45296.0</v>
      </c>
      <c r="B152" s="462" t="s">
        <v>1181</v>
      </c>
      <c r="C152" s="1345" t="s">
        <v>2922</v>
      </c>
      <c r="D152" s="1195"/>
      <c r="E152" s="1327" t="s">
        <v>2003</v>
      </c>
      <c r="F152" s="1328" t="s">
        <v>2898</v>
      </c>
      <c r="G152" s="591"/>
      <c r="H152" s="591"/>
    </row>
    <row r="153" ht="21.75" hidden="1" customHeight="1">
      <c r="A153" s="1336">
        <v>45297.0</v>
      </c>
      <c r="B153" s="462" t="s">
        <v>1181</v>
      </c>
      <c r="C153" s="1345" t="s">
        <v>2923</v>
      </c>
      <c r="D153" s="1195"/>
      <c r="E153" s="1327" t="s">
        <v>2003</v>
      </c>
      <c r="F153" s="1328" t="s">
        <v>2924</v>
      </c>
      <c r="G153" s="591"/>
      <c r="H153" s="591"/>
    </row>
    <row r="154" ht="21.75" hidden="1" customHeight="1">
      <c r="A154" s="1336">
        <v>45297.0</v>
      </c>
      <c r="B154" s="1344" t="s">
        <v>2917</v>
      </c>
      <c r="C154" s="1345" t="s">
        <v>2925</v>
      </c>
      <c r="D154" s="1195"/>
      <c r="E154" s="1327" t="s">
        <v>2003</v>
      </c>
      <c r="F154" s="1328" t="s">
        <v>2898</v>
      </c>
      <c r="G154" s="591"/>
      <c r="H154" s="591"/>
    </row>
    <row r="155" ht="21.75" hidden="1" customHeight="1">
      <c r="A155" s="1336">
        <v>45297.0</v>
      </c>
      <c r="B155" s="1344" t="s">
        <v>2919</v>
      </c>
      <c r="C155" s="462" t="s">
        <v>2798</v>
      </c>
      <c r="D155" s="1195"/>
      <c r="E155" s="1327" t="s">
        <v>2003</v>
      </c>
      <c r="F155" s="1328" t="s">
        <v>2898</v>
      </c>
      <c r="G155" s="591"/>
      <c r="H155" s="591"/>
    </row>
    <row r="156" ht="21.75" hidden="1" customHeight="1">
      <c r="A156" s="1336">
        <v>45297.0</v>
      </c>
      <c r="B156" s="1344" t="s">
        <v>2926</v>
      </c>
      <c r="C156" s="1345" t="s">
        <v>1387</v>
      </c>
      <c r="D156" s="1195"/>
      <c r="E156" s="1327" t="s">
        <v>2003</v>
      </c>
      <c r="F156" s="1328" t="s">
        <v>2898</v>
      </c>
      <c r="G156" s="591"/>
      <c r="H156" s="591"/>
    </row>
    <row r="157" ht="21.75" hidden="1" customHeight="1">
      <c r="A157" s="1336">
        <v>45297.0</v>
      </c>
      <c r="B157" s="1344" t="s">
        <v>2927</v>
      </c>
      <c r="C157" s="1345" t="s">
        <v>2928</v>
      </c>
      <c r="D157" s="1195"/>
      <c r="E157" s="1327" t="s">
        <v>2003</v>
      </c>
      <c r="F157" s="1328" t="s">
        <v>2898</v>
      </c>
      <c r="G157" s="591"/>
      <c r="H157" s="591"/>
    </row>
    <row r="158" ht="21.75" hidden="1" customHeight="1">
      <c r="A158" s="1336">
        <v>45297.0</v>
      </c>
      <c r="B158" s="1344" t="s">
        <v>1190</v>
      </c>
      <c r="C158" s="462" t="s">
        <v>2867</v>
      </c>
      <c r="D158" s="1195"/>
      <c r="E158" s="1327" t="s">
        <v>2003</v>
      </c>
      <c r="F158" s="1328" t="s">
        <v>2929</v>
      </c>
      <c r="G158" s="591"/>
      <c r="H158" s="591"/>
    </row>
    <row r="159" ht="21.75" hidden="1" customHeight="1">
      <c r="A159" s="1336">
        <v>45298.0</v>
      </c>
      <c r="B159" s="1344" t="s">
        <v>2917</v>
      </c>
      <c r="C159" s="1345" t="s">
        <v>2930</v>
      </c>
      <c r="D159" s="1195"/>
      <c r="E159" s="1327" t="s">
        <v>2003</v>
      </c>
      <c r="F159" s="1328" t="s">
        <v>2898</v>
      </c>
      <c r="G159" s="591"/>
      <c r="H159" s="591"/>
    </row>
    <row r="160" ht="21.75" hidden="1" customHeight="1">
      <c r="A160" s="1336">
        <v>45298.0</v>
      </c>
      <c r="B160" s="1344" t="s">
        <v>2931</v>
      </c>
      <c r="C160" s="1345" t="s">
        <v>2932</v>
      </c>
      <c r="D160" s="1195"/>
      <c r="E160" s="1327" t="s">
        <v>2003</v>
      </c>
      <c r="F160" s="1328" t="s">
        <v>2933</v>
      </c>
      <c r="G160" s="591"/>
      <c r="H160" s="591"/>
    </row>
    <row r="161" ht="21.75" hidden="1" customHeight="1">
      <c r="A161" s="1336">
        <v>45298.0</v>
      </c>
      <c r="B161" s="1344" t="s">
        <v>2934</v>
      </c>
      <c r="C161" s="462" t="s">
        <v>2798</v>
      </c>
      <c r="D161" s="1195"/>
      <c r="E161" s="1327" t="s">
        <v>2003</v>
      </c>
      <c r="F161" s="1328" t="s">
        <v>2933</v>
      </c>
      <c r="G161" s="591"/>
      <c r="H161" s="591"/>
    </row>
    <row r="162" ht="21.75" hidden="1" customHeight="1">
      <c r="A162" s="1336">
        <v>45298.0</v>
      </c>
      <c r="B162" s="462" t="s">
        <v>1193</v>
      </c>
      <c r="C162" s="456" t="s">
        <v>2546</v>
      </c>
      <c r="D162" s="1195"/>
      <c r="E162" s="1327" t="s">
        <v>2003</v>
      </c>
      <c r="F162" s="1328" t="s">
        <v>2935</v>
      </c>
      <c r="G162" s="591"/>
      <c r="H162" s="591"/>
    </row>
    <row r="163" ht="21.75" hidden="1" customHeight="1">
      <c r="A163" s="1336">
        <v>45299.0</v>
      </c>
      <c r="B163" s="499" t="s">
        <v>1193</v>
      </c>
      <c r="C163" s="462" t="s">
        <v>2936</v>
      </c>
      <c r="D163" s="1195"/>
      <c r="E163" s="1327" t="s">
        <v>2003</v>
      </c>
      <c r="F163" s="1328" t="s">
        <v>2933</v>
      </c>
      <c r="G163" s="591"/>
      <c r="H163" s="591"/>
    </row>
    <row r="164" ht="21.75" hidden="1" customHeight="1">
      <c r="A164" s="1336">
        <v>45299.0</v>
      </c>
      <c r="B164" s="1344" t="s">
        <v>2937</v>
      </c>
      <c r="C164" s="1345" t="s">
        <v>2938</v>
      </c>
      <c r="D164" s="1195"/>
      <c r="E164" s="1327" t="s">
        <v>2003</v>
      </c>
      <c r="F164" s="1328" t="s">
        <v>2898</v>
      </c>
      <c r="G164" s="591"/>
      <c r="H164" s="591"/>
    </row>
    <row r="165" ht="21.75" hidden="1" customHeight="1">
      <c r="A165" s="1336">
        <v>45299.0</v>
      </c>
      <c r="B165" s="462" t="s">
        <v>1181</v>
      </c>
      <c r="C165" s="1345" t="s">
        <v>2939</v>
      </c>
      <c r="D165" s="1195"/>
      <c r="E165" s="1327" t="s">
        <v>2003</v>
      </c>
      <c r="F165" s="1328" t="s">
        <v>2933</v>
      </c>
      <c r="G165" s="591"/>
      <c r="H165" s="591"/>
    </row>
    <row r="166" ht="21.75" hidden="1" customHeight="1">
      <c r="A166" s="1336">
        <v>45301.0</v>
      </c>
      <c r="B166" s="1344" t="s">
        <v>2940</v>
      </c>
      <c r="C166" s="462" t="s">
        <v>2936</v>
      </c>
      <c r="D166" s="1195"/>
      <c r="E166" s="1327" t="s">
        <v>2003</v>
      </c>
      <c r="F166" s="1328" t="s">
        <v>2933</v>
      </c>
      <c r="G166" s="591"/>
      <c r="H166" s="591"/>
    </row>
    <row r="167" ht="21.75" hidden="1" customHeight="1">
      <c r="A167" s="1336">
        <v>45301.0</v>
      </c>
      <c r="B167" s="1344" t="s">
        <v>2931</v>
      </c>
      <c r="C167" s="1345" t="s">
        <v>2941</v>
      </c>
      <c r="D167" s="1195"/>
      <c r="E167" s="1327" t="s">
        <v>2003</v>
      </c>
      <c r="F167" s="1328" t="s">
        <v>2933</v>
      </c>
      <c r="G167" s="591"/>
      <c r="H167" s="591"/>
    </row>
    <row r="168" ht="21.0" hidden="1" customHeight="1">
      <c r="A168" s="1336">
        <v>45301.0</v>
      </c>
      <c r="B168" s="1344" t="s">
        <v>2942</v>
      </c>
      <c r="C168" s="462" t="s">
        <v>2943</v>
      </c>
      <c r="D168" s="1195"/>
      <c r="E168" s="1327" t="s">
        <v>2003</v>
      </c>
      <c r="F168" s="1328" t="s">
        <v>2933</v>
      </c>
      <c r="G168" s="591"/>
      <c r="H168" s="591"/>
    </row>
    <row r="169" ht="21.0" hidden="1" customHeight="1">
      <c r="A169" s="1336">
        <v>45301.0</v>
      </c>
      <c r="B169" s="1344" t="s">
        <v>2944</v>
      </c>
      <c r="C169" s="1345" t="s">
        <v>2945</v>
      </c>
      <c r="D169" s="1195"/>
      <c r="E169" s="1327" t="s">
        <v>2003</v>
      </c>
      <c r="F169" s="1328" t="s">
        <v>2933</v>
      </c>
      <c r="G169" s="591"/>
      <c r="H169" s="591"/>
    </row>
    <row r="170" ht="21.0" hidden="1" customHeight="1">
      <c r="A170" s="1336">
        <v>45302.0</v>
      </c>
      <c r="B170" s="1344" t="s">
        <v>1223</v>
      </c>
      <c r="C170" s="1345" t="s">
        <v>1335</v>
      </c>
      <c r="D170" s="1195"/>
      <c r="E170" s="1327" t="s">
        <v>2003</v>
      </c>
      <c r="F170" s="1328" t="s">
        <v>2933</v>
      </c>
      <c r="G170" s="591"/>
      <c r="H170" s="591"/>
    </row>
    <row r="171" ht="21.0" hidden="1" customHeight="1">
      <c r="A171" s="1336">
        <v>45302.0</v>
      </c>
      <c r="B171" s="1344" t="s">
        <v>2946</v>
      </c>
      <c r="C171" s="462" t="s">
        <v>2947</v>
      </c>
      <c r="D171" s="1195"/>
      <c r="E171" s="1327" t="s">
        <v>2003</v>
      </c>
      <c r="F171" s="1328" t="s">
        <v>2933</v>
      </c>
      <c r="G171" s="591"/>
      <c r="H171" s="591"/>
    </row>
    <row r="172" ht="21.0" hidden="1" customHeight="1">
      <c r="A172" s="1336">
        <v>45302.0</v>
      </c>
      <c r="B172" s="1344" t="s">
        <v>2948</v>
      </c>
      <c r="C172" s="1345" t="s">
        <v>2949</v>
      </c>
      <c r="D172" s="1195"/>
      <c r="E172" s="1327" t="s">
        <v>2003</v>
      </c>
      <c r="F172" s="1328" t="s">
        <v>2933</v>
      </c>
      <c r="G172" s="591"/>
      <c r="H172" s="591"/>
    </row>
    <row r="173" ht="21.0" hidden="1" customHeight="1">
      <c r="A173" s="1336">
        <v>45302.0</v>
      </c>
      <c r="B173" s="1344" t="s">
        <v>2946</v>
      </c>
      <c r="C173" s="1345" t="s">
        <v>2950</v>
      </c>
      <c r="D173" s="1195"/>
      <c r="E173" s="1327" t="s">
        <v>2003</v>
      </c>
      <c r="F173" s="1328" t="s">
        <v>2933</v>
      </c>
      <c r="G173" s="591"/>
      <c r="H173" s="591"/>
    </row>
    <row r="174" ht="21.0" hidden="1" customHeight="1">
      <c r="A174" s="1336">
        <v>45303.0</v>
      </c>
      <c r="B174" s="1344" t="s">
        <v>2951</v>
      </c>
      <c r="C174" s="462" t="s">
        <v>2798</v>
      </c>
      <c r="D174" s="1195"/>
      <c r="E174" s="1327" t="s">
        <v>2003</v>
      </c>
      <c r="F174" s="1328" t="s">
        <v>2933</v>
      </c>
      <c r="G174" s="591"/>
      <c r="H174" s="591"/>
    </row>
    <row r="175" ht="21.75" hidden="1" customHeight="1">
      <c r="A175" s="1336">
        <v>45303.0</v>
      </c>
      <c r="B175" s="1344" t="s">
        <v>2952</v>
      </c>
      <c r="C175" s="1345" t="s">
        <v>1200</v>
      </c>
      <c r="D175" s="1195"/>
      <c r="E175" s="1327" t="s">
        <v>2003</v>
      </c>
      <c r="F175" s="1328" t="s">
        <v>2933</v>
      </c>
      <c r="G175" s="591"/>
      <c r="H175" s="591"/>
    </row>
    <row r="176" ht="21.75" hidden="1" customHeight="1">
      <c r="A176" s="1336">
        <v>45303.0</v>
      </c>
      <c r="B176" s="1344" t="s">
        <v>2946</v>
      </c>
      <c r="C176" s="1345" t="s">
        <v>2938</v>
      </c>
      <c r="D176" s="1195"/>
      <c r="E176" s="1327" t="s">
        <v>2003</v>
      </c>
      <c r="F176" s="1328" t="s">
        <v>2953</v>
      </c>
      <c r="G176" s="591"/>
      <c r="H176" s="591"/>
    </row>
    <row r="177" ht="21.75" hidden="1" customHeight="1">
      <c r="A177" s="1336">
        <v>45303.0</v>
      </c>
      <c r="B177" s="1344" t="s">
        <v>1223</v>
      </c>
      <c r="C177" s="462" t="s">
        <v>2954</v>
      </c>
      <c r="D177" s="1195"/>
      <c r="E177" s="1327" t="s">
        <v>2003</v>
      </c>
      <c r="F177" s="1328" t="s">
        <v>2955</v>
      </c>
      <c r="G177" s="591"/>
      <c r="H177" s="591"/>
    </row>
    <row r="178" ht="21.75" hidden="1" customHeight="1">
      <c r="A178" s="1336">
        <v>45303.0</v>
      </c>
      <c r="B178" s="1344" t="s">
        <v>2951</v>
      </c>
      <c r="C178" s="1345" t="s">
        <v>2945</v>
      </c>
      <c r="D178" s="1195"/>
      <c r="E178" s="1327" t="s">
        <v>2003</v>
      </c>
      <c r="F178" s="1328" t="s">
        <v>2955</v>
      </c>
      <c r="G178" s="591"/>
      <c r="H178" s="591"/>
    </row>
    <row r="179" ht="21.75" hidden="1" customHeight="1">
      <c r="A179" s="1336">
        <v>45304.0</v>
      </c>
      <c r="B179" s="1344" t="s">
        <v>2942</v>
      </c>
      <c r="C179" s="1345" t="s">
        <v>2938</v>
      </c>
      <c r="D179" s="1195"/>
      <c r="E179" s="1327" t="s">
        <v>2003</v>
      </c>
      <c r="F179" s="1328" t="s">
        <v>2933</v>
      </c>
      <c r="G179" s="591"/>
      <c r="H179" s="591"/>
    </row>
    <row r="180" ht="21.75" hidden="1" customHeight="1">
      <c r="A180" s="1336">
        <v>45304.0</v>
      </c>
      <c r="B180" s="1344" t="s">
        <v>2951</v>
      </c>
      <c r="C180" s="462" t="s">
        <v>1375</v>
      </c>
      <c r="D180" s="1195"/>
      <c r="E180" s="1327" t="s">
        <v>2003</v>
      </c>
      <c r="F180" s="1328" t="s">
        <v>2933</v>
      </c>
      <c r="G180" s="591"/>
      <c r="H180" s="591"/>
    </row>
    <row r="181" ht="21.75" hidden="1" customHeight="1">
      <c r="A181" s="1336">
        <v>45304.0</v>
      </c>
      <c r="B181" s="1344" t="s">
        <v>2956</v>
      </c>
      <c r="C181" s="462" t="s">
        <v>1375</v>
      </c>
      <c r="D181" s="1195"/>
      <c r="E181" s="1327" t="s">
        <v>2003</v>
      </c>
      <c r="F181" s="1328" t="s">
        <v>2957</v>
      </c>
      <c r="G181" s="591"/>
      <c r="H181" s="591"/>
    </row>
    <row r="182" ht="21.75" hidden="1" customHeight="1">
      <c r="A182" s="1133" t="s">
        <v>2958</v>
      </c>
      <c r="B182" s="1344" t="s">
        <v>2946</v>
      </c>
      <c r="C182" s="1345" t="s">
        <v>2959</v>
      </c>
      <c r="D182" s="1195"/>
      <c r="E182" s="1327" t="s">
        <v>2003</v>
      </c>
      <c r="F182" s="1328" t="s">
        <v>2960</v>
      </c>
      <c r="G182" s="591"/>
      <c r="H182" s="591"/>
    </row>
    <row r="183" ht="21.75" hidden="1" customHeight="1">
      <c r="A183" s="1133" t="s">
        <v>2958</v>
      </c>
      <c r="B183" s="1344" t="s">
        <v>2961</v>
      </c>
      <c r="C183" s="1345" t="s">
        <v>2962</v>
      </c>
      <c r="D183" s="1195"/>
      <c r="E183" s="1327" t="s">
        <v>2003</v>
      </c>
      <c r="F183" s="1328" t="s">
        <v>2933</v>
      </c>
      <c r="G183" s="591"/>
      <c r="H183" s="591"/>
    </row>
    <row r="184" ht="21.75" hidden="1" customHeight="1">
      <c r="A184" s="1133" t="s">
        <v>2958</v>
      </c>
      <c r="B184" s="450" t="s">
        <v>2963</v>
      </c>
      <c r="C184" s="462" t="s">
        <v>2964</v>
      </c>
      <c r="D184" s="1195"/>
      <c r="E184" s="1327" t="s">
        <v>2003</v>
      </c>
      <c r="F184" s="1328" t="s">
        <v>2933</v>
      </c>
      <c r="G184" s="591"/>
      <c r="H184" s="591"/>
    </row>
    <row r="185" ht="21.75" hidden="1" customHeight="1">
      <c r="A185" s="1133" t="s">
        <v>2958</v>
      </c>
      <c r="B185" s="1344" t="s">
        <v>2961</v>
      </c>
      <c r="C185" s="1345" t="s">
        <v>2965</v>
      </c>
      <c r="D185" s="1195"/>
      <c r="E185" s="1327" t="s">
        <v>2003</v>
      </c>
      <c r="F185" s="1328" t="s">
        <v>2933</v>
      </c>
      <c r="G185" s="591"/>
      <c r="H185" s="591"/>
    </row>
    <row r="186" ht="21.75" hidden="1" customHeight="1">
      <c r="A186" s="1133" t="s">
        <v>2966</v>
      </c>
      <c r="B186" s="1344" t="s">
        <v>2961</v>
      </c>
      <c r="C186" s="462" t="s">
        <v>2967</v>
      </c>
      <c r="D186" s="1195"/>
      <c r="E186" s="1327" t="s">
        <v>2003</v>
      </c>
      <c r="F186" s="1328" t="s">
        <v>2933</v>
      </c>
      <c r="G186" s="591"/>
      <c r="H186" s="591"/>
    </row>
    <row r="187" ht="21.75" hidden="1" customHeight="1">
      <c r="A187" s="1133" t="s">
        <v>2966</v>
      </c>
      <c r="B187" s="1344" t="s">
        <v>2956</v>
      </c>
      <c r="C187" s="462" t="s">
        <v>2798</v>
      </c>
      <c r="D187" s="1195"/>
      <c r="E187" s="1327" t="s">
        <v>2003</v>
      </c>
      <c r="F187" s="1328" t="s">
        <v>2933</v>
      </c>
      <c r="G187" s="591"/>
      <c r="H187" s="591"/>
    </row>
    <row r="188" ht="21.75" hidden="1" customHeight="1">
      <c r="A188" s="1133" t="s">
        <v>2968</v>
      </c>
      <c r="B188" s="1344" t="s">
        <v>2961</v>
      </c>
      <c r="C188" s="1345" t="s">
        <v>2969</v>
      </c>
      <c r="D188" s="1195"/>
      <c r="E188" s="1327" t="s">
        <v>2003</v>
      </c>
      <c r="F188" s="1328" t="s">
        <v>2933</v>
      </c>
      <c r="G188" s="591"/>
      <c r="H188" s="591"/>
    </row>
    <row r="189" ht="21.75" hidden="1" customHeight="1">
      <c r="A189" s="1133" t="s">
        <v>2968</v>
      </c>
      <c r="B189" s="1344" t="s">
        <v>2961</v>
      </c>
      <c r="C189" s="1345" t="s">
        <v>2970</v>
      </c>
      <c r="D189" s="1195"/>
      <c r="E189" s="1327" t="s">
        <v>2003</v>
      </c>
      <c r="F189" s="1346" t="s">
        <v>2971</v>
      </c>
      <c r="G189" s="591"/>
      <c r="H189" s="591"/>
    </row>
    <row r="190" ht="21.75" hidden="1" customHeight="1">
      <c r="A190" s="1133" t="s">
        <v>2968</v>
      </c>
      <c r="B190" s="1344" t="s">
        <v>2946</v>
      </c>
      <c r="C190" s="1345" t="s">
        <v>2972</v>
      </c>
      <c r="D190" s="1195"/>
      <c r="E190" s="1327" t="s">
        <v>2003</v>
      </c>
      <c r="F190" s="1328" t="s">
        <v>2973</v>
      </c>
      <c r="G190" s="591"/>
      <c r="H190" s="591"/>
    </row>
    <row r="191" ht="21.75" hidden="1" customHeight="1">
      <c r="A191" s="1133" t="s">
        <v>2974</v>
      </c>
      <c r="B191" s="1344" t="s">
        <v>2975</v>
      </c>
      <c r="C191" s="1345" t="s">
        <v>2938</v>
      </c>
      <c r="D191" s="1195"/>
      <c r="E191" s="1327" t="s">
        <v>2003</v>
      </c>
      <c r="F191" s="1328" t="s">
        <v>2933</v>
      </c>
      <c r="G191" s="591"/>
      <c r="H191" s="591"/>
    </row>
    <row r="192" ht="21.75" hidden="1" customHeight="1">
      <c r="A192" s="1133" t="s">
        <v>2974</v>
      </c>
      <c r="B192" s="1344" t="s">
        <v>2961</v>
      </c>
      <c r="C192" s="1345" t="s">
        <v>2939</v>
      </c>
      <c r="D192" s="1195"/>
      <c r="E192" s="1327" t="s">
        <v>2003</v>
      </c>
      <c r="F192" s="1328" t="s">
        <v>2933</v>
      </c>
      <c r="G192" s="591"/>
      <c r="H192" s="591"/>
    </row>
    <row r="193" ht="21.75" hidden="1" customHeight="1">
      <c r="A193" s="1133" t="s">
        <v>2974</v>
      </c>
      <c r="B193" s="1344" t="s">
        <v>2976</v>
      </c>
      <c r="C193" s="462" t="s">
        <v>2964</v>
      </c>
      <c r="D193" s="1195"/>
      <c r="E193" s="1327" t="s">
        <v>2003</v>
      </c>
      <c r="F193" s="1328" t="s">
        <v>2933</v>
      </c>
      <c r="G193" s="591"/>
      <c r="H193" s="591"/>
    </row>
    <row r="194" ht="24.0" hidden="1" customHeight="1">
      <c r="A194" s="1336">
        <v>45309.0</v>
      </c>
      <c r="B194" s="1344" t="s">
        <v>2976</v>
      </c>
      <c r="C194" s="1345" t="s">
        <v>2896</v>
      </c>
      <c r="D194" s="1195"/>
      <c r="E194" s="1327" t="s">
        <v>2003</v>
      </c>
      <c r="F194" s="1328" t="s">
        <v>2933</v>
      </c>
      <c r="G194" s="591"/>
      <c r="H194" s="591"/>
    </row>
    <row r="195" ht="21.75" hidden="1" customHeight="1">
      <c r="A195" s="1336">
        <v>45309.0</v>
      </c>
      <c r="B195" s="1344" t="s">
        <v>1238</v>
      </c>
      <c r="C195" s="462" t="s">
        <v>2977</v>
      </c>
      <c r="D195" s="1195"/>
      <c r="E195" s="1327" t="s">
        <v>2003</v>
      </c>
      <c r="F195" s="1328" t="s">
        <v>2933</v>
      </c>
      <c r="G195" s="591"/>
      <c r="H195" s="591"/>
    </row>
    <row r="196" ht="21.75" hidden="1" customHeight="1">
      <c r="A196" s="1336">
        <v>45310.0</v>
      </c>
      <c r="B196" s="1344" t="s">
        <v>2976</v>
      </c>
      <c r="C196" s="1345" t="s">
        <v>2978</v>
      </c>
      <c r="D196" s="1195"/>
      <c r="E196" s="1327" t="s">
        <v>2003</v>
      </c>
      <c r="F196" s="1328" t="s">
        <v>2979</v>
      </c>
      <c r="G196" s="591"/>
      <c r="H196" s="591"/>
    </row>
    <row r="197" ht="21.75" hidden="1" customHeight="1">
      <c r="A197" s="1336">
        <v>45310.0</v>
      </c>
      <c r="B197" s="1344" t="s">
        <v>2980</v>
      </c>
      <c r="C197" s="1345" t="s">
        <v>2981</v>
      </c>
      <c r="D197" s="1195"/>
      <c r="E197" s="1327" t="s">
        <v>2003</v>
      </c>
      <c r="F197" s="1328" t="s">
        <v>2982</v>
      </c>
      <c r="G197" s="591"/>
      <c r="H197" s="591"/>
    </row>
    <row r="198" ht="21.75" hidden="1" customHeight="1">
      <c r="A198" s="1336">
        <v>45310.0</v>
      </c>
      <c r="B198" s="1344" t="s">
        <v>1238</v>
      </c>
      <c r="C198" s="1345" t="s">
        <v>2983</v>
      </c>
      <c r="D198" s="1195"/>
      <c r="E198" s="1327" t="s">
        <v>2003</v>
      </c>
      <c r="F198" s="1328" t="s">
        <v>2984</v>
      </c>
      <c r="G198" s="591"/>
      <c r="H198" s="591"/>
    </row>
    <row r="199" ht="21.75" hidden="1" customHeight="1">
      <c r="A199" s="1133" t="s">
        <v>2985</v>
      </c>
      <c r="B199" s="450" t="s">
        <v>2976</v>
      </c>
      <c r="C199" s="1345" t="s">
        <v>2986</v>
      </c>
      <c r="D199" s="1195"/>
      <c r="E199" s="1327" t="s">
        <v>2003</v>
      </c>
      <c r="F199" s="1328" t="s">
        <v>2933</v>
      </c>
      <c r="G199" s="591"/>
      <c r="H199" s="591"/>
    </row>
    <row r="200" ht="21.75" hidden="1" customHeight="1">
      <c r="A200" s="1133" t="s">
        <v>2987</v>
      </c>
      <c r="B200" s="499" t="s">
        <v>2988</v>
      </c>
      <c r="C200" s="462" t="s">
        <v>2989</v>
      </c>
      <c r="D200" s="1195"/>
      <c r="E200" s="1327" t="s">
        <v>2003</v>
      </c>
      <c r="F200" s="1328" t="s">
        <v>2933</v>
      </c>
      <c r="G200" s="591"/>
      <c r="H200" s="591"/>
    </row>
    <row r="201" ht="21.75" hidden="1" customHeight="1">
      <c r="A201" s="1133" t="s">
        <v>2987</v>
      </c>
      <c r="B201" s="450" t="s">
        <v>2976</v>
      </c>
      <c r="C201" s="1345" t="s">
        <v>2990</v>
      </c>
      <c r="D201" s="1195"/>
      <c r="E201" s="1327" t="s">
        <v>2003</v>
      </c>
      <c r="F201" s="1328" t="s">
        <v>2933</v>
      </c>
      <c r="G201" s="591"/>
      <c r="H201" s="591"/>
    </row>
    <row r="202" ht="21.75" hidden="1" customHeight="1">
      <c r="A202" s="1133" t="s">
        <v>2987</v>
      </c>
      <c r="B202" s="1344" t="s">
        <v>2980</v>
      </c>
      <c r="C202" s="1345" t="s">
        <v>2938</v>
      </c>
      <c r="D202" s="1195"/>
      <c r="E202" s="1327" t="s">
        <v>2003</v>
      </c>
      <c r="F202" s="1328" t="s">
        <v>2933</v>
      </c>
      <c r="G202" s="591"/>
      <c r="H202" s="591"/>
    </row>
    <row r="203" ht="21.75" hidden="1" customHeight="1">
      <c r="A203" s="1133" t="s">
        <v>2987</v>
      </c>
      <c r="B203" s="450" t="s">
        <v>2991</v>
      </c>
      <c r="C203" s="462" t="s">
        <v>2954</v>
      </c>
      <c r="D203" s="1195"/>
      <c r="E203" s="1327" t="s">
        <v>2003</v>
      </c>
      <c r="F203" s="1328" t="s">
        <v>2992</v>
      </c>
      <c r="G203" s="591"/>
      <c r="H203" s="591"/>
    </row>
    <row r="204" ht="21.75" hidden="1" customHeight="1">
      <c r="A204" s="1133" t="s">
        <v>2993</v>
      </c>
      <c r="B204" s="499" t="s">
        <v>2988</v>
      </c>
      <c r="C204" s="1345" t="s">
        <v>1246</v>
      </c>
      <c r="D204" s="1195"/>
      <c r="E204" s="1327" t="s">
        <v>2003</v>
      </c>
      <c r="F204" s="1328" t="s">
        <v>2994</v>
      </c>
      <c r="G204" s="591"/>
      <c r="H204" s="591"/>
    </row>
    <row r="205" ht="21.75" hidden="1" customHeight="1">
      <c r="A205" s="1133" t="s">
        <v>2993</v>
      </c>
      <c r="B205" s="450" t="s">
        <v>2976</v>
      </c>
      <c r="C205" s="462" t="s">
        <v>2995</v>
      </c>
      <c r="D205" s="1195"/>
      <c r="E205" s="1327" t="s">
        <v>2003</v>
      </c>
      <c r="F205" s="1328" t="s">
        <v>2933</v>
      </c>
      <c r="G205" s="591"/>
      <c r="H205" s="591"/>
    </row>
    <row r="206" ht="21.75" hidden="1" customHeight="1">
      <c r="A206" s="1133" t="s">
        <v>2993</v>
      </c>
      <c r="B206" s="1344" t="s">
        <v>2980</v>
      </c>
      <c r="C206" s="462" t="s">
        <v>2989</v>
      </c>
      <c r="D206" s="1195"/>
      <c r="E206" s="1327" t="s">
        <v>2003</v>
      </c>
      <c r="F206" s="1328" t="s">
        <v>2933</v>
      </c>
      <c r="G206" s="591"/>
      <c r="H206" s="591"/>
    </row>
    <row r="207" ht="14.25" customHeight="1">
      <c r="A207" s="1336"/>
      <c r="B207" s="1347"/>
      <c r="C207" s="1348"/>
      <c r="D207" s="1349" t="s">
        <v>1256</v>
      </c>
      <c r="E207" s="1350"/>
      <c r="F207" s="1101" t="s">
        <v>1999</v>
      </c>
      <c r="G207" s="591"/>
      <c r="H207" s="591"/>
    </row>
    <row r="208" ht="21.75" customHeight="1">
      <c r="A208" s="1325">
        <v>45323.0</v>
      </c>
      <c r="B208" s="1342" t="s">
        <v>2996</v>
      </c>
      <c r="C208" s="1344" t="s">
        <v>2938</v>
      </c>
      <c r="D208" s="1351"/>
      <c r="E208" s="1352" t="s">
        <v>2003</v>
      </c>
      <c r="F208" s="1328" t="s">
        <v>2997</v>
      </c>
      <c r="G208" s="591"/>
      <c r="H208" s="591"/>
    </row>
    <row r="209" ht="21.75" customHeight="1">
      <c r="A209" s="1325">
        <v>45323.0</v>
      </c>
      <c r="B209" s="462" t="s">
        <v>2998</v>
      </c>
      <c r="C209" s="1344" t="s">
        <v>2938</v>
      </c>
      <c r="D209" s="1351"/>
      <c r="E209" s="1352" t="s">
        <v>2003</v>
      </c>
      <c r="F209" s="1328" t="s">
        <v>2933</v>
      </c>
      <c r="G209" s="591"/>
      <c r="H209" s="591"/>
    </row>
    <row r="210" ht="23.25" customHeight="1">
      <c r="A210" s="1325">
        <v>45323.0</v>
      </c>
      <c r="B210" s="462" t="s">
        <v>1259</v>
      </c>
      <c r="C210" s="1344" t="s">
        <v>2950</v>
      </c>
      <c r="D210" s="1351"/>
      <c r="E210" s="1352" t="s">
        <v>2003</v>
      </c>
      <c r="F210" s="1328" t="s">
        <v>2933</v>
      </c>
      <c r="G210" s="591"/>
      <c r="H210" s="591"/>
    </row>
    <row r="211" ht="20.25" customHeight="1">
      <c r="A211" s="1325">
        <v>45323.0</v>
      </c>
      <c r="B211" s="462" t="s">
        <v>1259</v>
      </c>
      <c r="C211" s="450" t="s">
        <v>2999</v>
      </c>
      <c r="D211" s="1351"/>
      <c r="E211" s="1352" t="s">
        <v>2003</v>
      </c>
      <c r="F211" s="1328" t="s">
        <v>2933</v>
      </c>
      <c r="G211" s="591"/>
      <c r="H211" s="591"/>
    </row>
    <row r="212" ht="27.75" customHeight="1">
      <c r="A212" s="1325">
        <v>45324.0</v>
      </c>
      <c r="B212" s="462" t="s">
        <v>1259</v>
      </c>
      <c r="C212" s="450" t="s">
        <v>1186</v>
      </c>
      <c r="D212" s="1351"/>
      <c r="E212" s="1352" t="s">
        <v>2003</v>
      </c>
      <c r="F212" s="1328" t="s">
        <v>2933</v>
      </c>
      <c r="G212" s="591"/>
      <c r="H212" s="591"/>
    </row>
    <row r="213" ht="19.5" customHeight="1">
      <c r="A213" s="1325">
        <v>45325.0</v>
      </c>
      <c r="B213" s="450" t="s">
        <v>3000</v>
      </c>
      <c r="C213" s="450" t="s">
        <v>3001</v>
      </c>
      <c r="D213" s="1351"/>
      <c r="E213" s="1352" t="s">
        <v>2003</v>
      </c>
      <c r="F213" s="1328" t="s">
        <v>2933</v>
      </c>
      <c r="G213" s="591"/>
      <c r="H213" s="591"/>
    </row>
    <row r="214" ht="21.75" customHeight="1">
      <c r="A214" s="1325">
        <v>45325.0</v>
      </c>
      <c r="B214" s="450" t="s">
        <v>3002</v>
      </c>
      <c r="C214" s="450" t="s">
        <v>3003</v>
      </c>
      <c r="D214" s="1351"/>
      <c r="E214" s="1352" t="s">
        <v>2003</v>
      </c>
      <c r="F214" s="1328" t="s">
        <v>2933</v>
      </c>
      <c r="G214" s="591"/>
      <c r="H214" s="591"/>
    </row>
    <row r="215" ht="20.25" customHeight="1">
      <c r="A215" s="1325">
        <v>45325.0</v>
      </c>
      <c r="B215" s="1342" t="s">
        <v>2996</v>
      </c>
      <c r="C215" s="450" t="s">
        <v>1375</v>
      </c>
      <c r="D215" s="1351"/>
      <c r="E215" s="1352" t="s">
        <v>2003</v>
      </c>
      <c r="F215" s="1328" t="s">
        <v>2933</v>
      </c>
      <c r="G215" s="591"/>
      <c r="H215" s="591"/>
    </row>
    <row r="216" ht="18.75" customHeight="1">
      <c r="A216" s="1325">
        <v>45325.0</v>
      </c>
      <c r="B216" s="462" t="s">
        <v>1259</v>
      </c>
      <c r="C216" s="450" t="s">
        <v>3004</v>
      </c>
      <c r="D216" s="1351"/>
      <c r="E216" s="1352" t="s">
        <v>2003</v>
      </c>
      <c r="F216" s="1328" t="s">
        <v>2933</v>
      </c>
      <c r="G216" s="591"/>
      <c r="H216" s="591"/>
    </row>
    <row r="217" ht="20.25" customHeight="1">
      <c r="A217" s="1325">
        <v>45326.0</v>
      </c>
      <c r="B217" s="450" t="s">
        <v>3000</v>
      </c>
      <c r="C217" s="450" t="s">
        <v>1350</v>
      </c>
      <c r="D217" s="1351"/>
      <c r="E217" s="1352" t="s">
        <v>2003</v>
      </c>
      <c r="F217" s="1328" t="s">
        <v>2933</v>
      </c>
      <c r="G217" s="591"/>
      <c r="H217" s="591"/>
    </row>
    <row r="218" ht="23.25" customHeight="1">
      <c r="A218" s="1325">
        <v>45326.0</v>
      </c>
      <c r="B218" s="1344" t="s">
        <v>3005</v>
      </c>
      <c r="C218" s="450" t="s">
        <v>1350</v>
      </c>
      <c r="D218" s="1351"/>
      <c r="E218" s="1352" t="s">
        <v>2003</v>
      </c>
      <c r="F218" s="1353" t="s">
        <v>3006</v>
      </c>
      <c r="G218" s="591"/>
      <c r="H218" s="591"/>
    </row>
    <row r="219" ht="23.25" customHeight="1">
      <c r="A219" s="1325">
        <v>45327.0</v>
      </c>
      <c r="B219" s="462" t="s">
        <v>1259</v>
      </c>
      <c r="C219" s="1344" t="s">
        <v>2780</v>
      </c>
      <c r="D219" s="1351"/>
      <c r="E219" s="1352" t="s">
        <v>2003</v>
      </c>
      <c r="F219" s="1328" t="s">
        <v>2933</v>
      </c>
      <c r="G219" s="591"/>
      <c r="H219" s="591"/>
    </row>
    <row r="220" ht="23.25" customHeight="1">
      <c r="A220" s="1325">
        <v>45327.0</v>
      </c>
      <c r="B220" s="450" t="s">
        <v>3007</v>
      </c>
      <c r="C220" s="1344" t="s">
        <v>3008</v>
      </c>
      <c r="D220" s="1351"/>
      <c r="E220" s="1352" t="s">
        <v>2003</v>
      </c>
      <c r="F220" s="1328" t="s">
        <v>2933</v>
      </c>
      <c r="G220" s="591"/>
      <c r="H220" s="591"/>
    </row>
    <row r="221" ht="23.25" customHeight="1">
      <c r="A221" s="1325">
        <v>45327.0</v>
      </c>
      <c r="B221" s="1342" t="s">
        <v>2996</v>
      </c>
      <c r="C221" s="1344" t="s">
        <v>2780</v>
      </c>
      <c r="D221" s="1351"/>
      <c r="E221" s="1352" t="s">
        <v>2003</v>
      </c>
      <c r="F221" s="1328" t="s">
        <v>2933</v>
      </c>
      <c r="G221" s="591"/>
      <c r="H221" s="591"/>
    </row>
    <row r="222" ht="23.25" customHeight="1">
      <c r="A222" s="1325">
        <v>45327.0</v>
      </c>
      <c r="B222" s="1344" t="s">
        <v>3005</v>
      </c>
      <c r="C222" s="450" t="s">
        <v>3009</v>
      </c>
      <c r="D222" s="1351"/>
      <c r="E222" s="1352" t="s">
        <v>2003</v>
      </c>
      <c r="F222" s="1328" t="s">
        <v>3010</v>
      </c>
      <c r="G222" s="591"/>
      <c r="H222" s="591"/>
    </row>
    <row r="223" ht="23.25" customHeight="1">
      <c r="A223" s="1325">
        <v>45328.0</v>
      </c>
      <c r="B223" s="450" t="s">
        <v>3011</v>
      </c>
      <c r="C223" s="450" t="s">
        <v>1350</v>
      </c>
      <c r="D223" s="1351"/>
      <c r="E223" s="1352" t="s">
        <v>2003</v>
      </c>
      <c r="F223" s="1328" t="s">
        <v>2933</v>
      </c>
      <c r="G223" s="591"/>
      <c r="H223" s="591"/>
    </row>
    <row r="224" ht="23.25" customHeight="1">
      <c r="A224" s="1325">
        <v>45328.0</v>
      </c>
      <c r="B224" s="450" t="s">
        <v>3007</v>
      </c>
      <c r="C224" s="450" t="s">
        <v>3012</v>
      </c>
      <c r="D224" s="1351"/>
      <c r="E224" s="1352" t="s">
        <v>2003</v>
      </c>
      <c r="F224" s="1328" t="s">
        <v>2933</v>
      </c>
      <c r="G224" s="591"/>
      <c r="H224" s="591"/>
    </row>
    <row r="225" ht="23.25" customHeight="1">
      <c r="A225" s="1325">
        <v>45330.0</v>
      </c>
      <c r="B225" s="450" t="s">
        <v>3013</v>
      </c>
      <c r="C225" s="450" t="s">
        <v>3014</v>
      </c>
      <c r="D225" s="1351"/>
      <c r="E225" s="1352" t="s">
        <v>2003</v>
      </c>
      <c r="F225" s="1328" t="s">
        <v>2933</v>
      </c>
      <c r="G225" s="591"/>
      <c r="H225" s="591"/>
    </row>
    <row r="226" ht="23.25" customHeight="1">
      <c r="A226" s="1325">
        <v>45331.0</v>
      </c>
      <c r="B226" s="450" t="s">
        <v>3015</v>
      </c>
      <c r="C226" s="450" t="s">
        <v>3016</v>
      </c>
      <c r="D226" s="1351"/>
      <c r="E226" s="1352" t="s">
        <v>2003</v>
      </c>
      <c r="F226" s="1328" t="s">
        <v>2933</v>
      </c>
      <c r="G226" s="591"/>
      <c r="H226" s="591"/>
    </row>
    <row r="227" ht="23.25" customHeight="1">
      <c r="A227" s="1325">
        <v>45331.0</v>
      </c>
      <c r="B227" s="450" t="s">
        <v>3013</v>
      </c>
      <c r="C227" s="450" t="s">
        <v>1350</v>
      </c>
      <c r="D227" s="1351"/>
      <c r="E227" s="1352" t="s">
        <v>2003</v>
      </c>
      <c r="F227" s="1328" t="s">
        <v>2933</v>
      </c>
      <c r="G227" s="591"/>
      <c r="H227" s="591"/>
    </row>
    <row r="228" ht="23.25" customHeight="1">
      <c r="A228" s="1325">
        <v>45332.0</v>
      </c>
      <c r="B228" s="450" t="s">
        <v>1263</v>
      </c>
      <c r="C228" s="450" t="s">
        <v>1217</v>
      </c>
      <c r="D228" s="1351"/>
      <c r="E228" s="1352" t="s">
        <v>2003</v>
      </c>
      <c r="F228" s="1328" t="s">
        <v>2933</v>
      </c>
      <c r="G228" s="591"/>
      <c r="H228" s="591"/>
    </row>
    <row r="229" ht="23.25" customHeight="1">
      <c r="A229" s="1325">
        <v>45332.0</v>
      </c>
      <c r="B229" s="450" t="s">
        <v>3017</v>
      </c>
      <c r="C229" s="450" t="s">
        <v>3018</v>
      </c>
      <c r="D229" s="1351"/>
      <c r="E229" s="1352" t="s">
        <v>2003</v>
      </c>
      <c r="F229" s="1328" t="s">
        <v>2933</v>
      </c>
      <c r="G229" s="591"/>
      <c r="H229" s="591"/>
    </row>
    <row r="230" ht="23.25" customHeight="1">
      <c r="A230" s="1325">
        <v>45332.0</v>
      </c>
      <c r="B230" s="450" t="s">
        <v>3015</v>
      </c>
      <c r="C230" s="450" t="s">
        <v>1328</v>
      </c>
      <c r="D230" s="1351"/>
      <c r="E230" s="1352" t="s">
        <v>2003</v>
      </c>
      <c r="F230" s="1328" t="s">
        <v>2933</v>
      </c>
      <c r="G230" s="591"/>
      <c r="H230" s="591"/>
    </row>
    <row r="231" ht="23.25" customHeight="1">
      <c r="A231" s="1325">
        <v>45332.0</v>
      </c>
      <c r="B231" s="450" t="s">
        <v>3019</v>
      </c>
      <c r="C231" s="450" t="s">
        <v>3020</v>
      </c>
      <c r="D231" s="1351"/>
      <c r="E231" s="1352" t="s">
        <v>2003</v>
      </c>
      <c r="F231" s="1328" t="s">
        <v>2933</v>
      </c>
      <c r="G231" s="591"/>
      <c r="H231" s="591"/>
    </row>
    <row r="232" ht="23.25" customHeight="1">
      <c r="A232" s="1325">
        <v>45332.0</v>
      </c>
      <c r="B232" s="450" t="s">
        <v>3021</v>
      </c>
      <c r="C232" s="450" t="s">
        <v>3022</v>
      </c>
      <c r="D232" s="1351"/>
      <c r="E232" s="1352" t="s">
        <v>2003</v>
      </c>
      <c r="F232" s="1328" t="s">
        <v>2933</v>
      </c>
      <c r="G232" s="591"/>
      <c r="H232" s="591"/>
    </row>
    <row r="233" ht="23.25" customHeight="1">
      <c r="A233" s="1325">
        <v>45332.0</v>
      </c>
      <c r="B233" s="450" t="s">
        <v>3023</v>
      </c>
      <c r="C233" s="450" t="s">
        <v>3024</v>
      </c>
      <c r="D233" s="1351"/>
      <c r="E233" s="1352" t="s">
        <v>2003</v>
      </c>
      <c r="F233" s="1328" t="s">
        <v>3025</v>
      </c>
      <c r="G233" s="591"/>
      <c r="H233" s="591"/>
    </row>
    <row r="234" ht="23.25" customHeight="1">
      <c r="A234" s="1325">
        <v>45332.0</v>
      </c>
      <c r="B234" s="450" t="s">
        <v>3023</v>
      </c>
      <c r="C234" s="450" t="s">
        <v>3026</v>
      </c>
      <c r="D234" s="1351"/>
      <c r="E234" s="1352" t="s">
        <v>2003</v>
      </c>
      <c r="F234" s="1328" t="s">
        <v>2933</v>
      </c>
      <c r="G234" s="591"/>
      <c r="H234" s="591"/>
    </row>
    <row r="235" ht="23.25" customHeight="1">
      <c r="A235" s="1325">
        <v>45332.0</v>
      </c>
      <c r="B235" s="450" t="s">
        <v>3015</v>
      </c>
      <c r="C235" s="450" t="s">
        <v>3027</v>
      </c>
      <c r="D235" s="1354" t="s">
        <v>2003</v>
      </c>
      <c r="E235" s="440"/>
      <c r="F235" s="1328" t="s">
        <v>2933</v>
      </c>
      <c r="G235" s="591"/>
      <c r="H235" s="591"/>
    </row>
    <row r="236" ht="23.25" customHeight="1">
      <c r="A236" s="1325">
        <v>45333.0</v>
      </c>
      <c r="B236" s="450" t="s">
        <v>3023</v>
      </c>
      <c r="C236" s="462" t="s">
        <v>3028</v>
      </c>
      <c r="D236" s="1355" t="s">
        <v>3023</v>
      </c>
      <c r="E236" s="1354" t="s">
        <v>2003</v>
      </c>
      <c r="F236" s="1328" t="s">
        <v>2933</v>
      </c>
      <c r="G236" s="591"/>
      <c r="H236" s="591"/>
    </row>
    <row r="237" ht="23.25" customHeight="1">
      <c r="A237" s="1325">
        <v>45333.0</v>
      </c>
      <c r="B237" s="450" t="s">
        <v>3023</v>
      </c>
      <c r="C237" s="462" t="s">
        <v>3029</v>
      </c>
      <c r="D237" s="1355" t="s">
        <v>3023</v>
      </c>
      <c r="E237" s="1354" t="s">
        <v>2003</v>
      </c>
      <c r="F237" s="1328" t="s">
        <v>3030</v>
      </c>
      <c r="G237" s="591"/>
      <c r="H237" s="591"/>
    </row>
    <row r="238" ht="23.25" customHeight="1">
      <c r="A238" s="1325">
        <v>45333.0</v>
      </c>
      <c r="B238" s="450" t="s">
        <v>3015</v>
      </c>
      <c r="C238" s="450" t="s">
        <v>1350</v>
      </c>
      <c r="D238" s="1355" t="s">
        <v>3023</v>
      </c>
      <c r="E238" s="1354" t="s">
        <v>2003</v>
      </c>
      <c r="F238" s="1328" t="s">
        <v>3031</v>
      </c>
      <c r="G238" s="591"/>
      <c r="H238" s="591"/>
    </row>
    <row r="239" ht="23.25" customHeight="1">
      <c r="A239" s="1325">
        <v>45334.0</v>
      </c>
      <c r="B239" s="450" t="s">
        <v>3019</v>
      </c>
      <c r="C239" s="462" t="s">
        <v>3032</v>
      </c>
      <c r="D239" s="1355" t="s">
        <v>3023</v>
      </c>
      <c r="E239" s="1354" t="s">
        <v>2003</v>
      </c>
      <c r="F239" s="1328" t="s">
        <v>2933</v>
      </c>
      <c r="G239" s="591"/>
      <c r="H239" s="591"/>
    </row>
    <row r="240" ht="23.25" customHeight="1">
      <c r="A240" s="1325">
        <v>45334.0</v>
      </c>
      <c r="B240" s="450" t="s">
        <v>2557</v>
      </c>
      <c r="C240" s="450" t="s">
        <v>3016</v>
      </c>
      <c r="D240" s="1355" t="s">
        <v>3023</v>
      </c>
      <c r="E240" s="1354" t="s">
        <v>2003</v>
      </c>
      <c r="F240" s="1328" t="s">
        <v>3033</v>
      </c>
      <c r="G240" s="591"/>
      <c r="H240" s="591"/>
    </row>
    <row r="241" ht="23.25" customHeight="1">
      <c r="A241" s="1325">
        <v>45335.0</v>
      </c>
      <c r="B241" s="450" t="s">
        <v>3019</v>
      </c>
      <c r="C241" s="462" t="s">
        <v>3034</v>
      </c>
      <c r="D241" s="1355" t="s">
        <v>3023</v>
      </c>
      <c r="E241" s="1354" t="s">
        <v>2003</v>
      </c>
      <c r="F241" s="1328" t="s">
        <v>3035</v>
      </c>
      <c r="G241" s="591"/>
      <c r="H241" s="591"/>
    </row>
    <row r="242" ht="21.75" customHeight="1">
      <c r="A242" s="1136" t="s">
        <v>3036</v>
      </c>
      <c r="B242" s="1356" t="s">
        <v>3037</v>
      </c>
      <c r="C242" s="450" t="s">
        <v>2928</v>
      </c>
      <c r="D242" s="1357"/>
      <c r="E242" s="1354" t="s">
        <v>2003</v>
      </c>
      <c r="F242" s="1328" t="s">
        <v>2933</v>
      </c>
      <c r="G242" s="591"/>
      <c r="H242" s="591"/>
    </row>
    <row r="243" ht="21.75" customHeight="1">
      <c r="A243" s="1136" t="s">
        <v>3036</v>
      </c>
      <c r="B243" s="450" t="s">
        <v>3019</v>
      </c>
      <c r="C243" s="450" t="s">
        <v>3038</v>
      </c>
      <c r="D243" s="1357"/>
      <c r="E243" s="1354" t="s">
        <v>2003</v>
      </c>
      <c r="F243" s="1328" t="s">
        <v>2933</v>
      </c>
      <c r="G243" s="591"/>
      <c r="H243" s="591"/>
    </row>
    <row r="244" ht="23.25" customHeight="1">
      <c r="A244" s="1136" t="s">
        <v>3036</v>
      </c>
      <c r="B244" s="1356" t="s">
        <v>3039</v>
      </c>
      <c r="C244" s="450" t="s">
        <v>3040</v>
      </c>
      <c r="D244" s="1357"/>
      <c r="E244" s="1354" t="s">
        <v>2003</v>
      </c>
      <c r="F244" s="1328" t="s">
        <v>2933</v>
      </c>
      <c r="G244" s="591"/>
      <c r="H244" s="591"/>
    </row>
    <row r="245" ht="22.5" customHeight="1">
      <c r="A245" s="1136" t="s">
        <v>3041</v>
      </c>
      <c r="B245" s="1356" t="s">
        <v>3042</v>
      </c>
      <c r="C245" s="1356" t="s">
        <v>1200</v>
      </c>
      <c r="D245" s="1357"/>
      <c r="E245" s="1354" t="s">
        <v>2003</v>
      </c>
      <c r="F245" s="1328" t="s">
        <v>2933</v>
      </c>
      <c r="G245" s="591"/>
      <c r="H245" s="591"/>
    </row>
    <row r="246" ht="21.75" customHeight="1">
      <c r="A246" s="1136" t="s">
        <v>3041</v>
      </c>
      <c r="B246" s="1356" t="s">
        <v>3039</v>
      </c>
      <c r="C246" s="450" t="s">
        <v>1350</v>
      </c>
      <c r="D246" s="1351"/>
      <c r="E246" s="1352" t="s">
        <v>2003</v>
      </c>
      <c r="F246" s="1328" t="s">
        <v>2933</v>
      </c>
      <c r="G246" s="591"/>
      <c r="H246" s="591"/>
    </row>
    <row r="247" ht="20.25" customHeight="1">
      <c r="A247" s="1136" t="s">
        <v>3043</v>
      </c>
      <c r="B247" s="1356" t="s">
        <v>3042</v>
      </c>
      <c r="C247" s="1356" t="s">
        <v>3044</v>
      </c>
      <c r="D247" s="1357"/>
      <c r="E247" s="1352" t="s">
        <v>2003</v>
      </c>
      <c r="F247" s="1328" t="s">
        <v>2933</v>
      </c>
      <c r="G247" s="591"/>
      <c r="H247" s="591"/>
    </row>
    <row r="248" ht="22.5" customHeight="1">
      <c r="A248" s="1136" t="s">
        <v>3043</v>
      </c>
      <c r="B248" s="1356" t="s">
        <v>3039</v>
      </c>
      <c r="C248" s="450" t="s">
        <v>3045</v>
      </c>
      <c r="D248" s="1357"/>
      <c r="E248" s="1352" t="s">
        <v>2003</v>
      </c>
      <c r="F248" s="1328" t="s">
        <v>2933</v>
      </c>
      <c r="G248" s="591"/>
      <c r="H248" s="591"/>
    </row>
    <row r="249" ht="24.0" customHeight="1">
      <c r="A249" s="1136" t="s">
        <v>3043</v>
      </c>
      <c r="B249" s="1356" t="s">
        <v>1276</v>
      </c>
      <c r="C249" s="450" t="s">
        <v>3046</v>
      </c>
      <c r="D249" s="1357"/>
      <c r="E249" s="1352" t="s">
        <v>2003</v>
      </c>
      <c r="F249" s="1328" t="s">
        <v>2933</v>
      </c>
      <c r="G249" s="591"/>
      <c r="H249" s="591"/>
    </row>
    <row r="250" ht="25.5" customHeight="1">
      <c r="A250" s="1136" t="s">
        <v>3047</v>
      </c>
      <c r="B250" s="1356" t="s">
        <v>1276</v>
      </c>
      <c r="C250" s="1356" t="s">
        <v>3048</v>
      </c>
      <c r="D250" s="1357"/>
      <c r="E250" s="1352" t="s">
        <v>2003</v>
      </c>
      <c r="F250" s="1328" t="s">
        <v>2933</v>
      </c>
      <c r="G250" s="591"/>
      <c r="H250" s="591"/>
    </row>
    <row r="251" ht="23.25" customHeight="1">
      <c r="A251" s="1136" t="s">
        <v>3047</v>
      </c>
      <c r="B251" s="1356" t="s">
        <v>3042</v>
      </c>
      <c r="C251" s="450" t="s">
        <v>3040</v>
      </c>
      <c r="D251" s="1357"/>
      <c r="E251" s="1352" t="s">
        <v>2003</v>
      </c>
      <c r="F251" s="1328" t="s">
        <v>2933</v>
      </c>
      <c r="G251" s="591"/>
      <c r="H251" s="591"/>
    </row>
    <row r="252" ht="24.75" customHeight="1">
      <c r="A252" s="1136" t="s">
        <v>3049</v>
      </c>
      <c r="B252" s="1356" t="s">
        <v>3050</v>
      </c>
      <c r="C252" s="1356" t="s">
        <v>1200</v>
      </c>
      <c r="D252" s="1357"/>
      <c r="E252" s="1352" t="s">
        <v>2003</v>
      </c>
      <c r="F252" s="1328" t="s">
        <v>2933</v>
      </c>
      <c r="G252" s="591"/>
      <c r="H252" s="591"/>
    </row>
    <row r="253" ht="24.75" customHeight="1">
      <c r="A253" s="1136" t="s">
        <v>3051</v>
      </c>
      <c r="B253" s="1356" t="s">
        <v>3050</v>
      </c>
      <c r="C253" s="1356" t="s">
        <v>3052</v>
      </c>
      <c r="D253" s="1357"/>
      <c r="E253" s="1352" t="s">
        <v>2003</v>
      </c>
      <c r="F253" s="1328" t="s">
        <v>2933</v>
      </c>
      <c r="G253" s="591"/>
      <c r="H253" s="591"/>
    </row>
    <row r="254" ht="24.75" customHeight="1">
      <c r="A254" s="1136" t="s">
        <v>3053</v>
      </c>
      <c r="B254" s="1356" t="s">
        <v>2553</v>
      </c>
      <c r="C254" s="1356" t="s">
        <v>3034</v>
      </c>
      <c r="D254" s="1357"/>
      <c r="E254" s="1352" t="s">
        <v>2003</v>
      </c>
      <c r="F254" s="1328" t="s">
        <v>2933</v>
      </c>
      <c r="G254" s="591"/>
      <c r="H254" s="591"/>
    </row>
    <row r="255" ht="24.75" customHeight="1">
      <c r="A255" s="1136" t="s">
        <v>3053</v>
      </c>
      <c r="B255" s="1356" t="s">
        <v>3054</v>
      </c>
      <c r="C255" s="1356" t="s">
        <v>780</v>
      </c>
      <c r="D255" s="1357"/>
      <c r="E255" s="1352" t="s">
        <v>2003</v>
      </c>
      <c r="F255" s="1328" t="s">
        <v>2933</v>
      </c>
      <c r="G255" s="591"/>
      <c r="H255" s="591"/>
    </row>
    <row r="256" ht="24.75" customHeight="1">
      <c r="A256" s="1136" t="s">
        <v>3053</v>
      </c>
      <c r="B256" s="1356" t="s">
        <v>3055</v>
      </c>
      <c r="C256" s="1356" t="s">
        <v>3056</v>
      </c>
      <c r="D256" s="1357"/>
      <c r="E256" s="1352" t="s">
        <v>2003</v>
      </c>
      <c r="F256" s="1328" t="s">
        <v>2933</v>
      </c>
      <c r="G256" s="591"/>
      <c r="H256" s="591"/>
    </row>
    <row r="257" ht="24.75" customHeight="1">
      <c r="A257" s="1136" t="s">
        <v>3053</v>
      </c>
      <c r="B257" s="1356" t="s">
        <v>3055</v>
      </c>
      <c r="C257" s="1356" t="s">
        <v>3057</v>
      </c>
      <c r="D257" s="1357"/>
      <c r="E257" s="1352" t="s">
        <v>2003</v>
      </c>
      <c r="F257" s="1328" t="s">
        <v>2933</v>
      </c>
      <c r="G257" s="591"/>
      <c r="H257" s="591"/>
    </row>
    <row r="258" ht="24.75" customHeight="1">
      <c r="A258" s="1136" t="s">
        <v>3058</v>
      </c>
      <c r="B258" s="1356" t="s">
        <v>2553</v>
      </c>
      <c r="C258" s="1356" t="s">
        <v>3059</v>
      </c>
      <c r="D258" s="1357"/>
      <c r="E258" s="1352" t="s">
        <v>2003</v>
      </c>
      <c r="F258" s="1328" t="s">
        <v>2933</v>
      </c>
      <c r="G258" s="591"/>
      <c r="H258" s="591"/>
    </row>
    <row r="259" ht="24.75" customHeight="1">
      <c r="A259" s="1136" t="s">
        <v>3058</v>
      </c>
      <c r="B259" s="1356" t="s">
        <v>3055</v>
      </c>
      <c r="C259" s="1356" t="s">
        <v>1308</v>
      </c>
      <c r="D259" s="1357"/>
      <c r="E259" s="1352" t="s">
        <v>2003</v>
      </c>
      <c r="F259" s="1328" t="s">
        <v>2933</v>
      </c>
      <c r="G259" s="591"/>
      <c r="H259" s="591"/>
    </row>
    <row r="260" ht="24.75" customHeight="1">
      <c r="A260" s="1136" t="s">
        <v>3058</v>
      </c>
      <c r="B260" s="1356" t="s">
        <v>1274</v>
      </c>
      <c r="C260" s="1356" t="s">
        <v>3060</v>
      </c>
      <c r="D260" s="1357"/>
      <c r="E260" s="1352" t="s">
        <v>2003</v>
      </c>
      <c r="F260" s="1328" t="s">
        <v>2933</v>
      </c>
      <c r="G260" s="591"/>
      <c r="H260" s="591"/>
    </row>
    <row r="261" ht="24.75" customHeight="1">
      <c r="A261" s="1136" t="s">
        <v>3058</v>
      </c>
      <c r="B261" s="1356" t="s">
        <v>3054</v>
      </c>
      <c r="C261" s="1356" t="s">
        <v>3061</v>
      </c>
      <c r="D261" s="1357"/>
      <c r="E261" s="1352" t="s">
        <v>2003</v>
      </c>
      <c r="F261" s="1328" t="s">
        <v>2933</v>
      </c>
      <c r="G261" s="591"/>
      <c r="H261" s="591"/>
    </row>
    <row r="262" ht="20.25" customHeight="1">
      <c r="A262" s="1136" t="s">
        <v>3058</v>
      </c>
      <c r="B262" s="1356" t="s">
        <v>3062</v>
      </c>
      <c r="C262" s="1356" t="s">
        <v>3063</v>
      </c>
      <c r="D262" s="1357"/>
      <c r="E262" s="1352" t="s">
        <v>2003</v>
      </c>
      <c r="F262" s="1328" t="s">
        <v>2933</v>
      </c>
      <c r="G262" s="591"/>
      <c r="H262" s="591"/>
    </row>
    <row r="263" ht="24.0" customHeight="1">
      <c r="A263" s="1136" t="s">
        <v>3064</v>
      </c>
      <c r="B263" s="1356" t="s">
        <v>3055</v>
      </c>
      <c r="C263" s="1356" t="s">
        <v>3065</v>
      </c>
      <c r="D263" s="1357"/>
      <c r="E263" s="1352" t="s">
        <v>2003</v>
      </c>
      <c r="F263" s="1328" t="s">
        <v>2933</v>
      </c>
      <c r="G263" s="591"/>
      <c r="H263" s="591"/>
    </row>
    <row r="264" ht="21.0" customHeight="1">
      <c r="A264" s="1136" t="s">
        <v>3064</v>
      </c>
      <c r="B264" s="1356" t="s">
        <v>3066</v>
      </c>
      <c r="C264" s="1356" t="s">
        <v>3067</v>
      </c>
      <c r="D264" s="1357"/>
      <c r="E264" s="1352" t="s">
        <v>2003</v>
      </c>
      <c r="F264" s="1328" t="s">
        <v>2933</v>
      </c>
      <c r="G264" s="591"/>
      <c r="H264" s="591"/>
    </row>
    <row r="265" ht="20.25" customHeight="1">
      <c r="A265" s="1136" t="s">
        <v>3068</v>
      </c>
      <c r="B265" s="1356" t="s">
        <v>3066</v>
      </c>
      <c r="C265" s="1356" t="s">
        <v>3069</v>
      </c>
      <c r="D265" s="1357"/>
      <c r="E265" s="1352" t="s">
        <v>2003</v>
      </c>
      <c r="F265" s="1328" t="s">
        <v>2933</v>
      </c>
      <c r="G265" s="591"/>
      <c r="H265" s="591"/>
    </row>
    <row r="266" ht="23.25" customHeight="1">
      <c r="A266" s="1136" t="s">
        <v>3070</v>
      </c>
      <c r="B266" s="1356" t="s">
        <v>3062</v>
      </c>
      <c r="C266" s="1356" t="s">
        <v>3071</v>
      </c>
      <c r="D266" s="1357"/>
      <c r="E266" s="1352" t="s">
        <v>2003</v>
      </c>
      <c r="F266" s="1328" t="s">
        <v>2933</v>
      </c>
      <c r="G266" s="591"/>
      <c r="H266" s="591"/>
    </row>
    <row r="267" ht="23.25" customHeight="1">
      <c r="A267" s="1136" t="s">
        <v>3070</v>
      </c>
      <c r="B267" s="1356" t="s">
        <v>3066</v>
      </c>
      <c r="C267" s="450" t="s">
        <v>3040</v>
      </c>
      <c r="D267" s="1351"/>
      <c r="E267" s="1352" t="s">
        <v>2003</v>
      </c>
      <c r="F267" s="1328" t="s">
        <v>2933</v>
      </c>
      <c r="G267" s="591"/>
      <c r="H267" s="591"/>
    </row>
    <row r="268" ht="23.25" customHeight="1">
      <c r="A268" s="1136" t="s">
        <v>3072</v>
      </c>
      <c r="B268" s="1356" t="s">
        <v>3062</v>
      </c>
      <c r="C268" s="450" t="s">
        <v>2684</v>
      </c>
      <c r="D268" s="1351"/>
      <c r="E268" s="1352" t="s">
        <v>2003</v>
      </c>
      <c r="F268" s="1328" t="s">
        <v>2933</v>
      </c>
      <c r="G268" s="591"/>
      <c r="H268" s="591"/>
    </row>
    <row r="269" ht="23.25" customHeight="1">
      <c r="A269" s="1136" t="s">
        <v>3073</v>
      </c>
      <c r="B269" s="450" t="s">
        <v>3074</v>
      </c>
      <c r="C269" s="450" t="s">
        <v>3075</v>
      </c>
      <c r="D269" s="1351"/>
      <c r="E269" s="1352" t="s">
        <v>2003</v>
      </c>
      <c r="F269" s="1328" t="s">
        <v>2933</v>
      </c>
      <c r="G269" s="591"/>
      <c r="H269" s="591"/>
    </row>
    <row r="270" ht="23.25" customHeight="1">
      <c r="A270" s="1136" t="s">
        <v>3076</v>
      </c>
      <c r="B270" s="450" t="s">
        <v>3077</v>
      </c>
      <c r="C270" s="450" t="s">
        <v>1158</v>
      </c>
      <c r="D270" s="1351"/>
      <c r="E270" s="1352" t="s">
        <v>2003</v>
      </c>
      <c r="F270" s="1328" t="s">
        <v>2933</v>
      </c>
      <c r="G270" s="591"/>
      <c r="H270" s="591"/>
    </row>
    <row r="271" ht="23.25" customHeight="1">
      <c r="A271" s="1325">
        <v>45354.0</v>
      </c>
      <c r="B271" s="450" t="s">
        <v>3078</v>
      </c>
      <c r="C271" s="450" t="s">
        <v>3079</v>
      </c>
      <c r="D271" s="1351"/>
      <c r="E271" s="1352" t="s">
        <v>2003</v>
      </c>
      <c r="F271" s="1328" t="s">
        <v>3080</v>
      </c>
      <c r="G271" s="591"/>
      <c r="H271" s="591"/>
    </row>
    <row r="272" ht="23.25" customHeight="1">
      <c r="A272" s="1325">
        <v>45354.0</v>
      </c>
      <c r="B272" s="450" t="s">
        <v>3081</v>
      </c>
      <c r="C272" s="450" t="s">
        <v>3082</v>
      </c>
      <c r="D272" s="1351"/>
      <c r="E272" s="1352" t="s">
        <v>2003</v>
      </c>
      <c r="F272" s="1328" t="s">
        <v>2933</v>
      </c>
      <c r="G272" s="591"/>
      <c r="H272" s="591"/>
    </row>
    <row r="273" ht="23.25" customHeight="1">
      <c r="A273" s="1325">
        <v>45355.0</v>
      </c>
      <c r="B273" s="450" t="s">
        <v>3081</v>
      </c>
      <c r="C273" s="450" t="s">
        <v>1400</v>
      </c>
      <c r="D273" s="1351"/>
      <c r="E273" s="1352" t="s">
        <v>2003</v>
      </c>
      <c r="F273" s="1328" t="s">
        <v>2933</v>
      </c>
      <c r="G273" s="591"/>
      <c r="H273" s="591"/>
    </row>
    <row r="274" ht="23.25" customHeight="1">
      <c r="A274" s="1325">
        <v>45356.0</v>
      </c>
      <c r="B274" s="450" t="s">
        <v>1290</v>
      </c>
      <c r="C274" s="450" t="s">
        <v>1224</v>
      </c>
      <c r="D274" s="1351"/>
      <c r="E274" s="1352" t="s">
        <v>2003</v>
      </c>
      <c r="F274" s="1328" t="s">
        <v>2933</v>
      </c>
      <c r="G274" s="591"/>
      <c r="H274" s="591"/>
    </row>
    <row r="275" ht="23.25" customHeight="1">
      <c r="A275" s="1325">
        <v>45358.0</v>
      </c>
      <c r="B275" s="450" t="s">
        <v>1290</v>
      </c>
      <c r="C275" s="450" t="s">
        <v>3083</v>
      </c>
      <c r="D275" s="1351"/>
      <c r="E275" s="1352" t="s">
        <v>2003</v>
      </c>
      <c r="F275" s="1328" t="s">
        <v>2933</v>
      </c>
      <c r="G275" s="591"/>
      <c r="H275" s="591"/>
    </row>
    <row r="276" ht="23.25" customHeight="1">
      <c r="A276" s="1325">
        <v>45358.0</v>
      </c>
      <c r="B276" s="450" t="s">
        <v>3084</v>
      </c>
      <c r="C276" s="1356" t="s">
        <v>3085</v>
      </c>
      <c r="D276" s="1351"/>
      <c r="E276" s="1352" t="s">
        <v>2003</v>
      </c>
      <c r="F276" s="1328" t="s">
        <v>2933</v>
      </c>
      <c r="G276" s="591"/>
      <c r="H276" s="591"/>
    </row>
    <row r="277" ht="23.25" customHeight="1">
      <c r="A277" s="1325">
        <v>45358.0</v>
      </c>
      <c r="B277" s="450" t="s">
        <v>3086</v>
      </c>
      <c r="C277" s="450" t="s">
        <v>3087</v>
      </c>
      <c r="D277" s="1351"/>
      <c r="E277" s="1352" t="s">
        <v>2003</v>
      </c>
      <c r="F277" s="1328" t="s">
        <v>2933</v>
      </c>
      <c r="G277" s="591"/>
      <c r="H277" s="591"/>
    </row>
    <row r="278" ht="23.25" customHeight="1">
      <c r="A278" s="1325">
        <v>45359.0</v>
      </c>
      <c r="B278" s="450" t="s">
        <v>3088</v>
      </c>
      <c r="C278" s="450" t="s">
        <v>1375</v>
      </c>
      <c r="D278" s="1351"/>
      <c r="E278" s="1352" t="s">
        <v>2003</v>
      </c>
      <c r="F278" s="1328" t="s">
        <v>2933</v>
      </c>
      <c r="G278" s="591"/>
      <c r="H278" s="591"/>
    </row>
    <row r="279" ht="23.25" customHeight="1">
      <c r="A279" s="1325">
        <v>45359.0</v>
      </c>
      <c r="B279" s="450" t="s">
        <v>1290</v>
      </c>
      <c r="C279" s="450" t="s">
        <v>1375</v>
      </c>
      <c r="D279" s="1351"/>
      <c r="E279" s="1352" t="s">
        <v>2003</v>
      </c>
      <c r="F279" s="1328" t="s">
        <v>2933</v>
      </c>
      <c r="G279" s="591"/>
      <c r="H279" s="591"/>
    </row>
    <row r="280" ht="23.25" customHeight="1">
      <c r="A280" s="1325">
        <v>45359.0</v>
      </c>
      <c r="B280" s="450" t="s">
        <v>3084</v>
      </c>
      <c r="C280" s="450" t="s">
        <v>1158</v>
      </c>
      <c r="D280" s="1351"/>
      <c r="E280" s="1352" t="s">
        <v>2003</v>
      </c>
      <c r="F280" s="1328" t="s">
        <v>2933</v>
      </c>
      <c r="G280" s="591"/>
      <c r="H280" s="591"/>
    </row>
    <row r="281" ht="23.25" customHeight="1">
      <c r="A281" s="1325">
        <v>45360.0</v>
      </c>
      <c r="B281" s="450" t="s">
        <v>3089</v>
      </c>
      <c r="C281" s="450" t="s">
        <v>1297</v>
      </c>
      <c r="D281" s="1351"/>
      <c r="E281" s="1352" t="s">
        <v>2003</v>
      </c>
      <c r="F281" s="1328" t="s">
        <v>2933</v>
      </c>
      <c r="G281" s="591"/>
      <c r="H281" s="591"/>
    </row>
    <row r="282" ht="23.25" customHeight="1">
      <c r="A282" s="1325">
        <v>45360.0</v>
      </c>
      <c r="B282" s="450" t="s">
        <v>2568</v>
      </c>
      <c r="C282" s="450" t="s">
        <v>3090</v>
      </c>
      <c r="D282" s="1351"/>
      <c r="E282" s="1352" t="s">
        <v>2003</v>
      </c>
      <c r="F282" s="1328" t="s">
        <v>2933</v>
      </c>
      <c r="G282" s="591"/>
      <c r="H282" s="591"/>
    </row>
    <row r="283" ht="23.25" customHeight="1">
      <c r="A283" s="1325">
        <v>45360.0</v>
      </c>
      <c r="B283" s="450" t="s">
        <v>3091</v>
      </c>
      <c r="C283" s="450" t="s">
        <v>3092</v>
      </c>
      <c r="D283" s="1351"/>
      <c r="E283" s="1352" t="s">
        <v>2003</v>
      </c>
      <c r="F283" s="1328" t="s">
        <v>2933</v>
      </c>
      <c r="G283" s="591"/>
      <c r="H283" s="591"/>
    </row>
    <row r="284" ht="23.25" customHeight="1">
      <c r="A284" s="1325">
        <v>45361.0</v>
      </c>
      <c r="B284" s="450" t="s">
        <v>3091</v>
      </c>
      <c r="C284" s="450" t="s">
        <v>3092</v>
      </c>
      <c r="D284" s="1351"/>
      <c r="E284" s="1352" t="s">
        <v>2003</v>
      </c>
      <c r="F284" s="1328" t="s">
        <v>2933</v>
      </c>
      <c r="G284" s="591"/>
      <c r="H284" s="591"/>
    </row>
    <row r="285" ht="23.25" customHeight="1">
      <c r="A285" s="1325">
        <v>45361.0</v>
      </c>
      <c r="B285" s="450" t="s">
        <v>1290</v>
      </c>
      <c r="C285" s="450" t="s">
        <v>3093</v>
      </c>
      <c r="D285" s="1351"/>
      <c r="E285" s="1352" t="s">
        <v>2003</v>
      </c>
      <c r="F285" s="1328" t="s">
        <v>2933</v>
      </c>
      <c r="G285" s="591"/>
      <c r="H285" s="591"/>
    </row>
    <row r="286" ht="23.25" customHeight="1">
      <c r="A286" s="1325">
        <v>45361.0</v>
      </c>
      <c r="B286" s="450" t="s">
        <v>2690</v>
      </c>
      <c r="C286" s="450" t="s">
        <v>3094</v>
      </c>
      <c r="D286" s="1351"/>
      <c r="E286" s="1352" t="s">
        <v>2003</v>
      </c>
      <c r="F286" s="1328" t="s">
        <v>3095</v>
      </c>
      <c r="G286" s="591"/>
      <c r="H286" s="591"/>
    </row>
    <row r="287" ht="23.25" customHeight="1">
      <c r="A287" s="1325">
        <v>45361.0</v>
      </c>
      <c r="B287" s="450" t="s">
        <v>2687</v>
      </c>
      <c r="C287" s="450" t="s">
        <v>3094</v>
      </c>
      <c r="D287" s="1351"/>
      <c r="E287" s="1352" t="s">
        <v>2003</v>
      </c>
      <c r="F287" s="1328" t="s">
        <v>2933</v>
      </c>
      <c r="G287" s="591"/>
      <c r="H287" s="591"/>
    </row>
    <row r="288" ht="23.25" customHeight="1">
      <c r="A288" s="1325">
        <v>45361.0</v>
      </c>
      <c r="B288" s="450" t="s">
        <v>3096</v>
      </c>
      <c r="C288" s="450" t="s">
        <v>3097</v>
      </c>
      <c r="D288" s="1351"/>
      <c r="E288" s="1352" t="s">
        <v>2003</v>
      </c>
      <c r="F288" s="1328" t="s">
        <v>2933</v>
      </c>
      <c r="G288" s="591"/>
      <c r="H288" s="591"/>
    </row>
    <row r="289" ht="23.25" customHeight="1">
      <c r="A289" s="1325">
        <v>45361.0</v>
      </c>
      <c r="B289" s="450" t="s">
        <v>1290</v>
      </c>
      <c r="C289" s="450" t="s">
        <v>3098</v>
      </c>
      <c r="D289" s="1351"/>
      <c r="E289" s="1352" t="s">
        <v>2003</v>
      </c>
      <c r="F289" s="1328" t="s">
        <v>2933</v>
      </c>
      <c r="G289" s="591"/>
      <c r="H289" s="591"/>
    </row>
    <row r="290" ht="23.25" customHeight="1">
      <c r="A290" s="1325">
        <v>45362.0</v>
      </c>
      <c r="B290" s="450" t="s">
        <v>3099</v>
      </c>
      <c r="C290" s="450" t="s">
        <v>1297</v>
      </c>
      <c r="D290" s="1351"/>
      <c r="E290" s="1352" t="s">
        <v>2003</v>
      </c>
      <c r="F290" s="1328" t="s">
        <v>2933</v>
      </c>
      <c r="G290" s="591"/>
      <c r="H290" s="591"/>
    </row>
    <row r="291" ht="23.25" customHeight="1">
      <c r="A291" s="1325">
        <v>45362.0</v>
      </c>
      <c r="B291" s="450" t="s">
        <v>1290</v>
      </c>
      <c r="C291" s="450" t="s">
        <v>3097</v>
      </c>
      <c r="D291" s="1351"/>
      <c r="E291" s="1352" t="s">
        <v>2003</v>
      </c>
      <c r="F291" s="1328" t="s">
        <v>2933</v>
      </c>
      <c r="G291" s="591"/>
      <c r="H291" s="591"/>
    </row>
    <row r="292" ht="23.25" customHeight="1">
      <c r="A292" s="1325">
        <v>45363.0</v>
      </c>
      <c r="B292" s="450" t="s">
        <v>3100</v>
      </c>
      <c r="C292" s="450" t="s">
        <v>1158</v>
      </c>
      <c r="D292" s="1351"/>
      <c r="E292" s="1352" t="s">
        <v>2003</v>
      </c>
      <c r="F292" s="1328" t="s">
        <v>2933</v>
      </c>
      <c r="G292" s="591"/>
      <c r="H292" s="591"/>
    </row>
    <row r="293" ht="23.25" customHeight="1">
      <c r="A293" s="1136" t="s">
        <v>3101</v>
      </c>
      <c r="B293" s="450" t="s">
        <v>3096</v>
      </c>
      <c r="C293" s="450" t="s">
        <v>3102</v>
      </c>
      <c r="D293" s="1351"/>
      <c r="E293" s="1352" t="s">
        <v>2003</v>
      </c>
      <c r="F293" s="1328" t="s">
        <v>2933</v>
      </c>
      <c r="G293" s="591"/>
      <c r="H293" s="591"/>
    </row>
    <row r="294" ht="23.25" customHeight="1">
      <c r="A294" s="1136" t="s">
        <v>3103</v>
      </c>
      <c r="B294" s="499" t="s">
        <v>3104</v>
      </c>
      <c r="C294" s="450" t="s">
        <v>3105</v>
      </c>
      <c r="D294" s="1351"/>
      <c r="E294" s="1352" t="s">
        <v>2003</v>
      </c>
      <c r="F294" s="1328" t="s">
        <v>2933</v>
      </c>
      <c r="G294" s="591"/>
      <c r="H294" s="591"/>
    </row>
    <row r="295" ht="23.25" customHeight="1">
      <c r="A295" s="1136" t="s">
        <v>3103</v>
      </c>
      <c r="B295" s="450" t="s">
        <v>3106</v>
      </c>
      <c r="C295" s="450" t="s">
        <v>3052</v>
      </c>
      <c r="D295" s="1351"/>
      <c r="E295" s="1352" t="s">
        <v>2003</v>
      </c>
      <c r="F295" s="1328" t="s">
        <v>2933</v>
      </c>
      <c r="G295" s="591"/>
      <c r="H295" s="591"/>
    </row>
    <row r="296" ht="23.25" customHeight="1">
      <c r="A296" s="1136" t="s">
        <v>3107</v>
      </c>
      <c r="B296" s="450" t="s">
        <v>1301</v>
      </c>
      <c r="C296" s="450" t="s">
        <v>3090</v>
      </c>
      <c r="D296" s="1351"/>
      <c r="E296" s="1352" t="s">
        <v>2003</v>
      </c>
      <c r="F296" s="1328" t="s">
        <v>2933</v>
      </c>
      <c r="G296" s="591"/>
      <c r="H296" s="591"/>
    </row>
    <row r="297" ht="23.25" customHeight="1">
      <c r="A297" s="1136" t="s">
        <v>3108</v>
      </c>
      <c r="B297" s="450" t="s">
        <v>1302</v>
      </c>
      <c r="C297" s="450" t="s">
        <v>3109</v>
      </c>
      <c r="D297" s="1351"/>
      <c r="E297" s="1352" t="s">
        <v>2003</v>
      </c>
      <c r="F297" s="1328" t="s">
        <v>2933</v>
      </c>
      <c r="G297" s="591"/>
      <c r="H297" s="591"/>
    </row>
    <row r="298" ht="23.25" customHeight="1">
      <c r="A298" s="1136" t="s">
        <v>3108</v>
      </c>
      <c r="B298" s="450" t="s">
        <v>3110</v>
      </c>
      <c r="C298" s="450" t="s">
        <v>3090</v>
      </c>
      <c r="D298" s="1351"/>
      <c r="E298" s="1352" t="s">
        <v>2003</v>
      </c>
      <c r="F298" s="1328" t="s">
        <v>2933</v>
      </c>
      <c r="G298" s="591"/>
      <c r="H298" s="591"/>
    </row>
    <row r="299" ht="23.25" customHeight="1">
      <c r="A299" s="1136" t="s">
        <v>3111</v>
      </c>
      <c r="B299" s="450" t="s">
        <v>3112</v>
      </c>
      <c r="C299" s="450" t="s">
        <v>3113</v>
      </c>
      <c r="D299" s="1351"/>
      <c r="E299" s="1352" t="s">
        <v>2003</v>
      </c>
      <c r="F299" s="1328" t="s">
        <v>2933</v>
      </c>
      <c r="G299" s="591"/>
      <c r="H299" s="591"/>
    </row>
    <row r="300" ht="23.25" customHeight="1">
      <c r="A300" s="1136" t="s">
        <v>3111</v>
      </c>
      <c r="B300" s="450" t="s">
        <v>3114</v>
      </c>
      <c r="C300" s="450" t="s">
        <v>1396</v>
      </c>
      <c r="D300" s="1358"/>
      <c r="E300" s="1352" t="s">
        <v>2003</v>
      </c>
      <c r="F300" s="1328" t="s">
        <v>2933</v>
      </c>
      <c r="G300" s="591"/>
      <c r="H300" s="591"/>
    </row>
    <row r="301" ht="23.25" customHeight="1">
      <c r="A301" s="1136" t="s">
        <v>3115</v>
      </c>
      <c r="B301" s="450" t="s">
        <v>3110</v>
      </c>
      <c r="C301" s="450" t="s">
        <v>1396</v>
      </c>
      <c r="D301" s="1358"/>
      <c r="E301" s="1352" t="s">
        <v>2003</v>
      </c>
      <c r="F301" s="1328" t="s">
        <v>2933</v>
      </c>
      <c r="G301" s="591"/>
      <c r="H301" s="591"/>
    </row>
    <row r="302" ht="23.25" customHeight="1">
      <c r="A302" s="1136" t="s">
        <v>3115</v>
      </c>
      <c r="B302" s="450" t="s">
        <v>3116</v>
      </c>
      <c r="C302" s="450" t="s">
        <v>3117</v>
      </c>
      <c r="D302" s="1358"/>
      <c r="E302" s="1352" t="s">
        <v>2003</v>
      </c>
      <c r="F302" s="1328" t="s">
        <v>2933</v>
      </c>
      <c r="G302" s="591"/>
      <c r="H302" s="591"/>
    </row>
    <row r="303" ht="23.25" customHeight="1">
      <c r="A303" s="1136" t="s">
        <v>3115</v>
      </c>
      <c r="B303" s="450" t="s">
        <v>3118</v>
      </c>
      <c r="C303" s="450" t="s">
        <v>1396</v>
      </c>
      <c r="D303" s="1358"/>
      <c r="E303" s="1352" t="s">
        <v>2003</v>
      </c>
      <c r="F303" s="1328" t="s">
        <v>2933</v>
      </c>
      <c r="G303" s="591"/>
      <c r="H303" s="591"/>
    </row>
    <row r="304" ht="23.25" customHeight="1">
      <c r="A304" s="1136" t="s">
        <v>3119</v>
      </c>
      <c r="B304" s="450" t="s">
        <v>3118</v>
      </c>
      <c r="C304" s="450" t="s">
        <v>3120</v>
      </c>
      <c r="D304" s="1358"/>
      <c r="E304" s="1352" t="s">
        <v>2003</v>
      </c>
      <c r="F304" s="1328" t="s">
        <v>2933</v>
      </c>
      <c r="G304" s="591"/>
      <c r="H304" s="591"/>
    </row>
    <row r="305" ht="23.25" customHeight="1">
      <c r="A305" s="1136" t="s">
        <v>3119</v>
      </c>
      <c r="B305" s="450" t="s">
        <v>3116</v>
      </c>
      <c r="C305" s="450" t="s">
        <v>3121</v>
      </c>
      <c r="D305" s="1358"/>
      <c r="E305" s="1352" t="s">
        <v>2003</v>
      </c>
      <c r="F305" s="1328" t="s">
        <v>2933</v>
      </c>
      <c r="G305" s="591"/>
      <c r="H305" s="591"/>
    </row>
    <row r="306" ht="23.25" customHeight="1">
      <c r="A306" s="1136" t="s">
        <v>3122</v>
      </c>
      <c r="B306" s="450" t="s">
        <v>3116</v>
      </c>
      <c r="C306" s="450" t="s">
        <v>3038</v>
      </c>
      <c r="D306" s="1358"/>
      <c r="E306" s="1352" t="s">
        <v>2003</v>
      </c>
      <c r="F306" s="1328" t="s">
        <v>3123</v>
      </c>
      <c r="G306" s="591"/>
      <c r="H306" s="591"/>
    </row>
    <row r="307" ht="25.5" customHeight="1">
      <c r="A307" s="1136" t="s">
        <v>3124</v>
      </c>
      <c r="B307" s="450" t="s">
        <v>1302</v>
      </c>
      <c r="C307" s="450" t="s">
        <v>3125</v>
      </c>
      <c r="D307" s="1358"/>
      <c r="E307" s="1352" t="s">
        <v>2003</v>
      </c>
      <c r="F307" s="1328" t="s">
        <v>2933</v>
      </c>
      <c r="G307" s="591"/>
      <c r="H307" s="591"/>
    </row>
    <row r="308" ht="25.5" customHeight="1">
      <c r="A308" s="1136" t="s">
        <v>3126</v>
      </c>
      <c r="B308" s="450" t="s">
        <v>3127</v>
      </c>
      <c r="C308" s="450" t="s">
        <v>2780</v>
      </c>
      <c r="D308" s="1358"/>
      <c r="E308" s="1352" t="s">
        <v>2003</v>
      </c>
      <c r="F308" s="1328" t="s">
        <v>2933</v>
      </c>
      <c r="G308" s="591"/>
      <c r="H308" s="591"/>
    </row>
    <row r="309" ht="25.5" customHeight="1">
      <c r="A309" s="1136" t="s">
        <v>3128</v>
      </c>
      <c r="B309" s="450" t="s">
        <v>3129</v>
      </c>
      <c r="C309" s="450" t="s">
        <v>1396</v>
      </c>
      <c r="D309" s="1358"/>
      <c r="E309" s="1352" t="s">
        <v>2003</v>
      </c>
      <c r="F309" s="1328" t="s">
        <v>2933</v>
      </c>
      <c r="G309" s="591"/>
      <c r="H309" s="591"/>
    </row>
    <row r="310" ht="25.5" customHeight="1">
      <c r="A310" s="1136" t="s">
        <v>3130</v>
      </c>
      <c r="B310" s="450" t="s">
        <v>3129</v>
      </c>
      <c r="C310" s="450" t="s">
        <v>1158</v>
      </c>
      <c r="D310" s="1358"/>
      <c r="E310" s="1352" t="s">
        <v>2003</v>
      </c>
      <c r="F310" s="1328" t="s">
        <v>2933</v>
      </c>
      <c r="G310" s="591"/>
      <c r="H310" s="591"/>
    </row>
    <row r="311" ht="25.5" customHeight="1">
      <c r="A311" s="1136" t="s">
        <v>3130</v>
      </c>
      <c r="B311" s="450" t="s">
        <v>3131</v>
      </c>
      <c r="C311" s="450" t="s">
        <v>3132</v>
      </c>
      <c r="D311" s="1358"/>
      <c r="E311" s="1352" t="s">
        <v>2003</v>
      </c>
      <c r="F311" s="1328" t="s">
        <v>2933</v>
      </c>
      <c r="G311" s="591"/>
      <c r="H311" s="591"/>
    </row>
    <row r="312" ht="25.5" customHeight="1">
      <c r="A312" s="1136" t="s">
        <v>3133</v>
      </c>
      <c r="B312" s="499" t="s">
        <v>3134</v>
      </c>
      <c r="C312" s="450" t="s">
        <v>1200</v>
      </c>
      <c r="D312" s="1358"/>
      <c r="E312" s="1352" t="s">
        <v>2003</v>
      </c>
      <c r="F312" s="1328" t="s">
        <v>2933</v>
      </c>
      <c r="G312" s="591"/>
      <c r="H312" s="591"/>
    </row>
    <row r="313" ht="25.5" customHeight="1">
      <c r="A313" s="1136" t="s">
        <v>3133</v>
      </c>
      <c r="B313" s="462" t="s">
        <v>3135</v>
      </c>
      <c r="C313" s="450" t="s">
        <v>1200</v>
      </c>
      <c r="D313" s="1358"/>
      <c r="E313" s="1352" t="s">
        <v>2003</v>
      </c>
      <c r="F313" s="1328" t="s">
        <v>2933</v>
      </c>
      <c r="G313" s="591"/>
      <c r="H313" s="591"/>
    </row>
    <row r="314" ht="25.5" customHeight="1">
      <c r="A314" s="1136" t="s">
        <v>3136</v>
      </c>
      <c r="B314" s="462" t="s">
        <v>3137</v>
      </c>
      <c r="C314" s="462" t="s">
        <v>2793</v>
      </c>
      <c r="D314" s="1358"/>
      <c r="E314" s="1352" t="s">
        <v>2003</v>
      </c>
      <c r="F314" s="1328" t="s">
        <v>2933</v>
      </c>
      <c r="G314" s="591"/>
      <c r="H314" s="591"/>
    </row>
    <row r="315" ht="25.5" customHeight="1">
      <c r="A315" s="1136" t="s">
        <v>3136</v>
      </c>
      <c r="B315" s="462" t="s">
        <v>3135</v>
      </c>
      <c r="C315" s="450" t="s">
        <v>3138</v>
      </c>
      <c r="D315" s="1358"/>
      <c r="E315" s="1352" t="s">
        <v>2003</v>
      </c>
      <c r="F315" s="1328" t="s">
        <v>2933</v>
      </c>
      <c r="G315" s="591"/>
      <c r="H315" s="591"/>
    </row>
    <row r="316" ht="25.5" customHeight="1">
      <c r="A316" s="1136" t="s">
        <v>3136</v>
      </c>
      <c r="B316" s="462" t="s">
        <v>3139</v>
      </c>
      <c r="C316" s="462" t="s">
        <v>3140</v>
      </c>
      <c r="D316" s="1358"/>
      <c r="E316" s="1352" t="s">
        <v>2003</v>
      </c>
      <c r="F316" s="1328" t="s">
        <v>2933</v>
      </c>
      <c r="G316" s="591"/>
      <c r="H316" s="591"/>
    </row>
    <row r="317" ht="25.5" customHeight="1">
      <c r="A317" s="1136" t="s">
        <v>3141</v>
      </c>
      <c r="B317" s="462" t="s">
        <v>3135</v>
      </c>
      <c r="C317" s="450" t="s">
        <v>3142</v>
      </c>
      <c r="D317" s="1358"/>
      <c r="E317" s="1352" t="s">
        <v>2003</v>
      </c>
      <c r="F317" s="1328" t="s">
        <v>2933</v>
      </c>
      <c r="G317" s="591"/>
      <c r="H317" s="591"/>
    </row>
    <row r="318" ht="25.5" customHeight="1">
      <c r="A318" s="1325">
        <v>45383.0</v>
      </c>
      <c r="B318" s="462" t="s">
        <v>2695</v>
      </c>
      <c r="C318" s="462" t="s">
        <v>3143</v>
      </c>
      <c r="D318" s="1358"/>
      <c r="E318" s="1352" t="s">
        <v>2003</v>
      </c>
      <c r="F318" s="1328" t="s">
        <v>2933</v>
      </c>
      <c r="G318" s="591"/>
      <c r="H318" s="591"/>
    </row>
    <row r="319" ht="25.5" customHeight="1">
      <c r="A319" s="1325">
        <v>45384.0</v>
      </c>
      <c r="B319" s="462" t="s">
        <v>2695</v>
      </c>
      <c r="C319" s="462" t="s">
        <v>2793</v>
      </c>
      <c r="D319" s="1358"/>
      <c r="E319" s="1352" t="s">
        <v>2003</v>
      </c>
      <c r="F319" s="1328" t="s">
        <v>2933</v>
      </c>
      <c r="G319" s="591"/>
      <c r="H319" s="591"/>
    </row>
    <row r="320" ht="25.5" customHeight="1">
      <c r="A320" s="1325">
        <v>45384.0</v>
      </c>
      <c r="B320" s="499" t="s">
        <v>3144</v>
      </c>
      <c r="C320" s="450" t="s">
        <v>3145</v>
      </c>
      <c r="D320" s="1358"/>
      <c r="E320" s="1352" t="s">
        <v>2003</v>
      </c>
      <c r="F320" s="1328" t="s">
        <v>2933</v>
      </c>
      <c r="G320" s="591"/>
      <c r="H320" s="591"/>
    </row>
    <row r="321" ht="25.5" customHeight="1">
      <c r="A321" s="1325">
        <v>45385.0</v>
      </c>
      <c r="B321" s="462" t="s">
        <v>2695</v>
      </c>
      <c r="C321" s="462" t="s">
        <v>3146</v>
      </c>
      <c r="D321" s="1358"/>
      <c r="E321" s="1352" t="s">
        <v>2003</v>
      </c>
      <c r="F321" s="1328" t="s">
        <v>2933</v>
      </c>
      <c r="G321" s="591"/>
      <c r="H321" s="591"/>
    </row>
    <row r="322" ht="25.5" customHeight="1">
      <c r="A322" s="1325">
        <v>45385.0</v>
      </c>
      <c r="B322" s="462" t="s">
        <v>3147</v>
      </c>
      <c r="C322" s="462" t="s">
        <v>2793</v>
      </c>
      <c r="D322" s="1358"/>
      <c r="E322" s="1352" t="s">
        <v>2003</v>
      </c>
      <c r="F322" s="1328" t="s">
        <v>2933</v>
      </c>
      <c r="G322" s="591"/>
      <c r="H322" s="591"/>
    </row>
    <row r="323" ht="25.5" customHeight="1">
      <c r="A323" s="1325">
        <v>45385.0</v>
      </c>
      <c r="B323" s="462" t="s">
        <v>3148</v>
      </c>
      <c r="C323" s="462" t="s">
        <v>3149</v>
      </c>
      <c r="D323" s="1358"/>
      <c r="E323" s="1352" t="s">
        <v>2003</v>
      </c>
      <c r="F323" s="1328" t="s">
        <v>2933</v>
      </c>
      <c r="G323" s="591"/>
      <c r="H323" s="591"/>
    </row>
    <row r="324" ht="25.5" customHeight="1">
      <c r="A324" s="1325">
        <v>45386.0</v>
      </c>
      <c r="B324" s="499" t="s">
        <v>1320</v>
      </c>
      <c r="C324" s="450" t="s">
        <v>3097</v>
      </c>
      <c r="D324" s="1358"/>
      <c r="E324" s="1352" t="s">
        <v>2003</v>
      </c>
      <c r="F324" s="1328" t="s">
        <v>2933</v>
      </c>
      <c r="G324" s="591"/>
      <c r="H324" s="591"/>
    </row>
    <row r="325" ht="25.5" customHeight="1">
      <c r="A325" s="1325">
        <v>45386.0</v>
      </c>
      <c r="B325" s="462" t="s">
        <v>3147</v>
      </c>
      <c r="C325" s="450" t="s">
        <v>1200</v>
      </c>
      <c r="D325" s="1358"/>
      <c r="E325" s="1352" t="s">
        <v>2003</v>
      </c>
      <c r="F325" s="1328" t="s">
        <v>2933</v>
      </c>
      <c r="G325" s="591"/>
      <c r="H325" s="591"/>
    </row>
    <row r="326" ht="25.5" customHeight="1">
      <c r="A326" s="1325">
        <v>45386.0</v>
      </c>
      <c r="B326" s="462" t="s">
        <v>2695</v>
      </c>
      <c r="C326" s="462" t="s">
        <v>3150</v>
      </c>
      <c r="D326" s="1358"/>
      <c r="E326" s="1352" t="s">
        <v>2003</v>
      </c>
      <c r="F326" s="1328" t="s">
        <v>2933</v>
      </c>
      <c r="G326" s="591"/>
      <c r="H326" s="591"/>
    </row>
    <row r="327" ht="25.5" customHeight="1">
      <c r="A327" s="1325">
        <v>45416.0</v>
      </c>
      <c r="B327" s="499" t="s">
        <v>1320</v>
      </c>
      <c r="C327" s="462" t="s">
        <v>1186</v>
      </c>
      <c r="D327" s="1358"/>
      <c r="E327" s="1352" t="s">
        <v>2003</v>
      </c>
      <c r="F327" s="1328" t="s">
        <v>2933</v>
      </c>
      <c r="G327" s="591"/>
      <c r="H327" s="591"/>
    </row>
    <row r="328" ht="25.5" customHeight="1">
      <c r="A328" s="1325">
        <v>45387.0</v>
      </c>
      <c r="B328" s="462" t="s">
        <v>3147</v>
      </c>
      <c r="C328" s="462" t="s">
        <v>1308</v>
      </c>
      <c r="D328" s="1358"/>
      <c r="E328" s="1352" t="s">
        <v>2003</v>
      </c>
      <c r="F328" s="1328" t="s">
        <v>2933</v>
      </c>
      <c r="G328" s="591"/>
      <c r="H328" s="591"/>
    </row>
    <row r="329" ht="25.5" customHeight="1">
      <c r="A329" s="1325">
        <v>45416.0</v>
      </c>
      <c r="B329" s="462" t="s">
        <v>3151</v>
      </c>
      <c r="C329" s="462" t="s">
        <v>1314</v>
      </c>
      <c r="D329" s="1358"/>
      <c r="E329" s="1352" t="s">
        <v>2003</v>
      </c>
      <c r="F329" s="1328" t="s">
        <v>2933</v>
      </c>
      <c r="G329" s="591"/>
      <c r="H329" s="591"/>
    </row>
    <row r="330" ht="25.5" customHeight="1">
      <c r="A330" s="1325">
        <v>45387.0</v>
      </c>
      <c r="B330" s="462" t="s">
        <v>3152</v>
      </c>
      <c r="C330" s="462" t="s">
        <v>3153</v>
      </c>
      <c r="D330" s="1358"/>
      <c r="E330" s="1352" t="s">
        <v>2003</v>
      </c>
      <c r="F330" s="1328" t="s">
        <v>2933</v>
      </c>
      <c r="G330" s="591"/>
      <c r="H330" s="591"/>
    </row>
    <row r="331" ht="25.5" customHeight="1">
      <c r="A331" s="1325">
        <v>45388.0</v>
      </c>
      <c r="B331" s="462" t="s">
        <v>3147</v>
      </c>
      <c r="C331" s="462" t="s">
        <v>3154</v>
      </c>
      <c r="D331" s="1358"/>
      <c r="E331" s="1352" t="s">
        <v>2003</v>
      </c>
      <c r="F331" s="1328" t="s">
        <v>2933</v>
      </c>
      <c r="G331" s="591"/>
      <c r="H331" s="591"/>
    </row>
    <row r="332" ht="25.5" customHeight="1">
      <c r="A332" s="1325">
        <v>45389.0</v>
      </c>
      <c r="B332" s="462" t="s">
        <v>3155</v>
      </c>
      <c r="C332" s="462" t="s">
        <v>3156</v>
      </c>
      <c r="D332" s="1358"/>
      <c r="E332" s="1352" t="s">
        <v>2003</v>
      </c>
      <c r="F332" s="1328" t="s">
        <v>2933</v>
      </c>
      <c r="G332" s="591"/>
      <c r="H332" s="591"/>
    </row>
    <row r="333" ht="25.5" customHeight="1">
      <c r="A333" s="1325">
        <v>45389.0</v>
      </c>
      <c r="B333" s="462" t="s">
        <v>3157</v>
      </c>
      <c r="C333" s="462" t="s">
        <v>3158</v>
      </c>
      <c r="D333" s="1358"/>
      <c r="E333" s="1352" t="s">
        <v>2003</v>
      </c>
      <c r="F333" s="1328" t="s">
        <v>2933</v>
      </c>
      <c r="G333" s="591"/>
      <c r="H333" s="591"/>
    </row>
    <row r="334" ht="25.5" customHeight="1">
      <c r="A334" s="1325">
        <v>45389.0</v>
      </c>
      <c r="B334" s="462" t="s">
        <v>3159</v>
      </c>
      <c r="C334" s="462" t="s">
        <v>3160</v>
      </c>
      <c r="D334" s="1358"/>
      <c r="E334" s="1352" t="s">
        <v>2003</v>
      </c>
      <c r="F334" s="1328" t="s">
        <v>2933</v>
      </c>
      <c r="G334" s="591"/>
      <c r="H334" s="591"/>
    </row>
    <row r="335" ht="25.5" customHeight="1">
      <c r="A335" s="1325">
        <v>45390.0</v>
      </c>
      <c r="B335" s="462" t="s">
        <v>3155</v>
      </c>
      <c r="C335" s="462" t="s">
        <v>1149</v>
      </c>
      <c r="D335" s="1358"/>
      <c r="E335" s="1352" t="s">
        <v>2003</v>
      </c>
      <c r="F335" s="1328" t="s">
        <v>2933</v>
      </c>
      <c r="G335" s="591"/>
      <c r="H335" s="591"/>
    </row>
    <row r="336" ht="25.5" customHeight="1">
      <c r="A336" s="1325">
        <v>45390.0</v>
      </c>
      <c r="B336" s="462" t="s">
        <v>3161</v>
      </c>
      <c r="C336" s="462" t="s">
        <v>3162</v>
      </c>
      <c r="D336" s="1358"/>
      <c r="E336" s="1352" t="s">
        <v>2003</v>
      </c>
      <c r="F336" s="1328" t="s">
        <v>2933</v>
      </c>
      <c r="G336" s="591"/>
      <c r="H336" s="591"/>
    </row>
    <row r="337" ht="25.5" customHeight="1">
      <c r="A337" s="1325">
        <v>45391.0</v>
      </c>
      <c r="B337" s="462" t="s">
        <v>1326</v>
      </c>
      <c r="C337" s="462" t="s">
        <v>3163</v>
      </c>
      <c r="D337" s="1358"/>
      <c r="E337" s="1352" t="s">
        <v>2003</v>
      </c>
      <c r="F337" s="1328" t="s">
        <v>2933</v>
      </c>
      <c r="G337" s="591"/>
      <c r="H337" s="591"/>
    </row>
    <row r="338" ht="25.5" customHeight="1">
      <c r="A338" s="1325">
        <v>45391.0</v>
      </c>
      <c r="B338" s="462" t="s">
        <v>3164</v>
      </c>
      <c r="C338" s="462" t="s">
        <v>3165</v>
      </c>
      <c r="D338" s="1358"/>
      <c r="E338" s="1352" t="s">
        <v>2003</v>
      </c>
      <c r="F338" s="1328" t="s">
        <v>2933</v>
      </c>
      <c r="G338" s="591"/>
      <c r="H338" s="591"/>
    </row>
    <row r="339" ht="25.5" customHeight="1">
      <c r="A339" s="1325">
        <v>45392.0</v>
      </c>
      <c r="B339" s="462" t="s">
        <v>1326</v>
      </c>
      <c r="C339" s="486" t="s">
        <v>3166</v>
      </c>
      <c r="D339" s="450"/>
      <c r="E339" s="1359" t="s">
        <v>2003</v>
      </c>
      <c r="F339" s="1328" t="s">
        <v>2933</v>
      </c>
      <c r="G339" s="591"/>
      <c r="H339" s="591"/>
    </row>
    <row r="340" ht="25.5" customHeight="1">
      <c r="A340" s="1325">
        <v>45392.0</v>
      </c>
      <c r="B340" s="486" t="s">
        <v>3167</v>
      </c>
      <c r="C340" s="486" t="s">
        <v>3120</v>
      </c>
      <c r="D340" s="450"/>
      <c r="E340" s="1359" t="s">
        <v>2003</v>
      </c>
      <c r="F340" s="1328" t="s">
        <v>2933</v>
      </c>
      <c r="G340" s="591"/>
      <c r="H340" s="591"/>
    </row>
    <row r="341" ht="25.5" customHeight="1">
      <c r="A341" s="1325">
        <v>45393.0</v>
      </c>
      <c r="B341" s="462" t="s">
        <v>3168</v>
      </c>
      <c r="C341" s="462" t="s">
        <v>3169</v>
      </c>
      <c r="D341" s="1360"/>
      <c r="E341" s="1359" t="s">
        <v>2003</v>
      </c>
      <c r="F341" s="1346" t="s">
        <v>2933</v>
      </c>
      <c r="G341" s="591"/>
      <c r="H341" s="591"/>
    </row>
    <row r="342" ht="25.5" customHeight="1">
      <c r="A342" s="1325">
        <v>45393.0</v>
      </c>
      <c r="B342" s="462" t="s">
        <v>3170</v>
      </c>
      <c r="C342" s="462" t="s">
        <v>3171</v>
      </c>
      <c r="D342" s="1360"/>
      <c r="E342" s="1359" t="s">
        <v>2003</v>
      </c>
      <c r="F342" s="1346" t="s">
        <v>2933</v>
      </c>
      <c r="G342" s="591"/>
      <c r="H342" s="591"/>
    </row>
    <row r="343" ht="25.5" customHeight="1">
      <c r="A343" s="1325">
        <v>45394.0</v>
      </c>
      <c r="B343" s="462" t="s">
        <v>3168</v>
      </c>
      <c r="C343" s="486" t="s">
        <v>3166</v>
      </c>
      <c r="D343" s="1360"/>
      <c r="E343" s="1359" t="s">
        <v>2003</v>
      </c>
      <c r="F343" s="1346" t="s">
        <v>2933</v>
      </c>
      <c r="G343" s="591"/>
      <c r="H343" s="591"/>
    </row>
    <row r="344" ht="25.5" customHeight="1">
      <c r="A344" s="1325">
        <v>45395.0</v>
      </c>
      <c r="B344" s="462" t="s">
        <v>1326</v>
      </c>
      <c r="C344" s="462" t="s">
        <v>3172</v>
      </c>
      <c r="D344" s="1358"/>
      <c r="E344" s="1359" t="s">
        <v>2003</v>
      </c>
      <c r="F344" s="1346" t="s">
        <v>2933</v>
      </c>
      <c r="G344" s="591"/>
      <c r="H344" s="591"/>
    </row>
    <row r="345" ht="25.5" customHeight="1">
      <c r="A345" s="1325">
        <v>45395.0</v>
      </c>
      <c r="B345" s="462" t="s">
        <v>3168</v>
      </c>
      <c r="C345" s="499" t="s">
        <v>3173</v>
      </c>
      <c r="D345" s="1358"/>
      <c r="E345" s="1359" t="s">
        <v>2003</v>
      </c>
      <c r="F345" s="1346" t="s">
        <v>2933</v>
      </c>
      <c r="G345" s="591"/>
      <c r="H345" s="591"/>
    </row>
    <row r="346" ht="25.5" customHeight="1">
      <c r="A346" s="1325">
        <v>45396.0</v>
      </c>
      <c r="B346" s="462" t="s">
        <v>3174</v>
      </c>
      <c r="C346" s="486" t="s">
        <v>3166</v>
      </c>
      <c r="D346" s="1358"/>
      <c r="E346" s="1359" t="s">
        <v>2003</v>
      </c>
      <c r="F346" s="1346" t="s">
        <v>2933</v>
      </c>
      <c r="G346" s="591"/>
      <c r="H346" s="591"/>
    </row>
    <row r="347" ht="25.5" customHeight="1">
      <c r="A347" s="1325">
        <v>45397.0</v>
      </c>
      <c r="B347" s="462" t="s">
        <v>1349</v>
      </c>
      <c r="C347" s="462" t="s">
        <v>3169</v>
      </c>
      <c r="D347" s="1358"/>
      <c r="E347" s="1359" t="s">
        <v>2003</v>
      </c>
      <c r="F347" s="1346" t="s">
        <v>2933</v>
      </c>
      <c r="G347" s="591"/>
      <c r="H347" s="591"/>
    </row>
    <row r="348" ht="25.5" customHeight="1">
      <c r="A348" s="1325">
        <v>45399.0</v>
      </c>
      <c r="B348" s="462" t="s">
        <v>3175</v>
      </c>
      <c r="C348" s="499" t="s">
        <v>3173</v>
      </c>
      <c r="D348" s="1358"/>
      <c r="E348" s="1359" t="s">
        <v>2003</v>
      </c>
      <c r="F348" s="1346" t="s">
        <v>2933</v>
      </c>
      <c r="G348" s="591"/>
      <c r="H348" s="591"/>
    </row>
    <row r="349" ht="25.5" customHeight="1">
      <c r="A349" s="1325">
        <v>45399.0</v>
      </c>
      <c r="B349" s="462" t="s">
        <v>3176</v>
      </c>
      <c r="C349" s="462" t="s">
        <v>3177</v>
      </c>
      <c r="D349" s="1358"/>
      <c r="E349" s="1359" t="s">
        <v>2003</v>
      </c>
      <c r="F349" s="1346" t="s">
        <v>2933</v>
      </c>
      <c r="G349" s="591"/>
      <c r="H349" s="591"/>
    </row>
    <row r="350" ht="25.5" customHeight="1">
      <c r="A350" s="1325">
        <v>45399.0</v>
      </c>
      <c r="B350" s="462" t="s">
        <v>3178</v>
      </c>
      <c r="C350" s="462" t="s">
        <v>2852</v>
      </c>
      <c r="D350" s="1358"/>
      <c r="E350" s="1359" t="s">
        <v>2003</v>
      </c>
      <c r="F350" s="1346" t="s">
        <v>2933</v>
      </c>
      <c r="G350" s="591"/>
      <c r="H350" s="591"/>
    </row>
    <row r="351" ht="25.5" customHeight="1">
      <c r="A351" s="1325">
        <v>45399.0</v>
      </c>
      <c r="B351" s="462" t="s">
        <v>3179</v>
      </c>
      <c r="C351" s="462" t="s">
        <v>3180</v>
      </c>
      <c r="D351" s="1358"/>
      <c r="E351" s="1359" t="s">
        <v>2003</v>
      </c>
      <c r="F351" s="1346" t="s">
        <v>2933</v>
      </c>
      <c r="G351" s="591"/>
      <c r="H351" s="591"/>
    </row>
    <row r="352" ht="25.5" customHeight="1">
      <c r="A352" s="1325">
        <v>45399.0</v>
      </c>
      <c r="B352" s="462" t="s">
        <v>3181</v>
      </c>
      <c r="C352" s="462" t="s">
        <v>3182</v>
      </c>
      <c r="D352" s="1358"/>
      <c r="E352" s="1359" t="s">
        <v>2003</v>
      </c>
      <c r="F352" s="1346" t="s">
        <v>2933</v>
      </c>
      <c r="G352" s="591"/>
      <c r="H352" s="591"/>
    </row>
    <row r="353" ht="25.5" customHeight="1">
      <c r="A353" s="1325">
        <v>45400.0</v>
      </c>
      <c r="B353" s="462" t="s">
        <v>3175</v>
      </c>
      <c r="C353" s="462" t="s">
        <v>1335</v>
      </c>
      <c r="D353" s="1358"/>
      <c r="E353" s="1359" t="s">
        <v>2003</v>
      </c>
      <c r="F353" s="1346" t="s">
        <v>2933</v>
      </c>
      <c r="G353" s="591"/>
      <c r="H353" s="591"/>
    </row>
    <row r="354" ht="25.5" customHeight="1">
      <c r="A354" s="1325">
        <v>45400.0</v>
      </c>
      <c r="B354" s="462" t="s">
        <v>3183</v>
      </c>
      <c r="C354" s="462" t="s">
        <v>3184</v>
      </c>
      <c r="D354" s="1358"/>
      <c r="E354" s="1359" t="s">
        <v>2003</v>
      </c>
      <c r="F354" s="1346" t="s">
        <v>2933</v>
      </c>
      <c r="G354" s="591"/>
      <c r="H354" s="591"/>
    </row>
    <row r="355" ht="25.5" customHeight="1">
      <c r="A355" s="1325">
        <v>45400.0</v>
      </c>
      <c r="B355" s="462" t="s">
        <v>3185</v>
      </c>
      <c r="C355" s="462" t="s">
        <v>3186</v>
      </c>
      <c r="D355" s="1358"/>
      <c r="E355" s="1359" t="s">
        <v>2003</v>
      </c>
      <c r="F355" s="1346" t="s">
        <v>2933</v>
      </c>
      <c r="G355" s="591"/>
      <c r="H355" s="591"/>
    </row>
    <row r="356" ht="25.5" customHeight="1">
      <c r="A356" s="1325">
        <v>45400.0</v>
      </c>
      <c r="B356" s="462" t="s">
        <v>3176</v>
      </c>
      <c r="C356" s="462" t="s">
        <v>3187</v>
      </c>
      <c r="D356" s="1358"/>
      <c r="E356" s="1359" t="s">
        <v>2003</v>
      </c>
      <c r="F356" s="1346" t="s">
        <v>2933</v>
      </c>
      <c r="G356" s="591"/>
      <c r="H356" s="591"/>
    </row>
    <row r="357" ht="25.5" customHeight="1">
      <c r="A357" s="1325">
        <v>45401.0</v>
      </c>
      <c r="B357" s="462" t="s">
        <v>3176</v>
      </c>
      <c r="C357" s="462" t="s">
        <v>2852</v>
      </c>
      <c r="D357" s="1358"/>
      <c r="E357" s="1359" t="s">
        <v>2003</v>
      </c>
      <c r="F357" s="1346" t="s">
        <v>2933</v>
      </c>
      <c r="G357" s="591"/>
      <c r="H357" s="591"/>
    </row>
    <row r="358" ht="25.5" customHeight="1">
      <c r="A358" s="1325">
        <v>45401.0</v>
      </c>
      <c r="B358" s="462" t="s">
        <v>3188</v>
      </c>
      <c r="C358" s="462" t="s">
        <v>3189</v>
      </c>
      <c r="D358" s="1358"/>
      <c r="E358" s="1359" t="s">
        <v>2003</v>
      </c>
      <c r="F358" s="1346" t="s">
        <v>2933</v>
      </c>
      <c r="G358" s="591"/>
      <c r="H358" s="591"/>
    </row>
    <row r="359" ht="25.5" customHeight="1">
      <c r="A359" s="1325">
        <v>45401.0</v>
      </c>
      <c r="B359" s="462" t="s">
        <v>3185</v>
      </c>
      <c r="C359" s="462" t="s">
        <v>3190</v>
      </c>
      <c r="D359" s="1358"/>
      <c r="E359" s="1359" t="s">
        <v>2003</v>
      </c>
      <c r="F359" s="1346" t="s">
        <v>2933</v>
      </c>
      <c r="G359" s="591"/>
      <c r="H359" s="591"/>
    </row>
    <row r="360" ht="25.5" customHeight="1">
      <c r="A360" s="1325">
        <v>45401.0</v>
      </c>
      <c r="B360" s="462" t="s">
        <v>2693</v>
      </c>
      <c r="C360" s="462" t="s">
        <v>3191</v>
      </c>
      <c r="D360" s="1358"/>
      <c r="E360" s="1359" t="s">
        <v>2003</v>
      </c>
      <c r="F360" s="1346" t="s">
        <v>2933</v>
      </c>
      <c r="G360" s="591"/>
      <c r="H360" s="591"/>
    </row>
    <row r="361" ht="25.5" customHeight="1">
      <c r="A361" s="1325">
        <v>45401.0</v>
      </c>
      <c r="B361" s="462" t="s">
        <v>2693</v>
      </c>
      <c r="C361" s="462" t="s">
        <v>3192</v>
      </c>
      <c r="D361" s="1358"/>
      <c r="E361" s="1359" t="s">
        <v>2003</v>
      </c>
      <c r="F361" s="1346" t="s">
        <v>2933</v>
      </c>
      <c r="G361" s="591"/>
      <c r="H361" s="591"/>
    </row>
    <row r="362" ht="25.5" customHeight="1">
      <c r="A362" s="1325">
        <v>45402.0</v>
      </c>
      <c r="B362" s="462" t="s">
        <v>3193</v>
      </c>
      <c r="C362" s="462" t="s">
        <v>3194</v>
      </c>
      <c r="D362" s="1358"/>
      <c r="E362" s="1359" t="s">
        <v>2003</v>
      </c>
      <c r="F362" s="1346" t="s">
        <v>2933</v>
      </c>
      <c r="G362" s="591"/>
      <c r="H362" s="591"/>
    </row>
    <row r="363" ht="25.5" customHeight="1">
      <c r="A363" s="1325">
        <v>45402.0</v>
      </c>
      <c r="B363" s="462" t="s">
        <v>3176</v>
      </c>
      <c r="C363" s="462" t="s">
        <v>1350</v>
      </c>
      <c r="D363" s="1358"/>
      <c r="E363" s="1359" t="s">
        <v>2003</v>
      </c>
      <c r="F363" s="1346" t="s">
        <v>2933</v>
      </c>
      <c r="G363" s="591"/>
      <c r="H363" s="591"/>
    </row>
    <row r="364" ht="25.5" customHeight="1">
      <c r="A364" s="1325">
        <v>45402.0</v>
      </c>
      <c r="B364" s="462" t="s">
        <v>2693</v>
      </c>
      <c r="C364" s="462" t="s">
        <v>1362</v>
      </c>
      <c r="D364" s="1358"/>
      <c r="E364" s="1359" t="s">
        <v>2003</v>
      </c>
      <c r="F364" s="1346" t="s">
        <v>2933</v>
      </c>
      <c r="G364" s="591"/>
      <c r="H364" s="591"/>
    </row>
    <row r="365" ht="25.5" customHeight="1">
      <c r="A365" s="1325">
        <v>45402.0</v>
      </c>
      <c r="B365" s="462" t="s">
        <v>3195</v>
      </c>
      <c r="C365" s="462" t="s">
        <v>1362</v>
      </c>
      <c r="D365" s="1358"/>
      <c r="E365" s="1359" t="s">
        <v>2003</v>
      </c>
      <c r="F365" s="1346" t="s">
        <v>2933</v>
      </c>
      <c r="G365" s="591"/>
      <c r="H365" s="591"/>
    </row>
    <row r="366" ht="25.5" customHeight="1">
      <c r="A366" s="1325">
        <v>45402.0</v>
      </c>
      <c r="B366" s="462" t="s">
        <v>3196</v>
      </c>
      <c r="C366" s="462" t="s">
        <v>1158</v>
      </c>
      <c r="D366" s="1358"/>
      <c r="E366" s="1359" t="s">
        <v>2003</v>
      </c>
      <c r="F366" s="1346" t="s">
        <v>2933</v>
      </c>
      <c r="G366" s="591"/>
      <c r="H366" s="591"/>
    </row>
    <row r="367" ht="25.5" customHeight="1">
      <c r="A367" s="1325">
        <v>45403.0</v>
      </c>
      <c r="B367" s="462" t="s">
        <v>2693</v>
      </c>
      <c r="C367" s="462" t="s">
        <v>3197</v>
      </c>
      <c r="D367" s="1358"/>
      <c r="E367" s="1359" t="s">
        <v>2003</v>
      </c>
      <c r="F367" s="1346" t="s">
        <v>2933</v>
      </c>
      <c r="G367" s="591"/>
      <c r="H367" s="591"/>
    </row>
    <row r="368" ht="25.5" customHeight="1">
      <c r="A368" s="1325">
        <v>45403.0</v>
      </c>
      <c r="B368" s="462" t="s">
        <v>3195</v>
      </c>
      <c r="C368" s="462" t="s">
        <v>3197</v>
      </c>
      <c r="D368" s="1358"/>
      <c r="E368" s="1359" t="s">
        <v>2003</v>
      </c>
      <c r="F368" s="1346" t="s">
        <v>2933</v>
      </c>
      <c r="G368" s="591"/>
      <c r="H368" s="591"/>
    </row>
    <row r="369" ht="25.5" customHeight="1">
      <c r="A369" s="1136" t="s">
        <v>3198</v>
      </c>
      <c r="B369" s="462" t="s">
        <v>3199</v>
      </c>
      <c r="C369" s="462" t="s">
        <v>3200</v>
      </c>
      <c r="D369" s="1358"/>
      <c r="E369" s="1359" t="s">
        <v>2003</v>
      </c>
      <c r="F369" s="1346" t="s">
        <v>2933</v>
      </c>
      <c r="G369" s="591"/>
      <c r="H369" s="591"/>
    </row>
    <row r="370" ht="25.5" customHeight="1">
      <c r="A370" s="1136" t="s">
        <v>3201</v>
      </c>
      <c r="B370" s="462" t="s">
        <v>3202</v>
      </c>
      <c r="C370" s="462" t="s">
        <v>1158</v>
      </c>
      <c r="D370" s="1358"/>
      <c r="E370" s="1359" t="s">
        <v>2003</v>
      </c>
      <c r="F370" s="1346" t="s">
        <v>2933</v>
      </c>
      <c r="G370" s="591"/>
      <c r="H370" s="591"/>
    </row>
    <row r="371" ht="25.5" customHeight="1">
      <c r="A371" s="1136" t="s">
        <v>3201</v>
      </c>
      <c r="B371" s="462" t="s">
        <v>3203</v>
      </c>
      <c r="C371" s="462" t="s">
        <v>3204</v>
      </c>
      <c r="D371" s="1358"/>
      <c r="E371" s="1359" t="s">
        <v>2003</v>
      </c>
      <c r="F371" s="1346" t="s">
        <v>2933</v>
      </c>
      <c r="G371" s="591"/>
      <c r="H371" s="591"/>
    </row>
    <row r="372" ht="25.5" customHeight="1">
      <c r="A372" s="1136" t="s">
        <v>3205</v>
      </c>
      <c r="B372" s="462" t="s">
        <v>1337</v>
      </c>
      <c r="C372" s="462" t="s">
        <v>1350</v>
      </c>
      <c r="D372" s="1358"/>
      <c r="E372" s="1359" t="s">
        <v>2003</v>
      </c>
      <c r="F372" s="1346" t="s">
        <v>2933</v>
      </c>
      <c r="G372" s="591"/>
      <c r="H372" s="591"/>
    </row>
    <row r="373" ht="25.5" customHeight="1">
      <c r="A373" s="1136" t="s">
        <v>3206</v>
      </c>
      <c r="B373" s="462" t="s">
        <v>1337</v>
      </c>
      <c r="C373" s="462" t="s">
        <v>3207</v>
      </c>
      <c r="D373" s="1358"/>
      <c r="E373" s="1359" t="s">
        <v>2003</v>
      </c>
      <c r="F373" s="1346" t="s">
        <v>2933</v>
      </c>
      <c r="G373" s="591"/>
      <c r="H373" s="591"/>
    </row>
    <row r="374" ht="25.5" customHeight="1">
      <c r="A374" s="1136" t="s">
        <v>3208</v>
      </c>
      <c r="B374" s="462" t="s">
        <v>1337</v>
      </c>
      <c r="C374" s="462" t="s">
        <v>3209</v>
      </c>
      <c r="D374" s="1358"/>
      <c r="E374" s="1359" t="s">
        <v>2003</v>
      </c>
      <c r="F374" s="1346" t="s">
        <v>2933</v>
      </c>
      <c r="G374" s="591"/>
      <c r="H374" s="591"/>
    </row>
    <row r="375" ht="25.5" customHeight="1">
      <c r="A375" s="1325">
        <v>45417.0</v>
      </c>
      <c r="B375" s="462" t="s">
        <v>2577</v>
      </c>
      <c r="C375" s="462" t="s">
        <v>3210</v>
      </c>
      <c r="D375" s="1358"/>
      <c r="E375" s="1359" t="s">
        <v>2003</v>
      </c>
      <c r="F375" s="1346" t="s">
        <v>2933</v>
      </c>
      <c r="G375" s="591"/>
      <c r="H375" s="591"/>
    </row>
    <row r="376" ht="25.5" customHeight="1">
      <c r="A376" s="1325">
        <v>45418.0</v>
      </c>
      <c r="B376" s="462" t="s">
        <v>3211</v>
      </c>
      <c r="C376" s="462" t="s">
        <v>1158</v>
      </c>
      <c r="D376" s="1358"/>
      <c r="E376" s="1359" t="s">
        <v>2003</v>
      </c>
      <c r="F376" s="1346" t="s">
        <v>2933</v>
      </c>
      <c r="G376" s="591"/>
      <c r="H376" s="591"/>
    </row>
    <row r="377" ht="25.5" customHeight="1">
      <c r="A377" s="1325">
        <v>45423.0</v>
      </c>
      <c r="B377" s="462" t="s">
        <v>3212</v>
      </c>
      <c r="C377" s="462" t="s">
        <v>1158</v>
      </c>
      <c r="D377" s="1358"/>
      <c r="E377" s="1359" t="s">
        <v>2003</v>
      </c>
      <c r="F377" s="1346" t="s">
        <v>2933</v>
      </c>
      <c r="G377" s="591"/>
      <c r="H377" s="591"/>
    </row>
    <row r="378" ht="25.5" customHeight="1">
      <c r="A378" s="1325">
        <v>45424.0</v>
      </c>
      <c r="B378" s="462" t="s">
        <v>2578</v>
      </c>
      <c r="C378" s="462" t="s">
        <v>3213</v>
      </c>
      <c r="D378" s="1358"/>
      <c r="E378" s="1359" t="s">
        <v>2003</v>
      </c>
      <c r="F378" s="1346" t="s">
        <v>2933</v>
      </c>
      <c r="G378" s="591"/>
      <c r="H378" s="591"/>
    </row>
    <row r="379" ht="25.5" customHeight="1">
      <c r="A379" s="1135">
        <v>45425.0</v>
      </c>
      <c r="B379" s="462" t="s">
        <v>3214</v>
      </c>
      <c r="C379" s="462" t="s">
        <v>3215</v>
      </c>
      <c r="D379" s="1358"/>
      <c r="E379" s="1359" t="s">
        <v>2003</v>
      </c>
      <c r="F379" s="1346" t="s">
        <v>2933</v>
      </c>
      <c r="G379" s="591"/>
      <c r="H379" s="591"/>
    </row>
    <row r="380" ht="25.5" customHeight="1">
      <c r="A380" s="1135">
        <v>45426.0</v>
      </c>
      <c r="B380" s="462" t="s">
        <v>3216</v>
      </c>
      <c r="C380" s="462" t="s">
        <v>3120</v>
      </c>
      <c r="D380" s="1358"/>
      <c r="E380" s="1359" t="s">
        <v>2003</v>
      </c>
      <c r="F380" s="1346" t="s">
        <v>2933</v>
      </c>
      <c r="G380" s="591"/>
      <c r="H380" s="591"/>
    </row>
    <row r="381" ht="25.5" customHeight="1">
      <c r="A381" s="1135">
        <v>45429.0</v>
      </c>
      <c r="B381" s="462" t="s">
        <v>3217</v>
      </c>
      <c r="C381" s="462" t="s">
        <v>3218</v>
      </c>
      <c r="D381" s="1358"/>
      <c r="E381" s="1359" t="s">
        <v>2003</v>
      </c>
      <c r="F381" s="1346" t="s">
        <v>2933</v>
      </c>
      <c r="G381" s="591"/>
      <c r="H381" s="591"/>
    </row>
    <row r="382" ht="25.5" customHeight="1">
      <c r="A382" s="1135">
        <v>45431.0</v>
      </c>
      <c r="B382" s="462" t="s">
        <v>3217</v>
      </c>
      <c r="C382" s="462" t="s">
        <v>3219</v>
      </c>
      <c r="D382" s="1358"/>
      <c r="E382" s="1359" t="s">
        <v>2003</v>
      </c>
      <c r="F382" s="1346" t="s">
        <v>2933</v>
      </c>
      <c r="G382" s="591"/>
      <c r="H382" s="591"/>
    </row>
    <row r="383" ht="25.5" customHeight="1">
      <c r="A383" s="1135">
        <v>45434.0</v>
      </c>
      <c r="B383" s="462" t="s">
        <v>3220</v>
      </c>
      <c r="C383" s="462" t="s">
        <v>1350</v>
      </c>
      <c r="D383" s="1358"/>
      <c r="E383" s="1359" t="s">
        <v>2003</v>
      </c>
      <c r="F383" s="1346" t="s">
        <v>2933</v>
      </c>
      <c r="G383" s="591"/>
      <c r="H383" s="591"/>
    </row>
    <row r="384" ht="25.5" customHeight="1">
      <c r="A384" s="1135">
        <v>45434.0</v>
      </c>
      <c r="B384" s="462" t="s">
        <v>3221</v>
      </c>
      <c r="C384" s="462" t="s">
        <v>3222</v>
      </c>
      <c r="D384" s="1358"/>
      <c r="E384" s="1359" t="s">
        <v>2003</v>
      </c>
      <c r="F384" s="1346" t="s">
        <v>2933</v>
      </c>
      <c r="G384" s="591"/>
      <c r="H384" s="591"/>
    </row>
    <row r="385" ht="25.5" customHeight="1">
      <c r="A385" s="1135">
        <v>45435.0</v>
      </c>
      <c r="B385" s="462" t="s">
        <v>3223</v>
      </c>
      <c r="C385" s="462" t="s">
        <v>3224</v>
      </c>
      <c r="D385" s="1358"/>
      <c r="E385" s="1359" t="s">
        <v>2003</v>
      </c>
      <c r="F385" s="1346" t="s">
        <v>2933</v>
      </c>
      <c r="G385" s="591"/>
      <c r="H385" s="591"/>
    </row>
    <row r="386" ht="25.5" customHeight="1">
      <c r="A386" s="1135">
        <v>45436.0</v>
      </c>
      <c r="B386" s="462" t="s">
        <v>3225</v>
      </c>
      <c r="C386" s="462" t="s">
        <v>3218</v>
      </c>
      <c r="D386" s="1358"/>
      <c r="E386" s="1359" t="s">
        <v>2003</v>
      </c>
      <c r="F386" s="1346" t="s">
        <v>2933</v>
      </c>
      <c r="G386" s="591"/>
      <c r="H386" s="591"/>
    </row>
    <row r="387" ht="25.5" customHeight="1">
      <c r="A387" s="1135">
        <v>45436.0</v>
      </c>
      <c r="B387" s="462" t="s">
        <v>3226</v>
      </c>
      <c r="C387" s="462" t="s">
        <v>1275</v>
      </c>
      <c r="D387" s="1358"/>
      <c r="E387" s="1359" t="s">
        <v>2003</v>
      </c>
      <c r="F387" s="1346" t="s">
        <v>2933</v>
      </c>
      <c r="G387" s="591"/>
      <c r="H387" s="591"/>
    </row>
    <row r="388" ht="25.5" customHeight="1">
      <c r="A388" s="1135">
        <v>45436.0</v>
      </c>
      <c r="B388" s="462" t="s">
        <v>3220</v>
      </c>
      <c r="C388" s="462" t="s">
        <v>3227</v>
      </c>
      <c r="D388" s="1358"/>
      <c r="E388" s="1359" t="s">
        <v>2003</v>
      </c>
      <c r="F388" s="1346" t="s">
        <v>2933</v>
      </c>
      <c r="G388" s="591"/>
      <c r="H388" s="591"/>
    </row>
    <row r="389" ht="25.5" customHeight="1">
      <c r="A389" s="1135">
        <v>45437.0</v>
      </c>
      <c r="B389" s="462" t="s">
        <v>3228</v>
      </c>
      <c r="C389" s="462" t="s">
        <v>1200</v>
      </c>
      <c r="D389" s="1358"/>
      <c r="E389" s="1359" t="s">
        <v>2003</v>
      </c>
      <c r="F389" s="1346" t="s">
        <v>2933</v>
      </c>
      <c r="G389" s="591"/>
      <c r="H389" s="591"/>
    </row>
    <row r="390" ht="25.5" customHeight="1">
      <c r="A390" s="1135">
        <v>45437.0</v>
      </c>
      <c r="B390" s="499" t="s">
        <v>3229</v>
      </c>
      <c r="C390" s="462" t="s">
        <v>1200</v>
      </c>
      <c r="D390" s="1358"/>
      <c r="E390" s="1359" t="s">
        <v>2003</v>
      </c>
      <c r="F390" s="1346" t="s">
        <v>2933</v>
      </c>
      <c r="G390" s="591"/>
      <c r="H390" s="591"/>
    </row>
    <row r="391" ht="25.5" customHeight="1">
      <c r="A391" s="1135">
        <v>45437.0</v>
      </c>
      <c r="B391" s="462" t="s">
        <v>3230</v>
      </c>
      <c r="C391" s="462" t="s">
        <v>3231</v>
      </c>
      <c r="D391" s="1358"/>
      <c r="E391" s="1359" t="s">
        <v>2003</v>
      </c>
      <c r="F391" s="1346" t="s">
        <v>2933</v>
      </c>
      <c r="G391" s="591"/>
      <c r="H391" s="591"/>
    </row>
    <row r="392" ht="25.5" customHeight="1">
      <c r="A392" s="1135">
        <v>45437.0</v>
      </c>
      <c r="B392" s="462" t="s">
        <v>3229</v>
      </c>
      <c r="C392" s="462" t="s">
        <v>3232</v>
      </c>
      <c r="D392" s="1358"/>
      <c r="E392" s="1359" t="s">
        <v>2003</v>
      </c>
      <c r="F392" s="1353" t="s">
        <v>3233</v>
      </c>
      <c r="G392" s="591"/>
      <c r="H392" s="591"/>
    </row>
    <row r="393" ht="25.5" customHeight="1">
      <c r="A393" s="1135">
        <v>45438.0</v>
      </c>
      <c r="B393" s="499" t="s">
        <v>3230</v>
      </c>
      <c r="C393" s="462" t="s">
        <v>3234</v>
      </c>
      <c r="D393" s="1358"/>
      <c r="E393" s="1359" t="s">
        <v>2003</v>
      </c>
      <c r="F393" s="1346" t="s">
        <v>2933</v>
      </c>
      <c r="G393" s="591"/>
      <c r="H393" s="591"/>
    </row>
    <row r="394" ht="25.5" customHeight="1">
      <c r="A394" s="1135">
        <v>45439.0</v>
      </c>
      <c r="B394" s="462" t="s">
        <v>2581</v>
      </c>
      <c r="C394" s="462" t="s">
        <v>3235</v>
      </c>
      <c r="D394" s="1358"/>
      <c r="E394" s="1359" t="s">
        <v>2003</v>
      </c>
      <c r="F394" s="1353" t="s">
        <v>3233</v>
      </c>
      <c r="G394" s="591"/>
      <c r="H394" s="591"/>
    </row>
    <row r="395" ht="25.5" customHeight="1">
      <c r="A395" s="1135">
        <v>45440.0</v>
      </c>
      <c r="B395" s="499" t="s">
        <v>2581</v>
      </c>
      <c r="C395" s="462" t="s">
        <v>1158</v>
      </c>
      <c r="D395" s="1358"/>
      <c r="E395" s="1359" t="s">
        <v>2003</v>
      </c>
      <c r="F395" s="1346" t="s">
        <v>2933</v>
      </c>
      <c r="G395" s="591"/>
      <c r="H395" s="591"/>
    </row>
    <row r="396" ht="25.5" customHeight="1">
      <c r="A396" s="1135">
        <v>45441.0</v>
      </c>
      <c r="B396" s="462" t="s">
        <v>3236</v>
      </c>
      <c r="C396" s="462" t="s">
        <v>3237</v>
      </c>
      <c r="D396" s="1358"/>
      <c r="E396" s="1359" t="s">
        <v>2003</v>
      </c>
      <c r="F396" s="1346" t="s">
        <v>2933</v>
      </c>
      <c r="G396" s="591"/>
      <c r="H396" s="591"/>
    </row>
    <row r="397" ht="25.5" customHeight="1">
      <c r="A397" s="1135">
        <v>45444.0</v>
      </c>
      <c r="B397" s="462" t="s">
        <v>3238</v>
      </c>
      <c r="C397" s="462" t="s">
        <v>1158</v>
      </c>
      <c r="D397" s="1358"/>
      <c r="E397" s="1359" t="s">
        <v>2003</v>
      </c>
      <c r="F397" s="1346" t="s">
        <v>2933</v>
      </c>
      <c r="G397" s="591"/>
      <c r="H397" s="591"/>
    </row>
    <row r="398" ht="25.5" customHeight="1">
      <c r="A398" s="1135">
        <v>45446.0</v>
      </c>
      <c r="B398" s="462" t="s">
        <v>3239</v>
      </c>
      <c r="C398" s="462" t="s">
        <v>3240</v>
      </c>
      <c r="D398" s="1358"/>
      <c r="E398" s="1359" t="s">
        <v>2003</v>
      </c>
      <c r="F398" s="1361" t="s">
        <v>3241</v>
      </c>
      <c r="G398" s="591"/>
      <c r="H398" s="591"/>
    </row>
    <row r="399" ht="25.5" customHeight="1">
      <c r="A399" s="1135">
        <v>45446.0</v>
      </c>
      <c r="B399" s="462" t="s">
        <v>3238</v>
      </c>
      <c r="C399" s="462" t="s">
        <v>1186</v>
      </c>
      <c r="D399" s="1358"/>
      <c r="E399" s="1359" t="s">
        <v>2003</v>
      </c>
      <c r="F399" s="1346" t="s">
        <v>2933</v>
      </c>
      <c r="G399" s="591"/>
      <c r="H399" s="591"/>
    </row>
    <row r="400" ht="25.5" customHeight="1">
      <c r="A400" s="1135">
        <v>45448.0</v>
      </c>
      <c r="B400" s="499" t="s">
        <v>3242</v>
      </c>
      <c r="C400" s="462" t="s">
        <v>3207</v>
      </c>
      <c r="D400" s="1358"/>
      <c r="E400" s="1359" t="s">
        <v>2003</v>
      </c>
      <c r="F400" s="1346" t="s">
        <v>3243</v>
      </c>
      <c r="G400" s="591"/>
      <c r="H400" s="591"/>
    </row>
    <row r="401" ht="25.5" customHeight="1">
      <c r="A401" s="1135">
        <v>45451.0</v>
      </c>
      <c r="B401" s="462" t="s">
        <v>3244</v>
      </c>
      <c r="C401" s="462" t="s">
        <v>3207</v>
      </c>
      <c r="D401" s="1358"/>
      <c r="E401" s="1359" t="s">
        <v>2003</v>
      </c>
      <c r="F401" s="1346" t="s">
        <v>3243</v>
      </c>
      <c r="G401" s="591"/>
      <c r="H401" s="591"/>
    </row>
    <row r="402" ht="25.5" customHeight="1">
      <c r="A402" s="1135">
        <v>45452.0</v>
      </c>
      <c r="B402" s="499" t="s">
        <v>3245</v>
      </c>
      <c r="C402" s="462" t="s">
        <v>3120</v>
      </c>
      <c r="D402" s="1358"/>
      <c r="E402" s="1359" t="s">
        <v>2003</v>
      </c>
      <c r="F402" s="1346" t="s">
        <v>2933</v>
      </c>
      <c r="G402" s="591"/>
      <c r="H402" s="591"/>
    </row>
    <row r="403" ht="25.5" customHeight="1">
      <c r="A403" s="1135">
        <v>45453.0</v>
      </c>
      <c r="B403" s="462" t="s">
        <v>3246</v>
      </c>
      <c r="C403" s="462" t="s">
        <v>3247</v>
      </c>
      <c r="D403" s="1358"/>
      <c r="E403" s="1359" t="s">
        <v>2003</v>
      </c>
      <c r="F403" s="1346" t="s">
        <v>2933</v>
      </c>
      <c r="G403" s="591"/>
      <c r="H403" s="591"/>
    </row>
    <row r="404" ht="25.5" customHeight="1">
      <c r="A404" s="1362">
        <v>45453.0</v>
      </c>
      <c r="B404" s="462" t="s">
        <v>3245</v>
      </c>
      <c r="C404" s="462" t="s">
        <v>3248</v>
      </c>
      <c r="D404" s="1358"/>
      <c r="E404" s="1359" t="s">
        <v>2003</v>
      </c>
      <c r="F404" s="1346" t="s">
        <v>2933</v>
      </c>
      <c r="G404" s="591"/>
      <c r="H404" s="591"/>
    </row>
    <row r="405" ht="25.5" customHeight="1">
      <c r="A405" s="1135">
        <v>45454.0</v>
      </c>
      <c r="B405" s="462" t="s">
        <v>3249</v>
      </c>
      <c r="C405" s="462" t="s">
        <v>2862</v>
      </c>
      <c r="D405" s="1358"/>
      <c r="E405" s="1359" t="s">
        <v>2003</v>
      </c>
      <c r="F405" s="1346" t="s">
        <v>2933</v>
      </c>
      <c r="G405" s="591"/>
      <c r="H405" s="591"/>
    </row>
    <row r="406" ht="25.5" customHeight="1">
      <c r="A406" s="1135">
        <v>45454.0</v>
      </c>
      <c r="B406" s="462" t="s">
        <v>3250</v>
      </c>
      <c r="C406" s="462" t="s">
        <v>3251</v>
      </c>
      <c r="D406" s="1358"/>
      <c r="E406" s="1359" t="s">
        <v>2003</v>
      </c>
      <c r="F406" s="1346" t="s">
        <v>2933</v>
      </c>
      <c r="G406" s="591"/>
      <c r="H406" s="591"/>
    </row>
    <row r="407" ht="25.5" customHeight="1">
      <c r="A407" s="1362">
        <v>45454.0</v>
      </c>
      <c r="B407" s="462" t="s">
        <v>3245</v>
      </c>
      <c r="C407" s="462" t="s">
        <v>3252</v>
      </c>
      <c r="D407" s="1358"/>
      <c r="E407" s="1359" t="s">
        <v>2003</v>
      </c>
      <c r="F407" s="1346" t="s">
        <v>2933</v>
      </c>
      <c r="G407" s="591"/>
      <c r="H407" s="591"/>
    </row>
    <row r="408" ht="25.5" customHeight="1">
      <c r="A408" s="1135">
        <v>45455.0</v>
      </c>
      <c r="B408" s="499" t="s">
        <v>1352</v>
      </c>
      <c r="C408" s="499" t="s">
        <v>3197</v>
      </c>
      <c r="D408" s="1358"/>
      <c r="E408" s="1359" t="s">
        <v>2003</v>
      </c>
      <c r="F408" s="1346" t="s">
        <v>2933</v>
      </c>
      <c r="G408" s="591"/>
      <c r="H408" s="591"/>
    </row>
    <row r="409" ht="25.5" customHeight="1">
      <c r="A409" s="1135">
        <v>45456.0</v>
      </c>
      <c r="B409" s="462" t="s">
        <v>3253</v>
      </c>
      <c r="C409" s="462" t="s">
        <v>3254</v>
      </c>
      <c r="D409" s="1358"/>
      <c r="E409" s="1359" t="s">
        <v>2003</v>
      </c>
      <c r="F409" s="1346" t="s">
        <v>2933</v>
      </c>
      <c r="G409" s="591"/>
      <c r="H409" s="591"/>
    </row>
    <row r="410" ht="25.5" customHeight="1">
      <c r="A410" s="1135">
        <v>45456.0</v>
      </c>
      <c r="B410" s="462" t="s">
        <v>1352</v>
      </c>
      <c r="C410" s="462" t="s">
        <v>3254</v>
      </c>
      <c r="D410" s="1358"/>
      <c r="E410" s="1359" t="s">
        <v>2003</v>
      </c>
      <c r="F410" s="1346" t="s">
        <v>2933</v>
      </c>
      <c r="G410" s="591"/>
      <c r="H410" s="591"/>
    </row>
    <row r="411" ht="25.5" customHeight="1">
      <c r="A411" s="1135">
        <v>45456.0</v>
      </c>
      <c r="B411" s="462" t="s">
        <v>2701</v>
      </c>
      <c r="C411" s="462" t="s">
        <v>3255</v>
      </c>
      <c r="D411" s="1358"/>
      <c r="E411" s="1359" t="s">
        <v>2003</v>
      </c>
      <c r="F411" s="1346" t="s">
        <v>2933</v>
      </c>
      <c r="G411" s="591"/>
      <c r="H411" s="591"/>
    </row>
    <row r="412" ht="25.5" customHeight="1">
      <c r="A412" s="1135">
        <v>45457.0</v>
      </c>
      <c r="B412" s="462" t="s">
        <v>3245</v>
      </c>
      <c r="C412" s="462" t="s">
        <v>3256</v>
      </c>
      <c r="D412" s="1358"/>
      <c r="E412" s="1359" t="s">
        <v>2003</v>
      </c>
      <c r="F412" s="1346" t="s">
        <v>2933</v>
      </c>
      <c r="G412" s="591"/>
      <c r="H412" s="591"/>
    </row>
    <row r="413" ht="25.5" customHeight="1">
      <c r="A413" s="1135">
        <v>45457.0</v>
      </c>
      <c r="B413" s="499" t="s">
        <v>2704</v>
      </c>
      <c r="C413" s="462" t="s">
        <v>3257</v>
      </c>
      <c r="D413" s="1358"/>
      <c r="E413" s="1359" t="s">
        <v>2003</v>
      </c>
      <c r="F413" s="1346" t="s">
        <v>2933</v>
      </c>
      <c r="G413" s="591"/>
      <c r="H413" s="591"/>
    </row>
    <row r="414" ht="25.5" customHeight="1">
      <c r="A414" s="1362">
        <v>45457.0</v>
      </c>
      <c r="B414" s="462" t="s">
        <v>3250</v>
      </c>
      <c r="C414" s="462" t="s">
        <v>3258</v>
      </c>
      <c r="D414" s="1358"/>
      <c r="E414" s="1359" t="s">
        <v>2003</v>
      </c>
      <c r="F414" s="1346" t="s">
        <v>2933</v>
      </c>
      <c r="G414" s="591"/>
      <c r="H414" s="591"/>
    </row>
    <row r="415" ht="25.5" customHeight="1">
      <c r="A415" s="1135">
        <v>45457.0</v>
      </c>
      <c r="B415" s="462" t="s">
        <v>3259</v>
      </c>
      <c r="C415" s="499" t="s">
        <v>3207</v>
      </c>
      <c r="D415" s="1358"/>
      <c r="E415" s="1359" t="s">
        <v>2003</v>
      </c>
      <c r="F415" s="1346" t="s">
        <v>2933</v>
      </c>
      <c r="G415" s="591"/>
      <c r="H415" s="591"/>
    </row>
    <row r="416" ht="25.5" customHeight="1">
      <c r="A416" s="1135">
        <v>45458.0</v>
      </c>
      <c r="B416" s="499" t="s">
        <v>2704</v>
      </c>
      <c r="C416" s="462" t="s">
        <v>3260</v>
      </c>
      <c r="D416" s="1358"/>
      <c r="E416" s="1359" t="s">
        <v>2003</v>
      </c>
      <c r="F416" s="1346" t="s">
        <v>2933</v>
      </c>
      <c r="G416" s="591"/>
      <c r="H416" s="591"/>
    </row>
    <row r="417" ht="25.5" customHeight="1">
      <c r="A417" s="1135">
        <v>45458.0</v>
      </c>
      <c r="B417" s="462" t="s">
        <v>3245</v>
      </c>
      <c r="C417" s="462" t="s">
        <v>3261</v>
      </c>
      <c r="D417" s="1358"/>
      <c r="E417" s="1359" t="s">
        <v>2003</v>
      </c>
      <c r="F417" s="1346" t="s">
        <v>2933</v>
      </c>
      <c r="G417" s="591"/>
      <c r="H417" s="591"/>
    </row>
    <row r="418" ht="25.5" customHeight="1">
      <c r="A418" s="1135">
        <v>45458.0</v>
      </c>
      <c r="B418" s="462" t="s">
        <v>3262</v>
      </c>
      <c r="C418" s="462" t="s">
        <v>3251</v>
      </c>
      <c r="D418" s="1358"/>
      <c r="E418" s="1359" t="s">
        <v>2003</v>
      </c>
      <c r="F418" s="1346" t="s">
        <v>2933</v>
      </c>
      <c r="G418" s="591"/>
      <c r="H418" s="591"/>
    </row>
    <row r="419" ht="25.5" customHeight="1">
      <c r="A419" s="1135">
        <v>45458.0</v>
      </c>
      <c r="B419" s="462" t="s">
        <v>3259</v>
      </c>
      <c r="C419" s="462" t="s">
        <v>3263</v>
      </c>
      <c r="D419" s="1358"/>
      <c r="E419" s="1359" t="s">
        <v>2003</v>
      </c>
      <c r="F419" s="1346" t="s">
        <v>2933</v>
      </c>
      <c r="G419" s="591"/>
      <c r="H419" s="591"/>
    </row>
    <row r="420" ht="25.5" customHeight="1">
      <c r="A420" s="1135">
        <v>45459.0</v>
      </c>
      <c r="B420" s="462" t="s">
        <v>3259</v>
      </c>
      <c r="C420" s="462" t="s">
        <v>3264</v>
      </c>
      <c r="D420" s="1358"/>
      <c r="E420" s="1359" t="s">
        <v>2003</v>
      </c>
      <c r="F420" s="1346" t="s">
        <v>2933</v>
      </c>
      <c r="G420" s="591"/>
      <c r="H420" s="591"/>
    </row>
    <row r="421" ht="25.5" customHeight="1">
      <c r="A421" s="1135">
        <v>45459.0</v>
      </c>
      <c r="B421" s="462" t="s">
        <v>3265</v>
      </c>
      <c r="C421" s="462" t="s">
        <v>3254</v>
      </c>
      <c r="D421" s="1358"/>
      <c r="E421" s="1359" t="s">
        <v>2003</v>
      </c>
      <c r="F421" s="1346" t="s">
        <v>2933</v>
      </c>
      <c r="G421" s="591"/>
      <c r="H421" s="591"/>
    </row>
    <row r="422" ht="25.5" customHeight="1">
      <c r="A422" s="1135">
        <v>45459.0</v>
      </c>
      <c r="B422" s="462" t="s">
        <v>1358</v>
      </c>
      <c r="C422" s="1363" t="s">
        <v>3266</v>
      </c>
      <c r="D422" s="1358"/>
      <c r="E422" s="1359" t="s">
        <v>2003</v>
      </c>
      <c r="F422" s="1346" t="s">
        <v>2933</v>
      </c>
      <c r="G422" s="591"/>
      <c r="H422" s="591"/>
    </row>
    <row r="423" ht="25.5" customHeight="1">
      <c r="A423" s="1135">
        <v>45460.0</v>
      </c>
      <c r="B423" s="499" t="s">
        <v>2704</v>
      </c>
      <c r="C423" s="1363" t="s">
        <v>3267</v>
      </c>
      <c r="D423" s="1358"/>
      <c r="E423" s="1359" t="s">
        <v>2003</v>
      </c>
      <c r="F423" s="1346" t="s">
        <v>2933</v>
      </c>
      <c r="G423" s="591"/>
      <c r="H423" s="591"/>
    </row>
    <row r="424" ht="25.5" customHeight="1">
      <c r="A424" s="1135">
        <v>45461.0</v>
      </c>
      <c r="B424" s="462" t="s">
        <v>3268</v>
      </c>
      <c r="C424" s="1363" t="s">
        <v>1297</v>
      </c>
      <c r="D424" s="1358"/>
      <c r="E424" s="1359" t="s">
        <v>2003</v>
      </c>
      <c r="F424" s="1346" t="s">
        <v>2933</v>
      </c>
      <c r="G424" s="591"/>
      <c r="H424" s="591"/>
    </row>
    <row r="425" ht="25.5" customHeight="1">
      <c r="A425" s="1135">
        <v>45462.0</v>
      </c>
      <c r="B425" s="462" t="s">
        <v>3269</v>
      </c>
      <c r="C425" s="1363" t="s">
        <v>3218</v>
      </c>
      <c r="D425" s="1358"/>
      <c r="E425" s="1359" t="s">
        <v>2003</v>
      </c>
      <c r="F425" s="1346" t="s">
        <v>2933</v>
      </c>
      <c r="G425" s="591"/>
      <c r="H425" s="591"/>
    </row>
    <row r="426" ht="25.5" customHeight="1">
      <c r="A426" s="1135">
        <v>45462.0</v>
      </c>
      <c r="B426" s="462" t="s">
        <v>3270</v>
      </c>
      <c r="C426" s="1363" t="s">
        <v>3271</v>
      </c>
      <c r="D426" s="1358"/>
      <c r="E426" s="1359" t="s">
        <v>2003</v>
      </c>
      <c r="F426" s="1346" t="s">
        <v>2933</v>
      </c>
      <c r="G426" s="591"/>
      <c r="H426" s="591"/>
    </row>
    <row r="427" ht="25.5" customHeight="1">
      <c r="A427" s="1135">
        <v>45462.0</v>
      </c>
      <c r="B427" s="462" t="s">
        <v>2701</v>
      </c>
      <c r="C427" s="1363" t="s">
        <v>3272</v>
      </c>
      <c r="D427" s="1358"/>
      <c r="E427" s="1359" t="s">
        <v>2003</v>
      </c>
      <c r="F427" s="1346" t="s">
        <v>2933</v>
      </c>
      <c r="G427" s="591"/>
      <c r="H427" s="591"/>
    </row>
    <row r="428" ht="25.5" customHeight="1">
      <c r="A428" s="1135">
        <v>45462.0</v>
      </c>
      <c r="B428" s="499" t="s">
        <v>3268</v>
      </c>
      <c r="C428" s="499" t="s">
        <v>3197</v>
      </c>
      <c r="D428" s="1358"/>
      <c r="E428" s="1359" t="s">
        <v>2003</v>
      </c>
      <c r="F428" s="1346" t="s">
        <v>2933</v>
      </c>
      <c r="G428" s="591"/>
      <c r="H428" s="591"/>
    </row>
    <row r="429" ht="25.5" customHeight="1">
      <c r="A429" s="1135">
        <v>45462.0</v>
      </c>
      <c r="B429" s="462" t="s">
        <v>3273</v>
      </c>
      <c r="C429" s="1363" t="s">
        <v>3187</v>
      </c>
      <c r="D429" s="1358"/>
      <c r="E429" s="1359" t="s">
        <v>2003</v>
      </c>
      <c r="F429" s="1346" t="s">
        <v>2933</v>
      </c>
      <c r="G429" s="591"/>
      <c r="H429" s="591"/>
    </row>
    <row r="430" ht="25.5" customHeight="1">
      <c r="A430" s="1135">
        <v>45463.0</v>
      </c>
      <c r="B430" s="462" t="s">
        <v>1361</v>
      </c>
      <c r="C430" s="1363" t="s">
        <v>3274</v>
      </c>
      <c r="D430" s="1358"/>
      <c r="E430" s="1359" t="s">
        <v>2003</v>
      </c>
      <c r="F430" s="1346" t="s">
        <v>2933</v>
      </c>
      <c r="G430" s="591"/>
      <c r="H430" s="591"/>
    </row>
    <row r="431" ht="25.5" customHeight="1">
      <c r="A431" s="1135">
        <v>45464.0</v>
      </c>
      <c r="B431" s="462" t="s">
        <v>3268</v>
      </c>
      <c r="C431" s="1363" t="s">
        <v>3271</v>
      </c>
      <c r="D431" s="1358"/>
      <c r="E431" s="1359" t="s">
        <v>2003</v>
      </c>
      <c r="F431" s="1346" t="s">
        <v>2933</v>
      </c>
      <c r="G431" s="591"/>
      <c r="H431" s="591"/>
    </row>
    <row r="432" ht="25.5" customHeight="1">
      <c r="A432" s="1135">
        <v>45464.0</v>
      </c>
      <c r="B432" s="462" t="s">
        <v>3275</v>
      </c>
      <c r="C432" s="1363" t="s">
        <v>3276</v>
      </c>
      <c r="D432" s="1358"/>
      <c r="E432" s="1359" t="s">
        <v>2003</v>
      </c>
      <c r="F432" s="1346" t="s">
        <v>3277</v>
      </c>
      <c r="G432" s="591"/>
      <c r="H432" s="591"/>
    </row>
    <row r="433" ht="25.5" customHeight="1">
      <c r="A433" s="1135">
        <v>45464.0</v>
      </c>
      <c r="B433" s="462" t="s">
        <v>1361</v>
      </c>
      <c r="C433" s="462" t="s">
        <v>3197</v>
      </c>
      <c r="D433" s="1358"/>
      <c r="E433" s="1359" t="s">
        <v>2003</v>
      </c>
      <c r="F433" s="1346" t="s">
        <v>2933</v>
      </c>
      <c r="G433" s="591"/>
      <c r="H433" s="591"/>
    </row>
    <row r="434" ht="25.5" customHeight="1">
      <c r="A434" s="1135">
        <v>45464.0</v>
      </c>
      <c r="B434" s="462" t="s">
        <v>2586</v>
      </c>
      <c r="C434" s="1363" t="s">
        <v>3187</v>
      </c>
      <c r="D434" s="1358"/>
      <c r="E434" s="1359" t="s">
        <v>2003</v>
      </c>
      <c r="F434" s="1346" t="s">
        <v>2933</v>
      </c>
      <c r="G434" s="591"/>
      <c r="H434" s="591"/>
    </row>
    <row r="435" ht="25.5" customHeight="1">
      <c r="A435" s="1135">
        <v>45465.0</v>
      </c>
      <c r="B435" s="462" t="s">
        <v>2586</v>
      </c>
      <c r="C435" s="1363" t="s">
        <v>1430</v>
      </c>
      <c r="D435" s="1358"/>
      <c r="E435" s="1359" t="s">
        <v>2003</v>
      </c>
      <c r="F435" s="1346" t="s">
        <v>2933</v>
      </c>
      <c r="G435" s="591"/>
      <c r="H435" s="591"/>
    </row>
    <row r="436" ht="25.5" customHeight="1">
      <c r="A436" s="1135">
        <v>45465.0</v>
      </c>
      <c r="B436" s="462" t="s">
        <v>3268</v>
      </c>
      <c r="C436" s="1363" t="s">
        <v>3278</v>
      </c>
      <c r="D436" s="1358"/>
      <c r="E436" s="1359" t="s">
        <v>2003</v>
      </c>
      <c r="F436" s="1346" t="s">
        <v>2933</v>
      </c>
      <c r="G436" s="591"/>
      <c r="H436" s="591"/>
    </row>
    <row r="437" ht="25.5" customHeight="1">
      <c r="A437" s="1135">
        <v>45469.0</v>
      </c>
      <c r="B437" s="462" t="s">
        <v>3279</v>
      </c>
      <c r="C437" s="1363" t="s">
        <v>3280</v>
      </c>
      <c r="D437" s="1358"/>
      <c r="E437" s="1359" t="s">
        <v>2003</v>
      </c>
      <c r="F437" s="1346" t="s">
        <v>2933</v>
      </c>
      <c r="G437" s="591"/>
      <c r="H437" s="591"/>
    </row>
    <row r="438" ht="25.5" customHeight="1">
      <c r="A438" s="1135">
        <v>45469.0</v>
      </c>
      <c r="B438" s="462" t="s">
        <v>3281</v>
      </c>
      <c r="C438" s="462" t="s">
        <v>3282</v>
      </c>
      <c r="D438" s="1358"/>
      <c r="E438" s="1359" t="s">
        <v>2003</v>
      </c>
      <c r="F438" s="1346" t="s">
        <v>2933</v>
      </c>
      <c r="G438" s="591"/>
      <c r="H438" s="591"/>
    </row>
    <row r="439" ht="25.5" customHeight="1">
      <c r="A439" s="1135">
        <v>45470.0</v>
      </c>
      <c r="B439" s="462" t="s">
        <v>3283</v>
      </c>
      <c r="C439" s="1363" t="s">
        <v>3218</v>
      </c>
      <c r="D439" s="1358"/>
      <c r="E439" s="1359" t="s">
        <v>2003</v>
      </c>
      <c r="F439" s="1346" t="s">
        <v>2933</v>
      </c>
      <c r="G439" s="591"/>
      <c r="H439" s="591"/>
    </row>
    <row r="440" ht="25.5" customHeight="1">
      <c r="A440" s="1135">
        <v>45471.0</v>
      </c>
      <c r="B440" s="499" t="s">
        <v>3279</v>
      </c>
      <c r="C440" s="1363" t="s">
        <v>3284</v>
      </c>
      <c r="D440" s="1358"/>
      <c r="E440" s="1359" t="s">
        <v>2003</v>
      </c>
      <c r="F440" s="1346" t="s">
        <v>2933</v>
      </c>
      <c r="G440" s="591"/>
      <c r="H440" s="591"/>
    </row>
    <row r="441" ht="25.5" customHeight="1">
      <c r="A441" s="1135">
        <v>45473.0</v>
      </c>
      <c r="B441" s="462" t="s">
        <v>3285</v>
      </c>
      <c r="C441" s="1363" t="s">
        <v>3286</v>
      </c>
      <c r="D441" s="1358"/>
      <c r="E441" s="1359" t="s">
        <v>2003</v>
      </c>
      <c r="F441" s="1346" t="s">
        <v>2933</v>
      </c>
      <c r="G441" s="591"/>
      <c r="H441" s="591"/>
    </row>
    <row r="442" ht="25.5" customHeight="1">
      <c r="A442" s="1135">
        <v>45475.0</v>
      </c>
      <c r="B442" s="462" t="s">
        <v>1369</v>
      </c>
      <c r="C442" s="1364" t="s">
        <v>3287</v>
      </c>
      <c r="D442" s="1358"/>
      <c r="E442" s="1359" t="s">
        <v>2003</v>
      </c>
      <c r="F442" s="1346" t="s">
        <v>2933</v>
      </c>
      <c r="G442" s="591"/>
      <c r="H442" s="591"/>
    </row>
    <row r="443" ht="25.5" customHeight="1">
      <c r="A443" s="1135">
        <v>45475.0</v>
      </c>
      <c r="B443" s="462" t="s">
        <v>3285</v>
      </c>
      <c r="C443" s="1363" t="s">
        <v>3288</v>
      </c>
      <c r="D443" s="1358"/>
      <c r="E443" s="1359" t="s">
        <v>2003</v>
      </c>
      <c r="F443" s="1346" t="s">
        <v>2933</v>
      </c>
      <c r="G443" s="591"/>
      <c r="H443" s="591"/>
    </row>
    <row r="444" ht="25.5" customHeight="1">
      <c r="A444" s="1135">
        <v>45476.0</v>
      </c>
      <c r="B444" s="462" t="s">
        <v>3289</v>
      </c>
      <c r="C444" s="1364" t="s">
        <v>1220</v>
      </c>
      <c r="D444" s="1358"/>
      <c r="E444" s="1359" t="s">
        <v>2003</v>
      </c>
      <c r="F444" s="1346" t="s">
        <v>2933</v>
      </c>
      <c r="G444" s="591"/>
      <c r="H444" s="591"/>
    </row>
    <row r="445" ht="25.5" customHeight="1">
      <c r="A445" s="1135">
        <v>45476.0</v>
      </c>
      <c r="B445" s="462" t="s">
        <v>1369</v>
      </c>
      <c r="C445" s="1363" t="s">
        <v>3290</v>
      </c>
      <c r="D445" s="1358"/>
      <c r="E445" s="1359" t="s">
        <v>2003</v>
      </c>
      <c r="F445" s="1346" t="s">
        <v>2933</v>
      </c>
      <c r="G445" s="591"/>
      <c r="H445" s="591"/>
    </row>
    <row r="446" ht="25.5" customHeight="1">
      <c r="A446" s="1135">
        <v>45477.0</v>
      </c>
      <c r="B446" s="462" t="s">
        <v>3289</v>
      </c>
      <c r="C446" s="1363" t="s">
        <v>3252</v>
      </c>
      <c r="D446" s="1358"/>
      <c r="E446" s="1359" t="s">
        <v>2003</v>
      </c>
      <c r="F446" s="1346" t="s">
        <v>2933</v>
      </c>
      <c r="G446" s="591"/>
      <c r="H446" s="591"/>
    </row>
    <row r="447" ht="25.5" customHeight="1">
      <c r="A447" s="1135">
        <v>45477.0</v>
      </c>
      <c r="B447" s="462" t="s">
        <v>1369</v>
      </c>
      <c r="C447" s="1363" t="s">
        <v>3291</v>
      </c>
      <c r="D447" s="1358"/>
      <c r="E447" s="1359" t="s">
        <v>2003</v>
      </c>
      <c r="F447" s="1346" t="s">
        <v>2933</v>
      </c>
      <c r="G447" s="591"/>
      <c r="H447" s="591"/>
    </row>
    <row r="448" ht="25.5" customHeight="1">
      <c r="A448" s="1135">
        <v>45478.0</v>
      </c>
      <c r="B448" s="462" t="s">
        <v>3289</v>
      </c>
      <c r="C448" s="1363" t="s">
        <v>3292</v>
      </c>
      <c r="D448" s="1358"/>
      <c r="E448" s="1359" t="s">
        <v>2003</v>
      </c>
      <c r="F448" s="1346" t="s">
        <v>2933</v>
      </c>
      <c r="G448" s="591"/>
      <c r="H448" s="591"/>
    </row>
    <row r="449" ht="25.5" customHeight="1">
      <c r="A449" s="1135">
        <v>45480.0</v>
      </c>
      <c r="B449" s="462" t="s">
        <v>3289</v>
      </c>
      <c r="C449" s="1363" t="s">
        <v>1430</v>
      </c>
      <c r="D449" s="1358"/>
      <c r="E449" s="1359" t="s">
        <v>2003</v>
      </c>
      <c r="F449" s="1346" t="s">
        <v>2933</v>
      </c>
      <c r="G449" s="591"/>
      <c r="H449" s="591"/>
    </row>
    <row r="450" ht="25.5" customHeight="1">
      <c r="A450" s="1135">
        <v>45480.0</v>
      </c>
      <c r="B450" s="462" t="s">
        <v>3293</v>
      </c>
      <c r="C450" s="1363" t="s">
        <v>3294</v>
      </c>
      <c r="D450" s="1358"/>
      <c r="E450" s="1359" t="s">
        <v>2003</v>
      </c>
      <c r="F450" s="1346" t="s">
        <v>2933</v>
      </c>
      <c r="G450" s="591"/>
      <c r="H450" s="591"/>
    </row>
    <row r="451" ht="25.5" customHeight="1">
      <c r="A451" s="1135">
        <v>45482.0</v>
      </c>
      <c r="B451" s="462" t="s">
        <v>3295</v>
      </c>
      <c r="C451" s="1363" t="s">
        <v>3296</v>
      </c>
      <c r="D451" s="1358"/>
      <c r="E451" s="1359" t="s">
        <v>2003</v>
      </c>
      <c r="F451" s="1346" t="s">
        <v>2933</v>
      </c>
      <c r="G451" s="591"/>
      <c r="H451" s="591"/>
    </row>
    <row r="452" ht="25.5" customHeight="1">
      <c r="A452" s="1135">
        <v>45482.0</v>
      </c>
      <c r="B452" s="462" t="s">
        <v>3297</v>
      </c>
      <c r="C452" s="1363" t="s">
        <v>3298</v>
      </c>
      <c r="D452" s="1358"/>
      <c r="E452" s="1359" t="s">
        <v>2003</v>
      </c>
      <c r="F452" s="1346" t="s">
        <v>2933</v>
      </c>
      <c r="G452" s="591"/>
      <c r="H452" s="591"/>
    </row>
    <row r="453" ht="25.5" customHeight="1">
      <c r="A453" s="1135">
        <v>45482.0</v>
      </c>
      <c r="B453" s="462" t="s">
        <v>3299</v>
      </c>
      <c r="C453" s="1363" t="s">
        <v>3296</v>
      </c>
      <c r="D453" s="1358"/>
      <c r="E453" s="1359" t="s">
        <v>2003</v>
      </c>
      <c r="F453" s="1346" t="s">
        <v>2933</v>
      </c>
      <c r="G453" s="591"/>
      <c r="H453" s="591"/>
    </row>
    <row r="454" ht="25.5" customHeight="1">
      <c r="A454" s="1135">
        <v>45482.0</v>
      </c>
      <c r="B454" s="462" t="s">
        <v>3300</v>
      </c>
      <c r="C454" s="1363" t="s">
        <v>3301</v>
      </c>
      <c r="D454" s="1358"/>
      <c r="E454" s="1359" t="s">
        <v>2003</v>
      </c>
      <c r="F454" s="1346" t="s">
        <v>2933</v>
      </c>
      <c r="G454" s="591"/>
      <c r="H454" s="591"/>
    </row>
    <row r="455" ht="25.5" customHeight="1">
      <c r="A455" s="1135">
        <v>45483.0</v>
      </c>
      <c r="B455" s="462" t="s">
        <v>3300</v>
      </c>
      <c r="C455" s="1363" t="s">
        <v>1350</v>
      </c>
      <c r="D455" s="1358"/>
      <c r="E455" s="1359" t="s">
        <v>2003</v>
      </c>
      <c r="F455" s="1346" t="s">
        <v>2933</v>
      </c>
      <c r="G455" s="591"/>
      <c r="H455" s="591"/>
    </row>
    <row r="456" ht="25.5" customHeight="1">
      <c r="A456" s="1362">
        <v>45483.0</v>
      </c>
      <c r="B456" s="462" t="s">
        <v>3302</v>
      </c>
      <c r="C456" s="1363" t="s">
        <v>3303</v>
      </c>
      <c r="D456" s="1358"/>
      <c r="E456" s="1359" t="s">
        <v>2003</v>
      </c>
      <c r="F456" s="1346" t="s">
        <v>2933</v>
      </c>
      <c r="G456" s="591"/>
      <c r="H456" s="591"/>
    </row>
    <row r="457" ht="25.5" customHeight="1">
      <c r="A457" s="1135">
        <v>45485.0</v>
      </c>
      <c r="B457" s="462" t="s">
        <v>3302</v>
      </c>
      <c r="C457" s="1363" t="s">
        <v>1378</v>
      </c>
      <c r="D457" s="1358"/>
      <c r="E457" s="1359" t="s">
        <v>2003</v>
      </c>
      <c r="F457" s="1346" t="s">
        <v>2933</v>
      </c>
      <c r="G457" s="591"/>
      <c r="H457" s="591"/>
    </row>
    <row r="458" ht="25.5" customHeight="1">
      <c r="A458" s="1135">
        <v>45486.0</v>
      </c>
      <c r="B458" s="499" t="s">
        <v>3295</v>
      </c>
      <c r="C458" s="1363" t="s">
        <v>3237</v>
      </c>
      <c r="D458" s="1358"/>
      <c r="E458" s="1359" t="s">
        <v>2003</v>
      </c>
      <c r="F458" s="1346" t="s">
        <v>2779</v>
      </c>
      <c r="G458" s="591"/>
      <c r="H458" s="591"/>
    </row>
    <row r="459" ht="25.5" customHeight="1">
      <c r="A459" s="1362">
        <v>45486.0</v>
      </c>
      <c r="B459" s="462" t="s">
        <v>3302</v>
      </c>
      <c r="C459" s="1363" t="s">
        <v>3304</v>
      </c>
      <c r="D459" s="1358"/>
      <c r="E459" s="1359" t="s">
        <v>2003</v>
      </c>
      <c r="F459" s="1346" t="s">
        <v>2933</v>
      </c>
      <c r="G459" s="591"/>
      <c r="H459" s="591"/>
    </row>
    <row r="460" ht="25.5" customHeight="1">
      <c r="A460" s="1135">
        <v>45488.0</v>
      </c>
      <c r="B460" s="499" t="s">
        <v>1377</v>
      </c>
      <c r="C460" s="1363" t="s">
        <v>3260</v>
      </c>
      <c r="D460" s="1358"/>
      <c r="E460" s="1359" t="s">
        <v>2003</v>
      </c>
      <c r="F460" s="1346" t="s">
        <v>2933</v>
      </c>
      <c r="G460" s="591"/>
      <c r="H460" s="591"/>
    </row>
    <row r="461" ht="25.5" customHeight="1">
      <c r="A461" s="1135">
        <v>45492.0</v>
      </c>
      <c r="B461" s="462" t="s">
        <v>3305</v>
      </c>
      <c r="C461" s="1363" t="s">
        <v>3306</v>
      </c>
      <c r="D461" s="1358"/>
      <c r="E461" s="1359" t="s">
        <v>2003</v>
      </c>
      <c r="F461" s="1346" t="s">
        <v>2933</v>
      </c>
      <c r="G461" s="591"/>
      <c r="H461" s="591"/>
    </row>
    <row r="462" ht="25.5" customHeight="1">
      <c r="A462" s="1135">
        <v>45495.0</v>
      </c>
      <c r="B462" s="462" t="s">
        <v>3307</v>
      </c>
      <c r="C462" s="1363" t="s">
        <v>3260</v>
      </c>
      <c r="D462" s="1358"/>
      <c r="E462" s="1359" t="s">
        <v>2003</v>
      </c>
      <c r="F462" s="1346" t="s">
        <v>2933</v>
      </c>
      <c r="G462" s="591"/>
      <c r="H462" s="591"/>
    </row>
    <row r="463" ht="25.5" customHeight="1">
      <c r="A463" s="1135">
        <v>45498.0</v>
      </c>
      <c r="B463" s="462" t="s">
        <v>3308</v>
      </c>
      <c r="C463" s="1363" t="s">
        <v>3219</v>
      </c>
      <c r="D463" s="1358"/>
      <c r="E463" s="1359" t="s">
        <v>2003</v>
      </c>
      <c r="F463" s="1346" t="s">
        <v>2933</v>
      </c>
      <c r="G463" s="591"/>
      <c r="H463" s="591"/>
    </row>
    <row r="464" ht="25.5" customHeight="1">
      <c r="A464" s="1135">
        <v>45499.0</v>
      </c>
      <c r="B464" s="462" t="s">
        <v>3309</v>
      </c>
      <c r="C464" s="1363" t="s">
        <v>3310</v>
      </c>
      <c r="D464" s="1358"/>
      <c r="E464" s="1359" t="s">
        <v>2003</v>
      </c>
      <c r="F464" s="1346" t="s">
        <v>2933</v>
      </c>
      <c r="G464" s="591"/>
      <c r="H464" s="591"/>
    </row>
    <row r="465" ht="25.5" customHeight="1">
      <c r="A465" s="1135">
        <v>45499.0</v>
      </c>
      <c r="B465" s="462" t="s">
        <v>3311</v>
      </c>
      <c r="C465" s="1363" t="s">
        <v>3260</v>
      </c>
      <c r="D465" s="1358"/>
      <c r="E465" s="1359" t="s">
        <v>2003</v>
      </c>
      <c r="F465" s="1346" t="s">
        <v>2933</v>
      </c>
      <c r="G465" s="591"/>
      <c r="H465" s="591"/>
    </row>
    <row r="466" ht="25.5" customHeight="1">
      <c r="A466" s="1135">
        <v>45500.0</v>
      </c>
      <c r="B466" s="462" t="s">
        <v>3311</v>
      </c>
      <c r="C466" s="1363" t="s">
        <v>3290</v>
      </c>
      <c r="D466" s="1358"/>
      <c r="E466" s="1359" t="s">
        <v>2003</v>
      </c>
      <c r="F466" s="1346" t="s">
        <v>2933</v>
      </c>
      <c r="G466" s="591"/>
      <c r="H466" s="591"/>
    </row>
    <row r="467" ht="25.5" customHeight="1">
      <c r="A467" s="1135">
        <v>45500.0</v>
      </c>
      <c r="B467" s="462" t="s">
        <v>3309</v>
      </c>
      <c r="C467" s="1363" t="s">
        <v>3312</v>
      </c>
      <c r="D467" s="1358"/>
      <c r="E467" s="1359" t="s">
        <v>2003</v>
      </c>
      <c r="F467" s="1346" t="s">
        <v>2933</v>
      </c>
      <c r="G467" s="591"/>
      <c r="H467" s="591"/>
    </row>
    <row r="468" ht="25.5" customHeight="1">
      <c r="A468" s="1135">
        <v>45501.0</v>
      </c>
      <c r="B468" s="462" t="s">
        <v>3311</v>
      </c>
      <c r="C468" s="1363" t="s">
        <v>3313</v>
      </c>
      <c r="D468" s="1358"/>
      <c r="E468" s="1359" t="s">
        <v>2003</v>
      </c>
      <c r="F468" s="1346" t="s">
        <v>2933</v>
      </c>
      <c r="G468" s="591"/>
      <c r="H468" s="591"/>
    </row>
    <row r="469" ht="25.5" customHeight="1">
      <c r="A469" s="1135">
        <v>45502.0</v>
      </c>
      <c r="B469" s="462" t="s">
        <v>3314</v>
      </c>
      <c r="C469" s="1363" t="s">
        <v>3219</v>
      </c>
      <c r="D469" s="1358"/>
      <c r="E469" s="1359" t="s">
        <v>2003</v>
      </c>
      <c r="F469" s="1346" t="s">
        <v>2933</v>
      </c>
      <c r="G469" s="591"/>
      <c r="H469" s="591"/>
    </row>
    <row r="470" ht="25.5" customHeight="1">
      <c r="A470" s="1135">
        <v>45502.0</v>
      </c>
      <c r="B470" s="462" t="s">
        <v>3311</v>
      </c>
      <c r="C470" s="1363" t="s">
        <v>1319</v>
      </c>
      <c r="D470" s="1358"/>
      <c r="E470" s="1359" t="s">
        <v>2003</v>
      </c>
      <c r="F470" s="1346" t="s">
        <v>2933</v>
      </c>
      <c r="G470" s="591"/>
      <c r="H470" s="591"/>
    </row>
    <row r="471" ht="25.5" customHeight="1">
      <c r="A471" s="1135">
        <v>45503.0</v>
      </c>
      <c r="B471" s="462" t="s">
        <v>3315</v>
      </c>
      <c r="C471" s="1363" t="s">
        <v>3316</v>
      </c>
      <c r="D471" s="1358"/>
      <c r="E471" s="1359" t="s">
        <v>2003</v>
      </c>
      <c r="F471" s="1346" t="s">
        <v>2933</v>
      </c>
      <c r="G471" s="591"/>
      <c r="H471" s="591"/>
    </row>
    <row r="472" ht="25.5" customHeight="1">
      <c r="A472" s="1135">
        <v>45504.0</v>
      </c>
      <c r="B472" s="462" t="s">
        <v>3315</v>
      </c>
      <c r="C472" s="1363" t="s">
        <v>3317</v>
      </c>
      <c r="D472" s="1358"/>
      <c r="E472" s="1359" t="s">
        <v>2003</v>
      </c>
      <c r="F472" s="1346" t="s">
        <v>2933</v>
      </c>
      <c r="G472" s="591"/>
      <c r="H472" s="591"/>
    </row>
    <row r="473" ht="25.5" customHeight="1">
      <c r="A473" s="1135">
        <v>45505.0</v>
      </c>
      <c r="B473" s="499" t="s">
        <v>3318</v>
      </c>
      <c r="C473" s="1363" t="s">
        <v>3319</v>
      </c>
      <c r="D473" s="1358"/>
      <c r="E473" s="1359" t="s">
        <v>2003</v>
      </c>
      <c r="F473" s="1346" t="s">
        <v>2933</v>
      </c>
      <c r="G473" s="591"/>
      <c r="H473" s="591"/>
    </row>
    <row r="474" ht="25.5" customHeight="1">
      <c r="A474" s="1135">
        <v>45505.0</v>
      </c>
      <c r="B474" s="462" t="s">
        <v>3320</v>
      </c>
      <c r="C474" s="1363" t="s">
        <v>3321</v>
      </c>
      <c r="D474" s="1358"/>
      <c r="E474" s="1359" t="s">
        <v>2003</v>
      </c>
      <c r="F474" s="1346" t="s">
        <v>2933</v>
      </c>
      <c r="G474" s="591"/>
      <c r="H474" s="591"/>
    </row>
    <row r="475" ht="25.5" customHeight="1">
      <c r="A475" s="1135">
        <v>45505.0</v>
      </c>
      <c r="B475" s="462" t="s">
        <v>2713</v>
      </c>
      <c r="C475" s="1363" t="s">
        <v>1395</v>
      </c>
      <c r="D475" s="1358"/>
      <c r="E475" s="1359" t="s">
        <v>2003</v>
      </c>
      <c r="F475" s="1346" t="s">
        <v>2933</v>
      </c>
      <c r="G475" s="591"/>
      <c r="H475" s="591"/>
    </row>
    <row r="476" ht="25.5" customHeight="1">
      <c r="A476" s="1135">
        <v>45506.0</v>
      </c>
      <c r="B476" s="499" t="s">
        <v>3318</v>
      </c>
      <c r="C476" s="1363" t="s">
        <v>3322</v>
      </c>
      <c r="D476" s="1358"/>
      <c r="E476" s="1359" t="s">
        <v>2003</v>
      </c>
      <c r="F476" s="1346" t="s">
        <v>2933</v>
      </c>
      <c r="G476" s="591"/>
      <c r="H476" s="591"/>
    </row>
    <row r="477" ht="25.5" customHeight="1">
      <c r="A477" s="1135">
        <v>45506.0</v>
      </c>
      <c r="B477" s="462" t="s">
        <v>2713</v>
      </c>
      <c r="C477" s="1363" t="s">
        <v>3323</v>
      </c>
      <c r="D477" s="1358"/>
      <c r="E477" s="1359" t="s">
        <v>2003</v>
      </c>
      <c r="F477" s="1346" t="s">
        <v>2933</v>
      </c>
      <c r="G477" s="591"/>
      <c r="H477" s="591"/>
    </row>
    <row r="478" ht="25.5" customHeight="1">
      <c r="A478" s="1135">
        <v>45507.0</v>
      </c>
      <c r="B478" s="462" t="s">
        <v>3318</v>
      </c>
      <c r="C478" s="1363" t="s">
        <v>3020</v>
      </c>
      <c r="D478" s="1358"/>
      <c r="E478" s="1359" t="s">
        <v>2003</v>
      </c>
      <c r="F478" s="1346" t="s">
        <v>2933</v>
      </c>
      <c r="G478" s="591"/>
      <c r="H478" s="591"/>
    </row>
    <row r="479" ht="25.5" customHeight="1">
      <c r="A479" s="1135">
        <v>45507.0</v>
      </c>
      <c r="B479" s="462" t="s">
        <v>3324</v>
      </c>
      <c r="C479" s="1363" t="s">
        <v>1350</v>
      </c>
      <c r="D479" s="1358"/>
      <c r="E479" s="1359" t="s">
        <v>2003</v>
      </c>
      <c r="F479" s="1346" t="s">
        <v>2933</v>
      </c>
      <c r="G479" s="591"/>
      <c r="H479" s="591"/>
    </row>
    <row r="480" ht="25.5" customHeight="1">
      <c r="A480" s="1135">
        <v>45509.0</v>
      </c>
      <c r="B480" s="462" t="s">
        <v>2713</v>
      </c>
      <c r="C480" s="1363" t="s">
        <v>3325</v>
      </c>
      <c r="D480" s="1358"/>
      <c r="E480" s="1359" t="s">
        <v>2003</v>
      </c>
      <c r="F480" s="1346" t="s">
        <v>2933</v>
      </c>
      <c r="G480" s="591"/>
      <c r="H480" s="591"/>
    </row>
    <row r="481" ht="25.5" customHeight="1">
      <c r="A481" s="1135">
        <v>45511.0</v>
      </c>
      <c r="B481" s="462" t="s">
        <v>3326</v>
      </c>
      <c r="C481" s="1363" t="s">
        <v>1350</v>
      </c>
      <c r="D481" s="1358"/>
      <c r="E481" s="1359" t="s">
        <v>2003</v>
      </c>
      <c r="F481" s="1346" t="s">
        <v>2933</v>
      </c>
      <c r="G481" s="591"/>
      <c r="H481" s="591"/>
    </row>
    <row r="482" ht="25.5" customHeight="1">
      <c r="A482" s="1135">
        <v>45512.0</v>
      </c>
      <c r="B482" s="462" t="s">
        <v>3327</v>
      </c>
      <c r="C482" s="1363" t="s">
        <v>3328</v>
      </c>
      <c r="D482" s="1358"/>
      <c r="E482" s="1359" t="s">
        <v>2003</v>
      </c>
      <c r="F482" s="1346" t="s">
        <v>2933</v>
      </c>
      <c r="G482" s="591"/>
      <c r="H482" s="591"/>
    </row>
    <row r="483" ht="25.5" customHeight="1">
      <c r="A483" s="1362">
        <v>45512.0</v>
      </c>
      <c r="B483" s="462" t="s">
        <v>3329</v>
      </c>
      <c r="C483" s="1363" t="s">
        <v>3325</v>
      </c>
      <c r="D483" s="1358"/>
      <c r="E483" s="1359" t="s">
        <v>2003</v>
      </c>
      <c r="F483" s="1346" t="s">
        <v>2933</v>
      </c>
      <c r="G483" s="591"/>
      <c r="H483" s="591"/>
    </row>
    <row r="484" ht="25.5" customHeight="1">
      <c r="A484" s="1135">
        <v>45514.0</v>
      </c>
      <c r="B484" s="462" t="s">
        <v>3330</v>
      </c>
      <c r="C484" s="1363" t="s">
        <v>3331</v>
      </c>
      <c r="D484" s="1358"/>
      <c r="E484" s="1359" t="s">
        <v>2003</v>
      </c>
      <c r="F484" s="1346" t="s">
        <v>2933</v>
      </c>
      <c r="G484" s="591"/>
      <c r="H484" s="591"/>
    </row>
    <row r="485" ht="25.5" customHeight="1">
      <c r="A485" s="1135">
        <v>45515.0</v>
      </c>
      <c r="B485" s="462" t="s">
        <v>3330</v>
      </c>
      <c r="C485" s="1363" t="s">
        <v>1395</v>
      </c>
      <c r="D485" s="1358"/>
      <c r="E485" s="1359" t="s">
        <v>2003</v>
      </c>
      <c r="F485" s="1346" t="s">
        <v>2933</v>
      </c>
      <c r="G485" s="591"/>
      <c r="H485" s="591"/>
    </row>
    <row r="486" ht="25.5" customHeight="1">
      <c r="A486" s="1135">
        <v>45515.0</v>
      </c>
      <c r="B486" s="462" t="s">
        <v>3330</v>
      </c>
      <c r="C486" s="1363" t="s">
        <v>3332</v>
      </c>
      <c r="D486" s="1358"/>
      <c r="E486" s="1359" t="s">
        <v>2003</v>
      </c>
      <c r="F486" s="1346" t="s">
        <v>2933</v>
      </c>
      <c r="G486" s="591"/>
      <c r="H486" s="591"/>
    </row>
    <row r="487" ht="25.5" customHeight="1">
      <c r="A487" s="1135">
        <v>45516.0</v>
      </c>
      <c r="B487" s="462" t="s">
        <v>3330</v>
      </c>
      <c r="C487" s="1363" t="s">
        <v>1275</v>
      </c>
      <c r="D487" s="1358"/>
      <c r="E487" s="1359" t="s">
        <v>2003</v>
      </c>
      <c r="F487" s="1346" t="s">
        <v>2933</v>
      </c>
      <c r="G487" s="591"/>
      <c r="H487" s="591"/>
    </row>
    <row r="488" ht="25.5" customHeight="1">
      <c r="A488" s="1135"/>
      <c r="B488" s="462"/>
      <c r="C488" s="1363"/>
      <c r="D488" s="1358"/>
      <c r="E488" s="1359"/>
      <c r="F488" s="1346"/>
      <c r="G488" s="591"/>
      <c r="H488" s="591"/>
    </row>
    <row r="489" ht="14.25" customHeight="1">
      <c r="A489" s="591"/>
      <c r="B489" s="450"/>
      <c r="C489" s="456"/>
      <c r="D489" s="591"/>
      <c r="E489" s="520"/>
      <c r="F489" s="446"/>
      <c r="G489" s="591"/>
      <c r="H489" s="591"/>
    </row>
    <row r="490" ht="14.25" customHeight="1">
      <c r="A490" s="591"/>
      <c r="B490" s="450"/>
      <c r="C490" s="456"/>
      <c r="D490" s="591"/>
      <c r="E490" s="520"/>
      <c r="F490" s="446"/>
      <c r="G490" s="591"/>
      <c r="H490" s="591"/>
    </row>
    <row r="491" ht="14.25" customHeight="1">
      <c r="B491" s="1365"/>
      <c r="C491" s="731"/>
      <c r="E491" s="1296"/>
      <c r="F491" s="437"/>
    </row>
    <row r="492" ht="14.25" customHeight="1">
      <c r="B492" s="1365"/>
      <c r="C492" s="731"/>
      <c r="E492" s="1296"/>
      <c r="F492" s="437"/>
    </row>
    <row r="493" ht="14.25" customHeight="1">
      <c r="B493" s="1365"/>
      <c r="C493" s="731"/>
      <c r="E493" s="1296"/>
      <c r="F493" s="437"/>
    </row>
    <row r="494" ht="14.25" customHeight="1">
      <c r="B494" s="1365"/>
      <c r="C494" s="731"/>
      <c r="E494" s="1296"/>
      <c r="F494" s="437"/>
    </row>
    <row r="495" ht="14.25" customHeight="1">
      <c r="B495" s="1365"/>
      <c r="C495" s="731"/>
      <c r="E495" s="1296"/>
      <c r="F495" s="437"/>
    </row>
    <row r="496" ht="14.25" customHeight="1">
      <c r="B496" s="1365"/>
      <c r="C496" s="731"/>
      <c r="E496" s="1296"/>
      <c r="F496" s="437"/>
    </row>
    <row r="497" ht="14.25" customHeight="1">
      <c r="B497" s="1365"/>
      <c r="C497" s="731"/>
      <c r="E497" s="1296"/>
      <c r="F497" s="437"/>
    </row>
    <row r="498" ht="14.25" customHeight="1">
      <c r="B498" s="1365"/>
      <c r="C498" s="731"/>
      <c r="E498" s="1296"/>
      <c r="F498" s="437"/>
    </row>
    <row r="499" ht="14.25" customHeight="1">
      <c r="B499" s="1365"/>
      <c r="C499" s="731"/>
      <c r="E499" s="1296"/>
      <c r="F499" s="437"/>
    </row>
    <row r="500" ht="14.25" customHeight="1">
      <c r="B500" s="1365"/>
      <c r="C500" s="731"/>
      <c r="E500" s="1296"/>
      <c r="F500" s="437"/>
    </row>
    <row r="501" ht="14.25" customHeight="1">
      <c r="B501" s="1365"/>
      <c r="C501" s="731"/>
      <c r="E501" s="1296"/>
      <c r="F501" s="437"/>
    </row>
    <row r="502" ht="14.25" customHeight="1">
      <c r="B502" s="1365"/>
      <c r="C502" s="731"/>
      <c r="E502" s="1296"/>
      <c r="F502" s="437"/>
    </row>
    <row r="503" ht="14.25" customHeight="1">
      <c r="B503" s="1365"/>
      <c r="C503" s="731"/>
      <c r="E503" s="1296"/>
      <c r="F503" s="437"/>
    </row>
    <row r="504" ht="14.25" customHeight="1">
      <c r="B504" s="1365"/>
      <c r="C504" s="731"/>
      <c r="E504" s="1296"/>
      <c r="F504" s="437"/>
    </row>
    <row r="505" ht="14.25" customHeight="1">
      <c r="B505" s="1365"/>
      <c r="C505" s="731"/>
      <c r="E505" s="1296"/>
      <c r="F505" s="437"/>
    </row>
    <row r="506" ht="14.25" customHeight="1">
      <c r="B506" s="1365"/>
      <c r="C506" s="731"/>
      <c r="E506" s="1296"/>
      <c r="F506" s="437"/>
    </row>
    <row r="507" ht="14.25" customHeight="1">
      <c r="B507" s="1365"/>
      <c r="C507" s="731"/>
      <c r="E507" s="1296"/>
      <c r="F507" s="437"/>
    </row>
    <row r="508" ht="14.25" customHeight="1">
      <c r="B508" s="1365"/>
      <c r="C508" s="731"/>
      <c r="E508" s="1296"/>
      <c r="F508" s="437"/>
    </row>
    <row r="509" ht="14.25" customHeight="1">
      <c r="B509" s="1365"/>
      <c r="C509" s="731"/>
      <c r="E509" s="1296"/>
      <c r="F509" s="437"/>
    </row>
    <row r="510" ht="14.25" customHeight="1">
      <c r="B510" s="1365"/>
      <c r="C510" s="731"/>
      <c r="E510" s="1296"/>
      <c r="F510" s="437"/>
    </row>
    <row r="511" ht="14.25" customHeight="1">
      <c r="B511" s="1365"/>
      <c r="C511" s="731"/>
      <c r="E511" s="1296"/>
      <c r="F511" s="437"/>
    </row>
    <row r="512" ht="14.25" customHeight="1">
      <c r="B512" s="1365"/>
      <c r="C512" s="731"/>
      <c r="E512" s="1296"/>
      <c r="F512" s="437"/>
    </row>
    <row r="513" ht="14.25" customHeight="1">
      <c r="B513" s="1365"/>
      <c r="C513" s="731"/>
      <c r="E513" s="1296"/>
      <c r="F513" s="437"/>
    </row>
    <row r="514" ht="14.25" customHeight="1">
      <c r="B514" s="1365"/>
      <c r="C514" s="731"/>
      <c r="E514" s="1296"/>
      <c r="F514" s="437"/>
    </row>
    <row r="515" ht="14.25" customHeight="1">
      <c r="B515" s="1365"/>
      <c r="C515" s="731"/>
      <c r="E515" s="1296"/>
      <c r="F515" s="437"/>
    </row>
    <row r="516" ht="14.25" customHeight="1">
      <c r="B516" s="1365"/>
      <c r="C516" s="731"/>
      <c r="E516" s="1296"/>
      <c r="F516" s="437"/>
    </row>
    <row r="517" ht="14.25" customHeight="1">
      <c r="B517" s="1365"/>
      <c r="C517" s="731"/>
      <c r="E517" s="1296"/>
      <c r="F517" s="437"/>
    </row>
    <row r="518" ht="14.25" customHeight="1">
      <c r="B518" s="1365"/>
      <c r="C518" s="731"/>
      <c r="E518" s="1296"/>
      <c r="F518" s="437"/>
    </row>
    <row r="519" ht="14.25" customHeight="1">
      <c r="B519" s="1365"/>
      <c r="C519" s="731"/>
      <c r="E519" s="1296"/>
      <c r="F519" s="437"/>
    </row>
    <row r="520" ht="14.25" customHeight="1">
      <c r="B520" s="1365"/>
      <c r="C520" s="731"/>
      <c r="E520" s="1296"/>
      <c r="F520" s="437"/>
    </row>
    <row r="521" ht="14.25" customHeight="1">
      <c r="B521" s="1365"/>
      <c r="C521" s="731"/>
      <c r="E521" s="1296"/>
      <c r="F521" s="437"/>
    </row>
    <row r="522" ht="14.25" customHeight="1">
      <c r="B522" s="1365"/>
      <c r="C522" s="731"/>
      <c r="E522" s="1296"/>
      <c r="F522" s="437"/>
    </row>
    <row r="523" ht="14.25" customHeight="1">
      <c r="B523" s="1365"/>
      <c r="C523" s="731"/>
      <c r="E523" s="1296"/>
      <c r="F523" s="437"/>
    </row>
    <row r="524" ht="14.25" customHeight="1">
      <c r="B524" s="1365"/>
      <c r="C524" s="731"/>
      <c r="E524" s="1296"/>
      <c r="F524" s="437"/>
    </row>
    <row r="525" ht="14.25" customHeight="1">
      <c r="B525" s="1365"/>
      <c r="C525" s="731"/>
      <c r="E525" s="1296"/>
      <c r="F525" s="437"/>
    </row>
    <row r="526" ht="14.25" customHeight="1">
      <c r="B526" s="1365"/>
      <c r="C526" s="731"/>
      <c r="E526" s="1296"/>
      <c r="F526" s="437"/>
    </row>
    <row r="527" ht="14.25" customHeight="1">
      <c r="B527" s="1365"/>
      <c r="C527" s="731"/>
      <c r="E527" s="1296"/>
      <c r="F527" s="437"/>
    </row>
    <row r="528" ht="14.25" customHeight="1">
      <c r="B528" s="1365"/>
      <c r="C528" s="731"/>
      <c r="E528" s="1296"/>
      <c r="F528" s="437"/>
    </row>
    <row r="529" ht="14.25" customHeight="1">
      <c r="B529" s="1365"/>
      <c r="C529" s="731"/>
      <c r="E529" s="1296"/>
      <c r="F529" s="437"/>
    </row>
    <row r="530" ht="14.25" customHeight="1">
      <c r="B530" s="1365"/>
      <c r="C530" s="731"/>
      <c r="E530" s="1296"/>
      <c r="F530" s="437"/>
    </row>
    <row r="531" ht="14.25" customHeight="1">
      <c r="B531" s="1365"/>
      <c r="C531" s="731"/>
      <c r="E531" s="1296"/>
      <c r="F531" s="437"/>
    </row>
    <row r="532" ht="14.25" customHeight="1">
      <c r="B532" s="1365"/>
      <c r="C532" s="731"/>
      <c r="E532" s="1296"/>
      <c r="F532" s="437"/>
    </row>
    <row r="533" ht="14.25" customHeight="1">
      <c r="B533" s="1365"/>
      <c r="C533" s="731"/>
      <c r="E533" s="1296"/>
      <c r="F533" s="437"/>
    </row>
    <row r="534" ht="14.25" customHeight="1">
      <c r="B534" s="1365"/>
      <c r="C534" s="731"/>
      <c r="E534" s="1296"/>
      <c r="F534" s="437"/>
    </row>
    <row r="535" ht="14.25" customHeight="1">
      <c r="B535" s="1365"/>
      <c r="C535" s="731"/>
      <c r="E535" s="1296"/>
      <c r="F535" s="437"/>
    </row>
    <row r="536" ht="14.25" customHeight="1">
      <c r="B536" s="1365"/>
      <c r="C536" s="731"/>
      <c r="E536" s="1296"/>
      <c r="F536" s="437"/>
    </row>
    <row r="537" ht="14.25" customHeight="1">
      <c r="B537" s="1365"/>
      <c r="C537" s="731"/>
      <c r="E537" s="1296"/>
      <c r="F537" s="437"/>
    </row>
    <row r="538" ht="14.25" customHeight="1">
      <c r="B538" s="1365"/>
      <c r="C538" s="731"/>
      <c r="E538" s="1296"/>
      <c r="F538" s="437"/>
    </row>
    <row r="539" ht="14.25" customHeight="1">
      <c r="B539" s="1365"/>
      <c r="C539" s="731"/>
      <c r="E539" s="1296"/>
      <c r="F539" s="437"/>
    </row>
    <row r="540" ht="14.25" customHeight="1">
      <c r="B540" s="1365"/>
      <c r="C540" s="731"/>
      <c r="E540" s="1296"/>
      <c r="F540" s="437"/>
    </row>
    <row r="541" ht="14.25" customHeight="1">
      <c r="B541" s="1365"/>
      <c r="C541" s="731"/>
      <c r="E541" s="1296"/>
      <c r="F541" s="437"/>
    </row>
    <row r="542" ht="14.25" customHeight="1">
      <c r="B542" s="1365"/>
      <c r="C542" s="731"/>
      <c r="E542" s="1296"/>
      <c r="F542" s="437"/>
    </row>
    <row r="543" ht="14.25" customHeight="1">
      <c r="B543" s="1365"/>
      <c r="C543" s="731"/>
      <c r="E543" s="1296"/>
      <c r="F543" s="437"/>
    </row>
    <row r="544" ht="14.25" customHeight="1">
      <c r="B544" s="1365"/>
      <c r="C544" s="731"/>
      <c r="E544" s="1296"/>
      <c r="F544" s="437"/>
    </row>
    <row r="545" ht="14.25" customHeight="1">
      <c r="B545" s="1365"/>
      <c r="C545" s="731"/>
      <c r="E545" s="1296"/>
      <c r="F545" s="437"/>
    </row>
    <row r="546" ht="14.25" customHeight="1">
      <c r="B546" s="1365"/>
      <c r="C546" s="731"/>
      <c r="E546" s="1296"/>
      <c r="F546" s="437"/>
    </row>
    <row r="547" ht="14.25" customHeight="1">
      <c r="B547" s="1365"/>
      <c r="C547" s="731"/>
      <c r="E547" s="1296"/>
      <c r="F547" s="437"/>
    </row>
    <row r="548" ht="14.25" customHeight="1">
      <c r="B548" s="1365"/>
      <c r="C548" s="731"/>
      <c r="E548" s="1296"/>
      <c r="F548" s="437"/>
    </row>
    <row r="549" ht="14.25" customHeight="1">
      <c r="B549" s="1365"/>
      <c r="C549" s="731"/>
      <c r="E549" s="1296"/>
      <c r="F549" s="437"/>
    </row>
    <row r="550" ht="14.25" customHeight="1">
      <c r="B550" s="1365"/>
      <c r="C550" s="731"/>
      <c r="E550" s="1296"/>
      <c r="F550" s="437"/>
    </row>
    <row r="551" ht="14.25" customHeight="1">
      <c r="B551" s="1365"/>
      <c r="C551" s="731"/>
      <c r="E551" s="1296"/>
      <c r="F551" s="437"/>
    </row>
    <row r="552" ht="14.25" customHeight="1">
      <c r="B552" s="1365"/>
      <c r="C552" s="731"/>
      <c r="E552" s="1296"/>
      <c r="F552" s="437"/>
    </row>
    <row r="553" ht="14.25" customHeight="1">
      <c r="B553" s="1365"/>
      <c r="C553" s="731"/>
      <c r="E553" s="1296"/>
      <c r="F553" s="437"/>
    </row>
    <row r="554" ht="14.25" customHeight="1">
      <c r="B554" s="1365"/>
      <c r="C554" s="731"/>
      <c r="E554" s="1296"/>
      <c r="F554" s="437"/>
    </row>
    <row r="555" ht="14.25" customHeight="1">
      <c r="B555" s="1365"/>
      <c r="C555" s="731"/>
      <c r="E555" s="1296"/>
      <c r="F555" s="437"/>
    </row>
    <row r="556" ht="14.25" customHeight="1">
      <c r="B556" s="1365"/>
      <c r="C556" s="731"/>
      <c r="E556" s="1296"/>
      <c r="F556" s="437"/>
    </row>
    <row r="557" ht="14.25" customHeight="1">
      <c r="B557" s="1365"/>
      <c r="C557" s="731"/>
      <c r="E557" s="1296"/>
      <c r="F557" s="437"/>
    </row>
    <row r="558" ht="14.25" customHeight="1">
      <c r="B558" s="1365"/>
      <c r="C558" s="731"/>
      <c r="E558" s="1296"/>
      <c r="F558" s="437"/>
    </row>
    <row r="559" ht="14.25" customHeight="1">
      <c r="B559" s="1365"/>
      <c r="C559" s="731"/>
      <c r="E559" s="1296"/>
      <c r="F559" s="437"/>
    </row>
    <row r="560" ht="14.25" customHeight="1">
      <c r="B560" s="1365"/>
      <c r="C560" s="731"/>
      <c r="E560" s="1296"/>
      <c r="F560" s="437"/>
    </row>
    <row r="561" ht="14.25" customHeight="1">
      <c r="B561" s="1365"/>
      <c r="C561" s="731"/>
      <c r="E561" s="1296"/>
      <c r="F561" s="437"/>
    </row>
    <row r="562" ht="14.25" customHeight="1">
      <c r="B562" s="1365"/>
      <c r="C562" s="731"/>
      <c r="E562" s="1296"/>
      <c r="F562" s="437"/>
    </row>
    <row r="563" ht="14.25" customHeight="1">
      <c r="B563" s="1365"/>
      <c r="C563" s="731"/>
      <c r="E563" s="1296"/>
      <c r="F563" s="437"/>
    </row>
    <row r="564" ht="14.25" customHeight="1">
      <c r="B564" s="1365"/>
      <c r="C564" s="731"/>
      <c r="E564" s="1296"/>
      <c r="F564" s="437"/>
    </row>
    <row r="565" ht="14.25" customHeight="1">
      <c r="B565" s="1365"/>
      <c r="C565" s="731"/>
      <c r="E565" s="1296"/>
      <c r="F565" s="437"/>
    </row>
    <row r="566" ht="14.25" customHeight="1">
      <c r="B566" s="1365"/>
      <c r="C566" s="731"/>
      <c r="E566" s="1296"/>
      <c r="F566" s="437"/>
    </row>
    <row r="567" ht="14.25" customHeight="1">
      <c r="B567" s="1365"/>
      <c r="C567" s="731"/>
      <c r="E567" s="1296"/>
      <c r="F567" s="437"/>
    </row>
    <row r="568" ht="14.25" customHeight="1">
      <c r="B568" s="1365"/>
      <c r="C568" s="731"/>
      <c r="E568" s="1296"/>
      <c r="F568" s="437"/>
    </row>
    <row r="569" ht="14.25" customHeight="1">
      <c r="B569" s="1365"/>
      <c r="C569" s="731"/>
      <c r="E569" s="1296"/>
      <c r="F569" s="437"/>
    </row>
    <row r="570" ht="14.25" customHeight="1">
      <c r="B570" s="1365"/>
      <c r="C570" s="731"/>
      <c r="E570" s="1296"/>
      <c r="F570" s="437"/>
    </row>
    <row r="571" ht="14.25" customHeight="1">
      <c r="B571" s="1365"/>
      <c r="C571" s="731"/>
      <c r="E571" s="1296"/>
      <c r="F571" s="437"/>
    </row>
    <row r="572" ht="14.25" customHeight="1">
      <c r="B572" s="1365"/>
      <c r="C572" s="731"/>
      <c r="E572" s="1296"/>
      <c r="F572" s="437"/>
    </row>
    <row r="573" ht="14.25" customHeight="1">
      <c r="B573" s="1365"/>
      <c r="C573" s="731"/>
      <c r="E573" s="1296"/>
      <c r="F573" s="437"/>
    </row>
    <row r="574" ht="14.25" customHeight="1">
      <c r="B574" s="1365"/>
      <c r="C574" s="731"/>
      <c r="E574" s="1296"/>
      <c r="F574" s="437"/>
    </row>
    <row r="575" ht="14.25" customHeight="1">
      <c r="B575" s="1365"/>
      <c r="C575" s="731"/>
      <c r="E575" s="1296"/>
      <c r="F575" s="437"/>
    </row>
    <row r="576" ht="14.25" customHeight="1">
      <c r="B576" s="1365"/>
      <c r="C576" s="731"/>
      <c r="E576" s="1296"/>
      <c r="F576" s="437"/>
    </row>
    <row r="577" ht="14.25" customHeight="1">
      <c r="B577" s="1365"/>
      <c r="C577" s="731"/>
      <c r="E577" s="1296"/>
      <c r="F577" s="437"/>
    </row>
    <row r="578" ht="14.25" customHeight="1">
      <c r="B578" s="1365"/>
      <c r="C578" s="731"/>
      <c r="E578" s="1296"/>
      <c r="F578" s="437"/>
    </row>
    <row r="579" ht="14.25" customHeight="1">
      <c r="B579" s="1365"/>
      <c r="C579" s="731"/>
      <c r="E579" s="1296"/>
      <c r="F579" s="437"/>
    </row>
    <row r="580" ht="14.25" customHeight="1">
      <c r="B580" s="1365"/>
      <c r="C580" s="731"/>
      <c r="E580" s="1296"/>
      <c r="F580" s="437"/>
    </row>
    <row r="581" ht="14.25" customHeight="1">
      <c r="B581" s="1365"/>
      <c r="C581" s="731"/>
      <c r="E581" s="1296"/>
      <c r="F581" s="437"/>
    </row>
    <row r="582" ht="14.25" customHeight="1">
      <c r="B582" s="1365"/>
      <c r="C582" s="731"/>
      <c r="E582" s="1296"/>
      <c r="F582" s="437"/>
    </row>
    <row r="583" ht="14.25" customHeight="1">
      <c r="B583" s="1365"/>
      <c r="C583" s="731"/>
      <c r="E583" s="1296"/>
      <c r="F583" s="437"/>
    </row>
    <row r="584" ht="14.25" customHeight="1">
      <c r="B584" s="1365"/>
      <c r="C584" s="731"/>
      <c r="E584" s="1296"/>
      <c r="F584" s="437"/>
    </row>
    <row r="585" ht="14.25" customHeight="1">
      <c r="B585" s="1365"/>
      <c r="C585" s="731"/>
      <c r="E585" s="1296"/>
      <c r="F585" s="437"/>
    </row>
    <row r="586" ht="14.25" customHeight="1">
      <c r="B586" s="1365"/>
      <c r="C586" s="731"/>
      <c r="E586" s="1296"/>
      <c r="F586" s="437"/>
    </row>
    <row r="587" ht="14.25" customHeight="1">
      <c r="B587" s="1365"/>
      <c r="C587" s="731"/>
      <c r="E587" s="1296"/>
      <c r="F587" s="437"/>
    </row>
    <row r="588" ht="14.25" customHeight="1">
      <c r="B588" s="1365"/>
      <c r="C588" s="731"/>
      <c r="E588" s="1296"/>
      <c r="F588" s="437"/>
    </row>
    <row r="589" ht="14.25" customHeight="1">
      <c r="B589" s="1365"/>
      <c r="C589" s="731"/>
      <c r="E589" s="1296"/>
      <c r="F589" s="437"/>
    </row>
    <row r="590" ht="14.25" customHeight="1">
      <c r="B590" s="1365"/>
      <c r="C590" s="731"/>
      <c r="E590" s="1296"/>
      <c r="F590" s="437"/>
    </row>
    <row r="591" ht="14.25" customHeight="1">
      <c r="B591" s="1365"/>
      <c r="C591" s="731"/>
      <c r="E591" s="1296"/>
      <c r="F591" s="437"/>
    </row>
    <row r="592" ht="14.25" customHeight="1">
      <c r="B592" s="1365"/>
      <c r="C592" s="731"/>
      <c r="E592" s="1296"/>
      <c r="F592" s="437"/>
    </row>
    <row r="593" ht="14.25" customHeight="1">
      <c r="B593" s="1365"/>
      <c r="C593" s="731"/>
      <c r="E593" s="1296"/>
      <c r="F593" s="437"/>
    </row>
    <row r="594" ht="14.25" customHeight="1">
      <c r="B594" s="1365"/>
      <c r="C594" s="731"/>
      <c r="E594" s="1296"/>
      <c r="F594" s="437"/>
    </row>
    <row r="595" ht="14.25" customHeight="1">
      <c r="B595" s="1365"/>
      <c r="C595" s="731"/>
      <c r="E595" s="1296"/>
      <c r="F595" s="437"/>
    </row>
    <row r="596" ht="14.25" customHeight="1">
      <c r="B596" s="1365"/>
      <c r="C596" s="731"/>
      <c r="E596" s="1296"/>
      <c r="F596" s="437"/>
    </row>
    <row r="597" ht="14.25" customHeight="1">
      <c r="B597" s="1365"/>
      <c r="C597" s="731"/>
      <c r="E597" s="1296"/>
      <c r="F597" s="437"/>
    </row>
    <row r="598" ht="14.25" customHeight="1">
      <c r="B598" s="1365"/>
      <c r="C598" s="731"/>
      <c r="E598" s="1296"/>
      <c r="F598" s="437"/>
    </row>
    <row r="599" ht="14.25" customHeight="1">
      <c r="B599" s="1365"/>
      <c r="C599" s="731"/>
      <c r="E599" s="1296"/>
      <c r="F599" s="437"/>
    </row>
    <row r="600" ht="14.25" customHeight="1">
      <c r="B600" s="1365"/>
      <c r="C600" s="731"/>
      <c r="E600" s="1296"/>
      <c r="F600" s="437"/>
    </row>
    <row r="601" ht="14.25" customHeight="1">
      <c r="B601" s="1365"/>
      <c r="C601" s="731"/>
      <c r="E601" s="1296"/>
      <c r="F601" s="437"/>
    </row>
    <row r="602" ht="14.25" customHeight="1">
      <c r="B602" s="1365"/>
      <c r="C602" s="731"/>
      <c r="E602" s="1296"/>
      <c r="F602" s="437"/>
    </row>
    <row r="603" ht="14.25" customHeight="1">
      <c r="B603" s="1365"/>
      <c r="C603" s="731"/>
      <c r="E603" s="1296"/>
      <c r="F603" s="437"/>
    </row>
    <row r="604" ht="14.25" customHeight="1">
      <c r="B604" s="1365"/>
      <c r="C604" s="731"/>
      <c r="E604" s="1296"/>
      <c r="F604" s="437"/>
    </row>
    <row r="605" ht="14.25" customHeight="1">
      <c r="B605" s="1365"/>
      <c r="C605" s="731"/>
      <c r="E605" s="1296"/>
      <c r="F605" s="437"/>
    </row>
    <row r="606" ht="14.25" customHeight="1">
      <c r="B606" s="1365"/>
      <c r="C606" s="731"/>
      <c r="E606" s="1296"/>
      <c r="F606" s="437"/>
    </row>
    <row r="607" ht="14.25" customHeight="1">
      <c r="B607" s="1365"/>
      <c r="C607" s="731"/>
      <c r="E607" s="1296"/>
      <c r="F607" s="437"/>
    </row>
    <row r="608" ht="14.25" customHeight="1">
      <c r="B608" s="1365"/>
      <c r="C608" s="731"/>
      <c r="E608" s="1296"/>
      <c r="F608" s="437"/>
    </row>
    <row r="609" ht="14.25" customHeight="1">
      <c r="B609" s="1365"/>
      <c r="C609" s="731"/>
      <c r="E609" s="1296"/>
      <c r="F609" s="437"/>
    </row>
    <row r="610" ht="14.25" customHeight="1">
      <c r="B610" s="1365"/>
      <c r="C610" s="731"/>
      <c r="E610" s="1296"/>
      <c r="F610" s="437"/>
    </row>
    <row r="611" ht="14.25" customHeight="1">
      <c r="B611" s="1365"/>
      <c r="C611" s="731"/>
      <c r="E611" s="1296"/>
      <c r="F611" s="437"/>
    </row>
    <row r="612" ht="14.25" customHeight="1">
      <c r="B612" s="1365"/>
      <c r="C612" s="731"/>
      <c r="E612" s="1296"/>
      <c r="F612" s="437"/>
    </row>
    <row r="613" ht="14.25" customHeight="1">
      <c r="B613" s="1365"/>
      <c r="C613" s="731"/>
      <c r="E613" s="1296"/>
      <c r="F613" s="437"/>
    </row>
    <row r="614" ht="14.25" customHeight="1">
      <c r="B614" s="1365"/>
      <c r="C614" s="731"/>
      <c r="E614" s="1296"/>
      <c r="F614" s="437"/>
    </row>
    <row r="615" ht="14.25" customHeight="1">
      <c r="B615" s="1365"/>
      <c r="C615" s="731"/>
      <c r="E615" s="1296"/>
      <c r="F615" s="437"/>
    </row>
    <row r="616" ht="14.25" customHeight="1">
      <c r="B616" s="1365"/>
      <c r="C616" s="731"/>
      <c r="E616" s="1296"/>
      <c r="F616" s="437"/>
    </row>
    <row r="617" ht="14.25" customHeight="1">
      <c r="B617" s="1365"/>
      <c r="C617" s="731"/>
      <c r="E617" s="1296"/>
      <c r="F617" s="437"/>
    </row>
    <row r="618" ht="14.25" customHeight="1">
      <c r="B618" s="1365"/>
      <c r="C618" s="731"/>
      <c r="E618" s="1296"/>
      <c r="F618" s="437"/>
    </row>
    <row r="619" ht="14.25" customHeight="1">
      <c r="B619" s="1365"/>
      <c r="C619" s="731"/>
      <c r="E619" s="1296"/>
      <c r="F619" s="437"/>
    </row>
    <row r="620" ht="14.25" customHeight="1">
      <c r="B620" s="1365"/>
      <c r="C620" s="731"/>
      <c r="E620" s="1296"/>
      <c r="F620" s="437"/>
    </row>
    <row r="621" ht="14.25" customHeight="1">
      <c r="B621" s="1365"/>
      <c r="C621" s="731"/>
      <c r="E621" s="1296"/>
      <c r="F621" s="437"/>
    </row>
    <row r="622" ht="14.25" customHeight="1">
      <c r="B622" s="1365"/>
      <c r="C622" s="731"/>
      <c r="E622" s="1296"/>
      <c r="F622" s="437"/>
    </row>
    <row r="623" ht="14.25" customHeight="1">
      <c r="B623" s="1365"/>
      <c r="C623" s="731"/>
      <c r="E623" s="1296"/>
      <c r="F623" s="437"/>
    </row>
    <row r="624" ht="14.25" customHeight="1">
      <c r="B624" s="1365"/>
      <c r="C624" s="731"/>
      <c r="E624" s="1296"/>
      <c r="F624" s="437"/>
    </row>
    <row r="625" ht="14.25" customHeight="1">
      <c r="B625" s="1365"/>
      <c r="C625" s="731"/>
      <c r="E625" s="1296"/>
      <c r="F625" s="437"/>
    </row>
    <row r="626" ht="14.25" customHeight="1">
      <c r="B626" s="1365"/>
      <c r="C626" s="731"/>
      <c r="E626" s="1296"/>
      <c r="F626" s="437"/>
    </row>
    <row r="627" ht="14.25" customHeight="1">
      <c r="B627" s="1365"/>
      <c r="C627" s="731"/>
      <c r="E627" s="1296"/>
      <c r="F627" s="437"/>
    </row>
    <row r="628" ht="14.25" customHeight="1">
      <c r="B628" s="1365"/>
      <c r="C628" s="731"/>
      <c r="E628" s="1296"/>
      <c r="F628" s="437"/>
    </row>
    <row r="629" ht="14.25" customHeight="1">
      <c r="B629" s="1365"/>
      <c r="C629" s="731"/>
      <c r="E629" s="1296"/>
      <c r="F629" s="437"/>
    </row>
    <row r="630" ht="14.25" customHeight="1">
      <c r="B630" s="1365"/>
      <c r="C630" s="731"/>
      <c r="E630" s="1296"/>
      <c r="F630" s="437"/>
    </row>
    <row r="631" ht="14.25" customHeight="1">
      <c r="B631" s="1365"/>
      <c r="C631" s="731"/>
      <c r="E631" s="1296"/>
      <c r="F631" s="437"/>
    </row>
    <row r="632" ht="14.25" customHeight="1">
      <c r="B632" s="1365"/>
      <c r="C632" s="731"/>
      <c r="E632" s="1296"/>
      <c r="F632" s="437"/>
    </row>
    <row r="633" ht="14.25" customHeight="1">
      <c r="B633" s="1365"/>
      <c r="C633" s="731"/>
      <c r="E633" s="1296"/>
      <c r="F633" s="437"/>
    </row>
    <row r="634" ht="14.25" customHeight="1">
      <c r="B634" s="1365"/>
      <c r="C634" s="731"/>
      <c r="E634" s="1296"/>
      <c r="F634" s="437"/>
    </row>
    <row r="635" ht="14.25" customHeight="1">
      <c r="B635" s="1365"/>
      <c r="C635" s="731"/>
      <c r="E635" s="1296"/>
      <c r="F635" s="437"/>
    </row>
    <row r="636" ht="14.25" customHeight="1">
      <c r="B636" s="1365"/>
      <c r="C636" s="731"/>
      <c r="E636" s="1296"/>
      <c r="F636" s="437"/>
    </row>
    <row r="637" ht="14.25" customHeight="1">
      <c r="B637" s="1365"/>
      <c r="C637" s="731"/>
      <c r="E637" s="1296"/>
      <c r="F637" s="437"/>
    </row>
    <row r="638" ht="14.25" customHeight="1">
      <c r="B638" s="1365"/>
      <c r="C638" s="731"/>
      <c r="E638" s="1296"/>
      <c r="F638" s="437"/>
    </row>
    <row r="639" ht="14.25" customHeight="1">
      <c r="B639" s="1365"/>
      <c r="C639" s="731"/>
      <c r="E639" s="1296"/>
      <c r="F639" s="437"/>
    </row>
    <row r="640" ht="14.25" customHeight="1">
      <c r="B640" s="1365"/>
      <c r="C640" s="731"/>
      <c r="E640" s="1296"/>
      <c r="F640" s="437"/>
    </row>
    <row r="641" ht="14.25" customHeight="1">
      <c r="B641" s="1365"/>
      <c r="C641" s="731"/>
      <c r="E641" s="1296"/>
      <c r="F641" s="437"/>
    </row>
    <row r="642" ht="14.25" customHeight="1">
      <c r="B642" s="1365"/>
      <c r="C642" s="731"/>
      <c r="E642" s="1296"/>
      <c r="F642" s="437"/>
    </row>
    <row r="643" ht="14.25" customHeight="1">
      <c r="B643" s="1365"/>
      <c r="C643" s="731"/>
      <c r="E643" s="1296"/>
      <c r="F643" s="437"/>
    </row>
    <row r="644" ht="14.25" customHeight="1">
      <c r="B644" s="1365"/>
      <c r="C644" s="731"/>
      <c r="E644" s="1296"/>
      <c r="F644" s="437"/>
    </row>
    <row r="645" ht="14.25" customHeight="1">
      <c r="B645" s="1365"/>
      <c r="C645" s="731"/>
      <c r="E645" s="1296"/>
      <c r="F645" s="437"/>
    </row>
    <row r="646" ht="14.25" customHeight="1">
      <c r="B646" s="1365"/>
      <c r="C646" s="731"/>
      <c r="E646" s="1296"/>
      <c r="F646" s="437"/>
    </row>
    <row r="647" ht="14.25" customHeight="1">
      <c r="B647" s="1365"/>
      <c r="C647" s="731"/>
      <c r="E647" s="1296"/>
      <c r="F647" s="437"/>
    </row>
    <row r="648" ht="14.25" customHeight="1">
      <c r="B648" s="1365"/>
      <c r="C648" s="731"/>
      <c r="E648" s="1296"/>
      <c r="F648" s="437"/>
    </row>
    <row r="649" ht="14.25" customHeight="1">
      <c r="B649" s="1365"/>
      <c r="C649" s="731"/>
      <c r="E649" s="1296"/>
      <c r="F649" s="437"/>
    </row>
    <row r="650" ht="14.25" customHeight="1">
      <c r="B650" s="1365"/>
      <c r="C650" s="731"/>
      <c r="E650" s="1296"/>
      <c r="F650" s="437"/>
    </row>
    <row r="651" ht="14.25" customHeight="1">
      <c r="B651" s="1365"/>
      <c r="C651" s="731"/>
      <c r="E651" s="1296"/>
      <c r="F651" s="437"/>
    </row>
    <row r="652" ht="14.25" customHeight="1">
      <c r="B652" s="1365"/>
      <c r="C652" s="731"/>
      <c r="E652" s="1296"/>
      <c r="F652" s="437"/>
    </row>
    <row r="653" ht="14.25" customHeight="1">
      <c r="B653" s="1365"/>
      <c r="C653" s="731"/>
      <c r="E653" s="1296"/>
      <c r="F653" s="437"/>
    </row>
    <row r="654" ht="14.25" customHeight="1">
      <c r="B654" s="1365"/>
      <c r="C654" s="731"/>
      <c r="E654" s="1296"/>
      <c r="F654" s="437"/>
    </row>
    <row r="655" ht="14.25" customHeight="1">
      <c r="B655" s="1365"/>
      <c r="C655" s="731"/>
      <c r="E655" s="1296"/>
      <c r="F655" s="437"/>
    </row>
    <row r="656" ht="14.25" customHeight="1">
      <c r="B656" s="1365"/>
      <c r="C656" s="731"/>
      <c r="E656" s="1296"/>
      <c r="F656" s="437"/>
    </row>
    <row r="657" ht="14.25" customHeight="1">
      <c r="B657" s="1365"/>
      <c r="C657" s="731"/>
      <c r="E657" s="1296"/>
      <c r="F657" s="437"/>
    </row>
    <row r="658" ht="14.25" customHeight="1">
      <c r="B658" s="1365"/>
      <c r="C658" s="731"/>
      <c r="E658" s="1296"/>
      <c r="F658" s="437"/>
    </row>
    <row r="659" ht="14.25" customHeight="1">
      <c r="B659" s="1365"/>
      <c r="C659" s="731"/>
      <c r="E659" s="1296"/>
      <c r="F659" s="437"/>
    </row>
    <row r="660" ht="14.25" customHeight="1">
      <c r="B660" s="1365"/>
      <c r="C660" s="731"/>
      <c r="E660" s="1296"/>
      <c r="F660" s="437"/>
    </row>
    <row r="661" ht="14.25" customHeight="1">
      <c r="B661" s="1365"/>
      <c r="C661" s="731"/>
      <c r="E661" s="1296"/>
      <c r="F661" s="437"/>
    </row>
    <row r="662" ht="14.25" customHeight="1">
      <c r="B662" s="1365"/>
      <c r="C662" s="731"/>
      <c r="E662" s="1296"/>
      <c r="F662" s="437"/>
    </row>
    <row r="663" ht="14.25" customHeight="1">
      <c r="B663" s="1365"/>
      <c r="C663" s="731"/>
      <c r="E663" s="1296"/>
      <c r="F663" s="437"/>
    </row>
    <row r="664" ht="14.25" customHeight="1">
      <c r="B664" s="1365"/>
      <c r="C664" s="731"/>
      <c r="E664" s="1296"/>
      <c r="F664" s="437"/>
    </row>
    <row r="665" ht="14.25" customHeight="1">
      <c r="B665" s="1365"/>
      <c r="C665" s="731"/>
      <c r="E665" s="1296"/>
      <c r="F665" s="437"/>
    </row>
    <row r="666" ht="14.25" customHeight="1">
      <c r="B666" s="1365"/>
      <c r="C666" s="731"/>
      <c r="E666" s="1296"/>
      <c r="F666" s="437"/>
    </row>
    <row r="667" ht="14.25" customHeight="1">
      <c r="B667" s="1365"/>
      <c r="C667" s="731"/>
      <c r="E667" s="1296"/>
      <c r="F667" s="437"/>
    </row>
    <row r="668" ht="14.25" customHeight="1">
      <c r="B668" s="1365"/>
      <c r="C668" s="731"/>
      <c r="E668" s="1296"/>
      <c r="F668" s="437"/>
    </row>
    <row r="669" ht="14.25" customHeight="1">
      <c r="B669" s="1365"/>
      <c r="C669" s="731"/>
      <c r="E669" s="1296"/>
      <c r="F669" s="437"/>
    </row>
    <row r="670" ht="14.25" customHeight="1">
      <c r="B670" s="1365"/>
      <c r="C670" s="731"/>
      <c r="E670" s="1296"/>
      <c r="F670" s="437"/>
    </row>
    <row r="671" ht="14.25" customHeight="1">
      <c r="B671" s="1365"/>
      <c r="C671" s="731"/>
      <c r="E671" s="1296"/>
      <c r="F671" s="437"/>
    </row>
    <row r="672" ht="14.25" customHeight="1">
      <c r="B672" s="1365"/>
      <c r="C672" s="731"/>
      <c r="E672" s="1296"/>
      <c r="F672" s="437"/>
    </row>
    <row r="673" ht="14.25" customHeight="1">
      <c r="B673" s="1365"/>
      <c r="C673" s="731"/>
      <c r="E673" s="1296"/>
      <c r="F673" s="437"/>
    </row>
    <row r="674" ht="14.25" customHeight="1">
      <c r="B674" s="1365"/>
      <c r="C674" s="731"/>
      <c r="E674" s="1296"/>
      <c r="F674" s="437"/>
    </row>
    <row r="675" ht="14.25" customHeight="1">
      <c r="B675" s="1365"/>
      <c r="C675" s="731"/>
      <c r="E675" s="1296"/>
      <c r="F675" s="437"/>
    </row>
    <row r="676" ht="14.25" customHeight="1">
      <c r="B676" s="1365"/>
      <c r="C676" s="731"/>
      <c r="E676" s="1296"/>
      <c r="F676" s="437"/>
    </row>
    <row r="677" ht="14.25" customHeight="1">
      <c r="B677" s="1365"/>
      <c r="C677" s="731"/>
      <c r="E677" s="1296"/>
      <c r="F677" s="437"/>
    </row>
    <row r="678" ht="14.25" customHeight="1">
      <c r="B678" s="1365"/>
      <c r="C678" s="731"/>
      <c r="E678" s="1296"/>
      <c r="F678" s="437"/>
    </row>
    <row r="679" ht="14.25" customHeight="1">
      <c r="B679" s="1365"/>
      <c r="C679" s="731"/>
      <c r="E679" s="1296"/>
      <c r="F679" s="437"/>
    </row>
    <row r="680" ht="14.25" customHeight="1">
      <c r="B680" s="1365"/>
      <c r="C680" s="731"/>
      <c r="E680" s="1296"/>
      <c r="F680" s="437"/>
    </row>
    <row r="681" ht="14.25" customHeight="1">
      <c r="B681" s="1365"/>
      <c r="C681" s="731"/>
      <c r="E681" s="1296"/>
      <c r="F681" s="437"/>
    </row>
    <row r="682" ht="14.25" customHeight="1">
      <c r="B682" s="1365"/>
      <c r="C682" s="731"/>
      <c r="E682" s="1296"/>
      <c r="F682" s="437"/>
    </row>
    <row r="683" ht="14.25" customHeight="1">
      <c r="B683" s="1365"/>
      <c r="C683" s="731"/>
      <c r="E683" s="1296"/>
      <c r="F683" s="437"/>
    </row>
    <row r="684" ht="14.25" customHeight="1">
      <c r="B684" s="1365"/>
      <c r="C684" s="731"/>
      <c r="E684" s="1296"/>
      <c r="F684" s="437"/>
    </row>
    <row r="685" ht="14.25" customHeight="1">
      <c r="B685" s="1365"/>
      <c r="C685" s="731"/>
      <c r="E685" s="1296"/>
      <c r="F685" s="437"/>
    </row>
    <row r="686" ht="14.25" customHeight="1">
      <c r="B686" s="1365"/>
      <c r="C686" s="731"/>
      <c r="E686" s="1296"/>
      <c r="F686" s="437"/>
    </row>
    <row r="687" ht="14.25" customHeight="1">
      <c r="B687" s="1365"/>
      <c r="C687" s="731"/>
      <c r="E687" s="1296"/>
      <c r="F687" s="437"/>
    </row>
    <row r="688" ht="14.25" customHeight="1">
      <c r="B688" s="1365"/>
      <c r="C688" s="731"/>
      <c r="E688" s="1296"/>
      <c r="F688" s="437"/>
    </row>
    <row r="689" ht="14.25" customHeight="1">
      <c r="B689" s="1365"/>
      <c r="C689" s="731"/>
      <c r="E689" s="1296"/>
      <c r="F689" s="437"/>
    </row>
    <row r="690" ht="14.25" customHeight="1">
      <c r="B690" s="1365"/>
      <c r="C690" s="731"/>
      <c r="E690" s="1296"/>
      <c r="F690" s="437"/>
    </row>
    <row r="691" ht="14.25" customHeight="1">
      <c r="B691" s="1365"/>
      <c r="C691" s="731"/>
      <c r="E691" s="1296"/>
      <c r="F691" s="437"/>
    </row>
    <row r="692" ht="14.25" customHeight="1">
      <c r="B692" s="1365"/>
      <c r="C692" s="731"/>
      <c r="E692" s="1296"/>
      <c r="F692" s="437"/>
    </row>
    <row r="693" ht="14.25" customHeight="1">
      <c r="B693" s="1365"/>
      <c r="C693" s="731"/>
      <c r="E693" s="1296"/>
      <c r="F693" s="437"/>
    </row>
    <row r="694" ht="14.25" customHeight="1">
      <c r="B694" s="1365"/>
      <c r="C694" s="731"/>
      <c r="E694" s="1296"/>
      <c r="F694" s="437"/>
    </row>
    <row r="695" ht="14.25" customHeight="1">
      <c r="B695" s="1365"/>
      <c r="C695" s="731"/>
      <c r="E695" s="1296"/>
      <c r="F695" s="437"/>
    </row>
    <row r="696" ht="14.25" customHeight="1">
      <c r="B696" s="1365"/>
      <c r="C696" s="731"/>
      <c r="E696" s="1296"/>
      <c r="F696" s="437"/>
    </row>
    <row r="697" ht="14.25" customHeight="1">
      <c r="B697" s="1365"/>
      <c r="C697" s="731"/>
      <c r="E697" s="1296"/>
      <c r="F697" s="437"/>
    </row>
    <row r="698" ht="14.25" customHeight="1">
      <c r="B698" s="1365"/>
      <c r="C698" s="731"/>
      <c r="E698" s="1296"/>
      <c r="F698" s="437"/>
    </row>
    <row r="699" ht="14.25" customHeight="1">
      <c r="B699" s="1365"/>
      <c r="C699" s="731"/>
      <c r="E699" s="1296"/>
      <c r="F699" s="437"/>
    </row>
    <row r="700" ht="14.25" customHeight="1">
      <c r="B700" s="1365"/>
      <c r="C700" s="731"/>
      <c r="E700" s="1296"/>
      <c r="F700" s="437"/>
    </row>
    <row r="701" ht="14.25" customHeight="1">
      <c r="B701" s="1365"/>
      <c r="C701" s="731"/>
      <c r="E701" s="1296"/>
      <c r="F701" s="437"/>
    </row>
    <row r="702" ht="14.25" customHeight="1">
      <c r="B702" s="1365"/>
      <c r="C702" s="731"/>
      <c r="E702" s="1296"/>
      <c r="F702" s="437"/>
    </row>
    <row r="703" ht="14.25" customHeight="1">
      <c r="B703" s="1365"/>
      <c r="C703" s="731"/>
      <c r="E703" s="1296"/>
      <c r="F703" s="437"/>
    </row>
    <row r="704" ht="14.25" customHeight="1">
      <c r="B704" s="1365"/>
      <c r="C704" s="731"/>
      <c r="E704" s="1296"/>
      <c r="F704" s="437"/>
    </row>
    <row r="705" ht="14.25" customHeight="1">
      <c r="B705" s="1365"/>
      <c r="C705" s="731"/>
      <c r="E705" s="1296"/>
      <c r="F705" s="437"/>
    </row>
    <row r="706" ht="14.25" customHeight="1">
      <c r="B706" s="1365"/>
      <c r="C706" s="731"/>
      <c r="E706" s="1296"/>
      <c r="F706" s="437"/>
    </row>
    <row r="707" ht="14.25" customHeight="1">
      <c r="B707" s="1365"/>
      <c r="C707" s="731"/>
      <c r="E707" s="1296"/>
      <c r="F707" s="437"/>
    </row>
    <row r="708" ht="14.25" customHeight="1">
      <c r="B708" s="1365"/>
      <c r="C708" s="731"/>
      <c r="E708" s="1296"/>
      <c r="F708" s="437"/>
    </row>
    <row r="709" ht="14.25" customHeight="1">
      <c r="B709" s="1365"/>
      <c r="C709" s="731"/>
      <c r="E709" s="1296"/>
      <c r="F709" s="437"/>
    </row>
    <row r="710" ht="14.25" customHeight="1">
      <c r="B710" s="1365"/>
      <c r="C710" s="731"/>
      <c r="E710" s="1296"/>
      <c r="F710" s="437"/>
    </row>
    <row r="711" ht="14.25" customHeight="1">
      <c r="B711" s="1365"/>
      <c r="C711" s="731"/>
      <c r="E711" s="1296"/>
      <c r="F711" s="437"/>
    </row>
    <row r="712" ht="14.25" customHeight="1">
      <c r="B712" s="1365"/>
      <c r="C712" s="731"/>
      <c r="E712" s="1296"/>
      <c r="F712" s="437"/>
    </row>
    <row r="713" ht="14.25" customHeight="1">
      <c r="B713" s="1365"/>
      <c r="C713" s="731"/>
      <c r="E713" s="1296"/>
      <c r="F713" s="437"/>
    </row>
    <row r="714" ht="14.25" customHeight="1">
      <c r="B714" s="1365"/>
      <c r="C714" s="731"/>
      <c r="E714" s="1296"/>
      <c r="F714" s="437"/>
    </row>
    <row r="715" ht="14.25" customHeight="1">
      <c r="B715" s="1365"/>
      <c r="C715" s="731"/>
      <c r="E715" s="1296"/>
      <c r="F715" s="437"/>
    </row>
    <row r="716" ht="14.25" customHeight="1">
      <c r="B716" s="1365"/>
      <c r="C716" s="731"/>
      <c r="E716" s="1296"/>
      <c r="F716" s="437"/>
    </row>
    <row r="717" ht="14.25" customHeight="1">
      <c r="B717" s="1365"/>
      <c r="C717" s="731"/>
      <c r="E717" s="1296"/>
      <c r="F717" s="437"/>
    </row>
    <row r="718" ht="14.25" customHeight="1">
      <c r="B718" s="1365"/>
      <c r="C718" s="731"/>
      <c r="E718" s="1296"/>
      <c r="F718" s="437"/>
    </row>
    <row r="719" ht="14.25" customHeight="1">
      <c r="B719" s="1365"/>
      <c r="C719" s="731"/>
      <c r="E719" s="1296"/>
      <c r="F719" s="437"/>
    </row>
    <row r="720" ht="14.25" customHeight="1">
      <c r="B720" s="1365"/>
      <c r="C720" s="731"/>
      <c r="E720" s="1296"/>
      <c r="F720" s="437"/>
    </row>
    <row r="721" ht="14.25" customHeight="1">
      <c r="B721" s="1365"/>
      <c r="C721" s="731"/>
      <c r="E721" s="1296"/>
      <c r="F721" s="437"/>
    </row>
    <row r="722" ht="14.25" customHeight="1">
      <c r="B722" s="1365"/>
      <c r="C722" s="731"/>
      <c r="E722" s="1296"/>
      <c r="F722" s="437"/>
    </row>
    <row r="723" ht="14.25" customHeight="1">
      <c r="B723" s="1365"/>
      <c r="C723" s="731"/>
      <c r="E723" s="1296"/>
      <c r="F723" s="437"/>
    </row>
    <row r="724" ht="14.25" customHeight="1">
      <c r="B724" s="1365"/>
      <c r="C724" s="731"/>
      <c r="E724" s="1296"/>
      <c r="F724" s="437"/>
    </row>
    <row r="725" ht="14.25" customHeight="1">
      <c r="B725" s="1365"/>
      <c r="C725" s="731"/>
      <c r="E725" s="1296"/>
      <c r="F725" s="437"/>
    </row>
    <row r="726" ht="14.25" customHeight="1">
      <c r="B726" s="1365"/>
      <c r="C726" s="731"/>
      <c r="E726" s="1296"/>
      <c r="F726" s="437"/>
    </row>
    <row r="727" ht="14.25" customHeight="1">
      <c r="B727" s="1365"/>
      <c r="C727" s="731"/>
      <c r="E727" s="1296"/>
      <c r="F727" s="437"/>
    </row>
    <row r="728" ht="14.25" customHeight="1">
      <c r="B728" s="1365"/>
      <c r="C728" s="731"/>
      <c r="E728" s="1296"/>
      <c r="F728" s="437"/>
    </row>
    <row r="729" ht="14.25" customHeight="1">
      <c r="B729" s="1365"/>
      <c r="C729" s="731"/>
      <c r="E729" s="1296"/>
      <c r="F729" s="437"/>
    </row>
    <row r="730" ht="14.25" customHeight="1">
      <c r="B730" s="1365"/>
      <c r="C730" s="731"/>
      <c r="E730" s="1296"/>
      <c r="F730" s="437"/>
    </row>
    <row r="731" ht="14.25" customHeight="1">
      <c r="B731" s="1365"/>
      <c r="C731" s="731"/>
      <c r="E731" s="1296"/>
      <c r="F731" s="437"/>
    </row>
    <row r="732" ht="14.25" customHeight="1">
      <c r="B732" s="1365"/>
      <c r="C732" s="731"/>
      <c r="E732" s="1296"/>
      <c r="F732" s="437"/>
    </row>
    <row r="733" ht="14.25" customHeight="1">
      <c r="B733" s="1365"/>
      <c r="C733" s="731"/>
      <c r="E733" s="1296"/>
      <c r="F733" s="437"/>
    </row>
    <row r="734" ht="14.25" customHeight="1">
      <c r="B734" s="1365"/>
      <c r="C734" s="731"/>
      <c r="E734" s="1296"/>
      <c r="F734" s="437"/>
    </row>
    <row r="735" ht="14.25" customHeight="1">
      <c r="B735" s="1365"/>
      <c r="C735" s="731"/>
      <c r="E735" s="1296"/>
      <c r="F735" s="437"/>
    </row>
    <row r="736" ht="14.25" customHeight="1">
      <c r="B736" s="1365"/>
      <c r="C736" s="731"/>
      <c r="E736" s="1296"/>
      <c r="F736" s="437"/>
    </row>
    <row r="737" ht="14.25" customHeight="1">
      <c r="B737" s="1365"/>
      <c r="C737" s="731"/>
      <c r="E737" s="1296"/>
      <c r="F737" s="437"/>
    </row>
    <row r="738" ht="14.25" customHeight="1">
      <c r="B738" s="1365"/>
      <c r="C738" s="731"/>
      <c r="E738" s="1296"/>
      <c r="F738" s="437"/>
    </row>
    <row r="739" ht="14.25" customHeight="1">
      <c r="B739" s="1365"/>
      <c r="C739" s="731"/>
      <c r="E739" s="1296"/>
      <c r="F739" s="437"/>
    </row>
    <row r="740" ht="14.25" customHeight="1">
      <c r="B740" s="1365"/>
      <c r="C740" s="731"/>
      <c r="E740" s="1296"/>
      <c r="F740" s="437"/>
    </row>
    <row r="741" ht="14.25" customHeight="1">
      <c r="B741" s="1365"/>
      <c r="C741" s="731"/>
      <c r="E741" s="1296"/>
      <c r="F741" s="437"/>
    </row>
    <row r="742" ht="14.25" customHeight="1">
      <c r="B742" s="1365"/>
      <c r="C742" s="731"/>
      <c r="E742" s="1296"/>
      <c r="F742" s="437"/>
    </row>
    <row r="743" ht="14.25" customHeight="1">
      <c r="B743" s="1365"/>
      <c r="C743" s="731"/>
      <c r="E743" s="1296"/>
      <c r="F743" s="437"/>
    </row>
    <row r="744" ht="14.25" customHeight="1">
      <c r="B744" s="1365"/>
      <c r="C744" s="731"/>
      <c r="E744" s="1296"/>
      <c r="F744" s="437"/>
    </row>
    <row r="745" ht="14.25" customHeight="1">
      <c r="B745" s="1365"/>
      <c r="C745" s="731"/>
      <c r="E745" s="1296"/>
      <c r="F745" s="437"/>
    </row>
    <row r="746" ht="14.25" customHeight="1">
      <c r="B746" s="1365"/>
      <c r="C746" s="731"/>
      <c r="E746" s="1296"/>
      <c r="F746" s="437"/>
    </row>
    <row r="747" ht="14.25" customHeight="1">
      <c r="B747" s="1365"/>
      <c r="C747" s="731"/>
      <c r="E747" s="1296"/>
      <c r="F747" s="437"/>
    </row>
    <row r="748" ht="14.25" customHeight="1">
      <c r="B748" s="1365"/>
      <c r="C748" s="731"/>
      <c r="E748" s="1296"/>
      <c r="F748" s="437"/>
    </row>
    <row r="749" ht="14.25" customHeight="1">
      <c r="B749" s="1365"/>
      <c r="C749" s="731"/>
      <c r="E749" s="1296"/>
      <c r="F749" s="437"/>
    </row>
    <row r="750" ht="14.25" customHeight="1">
      <c r="B750" s="1365"/>
      <c r="C750" s="731"/>
      <c r="E750" s="1296"/>
      <c r="F750" s="437"/>
    </row>
    <row r="751" ht="14.25" customHeight="1">
      <c r="B751" s="1365"/>
      <c r="C751" s="731"/>
      <c r="E751" s="1296"/>
      <c r="F751" s="437"/>
    </row>
    <row r="752" ht="14.25" customHeight="1">
      <c r="B752" s="1365"/>
      <c r="C752" s="731"/>
      <c r="E752" s="1296"/>
      <c r="F752" s="437"/>
    </row>
    <row r="753" ht="14.25" customHeight="1">
      <c r="B753" s="1365"/>
      <c r="C753" s="731"/>
      <c r="E753" s="1296"/>
      <c r="F753" s="437"/>
    </row>
    <row r="754" ht="14.25" customHeight="1">
      <c r="B754" s="1365"/>
      <c r="C754" s="731"/>
      <c r="E754" s="1296"/>
      <c r="F754" s="437"/>
    </row>
    <row r="755" ht="14.25" customHeight="1">
      <c r="B755" s="1365"/>
      <c r="C755" s="731"/>
      <c r="E755" s="1296"/>
      <c r="F755" s="437"/>
    </row>
    <row r="756" ht="14.25" customHeight="1">
      <c r="B756" s="1365"/>
      <c r="C756" s="731"/>
      <c r="E756" s="1296"/>
      <c r="F756" s="437"/>
    </row>
    <row r="757" ht="14.25" customHeight="1">
      <c r="B757" s="1365"/>
      <c r="C757" s="731"/>
      <c r="E757" s="1296"/>
      <c r="F757" s="437"/>
    </row>
    <row r="758" ht="14.25" customHeight="1">
      <c r="B758" s="1365"/>
      <c r="C758" s="731"/>
      <c r="E758" s="1296"/>
      <c r="F758" s="437"/>
    </row>
    <row r="759" ht="14.25" customHeight="1">
      <c r="B759" s="1365"/>
      <c r="C759" s="731"/>
      <c r="E759" s="1296"/>
      <c r="F759" s="437"/>
    </row>
    <row r="760" ht="14.25" customHeight="1">
      <c r="B760" s="1365"/>
      <c r="C760" s="731"/>
      <c r="E760" s="1296"/>
      <c r="F760" s="437"/>
    </row>
    <row r="761" ht="14.25" customHeight="1">
      <c r="B761" s="1365"/>
      <c r="C761" s="731"/>
      <c r="E761" s="1296"/>
      <c r="F761" s="437"/>
    </row>
    <row r="762" ht="14.25" customHeight="1">
      <c r="B762" s="1365"/>
      <c r="C762" s="731"/>
      <c r="E762" s="1296"/>
      <c r="F762" s="437"/>
    </row>
    <row r="763" ht="14.25" customHeight="1">
      <c r="B763" s="1365"/>
      <c r="C763" s="731"/>
      <c r="E763" s="1296"/>
      <c r="F763" s="437"/>
    </row>
    <row r="764" ht="14.25" customHeight="1">
      <c r="B764" s="1365"/>
      <c r="C764" s="731"/>
      <c r="E764" s="1296"/>
      <c r="F764" s="437"/>
    </row>
    <row r="765" ht="14.25" customHeight="1">
      <c r="B765" s="1365"/>
      <c r="C765" s="731"/>
      <c r="E765" s="1296"/>
      <c r="F765" s="437"/>
    </row>
    <row r="766" ht="14.25" customHeight="1">
      <c r="B766" s="1365"/>
      <c r="C766" s="731"/>
      <c r="E766" s="1296"/>
      <c r="F766" s="437"/>
    </row>
    <row r="767" ht="14.25" customHeight="1">
      <c r="B767" s="1365"/>
      <c r="C767" s="731"/>
      <c r="E767" s="1296"/>
      <c r="F767" s="437"/>
    </row>
    <row r="768" ht="14.25" customHeight="1">
      <c r="B768" s="1365"/>
      <c r="C768" s="731"/>
      <c r="E768" s="1296"/>
      <c r="F768" s="437"/>
    </row>
    <row r="769" ht="14.25" customHeight="1">
      <c r="B769" s="1365"/>
      <c r="C769" s="731"/>
      <c r="E769" s="1296"/>
      <c r="F769" s="437"/>
    </row>
    <row r="770" ht="14.25" customHeight="1">
      <c r="B770" s="1365"/>
      <c r="C770" s="731"/>
      <c r="E770" s="1296"/>
      <c r="F770" s="437"/>
    </row>
    <row r="771" ht="14.25" customHeight="1">
      <c r="B771" s="1365"/>
      <c r="C771" s="731"/>
      <c r="E771" s="1296"/>
      <c r="F771" s="437"/>
    </row>
    <row r="772" ht="14.25" customHeight="1">
      <c r="B772" s="1365"/>
      <c r="C772" s="731"/>
      <c r="E772" s="1296"/>
      <c r="F772" s="437"/>
    </row>
    <row r="773" ht="14.25" customHeight="1">
      <c r="B773" s="1365"/>
      <c r="C773" s="731"/>
      <c r="E773" s="1296"/>
      <c r="F773" s="437"/>
    </row>
    <row r="774" ht="14.25" customHeight="1">
      <c r="B774" s="1365"/>
      <c r="C774" s="731"/>
      <c r="E774" s="1296"/>
      <c r="F774" s="437"/>
    </row>
    <row r="775" ht="14.25" customHeight="1">
      <c r="B775" s="1365"/>
      <c r="C775" s="731"/>
      <c r="E775" s="1296"/>
      <c r="F775" s="437"/>
    </row>
    <row r="776" ht="14.25" customHeight="1">
      <c r="B776" s="1365"/>
      <c r="C776" s="731"/>
      <c r="E776" s="1296"/>
      <c r="F776" s="437"/>
    </row>
    <row r="777" ht="14.25" customHeight="1">
      <c r="B777" s="1365"/>
      <c r="C777" s="731"/>
      <c r="E777" s="1296"/>
      <c r="F777" s="437"/>
    </row>
    <row r="778" ht="14.25" customHeight="1">
      <c r="B778" s="1365"/>
      <c r="C778" s="731"/>
      <c r="E778" s="1296"/>
      <c r="F778" s="437"/>
    </row>
    <row r="779" ht="14.25" customHeight="1">
      <c r="B779" s="1365"/>
      <c r="C779" s="731"/>
      <c r="E779" s="1296"/>
      <c r="F779" s="437"/>
    </row>
    <row r="780" ht="14.25" customHeight="1">
      <c r="B780" s="1365"/>
      <c r="C780" s="731"/>
      <c r="E780" s="1296"/>
      <c r="F780" s="437"/>
    </row>
    <row r="781" ht="14.25" customHeight="1">
      <c r="B781" s="1365"/>
      <c r="C781" s="731"/>
      <c r="E781" s="1296"/>
      <c r="F781" s="437"/>
    </row>
    <row r="782" ht="14.25" customHeight="1">
      <c r="B782" s="1365"/>
      <c r="C782" s="731"/>
      <c r="E782" s="1296"/>
      <c r="F782" s="437"/>
    </row>
    <row r="783" ht="14.25" customHeight="1">
      <c r="B783" s="1365"/>
      <c r="C783" s="731"/>
      <c r="E783" s="1296"/>
      <c r="F783" s="437"/>
    </row>
    <row r="784" ht="14.25" customHeight="1">
      <c r="B784" s="1365"/>
      <c r="C784" s="731"/>
      <c r="E784" s="1296"/>
      <c r="F784" s="437"/>
    </row>
    <row r="785" ht="14.25" customHeight="1">
      <c r="B785" s="1365"/>
      <c r="C785" s="731"/>
      <c r="E785" s="1296"/>
      <c r="F785" s="437"/>
    </row>
    <row r="786" ht="14.25" customHeight="1">
      <c r="B786" s="1365"/>
      <c r="C786" s="731"/>
      <c r="E786" s="1296"/>
      <c r="F786" s="437"/>
    </row>
    <row r="787" ht="14.25" customHeight="1">
      <c r="B787" s="1365"/>
      <c r="C787" s="731"/>
      <c r="E787" s="1296"/>
      <c r="F787" s="437"/>
    </row>
    <row r="788" ht="14.25" customHeight="1">
      <c r="B788" s="1365"/>
      <c r="C788" s="731"/>
      <c r="E788" s="1296"/>
      <c r="F788" s="437"/>
    </row>
    <row r="789" ht="14.25" customHeight="1">
      <c r="B789" s="1365"/>
      <c r="C789" s="731"/>
      <c r="E789" s="1296"/>
      <c r="F789" s="437"/>
    </row>
    <row r="790" ht="14.25" customHeight="1">
      <c r="B790" s="1365"/>
      <c r="C790" s="731"/>
      <c r="E790" s="1296"/>
      <c r="F790" s="437"/>
    </row>
    <row r="791" ht="14.25" customHeight="1">
      <c r="B791" s="1365"/>
      <c r="C791" s="731"/>
      <c r="E791" s="1296"/>
      <c r="F791" s="437"/>
    </row>
    <row r="792" ht="14.25" customHeight="1">
      <c r="B792" s="1365"/>
      <c r="C792" s="731"/>
      <c r="E792" s="1296"/>
      <c r="F792" s="437"/>
    </row>
    <row r="793" ht="14.25" customHeight="1">
      <c r="B793" s="1365"/>
      <c r="C793" s="731"/>
      <c r="E793" s="1296"/>
      <c r="F793" s="437"/>
    </row>
    <row r="794" ht="14.25" customHeight="1">
      <c r="B794" s="1365"/>
      <c r="C794" s="731"/>
      <c r="E794" s="1296"/>
      <c r="F794" s="437"/>
    </row>
    <row r="795" ht="14.25" customHeight="1">
      <c r="B795" s="1365"/>
      <c r="C795" s="731"/>
      <c r="E795" s="1296"/>
      <c r="F795" s="437"/>
    </row>
    <row r="796" ht="14.25" customHeight="1">
      <c r="B796" s="1365"/>
      <c r="C796" s="731"/>
      <c r="E796" s="1296"/>
      <c r="F796" s="437"/>
    </row>
    <row r="797" ht="14.25" customHeight="1">
      <c r="B797" s="1365"/>
      <c r="C797" s="731"/>
      <c r="E797" s="1296"/>
      <c r="F797" s="437"/>
    </row>
    <row r="798" ht="14.25" customHeight="1">
      <c r="B798" s="1365"/>
      <c r="C798" s="731"/>
      <c r="E798" s="1296"/>
      <c r="F798" s="437"/>
    </row>
    <row r="799" ht="14.25" customHeight="1">
      <c r="B799" s="1365"/>
      <c r="C799" s="731"/>
      <c r="E799" s="1296"/>
      <c r="F799" s="437"/>
    </row>
    <row r="800" ht="14.25" customHeight="1">
      <c r="B800" s="1365"/>
      <c r="C800" s="731"/>
      <c r="E800" s="1296"/>
      <c r="F800" s="437"/>
    </row>
    <row r="801" ht="14.25" customHeight="1">
      <c r="B801" s="1365"/>
      <c r="C801" s="731"/>
      <c r="E801" s="1296"/>
      <c r="F801" s="437"/>
    </row>
    <row r="802" ht="14.25" customHeight="1">
      <c r="B802" s="1365"/>
      <c r="C802" s="731"/>
      <c r="E802" s="1296"/>
      <c r="F802" s="437"/>
    </row>
    <row r="803" ht="14.25" customHeight="1">
      <c r="B803" s="1365"/>
      <c r="C803" s="731"/>
      <c r="E803" s="1296"/>
      <c r="F803" s="437"/>
    </row>
    <row r="804" ht="14.25" customHeight="1">
      <c r="B804" s="1365"/>
      <c r="C804" s="731"/>
      <c r="E804" s="1296"/>
      <c r="F804" s="437"/>
    </row>
    <row r="805" ht="14.25" customHeight="1">
      <c r="B805" s="1365"/>
      <c r="C805" s="731"/>
      <c r="E805" s="1296"/>
      <c r="F805" s="437"/>
    </row>
    <row r="806" ht="14.25" customHeight="1">
      <c r="B806" s="1365"/>
      <c r="C806" s="731"/>
      <c r="E806" s="1296"/>
      <c r="F806" s="437"/>
    </row>
    <row r="807" ht="14.25" customHeight="1">
      <c r="B807" s="1365"/>
      <c r="C807" s="731"/>
      <c r="E807" s="1296"/>
      <c r="F807" s="437"/>
    </row>
    <row r="808" ht="14.25" customHeight="1">
      <c r="B808" s="1365"/>
      <c r="C808" s="731"/>
      <c r="E808" s="1296"/>
      <c r="F808" s="437"/>
    </row>
    <row r="809" ht="14.25" customHeight="1">
      <c r="B809" s="1365"/>
      <c r="C809" s="731"/>
      <c r="E809" s="1296"/>
      <c r="F809" s="437"/>
    </row>
    <row r="810" ht="14.25" customHeight="1">
      <c r="B810" s="1365"/>
      <c r="C810" s="731"/>
      <c r="E810" s="1296"/>
      <c r="F810" s="437"/>
    </row>
    <row r="811" ht="14.25" customHeight="1">
      <c r="B811" s="1365"/>
      <c r="C811" s="731"/>
      <c r="E811" s="1296"/>
      <c r="F811" s="437"/>
    </row>
    <row r="812" ht="14.25" customHeight="1">
      <c r="B812" s="1365"/>
      <c r="C812" s="731"/>
      <c r="E812" s="1296"/>
      <c r="F812" s="437"/>
    </row>
    <row r="813" ht="14.25" customHeight="1">
      <c r="B813" s="1365"/>
      <c r="C813" s="731"/>
      <c r="E813" s="1296"/>
      <c r="F813" s="437"/>
    </row>
    <row r="814" ht="14.25" customHeight="1">
      <c r="B814" s="1365"/>
      <c r="C814" s="731"/>
      <c r="E814" s="1296"/>
      <c r="F814" s="437"/>
    </row>
    <row r="815" ht="14.25" customHeight="1">
      <c r="B815" s="1365"/>
      <c r="C815" s="731"/>
      <c r="E815" s="1296"/>
      <c r="F815" s="437"/>
    </row>
    <row r="816" ht="14.25" customHeight="1">
      <c r="B816" s="1365"/>
      <c r="C816" s="731"/>
      <c r="E816" s="1296"/>
      <c r="F816" s="437"/>
    </row>
    <row r="817" ht="14.25" customHeight="1">
      <c r="B817" s="1365"/>
      <c r="C817" s="731"/>
      <c r="E817" s="1296"/>
      <c r="F817" s="437"/>
    </row>
    <row r="818" ht="14.25" customHeight="1">
      <c r="B818" s="1365"/>
      <c r="C818" s="731"/>
      <c r="E818" s="1296"/>
      <c r="F818" s="437"/>
    </row>
    <row r="819" ht="14.25" customHeight="1">
      <c r="B819" s="1365"/>
      <c r="C819" s="731"/>
      <c r="E819" s="1296"/>
      <c r="F819" s="437"/>
    </row>
    <row r="820" ht="14.25" customHeight="1">
      <c r="B820" s="1365"/>
      <c r="C820" s="731"/>
      <c r="E820" s="1296"/>
      <c r="F820" s="437"/>
    </row>
    <row r="821" ht="14.25" customHeight="1">
      <c r="B821" s="1365"/>
      <c r="C821" s="731"/>
      <c r="E821" s="1296"/>
      <c r="F821" s="437"/>
    </row>
    <row r="822" ht="14.25" customHeight="1">
      <c r="B822" s="1365"/>
      <c r="C822" s="731"/>
      <c r="E822" s="1296"/>
      <c r="F822" s="437"/>
    </row>
    <row r="823" ht="14.25" customHeight="1">
      <c r="B823" s="1365"/>
      <c r="C823" s="731"/>
      <c r="E823" s="1296"/>
      <c r="F823" s="437"/>
    </row>
    <row r="824" ht="14.25" customHeight="1">
      <c r="B824" s="1365"/>
      <c r="C824" s="731"/>
      <c r="E824" s="1296"/>
      <c r="F824" s="437"/>
    </row>
    <row r="825" ht="14.25" customHeight="1">
      <c r="B825" s="1365"/>
      <c r="C825" s="731"/>
      <c r="E825" s="1296"/>
      <c r="F825" s="437"/>
    </row>
    <row r="826" ht="14.25" customHeight="1">
      <c r="B826" s="1365"/>
      <c r="C826" s="731"/>
      <c r="E826" s="1296"/>
      <c r="F826" s="437"/>
    </row>
    <row r="827" ht="14.25" customHeight="1">
      <c r="B827" s="1365"/>
      <c r="C827" s="731"/>
      <c r="E827" s="1296"/>
      <c r="F827" s="437"/>
    </row>
    <row r="828" ht="14.25" customHeight="1">
      <c r="B828" s="1365"/>
      <c r="C828" s="731"/>
      <c r="E828" s="1296"/>
      <c r="F828" s="437"/>
    </row>
    <row r="829" ht="14.25" customHeight="1">
      <c r="B829" s="1365"/>
      <c r="C829" s="731"/>
      <c r="E829" s="1296"/>
      <c r="F829" s="437"/>
    </row>
    <row r="830" ht="14.25" customHeight="1">
      <c r="B830" s="1365"/>
      <c r="C830" s="731"/>
      <c r="E830" s="1296"/>
      <c r="F830" s="437"/>
    </row>
    <row r="831" ht="14.25" customHeight="1">
      <c r="B831" s="1365"/>
      <c r="C831" s="731"/>
      <c r="E831" s="1296"/>
      <c r="F831" s="437"/>
    </row>
    <row r="832" ht="14.25" customHeight="1">
      <c r="B832" s="1365"/>
      <c r="C832" s="731"/>
      <c r="E832" s="1296"/>
      <c r="F832" s="437"/>
    </row>
    <row r="833" ht="14.25" customHeight="1">
      <c r="B833" s="1365"/>
      <c r="C833" s="731"/>
      <c r="E833" s="1296"/>
      <c r="F833" s="437"/>
    </row>
    <row r="834" ht="14.25" customHeight="1">
      <c r="B834" s="1365"/>
      <c r="C834" s="731"/>
      <c r="E834" s="1296"/>
      <c r="F834" s="437"/>
    </row>
    <row r="835" ht="14.25" customHeight="1">
      <c r="B835" s="1365"/>
      <c r="C835" s="731"/>
      <c r="E835" s="1296"/>
      <c r="F835" s="437"/>
    </row>
    <row r="836" ht="14.25" customHeight="1">
      <c r="B836" s="1365"/>
      <c r="C836" s="731"/>
      <c r="E836" s="1296"/>
      <c r="F836" s="437"/>
    </row>
    <row r="837" ht="14.25" customHeight="1">
      <c r="B837" s="1365"/>
      <c r="C837" s="731"/>
      <c r="E837" s="1296"/>
      <c r="F837" s="437"/>
    </row>
    <row r="838" ht="14.25" customHeight="1">
      <c r="B838" s="1365"/>
      <c r="C838" s="731"/>
      <c r="E838" s="1296"/>
      <c r="F838" s="437"/>
    </row>
    <row r="839" ht="14.25" customHeight="1">
      <c r="B839" s="1365"/>
      <c r="C839" s="731"/>
      <c r="E839" s="1296"/>
      <c r="F839" s="437"/>
    </row>
    <row r="840" ht="14.25" customHeight="1">
      <c r="B840" s="1365"/>
      <c r="C840" s="731"/>
      <c r="E840" s="1296"/>
      <c r="F840" s="437"/>
    </row>
    <row r="841" ht="14.25" customHeight="1">
      <c r="B841" s="1365"/>
      <c r="C841" s="731"/>
      <c r="E841" s="1296"/>
      <c r="F841" s="437"/>
    </row>
    <row r="842" ht="14.25" customHeight="1">
      <c r="B842" s="1365"/>
      <c r="C842" s="731"/>
      <c r="E842" s="1296"/>
      <c r="F842" s="437"/>
    </row>
    <row r="843" ht="14.25" customHeight="1">
      <c r="B843" s="1365"/>
      <c r="C843" s="731"/>
      <c r="E843" s="1296"/>
      <c r="F843" s="437"/>
    </row>
    <row r="844" ht="14.25" customHeight="1">
      <c r="B844" s="1365"/>
      <c r="C844" s="731"/>
      <c r="E844" s="1296"/>
      <c r="F844" s="437"/>
    </row>
    <row r="845" ht="14.25" customHeight="1">
      <c r="B845" s="1365"/>
      <c r="C845" s="731"/>
      <c r="E845" s="1296"/>
      <c r="F845" s="437"/>
    </row>
    <row r="846" ht="14.25" customHeight="1">
      <c r="B846" s="1365"/>
      <c r="C846" s="731"/>
      <c r="E846" s="1296"/>
      <c r="F846" s="437"/>
    </row>
    <row r="847" ht="14.25" customHeight="1">
      <c r="B847" s="1365"/>
      <c r="C847" s="731"/>
      <c r="E847" s="1296"/>
      <c r="F847" s="437"/>
    </row>
    <row r="848" ht="14.25" customHeight="1">
      <c r="B848" s="1365"/>
      <c r="C848" s="731"/>
      <c r="E848" s="1296"/>
      <c r="F848" s="437"/>
    </row>
    <row r="849" ht="14.25" customHeight="1">
      <c r="B849" s="1365"/>
      <c r="C849" s="731"/>
      <c r="E849" s="1296"/>
      <c r="F849" s="437"/>
    </row>
    <row r="850" ht="14.25" customHeight="1">
      <c r="B850" s="1365"/>
      <c r="C850" s="731"/>
      <c r="E850" s="1296"/>
      <c r="F850" s="437"/>
    </row>
    <row r="851" ht="14.25" customHeight="1">
      <c r="B851" s="1365"/>
      <c r="C851" s="731"/>
      <c r="E851" s="1296"/>
      <c r="F851" s="437"/>
    </row>
    <row r="852" ht="14.25" customHeight="1">
      <c r="B852" s="1365"/>
      <c r="C852" s="731"/>
      <c r="E852" s="1296"/>
      <c r="F852" s="437"/>
    </row>
    <row r="853" ht="14.25" customHeight="1">
      <c r="B853" s="1365"/>
      <c r="C853" s="731"/>
      <c r="E853" s="1296"/>
      <c r="F853" s="437"/>
    </row>
    <row r="854" ht="14.25" customHeight="1">
      <c r="B854" s="1365"/>
      <c r="C854" s="731"/>
      <c r="E854" s="1296"/>
      <c r="F854" s="437"/>
    </row>
    <row r="855" ht="14.25" customHeight="1">
      <c r="B855" s="1365"/>
      <c r="C855" s="731"/>
      <c r="E855" s="1296"/>
      <c r="F855" s="437"/>
    </row>
    <row r="856" ht="14.25" customHeight="1">
      <c r="B856" s="1365"/>
      <c r="C856" s="731"/>
      <c r="E856" s="1296"/>
      <c r="F856" s="437"/>
    </row>
    <row r="857" ht="14.25" customHeight="1">
      <c r="B857" s="1365"/>
      <c r="C857" s="731"/>
      <c r="E857" s="1296"/>
      <c r="F857" s="437"/>
    </row>
    <row r="858" ht="14.25" customHeight="1">
      <c r="B858" s="1365"/>
      <c r="C858" s="731"/>
      <c r="E858" s="1296"/>
      <c r="F858" s="437"/>
    </row>
    <row r="859" ht="14.25" customHeight="1">
      <c r="B859" s="1365"/>
      <c r="C859" s="731"/>
      <c r="E859" s="1296"/>
      <c r="F859" s="437"/>
    </row>
    <row r="860" ht="14.25" customHeight="1">
      <c r="B860" s="1365"/>
      <c r="C860" s="731"/>
      <c r="E860" s="1296"/>
      <c r="F860" s="437"/>
    </row>
    <row r="861" ht="14.25" customHeight="1">
      <c r="B861" s="1365"/>
      <c r="C861" s="731"/>
      <c r="E861" s="1296"/>
      <c r="F861" s="437"/>
    </row>
    <row r="862" ht="14.25" customHeight="1">
      <c r="B862" s="1365"/>
      <c r="C862" s="731"/>
      <c r="E862" s="1296"/>
      <c r="F862" s="437"/>
    </row>
    <row r="863" ht="14.25" customHeight="1">
      <c r="B863" s="1365"/>
      <c r="C863" s="731"/>
      <c r="E863" s="1296"/>
      <c r="F863" s="437"/>
    </row>
    <row r="864" ht="14.25" customHeight="1">
      <c r="B864" s="1365"/>
      <c r="C864" s="731"/>
      <c r="E864" s="1296"/>
      <c r="F864" s="437"/>
    </row>
    <row r="865" ht="14.25" customHeight="1">
      <c r="B865" s="1365"/>
      <c r="C865" s="731"/>
      <c r="E865" s="1296"/>
      <c r="F865" s="437"/>
    </row>
    <row r="866" ht="14.25" customHeight="1">
      <c r="B866" s="1365"/>
      <c r="C866" s="731"/>
      <c r="E866" s="1296"/>
      <c r="F866" s="437"/>
    </row>
    <row r="867" ht="14.25" customHeight="1">
      <c r="B867" s="1365"/>
      <c r="C867" s="731"/>
      <c r="E867" s="1296"/>
      <c r="F867" s="437"/>
    </row>
    <row r="868" ht="14.25" customHeight="1">
      <c r="B868" s="1365"/>
      <c r="C868" s="731"/>
      <c r="E868" s="1296"/>
      <c r="F868" s="437"/>
    </row>
    <row r="869" ht="14.25" customHeight="1">
      <c r="B869" s="1365"/>
      <c r="C869" s="731"/>
      <c r="E869" s="1296"/>
      <c r="F869" s="437"/>
    </row>
    <row r="870" ht="14.25" customHeight="1">
      <c r="B870" s="1365"/>
      <c r="C870" s="731"/>
      <c r="E870" s="1296"/>
      <c r="F870" s="437"/>
    </row>
    <row r="871" ht="14.25" customHeight="1">
      <c r="B871" s="1365"/>
      <c r="C871" s="731"/>
      <c r="E871" s="1296"/>
      <c r="F871" s="437"/>
    </row>
    <row r="872" ht="14.25" customHeight="1">
      <c r="B872" s="1365"/>
      <c r="C872" s="731"/>
      <c r="E872" s="1296"/>
      <c r="F872" s="437"/>
    </row>
    <row r="873" ht="14.25" customHeight="1">
      <c r="B873" s="1365"/>
      <c r="C873" s="731"/>
      <c r="E873" s="1296"/>
      <c r="F873" s="437"/>
    </row>
    <row r="874" ht="14.25" customHeight="1">
      <c r="B874" s="1365"/>
      <c r="C874" s="731"/>
      <c r="E874" s="1296"/>
      <c r="F874" s="437"/>
    </row>
    <row r="875" ht="14.25" customHeight="1">
      <c r="B875" s="1365"/>
      <c r="C875" s="731"/>
      <c r="E875" s="1296"/>
      <c r="F875" s="437"/>
    </row>
    <row r="876" ht="14.25" customHeight="1">
      <c r="B876" s="1365"/>
      <c r="C876" s="731"/>
      <c r="E876" s="1296"/>
      <c r="F876" s="437"/>
    </row>
    <row r="877" ht="14.25" customHeight="1">
      <c r="B877" s="1365"/>
      <c r="C877" s="731"/>
      <c r="E877" s="1296"/>
      <c r="F877" s="437"/>
    </row>
    <row r="878" ht="14.25" customHeight="1">
      <c r="B878" s="1365"/>
      <c r="C878" s="731"/>
      <c r="E878" s="1296"/>
      <c r="F878" s="437"/>
    </row>
    <row r="879" ht="14.25" customHeight="1">
      <c r="B879" s="1365"/>
      <c r="C879" s="731"/>
      <c r="E879" s="1296"/>
      <c r="F879" s="437"/>
    </row>
    <row r="880" ht="14.25" customHeight="1">
      <c r="B880" s="1365"/>
      <c r="C880" s="731"/>
      <c r="E880" s="1296"/>
      <c r="F880" s="437"/>
    </row>
    <row r="881" ht="14.25" customHeight="1">
      <c r="B881" s="1365"/>
      <c r="C881" s="731"/>
      <c r="E881" s="1296"/>
      <c r="F881" s="437"/>
    </row>
    <row r="882" ht="14.25" customHeight="1">
      <c r="B882" s="1365"/>
      <c r="C882" s="731"/>
      <c r="E882" s="1296"/>
      <c r="F882" s="437"/>
    </row>
    <row r="883" ht="14.25" customHeight="1">
      <c r="B883" s="1365"/>
      <c r="C883" s="731"/>
      <c r="E883" s="1296"/>
      <c r="F883" s="437"/>
    </row>
    <row r="884" ht="14.25" customHeight="1">
      <c r="B884" s="1365"/>
      <c r="C884" s="731"/>
      <c r="E884" s="1296"/>
      <c r="F884" s="437"/>
    </row>
    <row r="885" ht="14.25" customHeight="1">
      <c r="B885" s="1365"/>
      <c r="C885" s="731"/>
      <c r="E885" s="1296"/>
      <c r="F885" s="437"/>
    </row>
    <row r="886" ht="14.25" customHeight="1">
      <c r="B886" s="1365"/>
      <c r="C886" s="731"/>
      <c r="E886" s="1296"/>
      <c r="F886" s="437"/>
    </row>
    <row r="887" ht="14.25" customHeight="1">
      <c r="B887" s="1365"/>
      <c r="C887" s="731"/>
      <c r="E887" s="1296"/>
      <c r="F887" s="437"/>
    </row>
    <row r="888" ht="14.25" customHeight="1">
      <c r="B888" s="1365"/>
      <c r="C888" s="731"/>
      <c r="E888" s="1296"/>
      <c r="F888" s="437"/>
    </row>
    <row r="889" ht="14.25" customHeight="1">
      <c r="B889" s="1365"/>
      <c r="C889" s="731"/>
      <c r="E889" s="1296"/>
      <c r="F889" s="437"/>
    </row>
    <row r="890" ht="14.25" customHeight="1">
      <c r="B890" s="1365"/>
      <c r="C890" s="731"/>
      <c r="E890" s="1296"/>
      <c r="F890" s="437"/>
    </row>
    <row r="891" ht="14.25" customHeight="1">
      <c r="B891" s="1365"/>
      <c r="C891" s="731"/>
      <c r="E891" s="1296"/>
      <c r="F891" s="437"/>
    </row>
    <row r="892" ht="14.25" customHeight="1">
      <c r="B892" s="1365"/>
      <c r="C892" s="731"/>
      <c r="E892" s="1296"/>
      <c r="F892" s="437"/>
    </row>
    <row r="893" ht="14.25" customHeight="1">
      <c r="B893" s="1365"/>
      <c r="C893" s="731"/>
      <c r="E893" s="1296"/>
      <c r="F893" s="437"/>
    </row>
    <row r="894" ht="14.25" customHeight="1">
      <c r="B894" s="1365"/>
      <c r="C894" s="731"/>
      <c r="E894" s="1296"/>
      <c r="F894" s="437"/>
    </row>
    <row r="895" ht="14.25" customHeight="1">
      <c r="B895" s="1365"/>
      <c r="C895" s="731"/>
      <c r="E895" s="1296"/>
      <c r="F895" s="437"/>
    </row>
    <row r="896" ht="14.25" customHeight="1">
      <c r="B896" s="1365"/>
      <c r="C896" s="731"/>
      <c r="E896" s="1296"/>
      <c r="F896" s="437"/>
    </row>
    <row r="897" ht="14.25" customHeight="1">
      <c r="B897" s="1365"/>
      <c r="C897" s="731"/>
      <c r="E897" s="1296"/>
      <c r="F897" s="437"/>
    </row>
    <row r="898" ht="14.25" customHeight="1">
      <c r="B898" s="1365"/>
      <c r="C898" s="731"/>
      <c r="E898" s="1296"/>
      <c r="F898" s="437"/>
    </row>
    <row r="899" ht="14.25" customHeight="1">
      <c r="B899" s="1365"/>
      <c r="C899" s="731"/>
      <c r="E899" s="1296"/>
      <c r="F899" s="437"/>
    </row>
    <row r="900" ht="14.25" customHeight="1">
      <c r="B900" s="1365"/>
      <c r="C900" s="731"/>
      <c r="E900" s="1296"/>
      <c r="F900" s="437"/>
    </row>
    <row r="901" ht="14.25" customHeight="1">
      <c r="B901" s="1365"/>
      <c r="C901" s="731"/>
      <c r="E901" s="1296"/>
      <c r="F901" s="437"/>
    </row>
    <row r="902" ht="14.25" customHeight="1">
      <c r="B902" s="1365"/>
      <c r="C902" s="731"/>
      <c r="E902" s="1296"/>
      <c r="F902" s="437"/>
    </row>
    <row r="903" ht="14.25" customHeight="1">
      <c r="B903" s="1365"/>
      <c r="C903" s="731"/>
      <c r="E903" s="1296"/>
      <c r="F903" s="437"/>
    </row>
    <row r="904" ht="14.25" customHeight="1">
      <c r="B904" s="1365"/>
      <c r="C904" s="731"/>
      <c r="E904" s="1296"/>
      <c r="F904" s="437"/>
    </row>
    <row r="905" ht="14.25" customHeight="1">
      <c r="B905" s="1365"/>
      <c r="C905" s="731"/>
      <c r="E905" s="1296"/>
      <c r="F905" s="437"/>
    </row>
    <row r="906" ht="14.25" customHeight="1">
      <c r="B906" s="1365"/>
      <c r="C906" s="731"/>
      <c r="E906" s="1296"/>
      <c r="F906" s="437"/>
    </row>
    <row r="907" ht="14.25" customHeight="1">
      <c r="B907" s="1365"/>
      <c r="C907" s="731"/>
      <c r="E907" s="1296"/>
      <c r="F907" s="437"/>
    </row>
    <row r="908" ht="14.25" customHeight="1">
      <c r="B908" s="1365"/>
      <c r="C908" s="731"/>
      <c r="E908" s="1296"/>
      <c r="F908" s="437"/>
    </row>
    <row r="909" ht="14.25" customHeight="1">
      <c r="B909" s="1365"/>
      <c r="C909" s="731"/>
      <c r="E909" s="1296"/>
      <c r="F909" s="437"/>
    </row>
    <row r="910" ht="14.25" customHeight="1">
      <c r="B910" s="1365"/>
      <c r="C910" s="731"/>
      <c r="E910" s="1296"/>
      <c r="F910" s="437"/>
    </row>
    <row r="911" ht="14.25" customHeight="1">
      <c r="B911" s="1365"/>
      <c r="C911" s="731"/>
      <c r="E911" s="1296"/>
      <c r="F911" s="437"/>
    </row>
    <row r="912" ht="14.25" customHeight="1">
      <c r="B912" s="1365"/>
      <c r="C912" s="731"/>
      <c r="E912" s="1296"/>
      <c r="F912" s="437"/>
    </row>
    <row r="913" ht="14.25" customHeight="1">
      <c r="B913" s="1365"/>
      <c r="C913" s="731"/>
      <c r="E913" s="1296"/>
      <c r="F913" s="437"/>
    </row>
    <row r="914" ht="14.25" customHeight="1">
      <c r="B914" s="1365"/>
      <c r="C914" s="731"/>
      <c r="E914" s="1296"/>
      <c r="F914" s="437"/>
    </row>
    <row r="915" ht="14.25" customHeight="1">
      <c r="B915" s="1365"/>
      <c r="C915" s="731"/>
      <c r="E915" s="1296"/>
      <c r="F915" s="437"/>
    </row>
    <row r="916" ht="14.25" customHeight="1">
      <c r="B916" s="1365"/>
      <c r="C916" s="731"/>
      <c r="E916" s="1296"/>
      <c r="F916" s="437"/>
    </row>
    <row r="917" ht="14.25" customHeight="1">
      <c r="B917" s="1365"/>
      <c r="C917" s="731"/>
      <c r="E917" s="1296"/>
      <c r="F917" s="437"/>
    </row>
    <row r="918" ht="14.25" customHeight="1">
      <c r="B918" s="1365"/>
      <c r="C918" s="731"/>
      <c r="E918" s="1296"/>
      <c r="F918" s="437"/>
    </row>
    <row r="919" ht="14.25" customHeight="1">
      <c r="B919" s="1365"/>
      <c r="C919" s="731"/>
      <c r="E919" s="1296"/>
      <c r="F919" s="437"/>
    </row>
    <row r="920" ht="14.25" customHeight="1">
      <c r="B920" s="1365"/>
      <c r="C920" s="731"/>
      <c r="E920" s="1296"/>
      <c r="F920" s="437"/>
    </row>
    <row r="921" ht="14.25" customHeight="1">
      <c r="B921" s="1365"/>
      <c r="C921" s="731"/>
      <c r="E921" s="1296"/>
      <c r="F921" s="437"/>
    </row>
    <row r="922" ht="14.25" customHeight="1">
      <c r="B922" s="1365"/>
      <c r="C922" s="731"/>
      <c r="E922" s="1296"/>
      <c r="F922" s="437"/>
    </row>
    <row r="923" ht="14.25" customHeight="1">
      <c r="B923" s="1365"/>
      <c r="C923" s="731"/>
      <c r="E923" s="1296"/>
      <c r="F923" s="437"/>
    </row>
    <row r="924" ht="14.25" customHeight="1">
      <c r="B924" s="1365"/>
      <c r="C924" s="731"/>
      <c r="E924" s="1296"/>
      <c r="F924" s="437"/>
    </row>
    <row r="925" ht="14.25" customHeight="1">
      <c r="B925" s="1365"/>
      <c r="C925" s="731"/>
      <c r="E925" s="1296"/>
      <c r="F925" s="437"/>
    </row>
    <row r="926" ht="14.25" customHeight="1">
      <c r="B926" s="1365"/>
      <c r="C926" s="731"/>
      <c r="E926" s="1296"/>
      <c r="F926" s="437"/>
    </row>
    <row r="927" ht="14.25" customHeight="1">
      <c r="B927" s="1365"/>
      <c r="C927" s="731"/>
      <c r="E927" s="1296"/>
      <c r="F927" s="437"/>
    </row>
    <row r="928" ht="14.25" customHeight="1">
      <c r="B928" s="1365"/>
      <c r="C928" s="731"/>
      <c r="E928" s="1296"/>
      <c r="F928" s="437"/>
    </row>
    <row r="929" ht="14.25" customHeight="1">
      <c r="B929" s="1365"/>
      <c r="C929" s="731"/>
      <c r="E929" s="1296"/>
      <c r="F929" s="437"/>
    </row>
    <row r="930" ht="14.25" customHeight="1">
      <c r="B930" s="1365"/>
      <c r="C930" s="731"/>
      <c r="E930" s="1296"/>
      <c r="F930" s="437"/>
    </row>
    <row r="931" ht="14.25" customHeight="1">
      <c r="B931" s="1365"/>
      <c r="C931" s="731"/>
      <c r="E931" s="1296"/>
      <c r="F931" s="437"/>
    </row>
    <row r="932" ht="14.25" customHeight="1">
      <c r="B932" s="1365"/>
      <c r="C932" s="731"/>
      <c r="E932" s="1296"/>
      <c r="F932" s="437"/>
    </row>
    <row r="933" ht="14.25" customHeight="1">
      <c r="B933" s="1365"/>
      <c r="C933" s="731"/>
      <c r="E933" s="1296"/>
      <c r="F933" s="437"/>
    </row>
    <row r="934" ht="14.25" customHeight="1">
      <c r="B934" s="1365"/>
      <c r="C934" s="731"/>
      <c r="E934" s="1296"/>
      <c r="F934" s="437"/>
    </row>
    <row r="935" ht="14.25" customHeight="1">
      <c r="B935" s="1365"/>
      <c r="C935" s="731"/>
      <c r="E935" s="1296"/>
      <c r="F935" s="437"/>
    </row>
    <row r="936" ht="14.25" customHeight="1">
      <c r="B936" s="1365"/>
      <c r="C936" s="731"/>
      <c r="E936" s="1296"/>
      <c r="F936" s="437"/>
    </row>
    <row r="937" ht="14.25" customHeight="1">
      <c r="B937" s="1365"/>
      <c r="C937" s="731"/>
      <c r="E937" s="1296"/>
      <c r="F937" s="437"/>
    </row>
    <row r="938" ht="14.25" customHeight="1">
      <c r="B938" s="1365"/>
      <c r="C938" s="731"/>
      <c r="E938" s="1296"/>
      <c r="F938" s="437"/>
    </row>
    <row r="939" ht="14.25" customHeight="1">
      <c r="B939" s="1365"/>
      <c r="C939" s="731"/>
      <c r="E939" s="1296"/>
      <c r="F939" s="437"/>
    </row>
    <row r="940" ht="14.25" customHeight="1">
      <c r="B940" s="1365"/>
      <c r="C940" s="731"/>
      <c r="E940" s="1296"/>
      <c r="F940" s="437"/>
    </row>
    <row r="941" ht="14.25" customHeight="1">
      <c r="B941" s="1365"/>
      <c r="C941" s="731"/>
      <c r="E941" s="1296"/>
      <c r="F941" s="437"/>
    </row>
    <row r="942" ht="14.25" customHeight="1">
      <c r="B942" s="1365"/>
      <c r="C942" s="731"/>
      <c r="E942" s="1296"/>
      <c r="F942" s="437"/>
    </row>
    <row r="943" ht="14.25" customHeight="1">
      <c r="B943" s="1365"/>
      <c r="C943" s="731"/>
      <c r="E943" s="1296"/>
      <c r="F943" s="437"/>
    </row>
    <row r="944" ht="14.25" customHeight="1">
      <c r="B944" s="1365"/>
      <c r="C944" s="731"/>
      <c r="E944" s="1296"/>
      <c r="F944" s="437"/>
    </row>
    <row r="945" ht="14.25" customHeight="1">
      <c r="B945" s="1365"/>
      <c r="C945" s="731"/>
      <c r="E945" s="1296"/>
      <c r="F945" s="437"/>
    </row>
    <row r="946" ht="14.25" customHeight="1">
      <c r="B946" s="1365"/>
      <c r="C946" s="731"/>
      <c r="E946" s="1296"/>
      <c r="F946" s="437"/>
    </row>
    <row r="947" ht="14.25" customHeight="1">
      <c r="B947" s="1365"/>
      <c r="C947" s="731"/>
      <c r="E947" s="1296"/>
      <c r="F947" s="437"/>
    </row>
    <row r="948" ht="14.25" customHeight="1">
      <c r="B948" s="1365"/>
      <c r="C948" s="731"/>
      <c r="E948" s="1296"/>
      <c r="F948" s="437"/>
    </row>
    <row r="949" ht="14.25" customHeight="1">
      <c r="B949" s="1365"/>
      <c r="C949" s="731"/>
      <c r="E949" s="1296"/>
      <c r="F949" s="437"/>
    </row>
    <row r="950" ht="14.25" customHeight="1">
      <c r="B950" s="1365"/>
      <c r="C950" s="731"/>
      <c r="E950" s="1296"/>
      <c r="F950" s="437"/>
    </row>
    <row r="951" ht="14.25" customHeight="1">
      <c r="B951" s="1365"/>
      <c r="C951" s="731"/>
      <c r="E951" s="1296"/>
      <c r="F951" s="437"/>
    </row>
    <row r="952" ht="14.25" customHeight="1">
      <c r="B952" s="1365"/>
      <c r="C952" s="731"/>
      <c r="E952" s="1296"/>
      <c r="F952" s="437"/>
    </row>
    <row r="953" ht="14.25" customHeight="1">
      <c r="B953" s="1365"/>
      <c r="C953" s="731"/>
      <c r="E953" s="1296"/>
      <c r="F953" s="437"/>
    </row>
    <row r="954" ht="14.25" customHeight="1">
      <c r="B954" s="1365"/>
      <c r="C954" s="731"/>
      <c r="E954" s="1296"/>
      <c r="F954" s="437"/>
    </row>
    <row r="955" ht="14.25" customHeight="1">
      <c r="B955" s="1365"/>
      <c r="C955" s="731"/>
      <c r="E955" s="1296"/>
      <c r="F955" s="437"/>
    </row>
    <row r="956" ht="14.25" customHeight="1">
      <c r="B956" s="1365"/>
      <c r="C956" s="731"/>
      <c r="E956" s="1296"/>
      <c r="F956" s="437"/>
    </row>
    <row r="957" ht="14.25" customHeight="1">
      <c r="B957" s="1365"/>
      <c r="C957" s="731"/>
      <c r="E957" s="1296"/>
      <c r="F957" s="437"/>
    </row>
    <row r="958" ht="14.25" customHeight="1">
      <c r="B958" s="1365"/>
      <c r="C958" s="731"/>
      <c r="E958" s="1296"/>
      <c r="F958" s="437"/>
    </row>
    <row r="959" ht="14.25" customHeight="1">
      <c r="B959" s="1365"/>
      <c r="C959" s="731"/>
      <c r="E959" s="1296"/>
      <c r="F959" s="437"/>
    </row>
    <row r="960" ht="14.25" customHeight="1">
      <c r="B960" s="1365"/>
      <c r="C960" s="731"/>
      <c r="E960" s="1296"/>
      <c r="F960" s="437"/>
    </row>
    <row r="961" ht="14.25" customHeight="1">
      <c r="B961" s="1365"/>
      <c r="C961" s="731"/>
      <c r="E961" s="1296"/>
      <c r="F961" s="437"/>
    </row>
    <row r="962" ht="14.25" customHeight="1">
      <c r="B962" s="1365"/>
      <c r="C962" s="731"/>
      <c r="E962" s="1296"/>
      <c r="F962" s="437"/>
    </row>
    <row r="963" ht="14.25" customHeight="1">
      <c r="B963" s="1365"/>
      <c r="C963" s="731"/>
      <c r="E963" s="1296"/>
      <c r="F963" s="437"/>
    </row>
    <row r="964" ht="14.25" customHeight="1">
      <c r="B964" s="1365"/>
      <c r="C964" s="731"/>
      <c r="E964" s="1296"/>
      <c r="F964" s="437"/>
    </row>
    <row r="965" ht="14.25" customHeight="1">
      <c r="B965" s="1365"/>
      <c r="C965" s="731"/>
      <c r="E965" s="1296"/>
      <c r="F965" s="437"/>
    </row>
    <row r="966" ht="14.25" customHeight="1">
      <c r="B966" s="1365"/>
      <c r="C966" s="731"/>
      <c r="E966" s="1296"/>
      <c r="F966" s="437"/>
    </row>
    <row r="967" ht="14.25" customHeight="1">
      <c r="B967" s="1365"/>
      <c r="C967" s="731"/>
      <c r="E967" s="1296"/>
      <c r="F967" s="437"/>
    </row>
    <row r="968" ht="14.25" customHeight="1">
      <c r="B968" s="1365"/>
      <c r="C968" s="731"/>
      <c r="E968" s="1296"/>
      <c r="F968" s="437"/>
    </row>
    <row r="969" ht="14.25" customHeight="1">
      <c r="B969" s="1365"/>
      <c r="C969" s="731"/>
      <c r="E969" s="1296"/>
      <c r="F969" s="437"/>
    </row>
    <row r="970" ht="14.25" customHeight="1">
      <c r="B970" s="1365"/>
      <c r="C970" s="731"/>
      <c r="E970" s="1296"/>
      <c r="F970" s="437"/>
    </row>
    <row r="971" ht="14.25" customHeight="1">
      <c r="B971" s="1365"/>
      <c r="C971" s="731"/>
      <c r="E971" s="1296"/>
      <c r="F971" s="437"/>
    </row>
    <row r="972" ht="14.25" customHeight="1">
      <c r="B972" s="1365"/>
      <c r="C972" s="731"/>
      <c r="E972" s="1296"/>
      <c r="F972" s="437"/>
    </row>
    <row r="973" ht="14.25" customHeight="1">
      <c r="B973" s="1365"/>
      <c r="C973" s="731"/>
      <c r="E973" s="1296"/>
      <c r="F973" s="437"/>
    </row>
    <row r="974" ht="14.25" customHeight="1">
      <c r="B974" s="1365"/>
      <c r="C974" s="731"/>
      <c r="E974" s="1296"/>
      <c r="F974" s="437"/>
    </row>
    <row r="975" ht="14.25" customHeight="1">
      <c r="B975" s="1365"/>
      <c r="C975" s="731"/>
      <c r="E975" s="1296"/>
      <c r="F975" s="437"/>
    </row>
    <row r="976" ht="14.25" customHeight="1">
      <c r="B976" s="1365"/>
      <c r="C976" s="731"/>
      <c r="E976" s="1296"/>
      <c r="F976" s="437"/>
    </row>
    <row r="977" ht="14.25" customHeight="1">
      <c r="B977" s="1365"/>
      <c r="C977" s="731"/>
      <c r="E977" s="1296"/>
      <c r="F977" s="437"/>
    </row>
    <row r="978" ht="14.25" customHeight="1">
      <c r="B978" s="1365"/>
      <c r="C978" s="731"/>
      <c r="E978" s="1296"/>
      <c r="F978" s="437"/>
    </row>
    <row r="979" ht="14.25" customHeight="1">
      <c r="B979" s="1365"/>
      <c r="C979" s="731"/>
      <c r="E979" s="1296"/>
      <c r="F979" s="437"/>
    </row>
    <row r="980" ht="14.25" customHeight="1">
      <c r="B980" s="1365"/>
      <c r="C980" s="731"/>
      <c r="E980" s="1296"/>
      <c r="F980" s="437"/>
    </row>
    <row r="981" ht="14.25" customHeight="1">
      <c r="B981" s="1365"/>
      <c r="C981" s="731"/>
      <c r="E981" s="1296"/>
      <c r="F981" s="437"/>
    </row>
    <row r="982" ht="14.25" customHeight="1">
      <c r="B982" s="1365"/>
      <c r="C982" s="731"/>
      <c r="E982" s="1296"/>
      <c r="F982" s="437"/>
    </row>
    <row r="983" ht="14.25" customHeight="1">
      <c r="B983" s="1365"/>
      <c r="C983" s="731"/>
      <c r="E983" s="1296"/>
      <c r="F983" s="437"/>
    </row>
    <row r="984" ht="14.25" customHeight="1">
      <c r="B984" s="1365"/>
      <c r="C984" s="731"/>
      <c r="E984" s="1296"/>
      <c r="F984" s="437"/>
    </row>
    <row r="985" ht="14.25" customHeight="1">
      <c r="B985" s="1365"/>
      <c r="C985" s="731"/>
      <c r="E985" s="1296"/>
      <c r="F985" s="437"/>
    </row>
    <row r="986" ht="14.25" customHeight="1">
      <c r="B986" s="1365"/>
      <c r="C986" s="731"/>
      <c r="E986" s="1296"/>
      <c r="F986" s="437"/>
    </row>
    <row r="987" ht="14.25" customHeight="1">
      <c r="B987" s="1365"/>
      <c r="C987" s="731"/>
      <c r="E987" s="1296"/>
      <c r="F987" s="437"/>
    </row>
    <row r="988" ht="14.25" customHeight="1">
      <c r="B988" s="1365"/>
      <c r="C988" s="731"/>
      <c r="E988" s="1296"/>
      <c r="F988" s="437"/>
    </row>
    <row r="989" ht="14.25" customHeight="1">
      <c r="B989" s="1365"/>
      <c r="C989" s="731"/>
      <c r="E989" s="1296"/>
      <c r="F989" s="437"/>
    </row>
    <row r="990" ht="14.25" customHeight="1">
      <c r="B990" s="1365"/>
      <c r="C990" s="731"/>
      <c r="E990" s="1296"/>
      <c r="F990" s="437"/>
    </row>
    <row r="991" ht="14.25" customHeight="1">
      <c r="B991" s="1365"/>
      <c r="C991" s="731"/>
      <c r="E991" s="1296"/>
      <c r="F991" s="437"/>
    </row>
    <row r="992" ht="14.25" customHeight="1">
      <c r="B992" s="1365"/>
      <c r="C992" s="731"/>
      <c r="E992" s="1296"/>
      <c r="F992" s="437"/>
    </row>
    <row r="993" ht="14.25" customHeight="1">
      <c r="B993" s="1365"/>
      <c r="C993" s="731"/>
      <c r="E993" s="1296"/>
      <c r="F993" s="437"/>
    </row>
    <row r="994" ht="14.25" customHeight="1">
      <c r="B994" s="1365"/>
      <c r="C994" s="731"/>
      <c r="E994" s="1296"/>
      <c r="F994" s="437"/>
    </row>
    <row r="995" ht="14.25" customHeight="1">
      <c r="B995" s="1365"/>
      <c r="C995" s="731"/>
      <c r="E995" s="1296"/>
      <c r="F995" s="437"/>
    </row>
    <row r="996" ht="14.25" customHeight="1">
      <c r="B996" s="1365"/>
      <c r="C996" s="731"/>
      <c r="E996" s="1296"/>
      <c r="F996" s="437"/>
    </row>
    <row r="997" ht="14.25" customHeight="1">
      <c r="B997" s="1365"/>
      <c r="C997" s="731"/>
      <c r="E997" s="1296"/>
      <c r="F997" s="437"/>
    </row>
    <row r="998" ht="14.25" customHeight="1">
      <c r="B998" s="1365"/>
      <c r="C998" s="731"/>
      <c r="E998" s="1296"/>
      <c r="F998" s="437"/>
    </row>
    <row r="999" ht="14.25" customHeight="1">
      <c r="B999" s="1365"/>
      <c r="C999" s="731"/>
      <c r="E999" s="1296"/>
      <c r="F999" s="437"/>
    </row>
    <row r="1000" ht="14.25" customHeight="1">
      <c r="B1000" s="1365"/>
      <c r="C1000" s="731"/>
      <c r="E1000" s="1296"/>
      <c r="F1000" s="437"/>
    </row>
    <row r="1001" ht="14.25" customHeight="1">
      <c r="B1001" s="1365"/>
      <c r="C1001" s="731"/>
      <c r="E1001" s="1296"/>
      <c r="F1001" s="437"/>
    </row>
    <row r="1002" ht="14.25" customHeight="1">
      <c r="B1002" s="1365"/>
      <c r="C1002" s="731"/>
      <c r="E1002" s="1296"/>
      <c r="F1002" s="437"/>
    </row>
    <row r="1003" ht="14.25" customHeight="1">
      <c r="B1003" s="1365"/>
      <c r="C1003" s="731"/>
      <c r="E1003" s="1296"/>
      <c r="F1003" s="437"/>
    </row>
    <row r="1004" ht="14.25" customHeight="1">
      <c r="B1004" s="1365"/>
      <c r="C1004" s="731"/>
      <c r="E1004" s="1296"/>
      <c r="F1004" s="437"/>
    </row>
    <row r="1005" ht="14.25" customHeight="1">
      <c r="B1005" s="1365"/>
      <c r="C1005" s="731"/>
      <c r="E1005" s="1296"/>
      <c r="F1005" s="437"/>
    </row>
    <row r="1006" ht="14.25" customHeight="1">
      <c r="B1006" s="1365"/>
      <c r="C1006" s="731"/>
      <c r="E1006" s="1296"/>
      <c r="F1006" s="437"/>
    </row>
    <row r="1007" ht="14.25" customHeight="1">
      <c r="B1007" s="1365"/>
      <c r="C1007" s="731"/>
      <c r="E1007" s="1296"/>
      <c r="F1007" s="437"/>
    </row>
    <row r="1008" ht="14.25" customHeight="1">
      <c r="B1008" s="1365"/>
      <c r="C1008" s="731"/>
      <c r="E1008" s="1296"/>
      <c r="F1008" s="437"/>
    </row>
    <row r="1009" ht="14.25" customHeight="1">
      <c r="B1009" s="1365"/>
      <c r="C1009" s="731"/>
      <c r="E1009" s="1296"/>
      <c r="F1009" s="437"/>
    </row>
    <row r="1010" ht="14.25" customHeight="1">
      <c r="B1010" s="1365"/>
      <c r="C1010" s="731"/>
      <c r="E1010" s="1296"/>
      <c r="F1010" s="437"/>
    </row>
    <row r="1011" ht="14.25" customHeight="1">
      <c r="B1011" s="1365"/>
      <c r="C1011" s="731"/>
      <c r="E1011" s="1296"/>
      <c r="F1011" s="437"/>
    </row>
    <row r="1012" ht="14.25" customHeight="1">
      <c r="B1012" s="1365"/>
      <c r="C1012" s="731"/>
      <c r="E1012" s="1296"/>
      <c r="F1012" s="437"/>
    </row>
    <row r="1013" ht="14.25" customHeight="1">
      <c r="B1013" s="1365"/>
      <c r="C1013" s="731"/>
      <c r="E1013" s="1296"/>
      <c r="F1013" s="437"/>
    </row>
    <row r="1014" ht="14.25" customHeight="1">
      <c r="B1014" s="1365"/>
      <c r="C1014" s="731"/>
      <c r="E1014" s="1296"/>
      <c r="F1014" s="437"/>
    </row>
    <row r="1015" ht="14.25" customHeight="1">
      <c r="B1015" s="1365"/>
      <c r="C1015" s="731"/>
      <c r="E1015" s="1296"/>
      <c r="F1015" s="437"/>
    </row>
    <row r="1016" ht="14.25" customHeight="1">
      <c r="B1016" s="1365"/>
      <c r="C1016" s="731"/>
      <c r="E1016" s="1296"/>
      <c r="F1016" s="437"/>
    </row>
    <row r="1017" ht="14.25" customHeight="1">
      <c r="B1017" s="1365"/>
      <c r="C1017" s="731"/>
      <c r="E1017" s="1296"/>
      <c r="F1017" s="437"/>
    </row>
    <row r="1018" ht="14.25" customHeight="1">
      <c r="B1018" s="1365"/>
      <c r="C1018" s="731"/>
      <c r="E1018" s="1296"/>
      <c r="F1018" s="437"/>
    </row>
    <row r="1019" ht="14.25" customHeight="1">
      <c r="B1019" s="1365"/>
      <c r="C1019" s="731"/>
      <c r="E1019" s="1296"/>
      <c r="F1019" s="437"/>
    </row>
    <row r="1020" ht="14.25" customHeight="1">
      <c r="B1020" s="1365"/>
      <c r="C1020" s="731"/>
      <c r="E1020" s="1296"/>
      <c r="F1020" s="437"/>
    </row>
    <row r="1021" ht="14.25" customHeight="1">
      <c r="B1021" s="1365"/>
      <c r="C1021" s="731"/>
      <c r="E1021" s="1296"/>
      <c r="F1021" s="437"/>
    </row>
    <row r="1022" ht="14.25" customHeight="1">
      <c r="B1022" s="1365"/>
      <c r="C1022" s="731"/>
      <c r="E1022" s="1296"/>
      <c r="F1022" s="437"/>
    </row>
    <row r="1023" ht="14.25" customHeight="1">
      <c r="B1023" s="1365"/>
      <c r="C1023" s="731"/>
      <c r="E1023" s="1296"/>
      <c r="F1023" s="437"/>
    </row>
    <row r="1024" ht="14.25" customHeight="1">
      <c r="B1024" s="1365"/>
      <c r="C1024" s="731"/>
      <c r="E1024" s="1296"/>
      <c r="F1024" s="437"/>
    </row>
    <row r="1025" ht="14.25" customHeight="1">
      <c r="B1025" s="1365"/>
      <c r="C1025" s="731"/>
      <c r="E1025" s="1296"/>
      <c r="F1025" s="437"/>
    </row>
    <row r="1026" ht="14.25" customHeight="1">
      <c r="B1026" s="1365"/>
      <c r="C1026" s="731"/>
      <c r="E1026" s="1296"/>
      <c r="F1026" s="437"/>
    </row>
    <row r="1027" ht="14.25" customHeight="1">
      <c r="B1027" s="1365"/>
      <c r="C1027" s="731"/>
      <c r="E1027" s="1296"/>
      <c r="F1027" s="437"/>
    </row>
    <row r="1028" ht="14.25" customHeight="1">
      <c r="B1028" s="1365"/>
      <c r="C1028" s="731"/>
      <c r="E1028" s="1296"/>
      <c r="F1028" s="437"/>
    </row>
    <row r="1029" ht="14.25" customHeight="1">
      <c r="B1029" s="1365"/>
      <c r="C1029" s="731"/>
      <c r="E1029" s="1296"/>
      <c r="F1029" s="437"/>
    </row>
    <row r="1030" ht="14.25" customHeight="1">
      <c r="B1030" s="1365"/>
      <c r="C1030" s="731"/>
      <c r="E1030" s="1296"/>
      <c r="F1030" s="437"/>
    </row>
    <row r="1031" ht="14.25" customHeight="1">
      <c r="B1031" s="1365"/>
      <c r="C1031" s="731"/>
      <c r="E1031" s="1296"/>
      <c r="F1031" s="437"/>
    </row>
    <row r="1032" ht="14.25" customHeight="1">
      <c r="B1032" s="1365"/>
      <c r="C1032" s="731"/>
      <c r="E1032" s="1296"/>
      <c r="F1032" s="437"/>
    </row>
    <row r="1033" ht="14.25" customHeight="1">
      <c r="B1033" s="1365"/>
      <c r="C1033" s="731"/>
      <c r="E1033" s="1296"/>
      <c r="F1033" s="437"/>
    </row>
    <row r="1034" ht="14.25" customHeight="1">
      <c r="B1034" s="1365"/>
      <c r="C1034" s="731"/>
      <c r="E1034" s="1296"/>
      <c r="F1034" s="437"/>
    </row>
    <row r="1035" ht="14.25" customHeight="1">
      <c r="B1035" s="1365"/>
      <c r="C1035" s="731"/>
      <c r="E1035" s="1296"/>
      <c r="F1035" s="437"/>
    </row>
    <row r="1036" ht="14.25" customHeight="1">
      <c r="B1036" s="1365"/>
      <c r="C1036" s="731"/>
      <c r="E1036" s="1296"/>
      <c r="F1036" s="437"/>
    </row>
    <row r="1037" ht="14.25" customHeight="1">
      <c r="B1037" s="1365"/>
      <c r="C1037" s="731"/>
      <c r="E1037" s="1296"/>
      <c r="F1037" s="437"/>
    </row>
    <row r="1038" ht="14.25" customHeight="1">
      <c r="B1038" s="1365"/>
      <c r="C1038" s="731"/>
      <c r="E1038" s="1296"/>
      <c r="F1038" s="437"/>
    </row>
    <row r="1039" ht="14.25" customHeight="1">
      <c r="B1039" s="1365"/>
      <c r="C1039" s="731"/>
      <c r="E1039" s="1296"/>
      <c r="F1039" s="437"/>
    </row>
    <row r="1040" ht="14.25" customHeight="1">
      <c r="B1040" s="1365"/>
      <c r="C1040" s="731"/>
      <c r="E1040" s="1296"/>
      <c r="F1040" s="437"/>
    </row>
    <row r="1041" ht="14.25" customHeight="1">
      <c r="B1041" s="1365"/>
      <c r="C1041" s="731"/>
      <c r="E1041" s="1296"/>
      <c r="F1041" s="437"/>
    </row>
    <row r="1042" ht="14.25" customHeight="1">
      <c r="B1042" s="1365"/>
      <c r="C1042" s="731"/>
      <c r="E1042" s="1296"/>
      <c r="F1042" s="437"/>
    </row>
    <row r="1043" ht="14.25" customHeight="1">
      <c r="B1043" s="1365"/>
      <c r="C1043" s="731"/>
      <c r="E1043" s="1296"/>
      <c r="F1043" s="437"/>
    </row>
    <row r="1044" ht="14.25" customHeight="1">
      <c r="B1044" s="1365"/>
      <c r="C1044" s="731"/>
      <c r="E1044" s="1296"/>
      <c r="F1044" s="437"/>
    </row>
    <row r="1045" ht="14.25" customHeight="1">
      <c r="B1045" s="1365"/>
      <c r="C1045" s="731"/>
      <c r="E1045" s="1296"/>
      <c r="F1045" s="437"/>
    </row>
    <row r="1046" ht="14.25" customHeight="1">
      <c r="B1046" s="1365"/>
      <c r="C1046" s="731"/>
      <c r="E1046" s="1296"/>
      <c r="F1046" s="437"/>
    </row>
    <row r="1047" ht="14.25" customHeight="1">
      <c r="B1047" s="1365"/>
      <c r="C1047" s="731"/>
      <c r="E1047" s="1296"/>
      <c r="F1047" s="437"/>
    </row>
    <row r="1048" ht="14.25" customHeight="1">
      <c r="B1048" s="1365"/>
      <c r="C1048" s="731"/>
      <c r="E1048" s="1296"/>
      <c r="F1048" s="437"/>
    </row>
    <row r="1049" ht="14.25" customHeight="1">
      <c r="B1049" s="1365"/>
      <c r="C1049" s="731"/>
      <c r="E1049" s="1296"/>
      <c r="F1049" s="437"/>
    </row>
    <row r="1050" ht="14.25" customHeight="1">
      <c r="B1050" s="1365"/>
      <c r="C1050" s="731"/>
      <c r="E1050" s="1296"/>
      <c r="F1050" s="437"/>
    </row>
    <row r="1051" ht="14.25" customHeight="1">
      <c r="B1051" s="1365"/>
      <c r="C1051" s="731"/>
      <c r="E1051" s="1296"/>
      <c r="F1051" s="437"/>
    </row>
    <row r="1052" ht="14.25" customHeight="1">
      <c r="B1052" s="1365"/>
      <c r="C1052" s="731"/>
      <c r="E1052" s="1296"/>
      <c r="F1052" s="437"/>
    </row>
    <row r="1053" ht="14.25" customHeight="1">
      <c r="B1053" s="1365"/>
      <c r="C1053" s="731"/>
      <c r="E1053" s="1296"/>
      <c r="F1053" s="437"/>
    </row>
    <row r="1054" ht="14.25" customHeight="1">
      <c r="B1054" s="1365"/>
      <c r="C1054" s="731"/>
      <c r="E1054" s="1296"/>
      <c r="F1054" s="437"/>
    </row>
    <row r="1055" ht="14.25" customHeight="1">
      <c r="B1055" s="1365"/>
      <c r="C1055" s="731"/>
      <c r="E1055" s="1296"/>
      <c r="F1055" s="437"/>
    </row>
    <row r="1056" ht="14.25" customHeight="1">
      <c r="B1056" s="1365"/>
      <c r="C1056" s="731"/>
      <c r="E1056" s="1296"/>
      <c r="F1056" s="437"/>
    </row>
    <row r="1057" ht="14.25" customHeight="1">
      <c r="B1057" s="1365"/>
      <c r="C1057" s="731"/>
      <c r="E1057" s="1296"/>
      <c r="F1057" s="437"/>
    </row>
    <row r="1058" ht="14.25" customHeight="1">
      <c r="B1058" s="1365"/>
      <c r="C1058" s="731"/>
      <c r="E1058" s="1296"/>
      <c r="F1058" s="437"/>
    </row>
    <row r="1059" ht="14.25" customHeight="1">
      <c r="B1059" s="1365"/>
      <c r="C1059" s="731"/>
      <c r="E1059" s="1296"/>
      <c r="F1059" s="437"/>
    </row>
    <row r="1060" ht="14.25" customHeight="1">
      <c r="B1060" s="1365"/>
      <c r="C1060" s="731"/>
      <c r="E1060" s="1296"/>
      <c r="F1060" s="437"/>
    </row>
    <row r="1061" ht="14.25" customHeight="1">
      <c r="B1061" s="1365"/>
      <c r="C1061" s="731"/>
      <c r="E1061" s="1296"/>
      <c r="F1061" s="437"/>
    </row>
    <row r="1062" ht="14.25" customHeight="1">
      <c r="B1062" s="1365"/>
      <c r="C1062" s="731"/>
      <c r="E1062" s="1296"/>
      <c r="F1062" s="437"/>
    </row>
    <row r="1063" ht="14.25" customHeight="1">
      <c r="B1063" s="1365"/>
      <c r="C1063" s="731"/>
      <c r="E1063" s="1296"/>
      <c r="F1063" s="437"/>
    </row>
    <row r="1064" ht="14.25" customHeight="1">
      <c r="B1064" s="1365"/>
      <c r="C1064" s="731"/>
      <c r="E1064" s="1296"/>
      <c r="F1064" s="437"/>
    </row>
    <row r="1065" ht="14.25" customHeight="1">
      <c r="B1065" s="1365"/>
      <c r="C1065" s="731"/>
      <c r="E1065" s="1296"/>
      <c r="F1065" s="437"/>
    </row>
    <row r="1066" ht="14.25" customHeight="1">
      <c r="B1066" s="1365"/>
      <c r="C1066" s="731"/>
      <c r="E1066" s="1296"/>
      <c r="F1066" s="437"/>
    </row>
    <row r="1067" ht="14.25" customHeight="1">
      <c r="B1067" s="1365"/>
      <c r="C1067" s="731"/>
      <c r="E1067" s="1296"/>
      <c r="F1067" s="437"/>
    </row>
    <row r="1068" ht="14.25" customHeight="1">
      <c r="B1068" s="1365"/>
      <c r="C1068" s="731"/>
      <c r="E1068" s="1296"/>
      <c r="F1068" s="437"/>
    </row>
    <row r="1069" ht="14.25" customHeight="1">
      <c r="B1069" s="1365"/>
      <c r="C1069" s="731"/>
      <c r="E1069" s="1296"/>
      <c r="F1069" s="437"/>
    </row>
    <row r="1070" ht="14.25" customHeight="1">
      <c r="B1070" s="1365"/>
      <c r="C1070" s="731"/>
      <c r="E1070" s="1296"/>
      <c r="F1070" s="437"/>
    </row>
    <row r="1071" ht="14.25" customHeight="1">
      <c r="B1071" s="1365"/>
      <c r="C1071" s="731"/>
      <c r="E1071" s="1296"/>
      <c r="F1071" s="437"/>
    </row>
    <row r="1072" ht="14.25" customHeight="1">
      <c r="B1072" s="1365"/>
      <c r="C1072" s="731"/>
      <c r="E1072" s="1296"/>
      <c r="F1072" s="437"/>
    </row>
    <row r="1073" ht="14.25" customHeight="1">
      <c r="B1073" s="1365"/>
      <c r="C1073" s="731"/>
      <c r="E1073" s="1296"/>
      <c r="F1073" s="437"/>
    </row>
    <row r="1074" ht="14.25" customHeight="1">
      <c r="B1074" s="1365"/>
      <c r="C1074" s="731"/>
      <c r="E1074" s="1296"/>
      <c r="F1074" s="437"/>
    </row>
    <row r="1075" ht="14.25" customHeight="1">
      <c r="B1075" s="1365"/>
      <c r="C1075" s="731"/>
      <c r="E1075" s="1296"/>
      <c r="F1075" s="437"/>
    </row>
    <row r="1076" ht="14.25" customHeight="1">
      <c r="B1076" s="1365"/>
      <c r="C1076" s="731"/>
      <c r="E1076" s="1296"/>
      <c r="F1076" s="437"/>
    </row>
    <row r="1077" ht="14.25" customHeight="1">
      <c r="B1077" s="1365"/>
      <c r="C1077" s="731"/>
      <c r="E1077" s="1296"/>
      <c r="F1077" s="437"/>
    </row>
    <row r="1078" ht="14.25" customHeight="1">
      <c r="B1078" s="1365"/>
      <c r="C1078" s="731"/>
      <c r="E1078" s="1296"/>
      <c r="F1078" s="437"/>
    </row>
    <row r="1079" ht="14.25" customHeight="1">
      <c r="B1079" s="1365"/>
      <c r="C1079" s="731"/>
      <c r="E1079" s="1296"/>
      <c r="F1079" s="437"/>
    </row>
    <row r="1080" ht="14.25" customHeight="1">
      <c r="B1080" s="1365"/>
      <c r="C1080" s="731"/>
      <c r="E1080" s="1296"/>
      <c r="F1080" s="437"/>
    </row>
    <row r="1081" ht="14.25" customHeight="1">
      <c r="B1081" s="1365"/>
      <c r="C1081" s="731"/>
      <c r="E1081" s="1296"/>
      <c r="F1081" s="437"/>
    </row>
    <row r="1082" ht="14.25" customHeight="1">
      <c r="B1082" s="1365"/>
      <c r="C1082" s="731"/>
      <c r="E1082" s="1296"/>
      <c r="F1082" s="437"/>
    </row>
    <row r="1083" ht="14.25" customHeight="1">
      <c r="B1083" s="1365"/>
      <c r="C1083" s="731"/>
      <c r="E1083" s="1296"/>
      <c r="F1083" s="437"/>
    </row>
    <row r="1084" ht="14.25" customHeight="1">
      <c r="B1084" s="1365"/>
      <c r="C1084" s="731"/>
      <c r="E1084" s="1296"/>
      <c r="F1084" s="437"/>
    </row>
    <row r="1085" ht="14.25" customHeight="1">
      <c r="B1085" s="1365"/>
      <c r="C1085" s="731"/>
      <c r="E1085" s="1296"/>
      <c r="F1085" s="437"/>
    </row>
    <row r="1086" ht="14.25" customHeight="1">
      <c r="B1086" s="1365"/>
      <c r="C1086" s="731"/>
      <c r="E1086" s="1296"/>
      <c r="F1086" s="437"/>
    </row>
    <row r="1087" ht="14.25" customHeight="1">
      <c r="B1087" s="1365"/>
      <c r="C1087" s="731"/>
      <c r="E1087" s="1296"/>
      <c r="F1087" s="437"/>
    </row>
    <row r="1088" ht="14.25" customHeight="1">
      <c r="B1088" s="1365"/>
      <c r="C1088" s="731"/>
      <c r="E1088" s="1296"/>
      <c r="F1088" s="437"/>
    </row>
    <row r="1089" ht="14.25" customHeight="1">
      <c r="B1089" s="1365"/>
      <c r="C1089" s="731"/>
      <c r="E1089" s="1296"/>
      <c r="F1089" s="437"/>
    </row>
    <row r="1090" ht="14.25" customHeight="1">
      <c r="B1090" s="1365"/>
      <c r="C1090" s="731"/>
      <c r="E1090" s="1296"/>
      <c r="F1090" s="437"/>
    </row>
    <row r="1091" ht="14.25" customHeight="1">
      <c r="B1091" s="1365"/>
      <c r="C1091" s="731"/>
      <c r="E1091" s="1296"/>
      <c r="F1091" s="437"/>
    </row>
    <row r="1092" ht="14.25" customHeight="1">
      <c r="B1092" s="1365"/>
      <c r="C1092" s="731"/>
      <c r="E1092" s="1296"/>
      <c r="F1092" s="437"/>
    </row>
    <row r="1093" ht="14.25" customHeight="1">
      <c r="B1093" s="1365"/>
      <c r="C1093" s="731"/>
      <c r="E1093" s="1296"/>
      <c r="F1093" s="437"/>
    </row>
    <row r="1094" ht="14.25" customHeight="1">
      <c r="B1094" s="1365"/>
      <c r="C1094" s="731"/>
      <c r="E1094" s="1296"/>
      <c r="F1094" s="437"/>
    </row>
    <row r="1095" ht="14.25" customHeight="1">
      <c r="B1095" s="1365"/>
      <c r="C1095" s="731"/>
      <c r="E1095" s="1296"/>
      <c r="F1095" s="437"/>
    </row>
    <row r="1096" ht="14.25" customHeight="1">
      <c r="B1096" s="1365"/>
      <c r="C1096" s="731"/>
      <c r="E1096" s="1296"/>
      <c r="F1096" s="437"/>
    </row>
    <row r="1097" ht="14.25" customHeight="1">
      <c r="B1097" s="1365"/>
      <c r="C1097" s="731"/>
      <c r="E1097" s="1296"/>
      <c r="F1097" s="437"/>
    </row>
    <row r="1098" ht="14.25" customHeight="1">
      <c r="B1098" s="1365"/>
      <c r="C1098" s="731"/>
      <c r="E1098" s="1296"/>
      <c r="F1098" s="437"/>
    </row>
    <row r="1099" ht="14.25" customHeight="1">
      <c r="B1099" s="1365"/>
      <c r="C1099" s="731"/>
      <c r="E1099" s="1296"/>
      <c r="F1099" s="437"/>
    </row>
    <row r="1100" ht="14.25" customHeight="1">
      <c r="B1100" s="1365"/>
      <c r="C1100" s="731"/>
      <c r="E1100" s="1296"/>
      <c r="F1100" s="437"/>
    </row>
    <row r="1101" ht="14.25" customHeight="1">
      <c r="B1101" s="1365"/>
      <c r="C1101" s="731"/>
      <c r="E1101" s="1296"/>
      <c r="F1101" s="437"/>
    </row>
    <row r="1102" ht="14.25" customHeight="1">
      <c r="B1102" s="1365"/>
      <c r="C1102" s="731"/>
      <c r="E1102" s="1296"/>
      <c r="F1102" s="437"/>
    </row>
    <row r="1103" ht="14.25" customHeight="1">
      <c r="B1103" s="1365"/>
      <c r="C1103" s="731"/>
      <c r="E1103" s="1296"/>
      <c r="F1103" s="437"/>
    </row>
    <row r="1104" ht="14.25" customHeight="1">
      <c r="B1104" s="1365"/>
      <c r="C1104" s="731"/>
      <c r="E1104" s="1296"/>
      <c r="F1104" s="437"/>
    </row>
    <row r="1105" ht="14.25" customHeight="1">
      <c r="B1105" s="1365"/>
      <c r="C1105" s="731"/>
      <c r="E1105" s="1296"/>
      <c r="F1105" s="437"/>
    </row>
    <row r="1106" ht="14.25" customHeight="1">
      <c r="B1106" s="1365"/>
      <c r="C1106" s="731"/>
      <c r="E1106" s="1296"/>
      <c r="F1106" s="437"/>
    </row>
    <row r="1107" ht="14.25" customHeight="1">
      <c r="B1107" s="1365"/>
      <c r="C1107" s="731"/>
      <c r="E1107" s="1296"/>
      <c r="F1107" s="437"/>
    </row>
    <row r="1108" ht="14.25" customHeight="1">
      <c r="B1108" s="1365"/>
      <c r="C1108" s="731"/>
      <c r="E1108" s="1296"/>
      <c r="F1108" s="437"/>
    </row>
    <row r="1109" ht="14.25" customHeight="1">
      <c r="B1109" s="1365"/>
      <c r="C1109" s="731"/>
      <c r="E1109" s="1296"/>
      <c r="F1109" s="437"/>
    </row>
    <row r="1110" ht="14.25" customHeight="1">
      <c r="B1110" s="1365"/>
      <c r="C1110" s="731"/>
      <c r="E1110" s="1296"/>
      <c r="F1110" s="437"/>
    </row>
    <row r="1111" ht="14.25" customHeight="1">
      <c r="B1111" s="1365"/>
      <c r="C1111" s="731"/>
      <c r="E1111" s="1296"/>
      <c r="F1111" s="437"/>
    </row>
    <row r="1112" ht="14.25" customHeight="1">
      <c r="B1112" s="1365"/>
      <c r="C1112" s="731"/>
      <c r="E1112" s="1296"/>
      <c r="F1112" s="437"/>
    </row>
    <row r="1113" ht="14.25" customHeight="1">
      <c r="B1113" s="1365"/>
      <c r="C1113" s="731"/>
      <c r="E1113" s="1296"/>
      <c r="F1113" s="437"/>
    </row>
    <row r="1114" ht="14.25" customHeight="1">
      <c r="B1114" s="1365"/>
      <c r="C1114" s="731"/>
      <c r="E1114" s="1296"/>
      <c r="F1114" s="437"/>
    </row>
    <row r="1115" ht="14.25" customHeight="1">
      <c r="B1115" s="1365"/>
      <c r="C1115" s="731"/>
      <c r="E1115" s="1296"/>
      <c r="F1115" s="437"/>
    </row>
    <row r="1116" ht="14.25" customHeight="1">
      <c r="B1116" s="1365"/>
      <c r="C1116" s="731"/>
      <c r="E1116" s="1296"/>
      <c r="F1116" s="437"/>
    </row>
    <row r="1117" ht="14.25" customHeight="1">
      <c r="B1117" s="1365"/>
      <c r="C1117" s="731"/>
      <c r="E1117" s="1296"/>
      <c r="F1117" s="437"/>
    </row>
    <row r="1118" ht="14.25" customHeight="1">
      <c r="B1118" s="1365"/>
      <c r="C1118" s="731"/>
      <c r="E1118" s="1296"/>
      <c r="F1118" s="437"/>
    </row>
    <row r="1119" ht="14.25" customHeight="1">
      <c r="B1119" s="1365"/>
      <c r="C1119" s="731"/>
      <c r="E1119" s="1296"/>
      <c r="F1119" s="437"/>
    </row>
    <row r="1120" ht="14.25" customHeight="1">
      <c r="B1120" s="1365"/>
      <c r="C1120" s="731"/>
      <c r="E1120" s="1296"/>
      <c r="F1120" s="437"/>
    </row>
    <row r="1121" ht="14.25" customHeight="1">
      <c r="B1121" s="1365"/>
      <c r="C1121" s="731"/>
      <c r="E1121" s="1296"/>
      <c r="F1121" s="437"/>
    </row>
    <row r="1122" ht="14.25" customHeight="1">
      <c r="B1122" s="1365"/>
      <c r="C1122" s="731"/>
      <c r="E1122" s="1296"/>
      <c r="F1122" s="437"/>
    </row>
    <row r="1123" ht="14.25" customHeight="1">
      <c r="B1123" s="1365"/>
      <c r="C1123" s="731"/>
      <c r="E1123" s="1296"/>
      <c r="F1123" s="437"/>
    </row>
    <row r="1124" ht="14.25" customHeight="1">
      <c r="B1124" s="1365"/>
      <c r="C1124" s="731"/>
      <c r="E1124" s="1296"/>
      <c r="F1124" s="437"/>
    </row>
    <row r="1125" ht="14.25" customHeight="1">
      <c r="B1125" s="1365"/>
      <c r="C1125" s="731"/>
      <c r="E1125" s="1296"/>
      <c r="F1125" s="437"/>
    </row>
    <row r="1126" ht="14.25" customHeight="1">
      <c r="B1126" s="1365"/>
      <c r="C1126" s="731"/>
      <c r="E1126" s="1296"/>
      <c r="F1126" s="437"/>
    </row>
    <row r="1127" ht="14.25" customHeight="1">
      <c r="B1127" s="1365"/>
      <c r="C1127" s="731"/>
      <c r="E1127" s="1296"/>
      <c r="F1127" s="437"/>
    </row>
    <row r="1128" ht="14.25" customHeight="1">
      <c r="B1128" s="1365"/>
      <c r="C1128" s="731"/>
      <c r="E1128" s="1296"/>
      <c r="F1128" s="437"/>
    </row>
    <row r="1129" ht="14.25" customHeight="1">
      <c r="B1129" s="1365"/>
      <c r="C1129" s="731"/>
      <c r="E1129" s="1296"/>
      <c r="F1129" s="437"/>
    </row>
    <row r="1130" ht="14.25" customHeight="1">
      <c r="B1130" s="1365"/>
      <c r="C1130" s="731"/>
      <c r="E1130" s="1296"/>
      <c r="F1130" s="437"/>
    </row>
    <row r="1131" ht="14.25" customHeight="1">
      <c r="B1131" s="1365"/>
      <c r="C1131" s="731"/>
      <c r="E1131" s="1296"/>
      <c r="F1131" s="437"/>
    </row>
    <row r="1132" ht="14.25" customHeight="1">
      <c r="B1132" s="1365"/>
      <c r="C1132" s="731"/>
      <c r="E1132" s="1296"/>
      <c r="F1132" s="437"/>
    </row>
    <row r="1133" ht="14.25" customHeight="1">
      <c r="B1133" s="1365"/>
      <c r="C1133" s="731"/>
      <c r="E1133" s="1296"/>
      <c r="F1133" s="437"/>
    </row>
    <row r="1134" ht="14.25" customHeight="1">
      <c r="B1134" s="1365"/>
      <c r="C1134" s="731"/>
      <c r="E1134" s="1296"/>
      <c r="F1134" s="437"/>
    </row>
    <row r="1135" ht="14.25" customHeight="1">
      <c r="B1135" s="1365"/>
      <c r="C1135" s="731"/>
      <c r="E1135" s="1296"/>
      <c r="F1135" s="437"/>
    </row>
    <row r="1136" ht="14.25" customHeight="1">
      <c r="B1136" s="1365"/>
      <c r="C1136" s="731"/>
      <c r="E1136" s="1296"/>
      <c r="F1136" s="437"/>
    </row>
    <row r="1137" ht="14.25" customHeight="1">
      <c r="B1137" s="1365"/>
      <c r="C1137" s="731"/>
      <c r="E1137" s="1296"/>
      <c r="F1137" s="437"/>
    </row>
    <row r="1138" ht="14.25" customHeight="1">
      <c r="B1138" s="1365"/>
      <c r="C1138" s="731"/>
      <c r="E1138" s="1296"/>
      <c r="F1138" s="437"/>
    </row>
    <row r="1139" ht="14.25" customHeight="1">
      <c r="B1139" s="1365"/>
      <c r="C1139" s="731"/>
      <c r="E1139" s="1296"/>
      <c r="F1139" s="437"/>
    </row>
    <row r="1140" ht="14.25" customHeight="1">
      <c r="B1140" s="1365"/>
      <c r="C1140" s="731"/>
      <c r="E1140" s="1296"/>
      <c r="F1140" s="437"/>
    </row>
    <row r="1141" ht="14.25" customHeight="1">
      <c r="B1141" s="1365"/>
      <c r="C1141" s="731"/>
      <c r="E1141" s="1296"/>
      <c r="F1141" s="437"/>
    </row>
    <row r="1142" ht="14.25" customHeight="1">
      <c r="B1142" s="1365"/>
      <c r="C1142" s="731"/>
      <c r="E1142" s="1296"/>
      <c r="F1142" s="437"/>
    </row>
    <row r="1143" ht="14.25" customHeight="1">
      <c r="B1143" s="1365"/>
      <c r="C1143" s="731"/>
      <c r="E1143" s="1296"/>
      <c r="F1143" s="437"/>
    </row>
    <row r="1144" ht="14.25" customHeight="1">
      <c r="B1144" s="1365"/>
      <c r="C1144" s="731"/>
      <c r="E1144" s="1296"/>
      <c r="F1144" s="437"/>
    </row>
    <row r="1145" ht="14.25" customHeight="1">
      <c r="B1145" s="1365"/>
      <c r="C1145" s="731"/>
      <c r="E1145" s="1296"/>
      <c r="F1145" s="437"/>
    </row>
    <row r="1146" ht="14.25" customHeight="1">
      <c r="B1146" s="1365"/>
      <c r="C1146" s="731"/>
      <c r="E1146" s="1296"/>
      <c r="F1146" s="437"/>
    </row>
    <row r="1147" ht="14.25" customHeight="1">
      <c r="B1147" s="1365"/>
      <c r="C1147" s="731"/>
      <c r="E1147" s="1296"/>
      <c r="F1147" s="437"/>
    </row>
    <row r="1148" ht="14.25" customHeight="1">
      <c r="B1148" s="1365"/>
      <c r="C1148" s="731"/>
      <c r="E1148" s="1296"/>
      <c r="F1148" s="437"/>
    </row>
    <row r="1149" ht="14.25" customHeight="1">
      <c r="B1149" s="1365"/>
      <c r="C1149" s="731"/>
      <c r="E1149" s="1296"/>
      <c r="F1149" s="437"/>
    </row>
    <row r="1150" ht="14.25" customHeight="1">
      <c r="B1150" s="1365"/>
      <c r="C1150" s="731"/>
      <c r="E1150" s="1296"/>
      <c r="F1150" s="437"/>
    </row>
    <row r="1151" ht="14.25" customHeight="1">
      <c r="B1151" s="1365"/>
      <c r="C1151" s="731"/>
      <c r="E1151" s="1296"/>
      <c r="F1151" s="437"/>
    </row>
    <row r="1152" ht="14.25" customHeight="1">
      <c r="B1152" s="1365"/>
      <c r="C1152" s="731"/>
      <c r="E1152" s="1296"/>
      <c r="F1152" s="437"/>
    </row>
    <row r="1153" ht="14.25" customHeight="1">
      <c r="B1153" s="1365"/>
      <c r="C1153" s="731"/>
      <c r="E1153" s="1296"/>
      <c r="F1153" s="437"/>
    </row>
    <row r="1154" ht="14.25" customHeight="1">
      <c r="B1154" s="1365"/>
      <c r="C1154" s="731"/>
      <c r="E1154" s="1296"/>
      <c r="F1154" s="437"/>
    </row>
    <row r="1155" ht="14.25" customHeight="1">
      <c r="B1155" s="1365"/>
      <c r="C1155" s="731"/>
      <c r="E1155" s="1296"/>
      <c r="F1155" s="437"/>
    </row>
    <row r="1156" ht="14.25" customHeight="1">
      <c r="B1156" s="1365"/>
      <c r="C1156" s="731"/>
      <c r="E1156" s="1296"/>
      <c r="F1156" s="437"/>
    </row>
    <row r="1157" ht="14.25" customHeight="1">
      <c r="B1157" s="1365"/>
      <c r="C1157" s="731"/>
      <c r="E1157" s="1296"/>
      <c r="F1157" s="437"/>
    </row>
    <row r="1158" ht="14.25" customHeight="1">
      <c r="B1158" s="1365"/>
      <c r="C1158" s="731"/>
      <c r="E1158" s="1296"/>
      <c r="F1158" s="437"/>
    </row>
    <row r="1159" ht="14.25" customHeight="1">
      <c r="B1159" s="1365"/>
      <c r="C1159" s="731"/>
      <c r="E1159" s="1296"/>
      <c r="F1159" s="437"/>
    </row>
    <row r="1160" ht="14.25" customHeight="1">
      <c r="B1160" s="1365"/>
      <c r="C1160" s="731"/>
      <c r="E1160" s="1296"/>
      <c r="F1160" s="437"/>
    </row>
    <row r="1161" ht="14.25" customHeight="1">
      <c r="B1161" s="1365"/>
      <c r="C1161" s="731"/>
      <c r="E1161" s="1296"/>
      <c r="F1161" s="437"/>
    </row>
    <row r="1162" ht="14.25" customHeight="1">
      <c r="B1162" s="1365"/>
      <c r="C1162" s="731"/>
      <c r="E1162" s="1296"/>
      <c r="F1162" s="437"/>
    </row>
    <row r="1163" ht="14.25" customHeight="1">
      <c r="B1163" s="1365"/>
      <c r="C1163" s="731"/>
      <c r="E1163" s="1296"/>
      <c r="F1163" s="437"/>
    </row>
    <row r="1164" ht="14.25" customHeight="1">
      <c r="B1164" s="1365"/>
      <c r="C1164" s="731"/>
      <c r="E1164" s="1296"/>
      <c r="F1164" s="437"/>
    </row>
    <row r="1165" ht="14.25" customHeight="1">
      <c r="B1165" s="1365"/>
      <c r="C1165" s="731"/>
      <c r="E1165" s="1296"/>
      <c r="F1165" s="437"/>
    </row>
    <row r="1166" ht="14.25" customHeight="1">
      <c r="B1166" s="1365"/>
      <c r="C1166" s="731"/>
      <c r="E1166" s="1296"/>
      <c r="F1166" s="437"/>
    </row>
    <row r="1167" ht="14.25" customHeight="1">
      <c r="B1167" s="1365"/>
      <c r="C1167" s="731"/>
      <c r="E1167" s="1296"/>
      <c r="F1167" s="437"/>
    </row>
    <row r="1168" ht="14.25" customHeight="1">
      <c r="B1168" s="1365"/>
      <c r="C1168" s="731"/>
      <c r="E1168" s="1296"/>
      <c r="F1168" s="437"/>
    </row>
    <row r="1169" ht="14.25" customHeight="1">
      <c r="B1169" s="1365"/>
      <c r="C1169" s="731"/>
      <c r="E1169" s="1296"/>
      <c r="F1169" s="437"/>
    </row>
    <row r="1170" ht="14.25" customHeight="1">
      <c r="B1170" s="1365"/>
      <c r="C1170" s="731"/>
      <c r="E1170" s="1296"/>
      <c r="F1170" s="437"/>
    </row>
    <row r="1171" ht="14.25" customHeight="1">
      <c r="B1171" s="1365"/>
      <c r="C1171" s="731"/>
      <c r="E1171" s="1296"/>
      <c r="F1171" s="437"/>
    </row>
    <row r="1172" ht="14.25" customHeight="1">
      <c r="B1172" s="1365"/>
      <c r="C1172" s="731"/>
      <c r="E1172" s="1296"/>
      <c r="F1172" s="437"/>
    </row>
    <row r="1173" ht="14.25" customHeight="1">
      <c r="B1173" s="1365"/>
      <c r="C1173" s="731"/>
      <c r="E1173" s="1296"/>
      <c r="F1173" s="437"/>
    </row>
    <row r="1174" ht="14.25" customHeight="1">
      <c r="B1174" s="1365"/>
      <c r="C1174" s="731"/>
      <c r="E1174" s="1296"/>
      <c r="F1174" s="437"/>
    </row>
    <row r="1175" ht="14.25" customHeight="1">
      <c r="B1175" s="1365"/>
      <c r="C1175" s="731"/>
      <c r="E1175" s="1296"/>
      <c r="F1175" s="437"/>
    </row>
    <row r="1176" ht="14.25" customHeight="1">
      <c r="B1176" s="1365"/>
      <c r="C1176" s="731"/>
      <c r="E1176" s="1296"/>
      <c r="F1176" s="437"/>
    </row>
    <row r="1177" ht="14.25" customHeight="1">
      <c r="B1177" s="1365"/>
      <c r="C1177" s="731"/>
      <c r="E1177" s="1296"/>
      <c r="F1177" s="437"/>
    </row>
    <row r="1178" ht="14.25" customHeight="1">
      <c r="B1178" s="1365"/>
      <c r="C1178" s="731"/>
      <c r="E1178" s="1296"/>
      <c r="F1178" s="437"/>
    </row>
    <row r="1179" ht="14.25" customHeight="1">
      <c r="B1179" s="1365"/>
      <c r="C1179" s="731"/>
      <c r="E1179" s="1296"/>
      <c r="F1179" s="437"/>
    </row>
    <row r="1180" ht="14.25" customHeight="1">
      <c r="B1180" s="1365"/>
      <c r="C1180" s="731"/>
      <c r="E1180" s="1296"/>
      <c r="F1180" s="437"/>
    </row>
    <row r="1181" ht="14.25" customHeight="1">
      <c r="B1181" s="1365"/>
      <c r="C1181" s="731"/>
      <c r="E1181" s="1296"/>
      <c r="F1181" s="437"/>
    </row>
    <row r="1182" ht="14.25" customHeight="1">
      <c r="B1182" s="1365"/>
      <c r="C1182" s="731"/>
      <c r="E1182" s="1296"/>
      <c r="F1182" s="437"/>
    </row>
    <row r="1183" ht="14.25" customHeight="1">
      <c r="B1183" s="1365"/>
      <c r="C1183" s="731"/>
      <c r="E1183" s="1296"/>
      <c r="F1183" s="437"/>
    </row>
    <row r="1184" ht="14.25" customHeight="1">
      <c r="B1184" s="1365"/>
      <c r="C1184" s="731"/>
      <c r="E1184" s="1296"/>
      <c r="F1184" s="437"/>
    </row>
    <row r="1185" ht="14.25" customHeight="1">
      <c r="B1185" s="1365"/>
      <c r="C1185" s="731"/>
      <c r="E1185" s="1296"/>
      <c r="F1185" s="437"/>
    </row>
    <row r="1186" ht="14.25" customHeight="1">
      <c r="B1186" s="1365"/>
      <c r="C1186" s="731"/>
      <c r="E1186" s="1296"/>
      <c r="F1186" s="437"/>
    </row>
    <row r="1187" ht="14.25" customHeight="1">
      <c r="B1187" s="1365"/>
      <c r="C1187" s="731"/>
      <c r="E1187" s="1296"/>
      <c r="F1187" s="437"/>
    </row>
    <row r="1188" ht="14.25" customHeight="1">
      <c r="B1188" s="1365"/>
      <c r="C1188" s="731"/>
      <c r="E1188" s="1296"/>
      <c r="F1188" s="437"/>
    </row>
    <row r="1189" ht="14.25" customHeight="1">
      <c r="B1189" s="1365"/>
      <c r="C1189" s="731"/>
      <c r="E1189" s="1296"/>
      <c r="F1189" s="437"/>
    </row>
    <row r="1190" ht="14.25" customHeight="1">
      <c r="B1190" s="1365"/>
      <c r="C1190" s="731"/>
      <c r="E1190" s="1296"/>
      <c r="F1190" s="437"/>
    </row>
    <row r="1191" ht="14.25" customHeight="1">
      <c r="B1191" s="1365"/>
      <c r="C1191" s="731"/>
      <c r="E1191" s="1296"/>
      <c r="F1191" s="437"/>
    </row>
    <row r="1192" ht="14.25" customHeight="1">
      <c r="B1192" s="1365"/>
      <c r="C1192" s="731"/>
      <c r="E1192" s="1296"/>
      <c r="F1192" s="437"/>
    </row>
    <row r="1193" ht="14.25" customHeight="1">
      <c r="B1193" s="1365"/>
      <c r="C1193" s="731"/>
      <c r="E1193" s="1296"/>
      <c r="F1193" s="437"/>
    </row>
    <row r="1194" ht="14.25" customHeight="1">
      <c r="B1194" s="1365"/>
      <c r="C1194" s="731"/>
      <c r="E1194" s="1296"/>
      <c r="F1194" s="437"/>
    </row>
    <row r="1195" ht="14.25" customHeight="1">
      <c r="B1195" s="1365"/>
      <c r="C1195" s="731"/>
      <c r="E1195" s="1296"/>
      <c r="F1195" s="437"/>
    </row>
    <row r="1196" ht="14.25" customHeight="1">
      <c r="B1196" s="1365"/>
      <c r="C1196" s="731"/>
      <c r="E1196" s="1296"/>
      <c r="F1196" s="437"/>
    </row>
    <row r="1197" ht="14.25" customHeight="1">
      <c r="B1197" s="1365"/>
      <c r="C1197" s="731"/>
      <c r="E1197" s="1296"/>
      <c r="F1197" s="437"/>
    </row>
    <row r="1198" ht="14.25" customHeight="1">
      <c r="B1198" s="1365"/>
      <c r="C1198" s="731"/>
      <c r="E1198" s="1296"/>
      <c r="F1198" s="437"/>
    </row>
    <row r="1199" ht="14.25" customHeight="1">
      <c r="B1199" s="1365"/>
      <c r="C1199" s="731"/>
      <c r="E1199" s="1296"/>
      <c r="F1199" s="437"/>
    </row>
    <row r="1200" ht="14.25" customHeight="1">
      <c r="B1200" s="1365"/>
      <c r="C1200" s="731"/>
      <c r="E1200" s="1296"/>
      <c r="F1200" s="437"/>
    </row>
    <row r="1201" ht="14.25" customHeight="1">
      <c r="B1201" s="1365"/>
      <c r="C1201" s="731"/>
      <c r="E1201" s="1296"/>
      <c r="F1201" s="437"/>
    </row>
    <row r="1202" ht="14.25" customHeight="1">
      <c r="B1202" s="1365"/>
      <c r="C1202" s="731"/>
      <c r="E1202" s="1296"/>
      <c r="F1202" s="437"/>
    </row>
    <row r="1203" ht="14.25" customHeight="1">
      <c r="B1203" s="1365"/>
      <c r="C1203" s="731"/>
      <c r="E1203" s="1296"/>
      <c r="F1203" s="437"/>
    </row>
    <row r="1204" ht="14.25" customHeight="1">
      <c r="B1204" s="1365"/>
      <c r="C1204" s="731"/>
      <c r="E1204" s="1296"/>
      <c r="F1204" s="437"/>
    </row>
    <row r="1205" ht="14.25" customHeight="1">
      <c r="B1205" s="1365"/>
      <c r="C1205" s="731"/>
      <c r="E1205" s="1296"/>
      <c r="F1205" s="437"/>
    </row>
    <row r="1206" ht="14.25" customHeight="1">
      <c r="B1206" s="1365"/>
      <c r="C1206" s="731"/>
      <c r="E1206" s="1296"/>
      <c r="F1206" s="437"/>
    </row>
    <row r="1207" ht="14.25" customHeight="1">
      <c r="B1207" s="1365"/>
      <c r="C1207" s="731"/>
      <c r="E1207" s="1296"/>
      <c r="F1207" s="437"/>
    </row>
    <row r="1208" ht="14.25" customHeight="1">
      <c r="B1208" s="1365"/>
      <c r="C1208" s="731"/>
      <c r="E1208" s="1296"/>
      <c r="F1208" s="437"/>
    </row>
    <row r="1209" ht="14.25" customHeight="1">
      <c r="B1209" s="1365"/>
      <c r="C1209" s="731"/>
      <c r="E1209" s="1296"/>
      <c r="F1209" s="437"/>
    </row>
    <row r="1210" ht="14.25" customHeight="1">
      <c r="B1210" s="1365"/>
      <c r="C1210" s="731"/>
      <c r="E1210" s="1296"/>
      <c r="F1210" s="437"/>
    </row>
    <row r="1211" ht="14.25" customHeight="1">
      <c r="B1211" s="1365"/>
      <c r="C1211" s="731"/>
      <c r="E1211" s="1296"/>
      <c r="F1211" s="437"/>
    </row>
    <row r="1212" ht="14.25" customHeight="1">
      <c r="B1212" s="1365"/>
      <c r="C1212" s="731"/>
      <c r="E1212" s="1296"/>
      <c r="F1212" s="437"/>
    </row>
    <row r="1213" ht="14.25" customHeight="1">
      <c r="B1213" s="1365"/>
      <c r="C1213" s="731"/>
      <c r="E1213" s="1296"/>
      <c r="F1213" s="437"/>
    </row>
    <row r="1214" ht="14.25" customHeight="1">
      <c r="B1214" s="1365"/>
      <c r="C1214" s="731"/>
      <c r="E1214" s="1296"/>
      <c r="F1214" s="437"/>
    </row>
    <row r="1215" ht="14.25" customHeight="1">
      <c r="B1215" s="1365"/>
      <c r="C1215" s="731"/>
      <c r="E1215" s="1296"/>
      <c r="F1215" s="437"/>
    </row>
    <row r="1216" ht="14.25" customHeight="1">
      <c r="B1216" s="1365"/>
      <c r="C1216" s="731"/>
      <c r="E1216" s="1296"/>
      <c r="F1216" s="437"/>
    </row>
    <row r="1217" ht="14.25" customHeight="1">
      <c r="B1217" s="1365"/>
      <c r="C1217" s="731"/>
      <c r="E1217" s="1296"/>
      <c r="F1217" s="437"/>
    </row>
    <row r="1218" ht="14.25" customHeight="1">
      <c r="B1218" s="1365"/>
      <c r="C1218" s="731"/>
      <c r="E1218" s="1296"/>
      <c r="F1218" s="437"/>
    </row>
    <row r="1219" ht="14.25" customHeight="1">
      <c r="B1219" s="1365"/>
      <c r="C1219" s="731"/>
      <c r="E1219" s="1296"/>
      <c r="F1219" s="437"/>
    </row>
    <row r="1220" ht="14.25" customHeight="1">
      <c r="B1220" s="1365"/>
      <c r="C1220" s="731"/>
      <c r="E1220" s="1296"/>
      <c r="F1220" s="437"/>
    </row>
    <row r="1221" ht="14.25" customHeight="1">
      <c r="B1221" s="1365"/>
      <c r="C1221" s="731"/>
      <c r="E1221" s="1296"/>
      <c r="F1221" s="437"/>
    </row>
    <row r="1222" ht="14.25" customHeight="1">
      <c r="B1222" s="1365"/>
      <c r="C1222" s="731"/>
      <c r="E1222" s="1296"/>
      <c r="F1222" s="437"/>
    </row>
    <row r="1223" ht="14.25" customHeight="1">
      <c r="B1223" s="1365"/>
      <c r="C1223" s="731"/>
      <c r="E1223" s="1296"/>
      <c r="F1223" s="437"/>
    </row>
    <row r="1224" ht="14.25" customHeight="1">
      <c r="B1224" s="1365"/>
      <c r="C1224" s="731"/>
      <c r="E1224" s="1296"/>
      <c r="F1224" s="437"/>
    </row>
    <row r="1225" ht="14.25" customHeight="1">
      <c r="B1225" s="1365"/>
      <c r="C1225" s="731"/>
      <c r="E1225" s="1296"/>
      <c r="F1225" s="437"/>
    </row>
    <row r="1226" ht="14.25" customHeight="1">
      <c r="B1226" s="1365"/>
      <c r="C1226" s="731"/>
      <c r="E1226" s="1296"/>
      <c r="F1226" s="437"/>
    </row>
    <row r="1227" ht="14.25" customHeight="1">
      <c r="B1227" s="1365"/>
      <c r="C1227" s="731"/>
      <c r="E1227" s="1296"/>
      <c r="F1227" s="437"/>
    </row>
    <row r="1228" ht="14.25" customHeight="1">
      <c r="B1228" s="1365"/>
      <c r="C1228" s="731"/>
      <c r="E1228" s="1296"/>
      <c r="F1228" s="437"/>
    </row>
    <row r="1229" ht="14.25" customHeight="1">
      <c r="B1229" s="1365"/>
      <c r="C1229" s="731"/>
      <c r="E1229" s="1296"/>
      <c r="F1229" s="437"/>
    </row>
    <row r="1230" ht="14.25" customHeight="1">
      <c r="B1230" s="1365"/>
      <c r="C1230" s="731"/>
      <c r="E1230" s="1296"/>
      <c r="F1230" s="437"/>
    </row>
    <row r="1231" ht="14.25" customHeight="1">
      <c r="B1231" s="1365"/>
      <c r="C1231" s="731"/>
      <c r="E1231" s="1296"/>
      <c r="F1231" s="437"/>
    </row>
    <row r="1232" ht="14.25" customHeight="1">
      <c r="B1232" s="1365"/>
      <c r="C1232" s="731"/>
      <c r="E1232" s="1296"/>
      <c r="F1232" s="437"/>
    </row>
    <row r="1233" ht="14.25" customHeight="1">
      <c r="B1233" s="1365"/>
      <c r="C1233" s="731"/>
      <c r="E1233" s="1296"/>
      <c r="F1233" s="437"/>
    </row>
    <row r="1234" ht="14.25" customHeight="1">
      <c r="B1234" s="1365"/>
      <c r="C1234" s="731"/>
      <c r="E1234" s="1296"/>
      <c r="F1234" s="437"/>
    </row>
    <row r="1235" ht="14.25" customHeight="1">
      <c r="B1235" s="1365"/>
      <c r="C1235" s="731"/>
      <c r="E1235" s="1296"/>
      <c r="F1235" s="437"/>
    </row>
    <row r="1236" ht="14.25" customHeight="1">
      <c r="B1236" s="1365"/>
      <c r="C1236" s="731"/>
      <c r="E1236" s="1296"/>
      <c r="F1236" s="437"/>
    </row>
    <row r="1237" ht="14.25" customHeight="1">
      <c r="B1237" s="1365"/>
      <c r="C1237" s="731"/>
      <c r="E1237" s="1296"/>
      <c r="F1237" s="437"/>
    </row>
    <row r="1238" ht="14.25" customHeight="1">
      <c r="B1238" s="1365"/>
      <c r="C1238" s="731"/>
      <c r="E1238" s="1296"/>
      <c r="F1238" s="437"/>
    </row>
    <row r="1239" ht="14.25" customHeight="1">
      <c r="B1239" s="1365"/>
      <c r="C1239" s="731"/>
      <c r="E1239" s="1296"/>
      <c r="F1239" s="437"/>
    </row>
    <row r="1240" ht="14.25" customHeight="1">
      <c r="B1240" s="1365"/>
      <c r="C1240" s="731"/>
      <c r="E1240" s="1296"/>
      <c r="F1240" s="437"/>
    </row>
    <row r="1241" ht="14.25" customHeight="1">
      <c r="B1241" s="1365"/>
      <c r="C1241" s="731"/>
      <c r="E1241" s="1296"/>
      <c r="F1241" s="437"/>
    </row>
    <row r="1242" ht="14.25" customHeight="1">
      <c r="B1242" s="1365"/>
      <c r="C1242" s="731"/>
      <c r="E1242" s="1296"/>
      <c r="F1242" s="437"/>
    </row>
    <row r="1243" ht="14.25" customHeight="1">
      <c r="B1243" s="1365"/>
      <c r="C1243" s="731"/>
      <c r="E1243" s="1296"/>
      <c r="F1243" s="437"/>
    </row>
    <row r="1244" ht="14.25" customHeight="1">
      <c r="B1244" s="1365"/>
      <c r="C1244" s="731"/>
      <c r="E1244" s="1296"/>
      <c r="F1244" s="437"/>
    </row>
    <row r="1245" ht="14.25" customHeight="1">
      <c r="B1245" s="1365"/>
      <c r="C1245" s="731"/>
      <c r="E1245" s="1296"/>
      <c r="F1245" s="437"/>
    </row>
    <row r="1246" ht="14.25" customHeight="1">
      <c r="B1246" s="1365"/>
      <c r="C1246" s="731"/>
      <c r="E1246" s="1296"/>
      <c r="F1246" s="437"/>
    </row>
    <row r="1247" ht="14.25" customHeight="1">
      <c r="B1247" s="1365"/>
      <c r="C1247" s="731"/>
      <c r="E1247" s="1296"/>
      <c r="F1247" s="437"/>
    </row>
    <row r="1248" ht="14.25" customHeight="1">
      <c r="B1248" s="1365"/>
      <c r="C1248" s="731"/>
      <c r="E1248" s="1296"/>
      <c r="F1248" s="437"/>
    </row>
    <row r="1249" ht="14.25" customHeight="1">
      <c r="B1249" s="1365"/>
      <c r="C1249" s="731"/>
      <c r="E1249" s="1296"/>
      <c r="F1249" s="437"/>
    </row>
    <row r="1250" ht="14.25" customHeight="1">
      <c r="B1250" s="1365"/>
      <c r="C1250" s="731"/>
      <c r="E1250" s="1296"/>
      <c r="F1250" s="437"/>
    </row>
    <row r="1251" ht="14.25" customHeight="1">
      <c r="B1251" s="1365"/>
      <c r="C1251" s="731"/>
      <c r="E1251" s="1296"/>
      <c r="F1251" s="437"/>
    </row>
    <row r="1252" ht="14.25" customHeight="1">
      <c r="B1252" s="1365"/>
      <c r="C1252" s="731"/>
      <c r="E1252" s="1296"/>
      <c r="F1252" s="437"/>
    </row>
    <row r="1253" ht="14.25" customHeight="1">
      <c r="B1253" s="1365"/>
      <c r="C1253" s="731"/>
      <c r="E1253" s="1296"/>
      <c r="F1253" s="437"/>
    </row>
    <row r="1254" ht="14.25" customHeight="1">
      <c r="B1254" s="1365"/>
      <c r="C1254" s="731"/>
      <c r="E1254" s="1296"/>
      <c r="F1254" s="437"/>
    </row>
    <row r="1255" ht="14.25" customHeight="1">
      <c r="B1255" s="1365"/>
      <c r="C1255" s="731"/>
      <c r="E1255" s="1296"/>
      <c r="F1255" s="437"/>
    </row>
    <row r="1256" ht="14.25" customHeight="1">
      <c r="B1256" s="1365"/>
      <c r="C1256" s="731"/>
      <c r="E1256" s="1296"/>
      <c r="F1256" s="437"/>
    </row>
    <row r="1257" ht="14.25" customHeight="1">
      <c r="B1257" s="1365"/>
      <c r="C1257" s="731"/>
      <c r="E1257" s="1296"/>
      <c r="F1257" s="437"/>
    </row>
    <row r="1258" ht="14.25" customHeight="1">
      <c r="B1258" s="1365"/>
      <c r="C1258" s="731"/>
      <c r="E1258" s="1296"/>
      <c r="F1258" s="437"/>
    </row>
    <row r="1259" ht="14.25" customHeight="1">
      <c r="B1259" s="1365"/>
      <c r="C1259" s="731"/>
      <c r="E1259" s="1296"/>
      <c r="F1259" s="437"/>
    </row>
    <row r="1260" ht="14.25" customHeight="1">
      <c r="B1260" s="1365"/>
      <c r="C1260" s="731"/>
      <c r="E1260" s="1296"/>
      <c r="F1260" s="437"/>
    </row>
    <row r="1261" ht="14.25" customHeight="1">
      <c r="B1261" s="1365"/>
      <c r="C1261" s="731"/>
      <c r="E1261" s="1296"/>
      <c r="F1261" s="437"/>
    </row>
    <row r="1262" ht="14.25" customHeight="1">
      <c r="B1262" s="1365"/>
      <c r="C1262" s="731"/>
      <c r="E1262" s="1296"/>
      <c r="F1262" s="437"/>
    </row>
    <row r="1263" ht="14.25" customHeight="1">
      <c r="B1263" s="1365"/>
      <c r="C1263" s="731"/>
      <c r="E1263" s="1296"/>
      <c r="F1263" s="437"/>
    </row>
    <row r="1264" ht="14.25" customHeight="1">
      <c r="B1264" s="1365"/>
      <c r="C1264" s="731"/>
      <c r="E1264" s="1296"/>
      <c r="F1264" s="437"/>
    </row>
    <row r="1265" ht="14.25" customHeight="1">
      <c r="B1265" s="1365"/>
      <c r="C1265" s="731"/>
      <c r="E1265" s="1296"/>
      <c r="F1265" s="437"/>
    </row>
    <row r="1266" ht="14.25" customHeight="1">
      <c r="B1266" s="1365"/>
      <c r="C1266" s="731"/>
      <c r="E1266" s="1296"/>
      <c r="F1266" s="437"/>
    </row>
    <row r="1267" ht="14.25" customHeight="1">
      <c r="B1267" s="1365"/>
      <c r="C1267" s="731"/>
      <c r="E1267" s="1296"/>
      <c r="F1267" s="437"/>
    </row>
    <row r="1268" ht="14.25" customHeight="1">
      <c r="B1268" s="1365"/>
      <c r="C1268" s="731"/>
      <c r="E1268" s="1296"/>
      <c r="F1268" s="437"/>
    </row>
    <row r="1269" ht="14.25" customHeight="1">
      <c r="B1269" s="1365"/>
      <c r="C1269" s="731"/>
      <c r="E1269" s="1296"/>
      <c r="F1269" s="437"/>
    </row>
    <row r="1270" ht="14.25" customHeight="1">
      <c r="B1270" s="1365"/>
      <c r="C1270" s="731"/>
      <c r="E1270" s="1296"/>
      <c r="F1270" s="437"/>
    </row>
    <row r="1271" ht="14.25" customHeight="1">
      <c r="B1271" s="1365"/>
      <c r="C1271" s="731"/>
      <c r="E1271" s="1296"/>
      <c r="F1271" s="437"/>
    </row>
    <row r="1272" ht="14.25" customHeight="1">
      <c r="B1272" s="1365"/>
      <c r="C1272" s="731"/>
      <c r="E1272" s="1296"/>
      <c r="F1272" s="437"/>
    </row>
    <row r="1273" ht="14.25" customHeight="1">
      <c r="B1273" s="1365"/>
      <c r="C1273" s="731"/>
      <c r="E1273" s="1296"/>
      <c r="F1273" s="437"/>
    </row>
    <row r="1274" ht="14.25" customHeight="1">
      <c r="B1274" s="1365"/>
      <c r="C1274" s="731"/>
      <c r="E1274" s="1296"/>
      <c r="F1274" s="437"/>
    </row>
    <row r="1275" ht="14.25" customHeight="1">
      <c r="B1275" s="1365"/>
      <c r="C1275" s="731"/>
      <c r="E1275" s="1296"/>
      <c r="F1275" s="437"/>
    </row>
    <row r="1276" ht="14.25" customHeight="1">
      <c r="B1276" s="1365"/>
      <c r="C1276" s="731"/>
      <c r="E1276" s="1296"/>
      <c r="F1276" s="437"/>
    </row>
    <row r="1277" ht="14.25" customHeight="1">
      <c r="B1277" s="1365"/>
      <c r="C1277" s="731"/>
      <c r="E1277" s="1296"/>
      <c r="F1277" s="437"/>
    </row>
    <row r="1278" ht="14.25" customHeight="1">
      <c r="B1278" s="1365"/>
      <c r="C1278" s="731"/>
      <c r="E1278" s="1296"/>
      <c r="F1278" s="437"/>
    </row>
    <row r="1279" ht="14.25" customHeight="1">
      <c r="B1279" s="1365"/>
      <c r="C1279" s="731"/>
      <c r="E1279" s="1296"/>
      <c r="F1279" s="437"/>
    </row>
    <row r="1280" ht="14.25" customHeight="1">
      <c r="B1280" s="1365"/>
      <c r="C1280" s="731"/>
      <c r="E1280" s="1296"/>
      <c r="F1280" s="437"/>
    </row>
    <row r="1281" ht="14.25" customHeight="1">
      <c r="B1281" s="1365"/>
      <c r="C1281" s="731"/>
      <c r="E1281" s="1296"/>
      <c r="F1281" s="437"/>
    </row>
    <row r="1282" ht="14.25" customHeight="1">
      <c r="B1282" s="1365"/>
      <c r="C1282" s="731"/>
      <c r="E1282" s="1296"/>
      <c r="F1282" s="437"/>
    </row>
    <row r="1283" ht="14.25" customHeight="1">
      <c r="B1283" s="1365"/>
      <c r="C1283" s="731"/>
      <c r="E1283" s="1296"/>
      <c r="F1283" s="437"/>
    </row>
    <row r="1284" ht="14.25" customHeight="1">
      <c r="B1284" s="1365"/>
      <c r="C1284" s="731"/>
      <c r="E1284" s="1296"/>
      <c r="F1284" s="437"/>
    </row>
    <row r="1285" ht="14.25" customHeight="1">
      <c r="B1285" s="1365"/>
      <c r="C1285" s="731"/>
      <c r="E1285" s="1296"/>
      <c r="F1285" s="437"/>
    </row>
    <row r="1286" ht="14.25" customHeight="1">
      <c r="B1286" s="1365"/>
      <c r="C1286" s="731"/>
      <c r="E1286" s="1296"/>
      <c r="F1286" s="437"/>
    </row>
    <row r="1287" ht="14.25" customHeight="1">
      <c r="B1287" s="1365"/>
      <c r="C1287" s="731"/>
      <c r="E1287" s="1296"/>
      <c r="F1287" s="437"/>
    </row>
    <row r="1288" ht="14.25" customHeight="1">
      <c r="B1288" s="1365"/>
      <c r="C1288" s="731"/>
      <c r="E1288" s="1296"/>
      <c r="F1288" s="437"/>
    </row>
    <row r="1289" ht="14.25" customHeight="1">
      <c r="B1289" s="1365"/>
      <c r="C1289" s="731"/>
      <c r="E1289" s="1296"/>
      <c r="F1289" s="437"/>
    </row>
    <row r="1290" ht="14.25" customHeight="1">
      <c r="B1290" s="1365"/>
      <c r="C1290" s="731"/>
      <c r="E1290" s="1296"/>
      <c r="F1290" s="437"/>
    </row>
    <row r="1291" ht="14.25" customHeight="1">
      <c r="B1291" s="1365"/>
      <c r="C1291" s="731"/>
      <c r="E1291" s="1296"/>
      <c r="F1291" s="437"/>
    </row>
    <row r="1292" ht="14.25" customHeight="1">
      <c r="B1292" s="1365"/>
      <c r="C1292" s="731"/>
      <c r="E1292" s="1296"/>
      <c r="F1292" s="437"/>
    </row>
    <row r="1293" ht="14.25" customHeight="1">
      <c r="B1293" s="1365"/>
      <c r="C1293" s="731"/>
      <c r="E1293" s="1296"/>
      <c r="F1293" s="437"/>
    </row>
    <row r="1294" ht="14.25" customHeight="1">
      <c r="B1294" s="1365"/>
      <c r="C1294" s="731"/>
      <c r="E1294" s="1296"/>
      <c r="F1294" s="437"/>
    </row>
    <row r="1295" ht="14.25" customHeight="1">
      <c r="B1295" s="1365"/>
      <c r="C1295" s="731"/>
      <c r="E1295" s="1296"/>
      <c r="F1295" s="437"/>
    </row>
    <row r="1296" ht="14.25" customHeight="1">
      <c r="B1296" s="1365"/>
      <c r="C1296" s="731"/>
      <c r="E1296" s="1296"/>
      <c r="F1296" s="437"/>
    </row>
    <row r="1297" ht="14.25" customHeight="1">
      <c r="B1297" s="1365"/>
      <c r="C1297" s="731"/>
      <c r="E1297" s="1296"/>
      <c r="F1297" s="437"/>
    </row>
    <row r="1298" ht="14.25" customHeight="1">
      <c r="B1298" s="1365"/>
      <c r="C1298" s="731"/>
      <c r="E1298" s="1296"/>
      <c r="F1298" s="437"/>
    </row>
    <row r="1299" ht="14.25" customHeight="1">
      <c r="B1299" s="1365"/>
      <c r="C1299" s="731"/>
      <c r="E1299" s="1296"/>
      <c r="F1299" s="437"/>
    </row>
    <row r="1300" ht="14.25" customHeight="1">
      <c r="B1300" s="1365"/>
      <c r="C1300" s="731"/>
      <c r="E1300" s="1296"/>
      <c r="F1300" s="437"/>
    </row>
    <row r="1301" ht="14.25" customHeight="1">
      <c r="B1301" s="1365"/>
      <c r="C1301" s="731"/>
      <c r="E1301" s="1296"/>
      <c r="F1301" s="437"/>
    </row>
    <row r="1302" ht="14.25" customHeight="1">
      <c r="B1302" s="1365"/>
      <c r="C1302" s="731"/>
      <c r="E1302" s="1296"/>
      <c r="F1302" s="437"/>
    </row>
    <row r="1303" ht="14.25" customHeight="1">
      <c r="B1303" s="1365"/>
      <c r="C1303" s="731"/>
      <c r="E1303" s="1296"/>
      <c r="F1303" s="437"/>
    </row>
    <row r="1304" ht="14.25" customHeight="1">
      <c r="B1304" s="1365"/>
      <c r="C1304" s="731"/>
      <c r="E1304" s="1296"/>
      <c r="F1304" s="437"/>
    </row>
    <row r="1305" ht="14.25" customHeight="1">
      <c r="B1305" s="1365"/>
      <c r="C1305" s="731"/>
      <c r="E1305" s="1296"/>
      <c r="F1305" s="437"/>
    </row>
    <row r="1306" ht="14.25" customHeight="1">
      <c r="B1306" s="1365"/>
      <c r="C1306" s="731"/>
      <c r="E1306" s="1296"/>
      <c r="F1306" s="437"/>
    </row>
    <row r="1307" ht="14.25" customHeight="1">
      <c r="B1307" s="1365"/>
      <c r="C1307" s="731"/>
      <c r="E1307" s="1296"/>
      <c r="F1307" s="437"/>
    </row>
    <row r="1308" ht="14.25" customHeight="1">
      <c r="B1308" s="1365"/>
      <c r="C1308" s="731"/>
      <c r="E1308" s="1296"/>
      <c r="F1308" s="437"/>
    </row>
    <row r="1309" ht="14.25" customHeight="1">
      <c r="B1309" s="1365"/>
      <c r="C1309" s="731"/>
      <c r="E1309" s="1296"/>
      <c r="F1309" s="437"/>
    </row>
    <row r="1310" ht="14.25" customHeight="1">
      <c r="B1310" s="1365"/>
      <c r="C1310" s="731"/>
      <c r="E1310" s="1296"/>
      <c r="F1310" s="437"/>
    </row>
    <row r="1311" ht="14.25" customHeight="1">
      <c r="B1311" s="1365"/>
      <c r="C1311" s="731"/>
      <c r="E1311" s="1296"/>
      <c r="F1311" s="437"/>
    </row>
    <row r="1312" ht="14.25" customHeight="1">
      <c r="B1312" s="1365"/>
      <c r="C1312" s="731"/>
      <c r="E1312" s="1296"/>
      <c r="F1312" s="437"/>
    </row>
    <row r="1313" ht="14.25" customHeight="1">
      <c r="B1313" s="1365"/>
      <c r="C1313" s="731"/>
      <c r="E1313" s="1296"/>
      <c r="F1313" s="437"/>
    </row>
    <row r="1314" ht="14.25" customHeight="1">
      <c r="B1314" s="1365"/>
      <c r="C1314" s="731"/>
      <c r="E1314" s="1296"/>
      <c r="F1314" s="437"/>
    </row>
    <row r="1315" ht="14.25" customHeight="1">
      <c r="B1315" s="1365"/>
      <c r="C1315" s="731"/>
      <c r="E1315" s="1296"/>
      <c r="F1315" s="437"/>
    </row>
    <row r="1316" ht="14.25" customHeight="1">
      <c r="B1316" s="1365"/>
      <c r="C1316" s="731"/>
      <c r="E1316" s="1296"/>
      <c r="F1316" s="437"/>
    </row>
    <row r="1317" ht="14.25" customHeight="1">
      <c r="B1317" s="1365"/>
      <c r="C1317" s="731"/>
      <c r="E1317" s="1296"/>
      <c r="F1317" s="437"/>
    </row>
    <row r="1318" ht="14.25" customHeight="1">
      <c r="B1318" s="1365"/>
      <c r="C1318" s="731"/>
      <c r="E1318" s="1296"/>
      <c r="F1318" s="437"/>
    </row>
    <row r="1319" ht="14.25" customHeight="1">
      <c r="B1319" s="1365"/>
      <c r="C1319" s="731"/>
      <c r="E1319" s="1296"/>
      <c r="F1319" s="437"/>
    </row>
    <row r="1320" ht="14.25" customHeight="1">
      <c r="B1320" s="1365"/>
      <c r="C1320" s="731"/>
      <c r="E1320" s="1296"/>
      <c r="F1320" s="437"/>
    </row>
    <row r="1321" ht="14.25" customHeight="1">
      <c r="B1321" s="1365"/>
      <c r="C1321" s="731"/>
      <c r="E1321" s="1296"/>
      <c r="F1321" s="437"/>
    </row>
    <row r="1322" ht="14.25" customHeight="1">
      <c r="B1322" s="1365"/>
      <c r="C1322" s="731"/>
      <c r="E1322" s="1296"/>
      <c r="F1322" s="437"/>
    </row>
    <row r="1323" ht="14.25" customHeight="1">
      <c r="B1323" s="1365"/>
      <c r="C1323" s="731"/>
      <c r="E1323" s="1296"/>
      <c r="F1323" s="437"/>
    </row>
    <row r="1324" ht="14.25" customHeight="1">
      <c r="B1324" s="1365"/>
      <c r="C1324" s="731"/>
      <c r="E1324" s="1296"/>
      <c r="F1324" s="437"/>
    </row>
    <row r="1325" ht="14.25" customHeight="1">
      <c r="B1325" s="1365"/>
      <c r="C1325" s="731"/>
      <c r="E1325" s="1296"/>
      <c r="F1325" s="437"/>
    </row>
    <row r="1326" ht="14.25" customHeight="1">
      <c r="B1326" s="1365"/>
      <c r="C1326" s="731"/>
      <c r="E1326" s="1296"/>
      <c r="F1326" s="437"/>
    </row>
    <row r="1327" ht="14.25" customHeight="1">
      <c r="B1327" s="1365"/>
      <c r="C1327" s="731"/>
      <c r="E1327" s="1296"/>
      <c r="F1327" s="437"/>
    </row>
    <row r="1328" ht="14.25" customHeight="1">
      <c r="B1328" s="1365"/>
      <c r="C1328" s="731"/>
      <c r="E1328" s="1296"/>
      <c r="F1328" s="437"/>
    </row>
    <row r="1329" ht="14.25" customHeight="1">
      <c r="B1329" s="1365"/>
      <c r="C1329" s="731"/>
      <c r="E1329" s="1296"/>
      <c r="F1329" s="437"/>
    </row>
    <row r="1330" ht="14.25" customHeight="1">
      <c r="B1330" s="1365"/>
      <c r="C1330" s="731"/>
      <c r="E1330" s="1296"/>
      <c r="F1330" s="437"/>
    </row>
    <row r="1331" ht="14.25" customHeight="1">
      <c r="B1331" s="1365"/>
      <c r="C1331" s="731"/>
      <c r="E1331" s="1296"/>
      <c r="F1331" s="437"/>
    </row>
    <row r="1332" ht="14.25" customHeight="1">
      <c r="B1332" s="1365"/>
      <c r="C1332" s="731"/>
      <c r="E1332" s="1296"/>
      <c r="F1332" s="437"/>
    </row>
    <row r="1333" ht="14.25" customHeight="1">
      <c r="B1333" s="1365"/>
      <c r="C1333" s="731"/>
      <c r="E1333" s="1296"/>
      <c r="F1333" s="437"/>
    </row>
    <row r="1334" ht="14.25" customHeight="1">
      <c r="B1334" s="1365"/>
      <c r="C1334" s="731"/>
      <c r="E1334" s="1296"/>
      <c r="F1334" s="437"/>
    </row>
    <row r="1335" ht="14.25" customHeight="1">
      <c r="B1335" s="1365"/>
      <c r="C1335" s="731"/>
      <c r="E1335" s="1296"/>
      <c r="F1335" s="437"/>
    </row>
    <row r="1336" ht="14.25" customHeight="1">
      <c r="B1336" s="1365"/>
      <c r="C1336" s="731"/>
      <c r="E1336" s="1296"/>
      <c r="F1336" s="437"/>
    </row>
    <row r="1337" ht="14.25" customHeight="1">
      <c r="B1337" s="1365"/>
      <c r="C1337" s="731"/>
      <c r="E1337" s="1296"/>
      <c r="F1337" s="437"/>
    </row>
    <row r="1338" ht="14.25" customHeight="1">
      <c r="B1338" s="1365"/>
      <c r="C1338" s="731"/>
      <c r="E1338" s="1296"/>
      <c r="F1338" s="437"/>
    </row>
    <row r="1339" ht="14.25" customHeight="1">
      <c r="B1339" s="1365"/>
      <c r="C1339" s="731"/>
      <c r="E1339" s="1296"/>
      <c r="F1339" s="437"/>
    </row>
    <row r="1340" ht="14.25" customHeight="1">
      <c r="B1340" s="1365"/>
      <c r="C1340" s="731"/>
      <c r="E1340" s="1296"/>
      <c r="F1340" s="437"/>
    </row>
    <row r="1341" ht="14.25" customHeight="1">
      <c r="B1341" s="1365"/>
      <c r="C1341" s="731"/>
      <c r="E1341" s="1296"/>
      <c r="F1341" s="437"/>
    </row>
    <row r="1342" ht="14.25" customHeight="1">
      <c r="B1342" s="1365"/>
      <c r="C1342" s="731"/>
      <c r="E1342" s="1296"/>
      <c r="F1342" s="437"/>
    </row>
    <row r="1343" ht="14.25" customHeight="1">
      <c r="B1343" s="1365"/>
      <c r="C1343" s="731"/>
      <c r="E1343" s="1296"/>
      <c r="F1343" s="437"/>
    </row>
    <row r="1344" ht="14.25" customHeight="1">
      <c r="B1344" s="1365"/>
      <c r="C1344" s="731"/>
      <c r="E1344" s="1296"/>
      <c r="F1344" s="437"/>
    </row>
    <row r="1345" ht="14.25" customHeight="1">
      <c r="B1345" s="1365"/>
      <c r="C1345" s="731"/>
      <c r="E1345" s="1296"/>
      <c r="F1345" s="437"/>
    </row>
    <row r="1346" ht="14.25" customHeight="1">
      <c r="B1346" s="1365"/>
      <c r="C1346" s="731"/>
      <c r="E1346" s="1296"/>
      <c r="F1346" s="437"/>
    </row>
    <row r="1347" ht="14.25" customHeight="1">
      <c r="B1347" s="1365"/>
      <c r="C1347" s="731"/>
      <c r="E1347" s="1296"/>
      <c r="F1347" s="437"/>
    </row>
    <row r="1348" ht="14.25" customHeight="1">
      <c r="B1348" s="1365"/>
      <c r="C1348" s="731"/>
      <c r="E1348" s="1296"/>
      <c r="F1348" s="437"/>
    </row>
    <row r="1349" ht="14.25" customHeight="1">
      <c r="B1349" s="1365"/>
      <c r="C1349" s="731"/>
      <c r="E1349" s="1296"/>
      <c r="F1349" s="437"/>
    </row>
    <row r="1350" ht="14.25" customHeight="1">
      <c r="B1350" s="1365"/>
      <c r="C1350" s="731"/>
      <c r="E1350" s="1296"/>
      <c r="F1350" s="437"/>
    </row>
    <row r="1351" ht="14.25" customHeight="1">
      <c r="B1351" s="1365"/>
      <c r="C1351" s="731"/>
      <c r="E1351" s="1296"/>
      <c r="F1351" s="437"/>
    </row>
    <row r="1352" ht="14.25" customHeight="1">
      <c r="B1352" s="1365"/>
      <c r="C1352" s="731"/>
      <c r="E1352" s="1296"/>
      <c r="F1352" s="437"/>
    </row>
    <row r="1353" ht="14.25" customHeight="1">
      <c r="B1353" s="1365"/>
      <c r="C1353" s="731"/>
      <c r="E1353" s="1296"/>
      <c r="F1353" s="437"/>
    </row>
    <row r="1354" ht="14.25" customHeight="1">
      <c r="B1354" s="1365"/>
      <c r="C1354" s="731"/>
      <c r="E1354" s="1296"/>
      <c r="F1354" s="437"/>
    </row>
    <row r="1355" ht="14.25" customHeight="1">
      <c r="B1355" s="1365"/>
      <c r="C1355" s="731"/>
      <c r="E1355" s="1296"/>
      <c r="F1355" s="437"/>
    </row>
    <row r="1356" ht="14.25" customHeight="1">
      <c r="B1356" s="1365"/>
      <c r="C1356" s="731"/>
      <c r="E1356" s="1296"/>
      <c r="F1356" s="437"/>
    </row>
    <row r="1357" ht="14.25" customHeight="1">
      <c r="B1357" s="1365"/>
      <c r="C1357" s="731"/>
      <c r="E1357" s="1296"/>
      <c r="F1357" s="437"/>
    </row>
    <row r="1358" ht="14.25" customHeight="1">
      <c r="B1358" s="1365"/>
      <c r="C1358" s="731"/>
      <c r="E1358" s="1296"/>
      <c r="F1358" s="437"/>
    </row>
    <row r="1359" ht="14.25" customHeight="1">
      <c r="B1359" s="1365"/>
      <c r="C1359" s="731"/>
      <c r="E1359" s="1296"/>
      <c r="F1359" s="437"/>
    </row>
    <row r="1360" ht="14.25" customHeight="1">
      <c r="B1360" s="1365"/>
      <c r="C1360" s="731"/>
      <c r="E1360" s="1296"/>
      <c r="F1360" s="437"/>
    </row>
    <row r="1361" ht="14.25" customHeight="1">
      <c r="B1361" s="1365"/>
      <c r="C1361" s="731"/>
      <c r="E1361" s="1296"/>
      <c r="F1361" s="437"/>
    </row>
    <row r="1362" ht="14.25" customHeight="1">
      <c r="B1362" s="1365"/>
      <c r="C1362" s="731"/>
      <c r="E1362" s="1296"/>
      <c r="F1362" s="437"/>
    </row>
    <row r="1363" ht="14.25" customHeight="1">
      <c r="B1363" s="1365"/>
      <c r="C1363" s="731"/>
      <c r="E1363" s="1296"/>
      <c r="F1363" s="437"/>
    </row>
    <row r="1364" ht="14.25" customHeight="1">
      <c r="B1364" s="1365"/>
      <c r="C1364" s="731"/>
      <c r="E1364" s="1296"/>
      <c r="F1364" s="437"/>
    </row>
    <row r="1365" ht="14.25" customHeight="1">
      <c r="B1365" s="1365"/>
      <c r="C1365" s="731"/>
      <c r="E1365" s="1296"/>
      <c r="F1365" s="437"/>
    </row>
    <row r="1366" ht="14.25" customHeight="1">
      <c r="B1366" s="1365"/>
      <c r="C1366" s="731"/>
      <c r="E1366" s="1296"/>
      <c r="F1366" s="437"/>
    </row>
    <row r="1367" ht="14.25" customHeight="1">
      <c r="B1367" s="1365"/>
      <c r="C1367" s="731"/>
      <c r="E1367" s="1296"/>
      <c r="F1367" s="437"/>
    </row>
    <row r="1368" ht="14.25" customHeight="1">
      <c r="B1368" s="1365"/>
      <c r="C1368" s="731"/>
      <c r="E1368" s="1296"/>
      <c r="F1368" s="437"/>
    </row>
    <row r="1369" ht="14.25" customHeight="1">
      <c r="B1369" s="1365"/>
      <c r="C1369" s="731"/>
      <c r="E1369" s="1296"/>
      <c r="F1369" s="437"/>
    </row>
    <row r="1370" ht="14.25" customHeight="1">
      <c r="B1370" s="1365"/>
      <c r="C1370" s="731"/>
      <c r="E1370" s="1296"/>
      <c r="F1370" s="437"/>
    </row>
    <row r="1371" ht="14.25" customHeight="1">
      <c r="B1371" s="1365"/>
      <c r="C1371" s="731"/>
      <c r="E1371" s="1296"/>
      <c r="F1371" s="437"/>
    </row>
    <row r="1372" ht="14.25" customHeight="1">
      <c r="B1372" s="1365"/>
      <c r="C1372" s="731"/>
      <c r="E1372" s="1296"/>
      <c r="F1372" s="437"/>
    </row>
    <row r="1373" ht="14.25" customHeight="1">
      <c r="B1373" s="1365"/>
      <c r="C1373" s="731"/>
      <c r="E1373" s="1296"/>
      <c r="F1373" s="437"/>
    </row>
    <row r="1374" ht="14.25" customHeight="1">
      <c r="B1374" s="1365"/>
      <c r="C1374" s="731"/>
      <c r="E1374" s="1296"/>
      <c r="F1374" s="437"/>
    </row>
    <row r="1375" ht="14.25" customHeight="1">
      <c r="B1375" s="1365"/>
      <c r="C1375" s="731"/>
      <c r="E1375" s="1296"/>
      <c r="F1375" s="437"/>
    </row>
    <row r="1376" ht="14.25" customHeight="1">
      <c r="B1376" s="1365"/>
      <c r="C1376" s="731"/>
      <c r="E1376" s="1296"/>
      <c r="F1376" s="437"/>
    </row>
    <row r="1377" ht="14.25" customHeight="1">
      <c r="B1377" s="1365"/>
      <c r="C1377" s="731"/>
      <c r="E1377" s="1296"/>
      <c r="F1377" s="437"/>
    </row>
    <row r="1378" ht="14.25" customHeight="1">
      <c r="B1378" s="1365"/>
      <c r="C1378" s="731"/>
      <c r="E1378" s="1296"/>
      <c r="F1378" s="437"/>
    </row>
    <row r="1379" ht="14.25" customHeight="1">
      <c r="B1379" s="1365"/>
      <c r="C1379" s="731"/>
      <c r="E1379" s="1296"/>
      <c r="F1379" s="437"/>
    </row>
    <row r="1380" ht="14.25" customHeight="1">
      <c r="B1380" s="1365"/>
      <c r="C1380" s="731"/>
      <c r="E1380" s="1296"/>
      <c r="F1380" s="437"/>
    </row>
    <row r="1381" ht="14.25" customHeight="1">
      <c r="B1381" s="1365"/>
      <c r="C1381" s="731"/>
      <c r="E1381" s="1296"/>
      <c r="F1381" s="437"/>
    </row>
    <row r="1382" ht="14.25" customHeight="1">
      <c r="B1382" s="1365"/>
      <c r="C1382" s="731"/>
      <c r="E1382" s="1296"/>
      <c r="F1382" s="437"/>
    </row>
    <row r="1383" ht="14.25" customHeight="1">
      <c r="B1383" s="1365"/>
      <c r="C1383" s="731"/>
      <c r="E1383" s="1296"/>
      <c r="F1383" s="437"/>
    </row>
    <row r="1384" ht="14.25" customHeight="1">
      <c r="B1384" s="1365"/>
      <c r="C1384" s="731"/>
      <c r="E1384" s="1296"/>
      <c r="F1384" s="437"/>
    </row>
    <row r="1385" ht="14.25" customHeight="1">
      <c r="B1385" s="1365"/>
      <c r="C1385" s="731"/>
      <c r="E1385" s="1296"/>
      <c r="F1385" s="437"/>
    </row>
    <row r="1386" ht="14.25" customHeight="1">
      <c r="B1386" s="1365"/>
      <c r="C1386" s="731"/>
      <c r="E1386" s="1296"/>
      <c r="F1386" s="437"/>
    </row>
    <row r="1387" ht="14.25" customHeight="1">
      <c r="B1387" s="1365"/>
      <c r="C1387" s="731"/>
      <c r="E1387" s="1296"/>
      <c r="F1387" s="437"/>
    </row>
    <row r="1388" ht="14.25" customHeight="1">
      <c r="B1388" s="1365"/>
      <c r="C1388" s="731"/>
      <c r="E1388" s="1296"/>
      <c r="F1388" s="437"/>
    </row>
    <row r="1389" ht="14.25" customHeight="1">
      <c r="B1389" s="1365"/>
      <c r="C1389" s="731"/>
      <c r="E1389" s="1296"/>
      <c r="F1389" s="437"/>
    </row>
    <row r="1390" ht="14.25" customHeight="1">
      <c r="B1390" s="1365"/>
      <c r="C1390" s="731"/>
      <c r="E1390" s="1296"/>
      <c r="F1390" s="437"/>
    </row>
    <row r="1391" ht="14.25" customHeight="1">
      <c r="B1391" s="1365"/>
      <c r="C1391" s="731"/>
      <c r="E1391" s="1296"/>
      <c r="F1391" s="437"/>
    </row>
    <row r="1392" ht="14.25" customHeight="1">
      <c r="B1392" s="1365"/>
      <c r="C1392" s="731"/>
      <c r="E1392" s="1296"/>
      <c r="F1392" s="437"/>
    </row>
    <row r="1393" ht="14.25" customHeight="1">
      <c r="B1393" s="1365"/>
      <c r="C1393" s="731"/>
      <c r="E1393" s="1296"/>
      <c r="F1393" s="437"/>
    </row>
    <row r="1394" ht="14.25" customHeight="1">
      <c r="B1394" s="1365"/>
      <c r="C1394" s="731"/>
      <c r="E1394" s="1296"/>
      <c r="F1394" s="437"/>
    </row>
    <row r="1395" ht="14.25" customHeight="1">
      <c r="B1395" s="1365"/>
      <c r="C1395" s="731"/>
      <c r="E1395" s="1296"/>
      <c r="F1395" s="437"/>
    </row>
    <row r="1396" ht="14.25" customHeight="1">
      <c r="B1396" s="1365"/>
      <c r="C1396" s="731"/>
      <c r="E1396" s="1296"/>
      <c r="F1396" s="437"/>
    </row>
    <row r="1397" ht="14.25" customHeight="1">
      <c r="B1397" s="1365"/>
      <c r="C1397" s="731"/>
      <c r="E1397" s="1296"/>
      <c r="F1397" s="437"/>
    </row>
    <row r="1398" ht="14.25" customHeight="1">
      <c r="B1398" s="1365"/>
      <c r="C1398" s="731"/>
      <c r="E1398" s="1296"/>
      <c r="F1398" s="437"/>
    </row>
    <row r="1399" ht="14.25" customHeight="1">
      <c r="B1399" s="1365"/>
      <c r="C1399" s="731"/>
      <c r="E1399" s="1296"/>
      <c r="F1399" s="437"/>
    </row>
    <row r="1400" ht="14.25" customHeight="1">
      <c r="B1400" s="1365"/>
      <c r="C1400" s="731"/>
      <c r="E1400" s="1296"/>
      <c r="F1400" s="437"/>
    </row>
    <row r="1401" ht="14.25" customHeight="1">
      <c r="B1401" s="1365"/>
      <c r="C1401" s="731"/>
      <c r="E1401" s="1296"/>
      <c r="F1401" s="437"/>
    </row>
    <row r="1402" ht="14.25" customHeight="1">
      <c r="B1402" s="1365"/>
      <c r="C1402" s="731"/>
      <c r="E1402" s="1296"/>
      <c r="F1402" s="437"/>
    </row>
    <row r="1403" ht="14.25" customHeight="1">
      <c r="B1403" s="1365"/>
      <c r="C1403" s="731"/>
      <c r="E1403" s="1296"/>
      <c r="F1403" s="437"/>
    </row>
    <row r="1404" ht="14.25" customHeight="1">
      <c r="B1404" s="1365"/>
      <c r="C1404" s="731"/>
      <c r="E1404" s="1296"/>
      <c r="F1404" s="437"/>
    </row>
    <row r="1405" ht="14.25" customHeight="1">
      <c r="B1405" s="1365"/>
      <c r="C1405" s="731"/>
      <c r="E1405" s="1296"/>
      <c r="F1405" s="437"/>
    </row>
    <row r="1406" ht="14.25" customHeight="1">
      <c r="B1406" s="1365"/>
      <c r="C1406" s="731"/>
      <c r="E1406" s="1296"/>
      <c r="F1406" s="437"/>
    </row>
    <row r="1407" ht="14.25" customHeight="1">
      <c r="B1407" s="1365"/>
      <c r="C1407" s="731"/>
      <c r="E1407" s="1296"/>
      <c r="F1407" s="437"/>
    </row>
    <row r="1408" ht="14.25" customHeight="1">
      <c r="B1408" s="1365"/>
      <c r="C1408" s="731"/>
      <c r="E1408" s="1296"/>
      <c r="F1408" s="437"/>
    </row>
    <row r="1409" ht="14.25" customHeight="1">
      <c r="B1409" s="1365"/>
      <c r="C1409" s="731"/>
      <c r="E1409" s="1296"/>
      <c r="F1409" s="437"/>
    </row>
    <row r="1410" ht="14.25" customHeight="1">
      <c r="B1410" s="1365"/>
      <c r="C1410" s="731"/>
      <c r="E1410" s="1296"/>
      <c r="F1410" s="437"/>
    </row>
    <row r="1411" ht="14.25" customHeight="1">
      <c r="B1411" s="1365"/>
      <c r="C1411" s="731"/>
      <c r="E1411" s="1296"/>
      <c r="F1411" s="437"/>
    </row>
    <row r="1412" ht="14.25" customHeight="1">
      <c r="B1412" s="1365"/>
      <c r="C1412" s="731"/>
      <c r="E1412" s="1296"/>
      <c r="F1412" s="437"/>
    </row>
    <row r="1413" ht="14.25" customHeight="1">
      <c r="B1413" s="1365"/>
      <c r="C1413" s="731"/>
      <c r="E1413" s="1296"/>
      <c r="F1413" s="437"/>
    </row>
    <row r="1414" ht="14.25" customHeight="1">
      <c r="B1414" s="1365"/>
      <c r="C1414" s="731"/>
      <c r="E1414" s="1296"/>
      <c r="F1414" s="437"/>
    </row>
    <row r="1415" ht="14.25" customHeight="1">
      <c r="B1415" s="1365"/>
      <c r="C1415" s="731"/>
      <c r="E1415" s="1296"/>
      <c r="F1415" s="437"/>
    </row>
    <row r="1416" ht="14.25" customHeight="1">
      <c r="B1416" s="1365"/>
      <c r="C1416" s="731"/>
      <c r="E1416" s="1296"/>
      <c r="F1416" s="437"/>
    </row>
    <row r="1417" ht="14.25" customHeight="1">
      <c r="B1417" s="1365"/>
      <c r="C1417" s="731"/>
      <c r="E1417" s="1296"/>
      <c r="F1417" s="437"/>
    </row>
    <row r="1418" ht="14.25" customHeight="1">
      <c r="B1418" s="1365"/>
      <c r="C1418" s="731"/>
      <c r="E1418" s="1296"/>
      <c r="F1418" s="437"/>
    </row>
    <row r="1419" ht="14.25" customHeight="1">
      <c r="B1419" s="1365"/>
      <c r="C1419" s="731"/>
      <c r="E1419" s="1296"/>
      <c r="F1419" s="437"/>
    </row>
    <row r="1420" ht="14.25" customHeight="1">
      <c r="B1420" s="1365"/>
      <c r="C1420" s="731"/>
      <c r="E1420" s="1296"/>
      <c r="F1420" s="437"/>
    </row>
    <row r="1421" ht="14.25" customHeight="1">
      <c r="B1421" s="1365"/>
      <c r="C1421" s="731"/>
      <c r="E1421" s="1296"/>
      <c r="F1421" s="437"/>
    </row>
    <row r="1422" ht="14.25" customHeight="1">
      <c r="B1422" s="1365"/>
      <c r="C1422" s="731"/>
      <c r="E1422" s="1296"/>
      <c r="F1422" s="437"/>
    </row>
    <row r="1423" ht="14.25" customHeight="1">
      <c r="B1423" s="1365"/>
      <c r="C1423" s="731"/>
      <c r="E1423" s="1296"/>
      <c r="F1423" s="437"/>
    </row>
    <row r="1424" ht="14.25" customHeight="1">
      <c r="B1424" s="1365"/>
      <c r="C1424" s="731"/>
      <c r="E1424" s="1296"/>
      <c r="F1424" s="437"/>
    </row>
    <row r="1425" ht="14.25" customHeight="1">
      <c r="B1425" s="1365"/>
      <c r="C1425" s="731"/>
      <c r="E1425" s="1296"/>
      <c r="F1425" s="437"/>
    </row>
    <row r="1426" ht="14.25" customHeight="1">
      <c r="B1426" s="1365"/>
      <c r="C1426" s="731"/>
      <c r="E1426" s="1296"/>
      <c r="F1426" s="437"/>
    </row>
    <row r="1427" ht="14.25" customHeight="1">
      <c r="B1427" s="1365"/>
      <c r="C1427" s="731"/>
      <c r="E1427" s="1296"/>
      <c r="F1427" s="437"/>
    </row>
    <row r="1428" ht="14.25" customHeight="1">
      <c r="B1428" s="1365"/>
      <c r="C1428" s="731"/>
      <c r="E1428" s="1296"/>
      <c r="F1428" s="437"/>
    </row>
    <row r="1429" ht="14.25" customHeight="1">
      <c r="B1429" s="1365"/>
      <c r="C1429" s="731"/>
      <c r="E1429" s="1296"/>
      <c r="F1429" s="437"/>
    </row>
    <row r="1430" ht="14.25" customHeight="1">
      <c r="B1430" s="1365"/>
      <c r="C1430" s="731"/>
      <c r="E1430" s="1296"/>
      <c r="F1430" s="437"/>
    </row>
    <row r="1431" ht="14.25" customHeight="1">
      <c r="B1431" s="1365"/>
      <c r="C1431" s="731"/>
      <c r="E1431" s="1296"/>
      <c r="F1431" s="437"/>
    </row>
  </sheetData>
  <mergeCells count="8">
    <mergeCell ref="A1:C1"/>
    <mergeCell ref="D1:E1"/>
    <mergeCell ref="D2:E2"/>
    <mergeCell ref="A6:C6"/>
    <mergeCell ref="D6:E6"/>
    <mergeCell ref="D111:E111"/>
    <mergeCell ref="D207:E207"/>
    <mergeCell ref="D235:E235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4.57"/>
    <col customWidth="1" min="6" max="6" width="62.71"/>
    <col customWidth="1" min="7" max="7" width="19.14"/>
    <col customWidth="1" min="9" max="9" width="18.71"/>
    <col customWidth="1" min="10" max="10" width="19.0"/>
    <col customWidth="1" min="11" max="11" width="16.86"/>
  </cols>
  <sheetData>
    <row r="1">
      <c r="A1" s="800"/>
      <c r="B1" s="28"/>
      <c r="C1" s="28"/>
      <c r="D1" s="28"/>
      <c r="E1" s="28"/>
      <c r="F1" s="28"/>
      <c r="G1" s="1366" t="s">
        <v>3333</v>
      </c>
      <c r="K1" s="1367" t="s">
        <v>1141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>
      <c r="A2" s="1368" t="s">
        <v>3334</v>
      </c>
      <c r="B2" s="1368" t="s">
        <v>3335</v>
      </c>
      <c r="C2" s="1368" t="s">
        <v>3336</v>
      </c>
      <c r="D2" s="1368" t="s">
        <v>3337</v>
      </c>
      <c r="E2" s="1368" t="s">
        <v>3338</v>
      </c>
      <c r="F2" s="1368" t="s">
        <v>2</v>
      </c>
      <c r="G2" s="1368" t="s">
        <v>3339</v>
      </c>
      <c r="H2" s="1368" t="s">
        <v>3340</v>
      </c>
      <c r="I2" s="1368" t="s">
        <v>3341</v>
      </c>
      <c r="J2" s="1368" t="s">
        <v>3342</v>
      </c>
      <c r="K2" s="1368" t="s">
        <v>3343</v>
      </c>
      <c r="L2" s="1368" t="s">
        <v>3344</v>
      </c>
      <c r="M2" s="1368" t="s">
        <v>3340</v>
      </c>
      <c r="N2" s="1368" t="s">
        <v>3345</v>
      </c>
      <c r="O2" s="1368" t="s">
        <v>3346</v>
      </c>
      <c r="P2" s="28"/>
      <c r="Q2" s="1369" t="s">
        <v>3347</v>
      </c>
      <c r="R2" s="1369" t="s">
        <v>3348</v>
      </c>
      <c r="S2" s="1369" t="s">
        <v>3349</v>
      </c>
      <c r="T2" s="28"/>
      <c r="U2" s="1370" t="s">
        <v>6</v>
      </c>
      <c r="V2" s="1370" t="s">
        <v>10</v>
      </c>
      <c r="W2" s="28"/>
      <c r="X2" s="28"/>
      <c r="Y2" s="28"/>
      <c r="Z2" s="28"/>
      <c r="AA2" s="28"/>
      <c r="AB2" s="28"/>
      <c r="AC2" s="28"/>
    </row>
    <row r="3">
      <c r="A3" s="1371">
        <v>45879.0</v>
      </c>
      <c r="B3" s="1371" t="str">
        <f t="shared" ref="B3:B46" si="1">TEXT(A3,"mmmmmmmmmmmmmmmmmmmmmmmmmmm")</f>
        <v>agosto</v>
      </c>
      <c r="C3" s="1371">
        <v>45879.0</v>
      </c>
      <c r="D3" s="814" t="str">
        <f t="shared" ref="D3:D46" si="2">TEXT(C3,"mmmmmmmmmmmmmmmmmmmmmmmmmmm")</f>
        <v>agosto</v>
      </c>
      <c r="E3" s="814" t="s">
        <v>1710</v>
      </c>
      <c r="F3" s="814" t="s">
        <v>80</v>
      </c>
      <c r="G3" s="1372">
        <v>150000.0</v>
      </c>
      <c r="H3" s="814">
        <v>0.00147</v>
      </c>
      <c r="I3" s="1373">
        <f t="shared" ref="I3:I46" si="3">G3*H3</f>
        <v>220.5</v>
      </c>
      <c r="J3" s="814" t="s">
        <v>3350</v>
      </c>
      <c r="K3" s="814" t="s">
        <v>1648</v>
      </c>
      <c r="L3" s="1374">
        <v>55000.0</v>
      </c>
      <c r="M3" s="814">
        <v>0.00147</v>
      </c>
      <c r="N3" s="1373">
        <f t="shared" ref="N3:N110" si="4">(L3*(1+$U$3+$V$3)*M3)</f>
        <v>85.418025</v>
      </c>
      <c r="O3" s="1373">
        <f t="shared" ref="O3:O110" si="5">((I3-N3)*0.2)</f>
        <v>27.016395</v>
      </c>
      <c r="P3" s="826"/>
      <c r="Q3" s="1375">
        <f>SUMIF(J3:J1001,"Á Receber",I3:I1001)</f>
        <v>0</v>
      </c>
      <c r="R3" s="1375">
        <f>SUMIF(K3:K1001,"Pendente",N3:N1001)</f>
        <v>17869.15712</v>
      </c>
      <c r="S3" s="1375">
        <f>SUMIF(K3:K1001,"Pendente",O3:O1001)</f>
        <v>-3399.599425</v>
      </c>
      <c r="T3" s="28"/>
      <c r="U3" s="1376">
        <v>0.035</v>
      </c>
      <c r="V3" s="1376">
        <v>0.0215</v>
      </c>
      <c r="W3" s="28"/>
      <c r="X3" s="28"/>
      <c r="Y3" s="28"/>
      <c r="Z3" s="28"/>
      <c r="AA3" s="28"/>
      <c r="AB3" s="28"/>
      <c r="AC3" s="28"/>
    </row>
    <row r="4">
      <c r="A4" s="1371">
        <v>45881.0</v>
      </c>
      <c r="B4" s="1371" t="str">
        <f t="shared" si="1"/>
        <v>agosto</v>
      </c>
      <c r="C4" s="1371">
        <v>45881.0</v>
      </c>
      <c r="D4" s="814" t="str">
        <f t="shared" si="2"/>
        <v>agosto</v>
      </c>
      <c r="E4" s="814" t="s">
        <v>1710</v>
      </c>
      <c r="F4" s="814" t="s">
        <v>1631</v>
      </c>
      <c r="G4" s="1377"/>
      <c r="H4" s="814">
        <v>0.00147</v>
      </c>
      <c r="I4" s="1373">
        <f t="shared" si="3"/>
        <v>0</v>
      </c>
      <c r="J4" s="814" t="s">
        <v>3350</v>
      </c>
      <c r="K4" s="814" t="s">
        <v>1648</v>
      </c>
      <c r="L4" s="1374">
        <v>560000.0</v>
      </c>
      <c r="M4" s="814">
        <v>0.00147</v>
      </c>
      <c r="N4" s="1373">
        <f t="shared" si="4"/>
        <v>869.7108</v>
      </c>
      <c r="O4" s="1373">
        <f t="shared" si="5"/>
        <v>-173.94216</v>
      </c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>
      <c r="A5" s="1371">
        <v>45883.0</v>
      </c>
      <c r="B5" s="1371" t="str">
        <f t="shared" si="1"/>
        <v>agosto</v>
      </c>
      <c r="C5" s="1371">
        <v>45883.0</v>
      </c>
      <c r="D5" s="814" t="str">
        <f t="shared" si="2"/>
        <v>agosto</v>
      </c>
      <c r="E5" s="814" t="s">
        <v>1712</v>
      </c>
      <c r="F5" s="814" t="s">
        <v>476</v>
      </c>
      <c r="G5" s="1377"/>
      <c r="H5" s="814">
        <v>0.00147</v>
      </c>
      <c r="I5" s="1373">
        <f t="shared" si="3"/>
        <v>0</v>
      </c>
      <c r="J5" s="814" t="s">
        <v>3350</v>
      </c>
      <c r="K5" s="814" t="s">
        <v>1648</v>
      </c>
      <c r="L5" s="1374">
        <v>1750000.0</v>
      </c>
      <c r="M5" s="814">
        <v>0.00147</v>
      </c>
      <c r="N5" s="1373">
        <f t="shared" si="4"/>
        <v>2717.84625</v>
      </c>
      <c r="O5" s="1373">
        <f t="shared" si="5"/>
        <v>-543.56925</v>
      </c>
      <c r="P5" s="28"/>
      <c r="Q5" s="1378" t="s">
        <v>3351</v>
      </c>
      <c r="R5" s="439"/>
      <c r="S5" s="439"/>
      <c r="T5" s="439"/>
      <c r="U5" s="439"/>
      <c r="V5" s="439"/>
      <c r="W5" s="439"/>
      <c r="X5" s="439"/>
      <c r="Y5" s="439"/>
      <c r="Z5" s="439"/>
      <c r="AA5" s="439"/>
      <c r="AB5" s="440"/>
      <c r="AC5" s="28"/>
    </row>
    <row r="6">
      <c r="A6" s="1371">
        <v>45884.0</v>
      </c>
      <c r="B6" s="1371" t="str">
        <f t="shared" si="1"/>
        <v>agosto</v>
      </c>
      <c r="C6" s="1371">
        <v>45884.0</v>
      </c>
      <c r="D6" s="814" t="str">
        <f t="shared" si="2"/>
        <v>agosto</v>
      </c>
      <c r="E6" s="814" t="s">
        <v>1712</v>
      </c>
      <c r="F6" s="814" t="s">
        <v>139</v>
      </c>
      <c r="G6" s="1377"/>
      <c r="H6" s="814">
        <v>0.00147</v>
      </c>
      <c r="I6" s="1373">
        <f t="shared" si="3"/>
        <v>0</v>
      </c>
      <c r="J6" s="814" t="s">
        <v>3350</v>
      </c>
      <c r="K6" s="814" t="s">
        <v>1648</v>
      </c>
      <c r="L6" s="1374">
        <v>1545000.0</v>
      </c>
      <c r="M6" s="814">
        <v>0.00147</v>
      </c>
      <c r="N6" s="1373">
        <f t="shared" si="4"/>
        <v>2399.469975</v>
      </c>
      <c r="O6" s="1373">
        <f t="shared" si="5"/>
        <v>-479.893995</v>
      </c>
      <c r="P6" s="28"/>
      <c r="Q6" s="1369" t="s">
        <v>3352</v>
      </c>
      <c r="R6" s="1369" t="s">
        <v>3353</v>
      </c>
      <c r="S6" s="1369" t="s">
        <v>1403</v>
      </c>
      <c r="T6" s="1369" t="s">
        <v>1413</v>
      </c>
      <c r="U6" s="1369" t="s">
        <v>1433</v>
      </c>
      <c r="V6" s="1369" t="s">
        <v>3354</v>
      </c>
      <c r="W6" s="1369" t="s">
        <v>1484</v>
      </c>
      <c r="X6" s="1369" t="s">
        <v>1508</v>
      </c>
      <c r="Y6" s="1369" t="s">
        <v>1551</v>
      </c>
      <c r="Z6" s="1369" t="s">
        <v>1613</v>
      </c>
      <c r="AA6" s="1369" t="s">
        <v>3355</v>
      </c>
      <c r="AB6" s="1369" t="s">
        <v>3356</v>
      </c>
      <c r="AC6" s="28"/>
    </row>
    <row r="7">
      <c r="A7" s="1371">
        <v>45885.0</v>
      </c>
      <c r="B7" s="1371" t="str">
        <f t="shared" si="1"/>
        <v>agosto</v>
      </c>
      <c r="C7" s="1371">
        <v>45885.0</v>
      </c>
      <c r="D7" s="814" t="str">
        <f t="shared" si="2"/>
        <v>agosto</v>
      </c>
      <c r="E7" s="814" t="s">
        <v>1712</v>
      </c>
      <c r="F7" s="814" t="s">
        <v>1615</v>
      </c>
      <c r="G7" s="1377"/>
      <c r="H7" s="814">
        <v>0.00147</v>
      </c>
      <c r="I7" s="1373">
        <f t="shared" si="3"/>
        <v>0</v>
      </c>
      <c r="J7" s="814" t="s">
        <v>3350</v>
      </c>
      <c r="K7" s="814" t="s">
        <v>1648</v>
      </c>
      <c r="L7" s="1374">
        <v>1400000.0</v>
      </c>
      <c r="M7" s="814">
        <v>0.00147</v>
      </c>
      <c r="N7" s="1373">
        <f t="shared" si="4"/>
        <v>2174.277</v>
      </c>
      <c r="O7" s="1373">
        <f t="shared" si="5"/>
        <v>-434.8554</v>
      </c>
      <c r="P7" s="1369" t="s">
        <v>3357</v>
      </c>
      <c r="Q7" s="1375">
        <f t="shared" ref="Q7:AB7" si="6">SUMIFS($N$3:$N$1001,$K$3:$K$1001,"Pendente",$D$3:$D$1001,Q$6)</f>
        <v>528.0387</v>
      </c>
      <c r="R7" s="1375">
        <f t="shared" si="6"/>
        <v>776.5275</v>
      </c>
      <c r="S7" s="1375">
        <f t="shared" si="6"/>
        <v>0</v>
      </c>
      <c r="T7" s="1375">
        <f t="shared" si="6"/>
        <v>9594.152568</v>
      </c>
      <c r="U7" s="1375">
        <f t="shared" si="6"/>
        <v>3764.60532</v>
      </c>
      <c r="V7" s="1375">
        <f t="shared" si="6"/>
        <v>3205.833035</v>
      </c>
      <c r="W7" s="1375">
        <f t="shared" si="6"/>
        <v>0</v>
      </c>
      <c r="X7" s="1375">
        <f t="shared" si="6"/>
        <v>0</v>
      </c>
      <c r="Y7" s="1375">
        <f t="shared" si="6"/>
        <v>0</v>
      </c>
      <c r="Z7" s="1375">
        <f t="shared" si="6"/>
        <v>0</v>
      </c>
      <c r="AA7" s="1375">
        <f t="shared" si="6"/>
        <v>0</v>
      </c>
      <c r="AB7" s="1375">
        <f t="shared" si="6"/>
        <v>0</v>
      </c>
      <c r="AC7" s="28"/>
    </row>
    <row r="8">
      <c r="A8" s="1371">
        <v>45886.0</v>
      </c>
      <c r="B8" s="1371" t="str">
        <f t="shared" si="1"/>
        <v>agosto</v>
      </c>
      <c r="C8" s="1371">
        <v>45886.0</v>
      </c>
      <c r="D8" s="814" t="str">
        <f t="shared" si="2"/>
        <v>agosto</v>
      </c>
      <c r="E8" s="814" t="s">
        <v>1716</v>
      </c>
      <c r="F8" s="814" t="s">
        <v>1717</v>
      </c>
      <c r="G8" s="1377"/>
      <c r="H8" s="814">
        <v>0.00147</v>
      </c>
      <c r="I8" s="1373">
        <f t="shared" si="3"/>
        <v>0</v>
      </c>
      <c r="J8" s="814" t="s">
        <v>3350</v>
      </c>
      <c r="K8" s="814" t="s">
        <v>2181</v>
      </c>
      <c r="L8" s="1374">
        <v>55000.0</v>
      </c>
      <c r="M8" s="814">
        <v>0.00147</v>
      </c>
      <c r="N8" s="1373">
        <f t="shared" si="4"/>
        <v>85.418025</v>
      </c>
      <c r="O8" s="1373">
        <f t="shared" si="5"/>
        <v>-17.083605</v>
      </c>
      <c r="P8" s="1369" t="s">
        <v>3358</v>
      </c>
      <c r="Q8" s="1375">
        <f t="shared" ref="Q8:AB8" si="7">SUMIFS($L$3:$L$1001,$K$3:$K$1001,"Pendente",$D$3:$D$1001,Q$6)</f>
        <v>340000</v>
      </c>
      <c r="R8" s="1375">
        <f t="shared" si="7"/>
        <v>500000</v>
      </c>
      <c r="S8" s="1375">
        <f t="shared" si="7"/>
        <v>0</v>
      </c>
      <c r="T8" s="1375">
        <f t="shared" si="7"/>
        <v>6177600</v>
      </c>
      <c r="U8" s="1375">
        <f t="shared" si="7"/>
        <v>2424000</v>
      </c>
      <c r="V8" s="1375">
        <f t="shared" si="7"/>
        <v>2069000</v>
      </c>
      <c r="W8" s="1375">
        <f t="shared" si="7"/>
        <v>0</v>
      </c>
      <c r="X8" s="1375">
        <f t="shared" si="7"/>
        <v>0</v>
      </c>
      <c r="Y8" s="1375">
        <f t="shared" si="7"/>
        <v>0</v>
      </c>
      <c r="Z8" s="1375">
        <f t="shared" si="7"/>
        <v>0</v>
      </c>
      <c r="AA8" s="1375">
        <f t="shared" si="7"/>
        <v>0</v>
      </c>
      <c r="AB8" s="1375">
        <f t="shared" si="7"/>
        <v>0</v>
      </c>
      <c r="AC8" s="28"/>
    </row>
    <row r="9">
      <c r="A9" s="1371">
        <v>45886.0</v>
      </c>
      <c r="B9" s="1371" t="str">
        <f t="shared" si="1"/>
        <v>agosto</v>
      </c>
      <c r="C9" s="1371">
        <v>45886.0</v>
      </c>
      <c r="D9" s="814" t="str">
        <f t="shared" si="2"/>
        <v>agosto</v>
      </c>
      <c r="E9" s="814" t="s">
        <v>1718</v>
      </c>
      <c r="F9" s="814" t="s">
        <v>1717</v>
      </c>
      <c r="G9" s="1377"/>
      <c r="H9" s="814">
        <v>0.00147</v>
      </c>
      <c r="I9" s="1373">
        <f t="shared" si="3"/>
        <v>0</v>
      </c>
      <c r="J9" s="814" t="s">
        <v>3350</v>
      </c>
      <c r="K9" s="814" t="s">
        <v>2181</v>
      </c>
      <c r="L9" s="1374">
        <v>55000.0</v>
      </c>
      <c r="M9" s="814">
        <v>0.00147</v>
      </c>
      <c r="N9" s="1373">
        <f t="shared" si="4"/>
        <v>85.418025</v>
      </c>
      <c r="O9" s="1373">
        <f t="shared" si="5"/>
        <v>-17.083605</v>
      </c>
      <c r="P9" s="1369" t="s">
        <v>3349</v>
      </c>
      <c r="Q9" s="1375">
        <f t="shared" ref="Q9:AB9" si="8">SUMIFS($O$3:$O$1001,$K$3:$K$1001,"Pendente",$D$3:$D$1001,Q$6)</f>
        <v>-105.60774</v>
      </c>
      <c r="R9" s="1375">
        <f t="shared" si="8"/>
        <v>-155.3055</v>
      </c>
      <c r="S9" s="1375">
        <f t="shared" si="8"/>
        <v>0</v>
      </c>
      <c r="T9" s="1375">
        <f t="shared" si="8"/>
        <v>-1918.830514</v>
      </c>
      <c r="U9" s="1375">
        <f t="shared" si="8"/>
        <v>-752.921064</v>
      </c>
      <c r="V9" s="1375">
        <f t="shared" si="8"/>
        <v>-466.934607</v>
      </c>
      <c r="W9" s="1375">
        <f t="shared" si="8"/>
        <v>0</v>
      </c>
      <c r="X9" s="1375">
        <f t="shared" si="8"/>
        <v>0</v>
      </c>
      <c r="Y9" s="1375">
        <f t="shared" si="8"/>
        <v>0</v>
      </c>
      <c r="Z9" s="1375">
        <f t="shared" si="8"/>
        <v>0</v>
      </c>
      <c r="AA9" s="1375">
        <f t="shared" si="8"/>
        <v>0</v>
      </c>
      <c r="AB9" s="1375">
        <f t="shared" si="8"/>
        <v>0</v>
      </c>
      <c r="AC9" s="28"/>
    </row>
    <row r="10">
      <c r="A10" s="1371">
        <v>45893.0</v>
      </c>
      <c r="B10" s="1371" t="str">
        <f t="shared" si="1"/>
        <v>agosto</v>
      </c>
      <c r="C10" s="1371">
        <v>45893.0</v>
      </c>
      <c r="D10" s="814" t="str">
        <f t="shared" si="2"/>
        <v>agosto</v>
      </c>
      <c r="E10" s="814" t="s">
        <v>1720</v>
      </c>
      <c r="F10" s="814" t="s">
        <v>1721</v>
      </c>
      <c r="G10" s="1377"/>
      <c r="H10" s="814">
        <v>0.00147</v>
      </c>
      <c r="I10" s="1373">
        <f t="shared" si="3"/>
        <v>0</v>
      </c>
      <c r="J10" s="814" t="s">
        <v>3350</v>
      </c>
      <c r="K10" s="814" t="s">
        <v>2181</v>
      </c>
      <c r="L10" s="1374">
        <v>120000.0</v>
      </c>
      <c r="M10" s="814">
        <v>0.00147</v>
      </c>
      <c r="N10" s="1373">
        <f t="shared" si="4"/>
        <v>186.3666</v>
      </c>
      <c r="O10" s="1373">
        <f t="shared" si="5"/>
        <v>-37.27332</v>
      </c>
      <c r="P10" s="1369" t="s">
        <v>3347</v>
      </c>
      <c r="Q10" s="1375">
        <f t="shared" ref="Q10:AB10" si="9">SUMIFS($I$3:$I$1001,$J$3:$J$1001,"Á Receber",$B$3:$B$1001,Q$6)</f>
        <v>0</v>
      </c>
      <c r="R10" s="1375">
        <f t="shared" si="9"/>
        <v>0</v>
      </c>
      <c r="S10" s="1375">
        <f t="shared" si="9"/>
        <v>0</v>
      </c>
      <c r="T10" s="1375">
        <f t="shared" si="9"/>
        <v>0</v>
      </c>
      <c r="U10" s="1375">
        <f t="shared" si="9"/>
        <v>0</v>
      </c>
      <c r="V10" s="1375">
        <f t="shared" si="9"/>
        <v>0</v>
      </c>
      <c r="W10" s="1375">
        <f t="shared" si="9"/>
        <v>0</v>
      </c>
      <c r="X10" s="1375">
        <f t="shared" si="9"/>
        <v>0</v>
      </c>
      <c r="Y10" s="1375">
        <f t="shared" si="9"/>
        <v>0</v>
      </c>
      <c r="Z10" s="1375">
        <f t="shared" si="9"/>
        <v>0</v>
      </c>
      <c r="AA10" s="1375">
        <f t="shared" si="9"/>
        <v>0</v>
      </c>
      <c r="AB10" s="1375">
        <f t="shared" si="9"/>
        <v>0</v>
      </c>
      <c r="AC10" s="28"/>
    </row>
    <row r="11">
      <c r="A11" s="1371">
        <v>45887.0</v>
      </c>
      <c r="B11" s="1371" t="str">
        <f t="shared" si="1"/>
        <v>agosto</v>
      </c>
      <c r="C11" s="1371">
        <v>45887.0</v>
      </c>
      <c r="D11" s="814" t="str">
        <f t="shared" si="2"/>
        <v>agosto</v>
      </c>
      <c r="E11" s="814" t="s">
        <v>1720</v>
      </c>
      <c r="F11" s="814" t="s">
        <v>1722</v>
      </c>
      <c r="G11" s="1377"/>
      <c r="H11" s="814">
        <v>0.00147</v>
      </c>
      <c r="I11" s="1373">
        <f t="shared" si="3"/>
        <v>0</v>
      </c>
      <c r="J11" s="814" t="s">
        <v>3350</v>
      </c>
      <c r="K11" s="814" t="s">
        <v>1648</v>
      </c>
      <c r="L11" s="1374">
        <v>680000.0</v>
      </c>
      <c r="M11" s="814">
        <v>0.00147</v>
      </c>
      <c r="N11" s="1373">
        <f t="shared" si="4"/>
        <v>1056.0774</v>
      </c>
      <c r="O11" s="1373">
        <f t="shared" si="5"/>
        <v>-211.21548</v>
      </c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>
      <c r="A12" s="1371">
        <v>45893.0</v>
      </c>
      <c r="B12" s="1371" t="str">
        <f t="shared" si="1"/>
        <v>agosto</v>
      </c>
      <c r="C12" s="1371">
        <v>45893.0</v>
      </c>
      <c r="D12" s="814" t="str">
        <f t="shared" si="2"/>
        <v>agosto</v>
      </c>
      <c r="E12" s="814" t="s">
        <v>1716</v>
      </c>
      <c r="F12" s="814" t="s">
        <v>1717</v>
      </c>
      <c r="G12" s="1377"/>
      <c r="H12" s="814">
        <v>0.00147</v>
      </c>
      <c r="I12" s="1373">
        <f t="shared" si="3"/>
        <v>0</v>
      </c>
      <c r="J12" s="814" t="s">
        <v>3350</v>
      </c>
      <c r="K12" s="814" t="s">
        <v>2181</v>
      </c>
      <c r="L12" s="1374">
        <v>55000.0</v>
      </c>
      <c r="M12" s="814">
        <v>0.00147</v>
      </c>
      <c r="N12" s="1373">
        <f t="shared" si="4"/>
        <v>85.418025</v>
      </c>
      <c r="O12" s="1373">
        <f t="shared" si="5"/>
        <v>-17.083605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>
      <c r="A13" s="1371">
        <v>45893.0</v>
      </c>
      <c r="B13" s="1371" t="str">
        <f t="shared" si="1"/>
        <v>agosto</v>
      </c>
      <c r="C13" s="1371">
        <v>45893.0</v>
      </c>
      <c r="D13" s="814" t="str">
        <f t="shared" si="2"/>
        <v>agosto</v>
      </c>
      <c r="E13" s="814" t="s">
        <v>1718</v>
      </c>
      <c r="F13" s="814" t="s">
        <v>1717</v>
      </c>
      <c r="G13" s="1377"/>
      <c r="H13" s="814">
        <v>0.00147</v>
      </c>
      <c r="I13" s="1373">
        <f t="shared" si="3"/>
        <v>0</v>
      </c>
      <c r="J13" s="814" t="s">
        <v>3350</v>
      </c>
      <c r="K13" s="814" t="s">
        <v>2181</v>
      </c>
      <c r="L13" s="1374">
        <v>55000.0</v>
      </c>
      <c r="M13" s="814">
        <v>0.00147</v>
      </c>
      <c r="N13" s="1373">
        <f t="shared" si="4"/>
        <v>85.418025</v>
      </c>
      <c r="O13" s="1373">
        <f t="shared" si="5"/>
        <v>-17.083605</v>
      </c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>
      <c r="A14" s="1371">
        <v>45892.0</v>
      </c>
      <c r="B14" s="1371" t="str">
        <f t="shared" si="1"/>
        <v>agosto</v>
      </c>
      <c r="C14" s="1371">
        <v>45892.0</v>
      </c>
      <c r="D14" s="814" t="str">
        <f t="shared" si="2"/>
        <v>agosto</v>
      </c>
      <c r="E14" s="814" t="s">
        <v>1723</v>
      </c>
      <c r="F14" s="814" t="s">
        <v>222</v>
      </c>
      <c r="G14" s="1377"/>
      <c r="H14" s="814">
        <v>0.00147</v>
      </c>
      <c r="I14" s="1373">
        <f t="shared" si="3"/>
        <v>0</v>
      </c>
      <c r="J14" s="814" t="s">
        <v>3350</v>
      </c>
      <c r="K14" s="814" t="s">
        <v>1648</v>
      </c>
      <c r="L14" s="1374">
        <v>1050000.0</v>
      </c>
      <c r="M14" s="814">
        <v>0.00147</v>
      </c>
      <c r="N14" s="1373">
        <f t="shared" si="4"/>
        <v>1630.70775</v>
      </c>
      <c r="O14" s="1373">
        <f t="shared" si="5"/>
        <v>-326.14155</v>
      </c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>
      <c r="A15" s="1371">
        <v>45893.0</v>
      </c>
      <c r="B15" s="1371" t="str">
        <f t="shared" si="1"/>
        <v>agosto</v>
      </c>
      <c r="C15" s="1371">
        <v>45893.0</v>
      </c>
      <c r="D15" s="814" t="str">
        <f t="shared" si="2"/>
        <v>agosto</v>
      </c>
      <c r="E15" s="814" t="s">
        <v>3359</v>
      </c>
      <c r="F15" s="814" t="s">
        <v>1725</v>
      </c>
      <c r="G15" s="1377"/>
      <c r="H15" s="814">
        <v>0.00147</v>
      </c>
      <c r="I15" s="1373">
        <f t="shared" si="3"/>
        <v>0</v>
      </c>
      <c r="J15" s="814" t="s">
        <v>3350</v>
      </c>
      <c r="K15" s="814" t="s">
        <v>1648</v>
      </c>
      <c r="L15" s="1374">
        <v>458000.0</v>
      </c>
      <c r="M15" s="814">
        <v>0.00147</v>
      </c>
      <c r="N15" s="1373">
        <f t="shared" si="4"/>
        <v>711.29919</v>
      </c>
      <c r="O15" s="1373">
        <f t="shared" si="5"/>
        <v>-142.259838</v>
      </c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>
      <c r="A16" s="1371">
        <v>45894.0</v>
      </c>
      <c r="B16" s="1371" t="str">
        <f t="shared" si="1"/>
        <v>agosto</v>
      </c>
      <c r="C16" s="1371">
        <v>45894.0</v>
      </c>
      <c r="D16" s="814" t="str">
        <f t="shared" si="2"/>
        <v>agosto</v>
      </c>
      <c r="E16" s="814" t="s">
        <v>3360</v>
      </c>
      <c r="F16" s="814" t="s">
        <v>1450</v>
      </c>
      <c r="G16" s="1377"/>
      <c r="H16" s="814">
        <v>0.00147</v>
      </c>
      <c r="I16" s="1373">
        <f t="shared" si="3"/>
        <v>0</v>
      </c>
      <c r="J16" s="814" t="s">
        <v>3350</v>
      </c>
      <c r="K16" s="814" t="s">
        <v>1648</v>
      </c>
      <c r="L16" s="1374">
        <v>780000.0</v>
      </c>
      <c r="M16" s="814">
        <v>0.00147</v>
      </c>
      <c r="N16" s="1373">
        <f t="shared" si="4"/>
        <v>1211.3829</v>
      </c>
      <c r="O16" s="1373">
        <f t="shared" si="5"/>
        <v>-242.27658</v>
      </c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>
      <c r="A17" s="1371">
        <v>45894.0</v>
      </c>
      <c r="B17" s="1371" t="str">
        <f t="shared" si="1"/>
        <v>agosto</v>
      </c>
      <c r="C17" s="1371">
        <v>45894.0</v>
      </c>
      <c r="D17" s="814" t="str">
        <f t="shared" si="2"/>
        <v>agosto</v>
      </c>
      <c r="E17" s="814" t="s">
        <v>1714</v>
      </c>
      <c r="F17" s="814" t="s">
        <v>91</v>
      </c>
      <c r="G17" s="1377"/>
      <c r="H17" s="814">
        <v>0.00147</v>
      </c>
      <c r="I17" s="1373">
        <f t="shared" si="3"/>
        <v>0</v>
      </c>
      <c r="J17" s="814" t="s">
        <v>3350</v>
      </c>
      <c r="K17" s="814" t="s">
        <v>1648</v>
      </c>
      <c r="L17" s="1374">
        <v>620000.0</v>
      </c>
      <c r="M17" s="814">
        <v>0.00147</v>
      </c>
      <c r="N17" s="1373">
        <f t="shared" si="4"/>
        <v>962.8941</v>
      </c>
      <c r="O17" s="1373">
        <f t="shared" si="5"/>
        <v>-192.57882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>
      <c r="A18" s="1371">
        <v>45897.0</v>
      </c>
      <c r="B18" s="1371" t="str">
        <f t="shared" si="1"/>
        <v>agosto</v>
      </c>
      <c r="C18" s="1371">
        <v>45897.0</v>
      </c>
      <c r="D18" s="814" t="str">
        <f t="shared" si="2"/>
        <v>agosto</v>
      </c>
      <c r="E18" s="814" t="s">
        <v>1728</v>
      </c>
      <c r="F18" s="814" t="s">
        <v>156</v>
      </c>
      <c r="G18" s="1377"/>
      <c r="H18" s="814">
        <v>0.00147</v>
      </c>
      <c r="I18" s="1373">
        <f t="shared" si="3"/>
        <v>0</v>
      </c>
      <c r="J18" s="814" t="s">
        <v>3350</v>
      </c>
      <c r="K18" s="814" t="s">
        <v>1648</v>
      </c>
      <c r="L18" s="1374">
        <v>660000.0</v>
      </c>
      <c r="M18" s="814">
        <v>0.00147</v>
      </c>
      <c r="N18" s="1373">
        <f t="shared" si="4"/>
        <v>1025.0163</v>
      </c>
      <c r="O18" s="1373">
        <f t="shared" si="5"/>
        <v>-205.00326</v>
      </c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>
      <c r="A19" s="1371">
        <v>45898.0</v>
      </c>
      <c r="B19" s="1371" t="str">
        <f t="shared" si="1"/>
        <v>agosto</v>
      </c>
      <c r="C19" s="1371">
        <v>45898.0</v>
      </c>
      <c r="D19" s="814" t="str">
        <f t="shared" si="2"/>
        <v>agosto</v>
      </c>
      <c r="E19" s="814" t="s">
        <v>1729</v>
      </c>
      <c r="F19" s="814" t="s">
        <v>1442</v>
      </c>
      <c r="G19" s="1377"/>
      <c r="H19" s="814">
        <v>0.00147</v>
      </c>
      <c r="I19" s="1373">
        <f t="shared" si="3"/>
        <v>0</v>
      </c>
      <c r="J19" s="814" t="s">
        <v>3350</v>
      </c>
      <c r="K19" s="814" t="s">
        <v>1648</v>
      </c>
      <c r="L19" s="1374">
        <v>560000.0</v>
      </c>
      <c r="M19" s="814">
        <v>0.00147</v>
      </c>
      <c r="N19" s="1373">
        <f t="shared" si="4"/>
        <v>869.7108</v>
      </c>
      <c r="O19" s="1373">
        <f t="shared" si="5"/>
        <v>-173.94216</v>
      </c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>
      <c r="A20" s="1371">
        <v>45900.0</v>
      </c>
      <c r="B20" s="1371" t="str">
        <f t="shared" si="1"/>
        <v>agosto</v>
      </c>
      <c r="C20" s="1371">
        <v>45900.0</v>
      </c>
      <c r="D20" s="814" t="str">
        <f t="shared" si="2"/>
        <v>agosto</v>
      </c>
      <c r="E20" s="814" t="s">
        <v>1730</v>
      </c>
      <c r="F20" s="814" t="s">
        <v>197</v>
      </c>
      <c r="G20" s="1377"/>
      <c r="H20" s="814">
        <v>0.00147</v>
      </c>
      <c r="I20" s="1373">
        <f t="shared" si="3"/>
        <v>0</v>
      </c>
      <c r="J20" s="814" t="s">
        <v>3350</v>
      </c>
      <c r="K20" s="814" t="s">
        <v>1648</v>
      </c>
      <c r="L20" s="1374">
        <v>260000.0</v>
      </c>
      <c r="M20" s="814">
        <v>0.00147</v>
      </c>
      <c r="N20" s="1373">
        <f t="shared" si="4"/>
        <v>403.7943</v>
      </c>
      <c r="O20" s="1373">
        <f t="shared" si="5"/>
        <v>-80.75886</v>
      </c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>
      <c r="A21" s="1371">
        <v>45910.0</v>
      </c>
      <c r="B21" s="1371" t="str">
        <f t="shared" si="1"/>
        <v>setembro</v>
      </c>
      <c r="C21" s="1371">
        <v>45910.0</v>
      </c>
      <c r="D21" s="814" t="str">
        <f t="shared" si="2"/>
        <v>setembro</v>
      </c>
      <c r="E21" s="814" t="s">
        <v>1732</v>
      </c>
      <c r="F21" s="814" t="s">
        <v>156</v>
      </c>
      <c r="G21" s="1377"/>
      <c r="H21" s="814">
        <v>0.00147</v>
      </c>
      <c r="I21" s="1373">
        <f t="shared" si="3"/>
        <v>0</v>
      </c>
      <c r="J21" s="814" t="s">
        <v>3350</v>
      </c>
      <c r="K21" s="814" t="s">
        <v>1648</v>
      </c>
      <c r="L21" s="1374">
        <v>330000.0</v>
      </c>
      <c r="M21" s="814">
        <v>0.00147</v>
      </c>
      <c r="N21" s="1373">
        <f t="shared" si="4"/>
        <v>512.50815</v>
      </c>
      <c r="O21" s="1373">
        <f t="shared" si="5"/>
        <v>-102.50163</v>
      </c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>
      <c r="A22" s="1371">
        <v>45912.0</v>
      </c>
      <c r="B22" s="1371" t="str">
        <f t="shared" si="1"/>
        <v>setembro</v>
      </c>
      <c r="C22" s="1371">
        <v>45912.0</v>
      </c>
      <c r="D22" s="814" t="str">
        <f t="shared" si="2"/>
        <v>setembro</v>
      </c>
      <c r="E22" s="814" t="s">
        <v>1733</v>
      </c>
      <c r="F22" s="814" t="s">
        <v>1555</v>
      </c>
      <c r="G22" s="1377"/>
      <c r="H22" s="814">
        <v>0.00147</v>
      </c>
      <c r="I22" s="1373">
        <f t="shared" si="3"/>
        <v>0</v>
      </c>
      <c r="J22" s="814" t="s">
        <v>3350</v>
      </c>
      <c r="K22" s="814" t="s">
        <v>1648</v>
      </c>
      <c r="L22" s="1374">
        <v>422000.0</v>
      </c>
      <c r="M22" s="814">
        <v>0.00147</v>
      </c>
      <c r="N22" s="1373">
        <f t="shared" si="4"/>
        <v>655.38921</v>
      </c>
      <c r="O22" s="1373">
        <f t="shared" si="5"/>
        <v>-131.077842</v>
      </c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>
      <c r="A23" s="1371">
        <v>45912.0</v>
      </c>
      <c r="B23" s="1371" t="str">
        <f t="shared" si="1"/>
        <v>setembro</v>
      </c>
      <c r="C23" s="1371">
        <v>45912.0</v>
      </c>
      <c r="D23" s="814" t="str">
        <f t="shared" si="2"/>
        <v>setembro</v>
      </c>
      <c r="E23" s="814" t="s">
        <v>1733</v>
      </c>
      <c r="F23" s="814" t="s">
        <v>1460</v>
      </c>
      <c r="G23" s="1377"/>
      <c r="H23" s="814">
        <v>0.00147</v>
      </c>
      <c r="I23" s="1373">
        <f t="shared" si="3"/>
        <v>0</v>
      </c>
      <c r="J23" s="814" t="s">
        <v>3350</v>
      </c>
      <c r="K23" s="814" t="s">
        <v>1648</v>
      </c>
      <c r="L23" s="1374">
        <v>220000.0</v>
      </c>
      <c r="M23" s="814">
        <v>0.00147</v>
      </c>
      <c r="N23" s="1373">
        <f t="shared" si="4"/>
        <v>341.6721</v>
      </c>
      <c r="O23" s="1373">
        <f t="shared" si="5"/>
        <v>-68.33442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>
      <c r="A24" s="1371">
        <v>45913.0</v>
      </c>
      <c r="B24" s="1371" t="str">
        <f t="shared" si="1"/>
        <v>setembro</v>
      </c>
      <c r="C24" s="1371">
        <v>45913.0</v>
      </c>
      <c r="D24" s="814" t="str">
        <f t="shared" si="2"/>
        <v>setembro</v>
      </c>
      <c r="E24" s="814" t="s">
        <v>1733</v>
      </c>
      <c r="F24" s="814" t="s">
        <v>1450</v>
      </c>
      <c r="G24" s="1377"/>
      <c r="H24" s="814">
        <v>0.00147</v>
      </c>
      <c r="I24" s="1373">
        <f t="shared" si="3"/>
        <v>0</v>
      </c>
      <c r="J24" s="814" t="s">
        <v>3350</v>
      </c>
      <c r="K24" s="814" t="s">
        <v>2181</v>
      </c>
      <c r="L24" s="1374">
        <v>500000.0</v>
      </c>
      <c r="M24" s="814">
        <v>0.00147</v>
      </c>
      <c r="N24" s="1373">
        <f t="shared" si="4"/>
        <v>776.5275</v>
      </c>
      <c r="O24" s="1373">
        <f t="shared" si="5"/>
        <v>-155.3055</v>
      </c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>
      <c r="A25" s="1371">
        <v>45913.0</v>
      </c>
      <c r="B25" s="1371" t="str">
        <f t="shared" si="1"/>
        <v>setembro</v>
      </c>
      <c r="C25" s="1371">
        <v>45913.0</v>
      </c>
      <c r="D25" s="814" t="str">
        <f t="shared" si="2"/>
        <v>setembro</v>
      </c>
      <c r="E25" s="814" t="s">
        <v>3361</v>
      </c>
      <c r="F25" s="814" t="s">
        <v>1692</v>
      </c>
      <c r="G25" s="1377"/>
      <c r="H25" s="814">
        <v>0.00147</v>
      </c>
      <c r="I25" s="1373">
        <f t="shared" si="3"/>
        <v>0</v>
      </c>
      <c r="J25" s="814" t="s">
        <v>3350</v>
      </c>
      <c r="K25" s="814" t="s">
        <v>1648</v>
      </c>
      <c r="L25" s="1374">
        <v>660000.0</v>
      </c>
      <c r="M25" s="814">
        <v>0.00147</v>
      </c>
      <c r="N25" s="1373">
        <f t="shared" si="4"/>
        <v>1025.0163</v>
      </c>
      <c r="O25" s="1373">
        <f t="shared" si="5"/>
        <v>-205.00326</v>
      </c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>
      <c r="A26" s="1371">
        <v>45919.0</v>
      </c>
      <c r="B26" s="1371" t="str">
        <f t="shared" si="1"/>
        <v>setembro</v>
      </c>
      <c r="C26" s="1371">
        <v>45919.0</v>
      </c>
      <c r="D26" s="814" t="str">
        <f t="shared" si="2"/>
        <v>setembro</v>
      </c>
      <c r="E26" s="814" t="s">
        <v>1737</v>
      </c>
      <c r="F26" s="814" t="s">
        <v>476</v>
      </c>
      <c r="G26" s="1377"/>
      <c r="H26" s="814">
        <v>0.00147</v>
      </c>
      <c r="I26" s="1373">
        <f t="shared" si="3"/>
        <v>0</v>
      </c>
      <c r="J26" s="814" t="s">
        <v>3350</v>
      </c>
      <c r="K26" s="814" t="s">
        <v>1648</v>
      </c>
      <c r="L26" s="1374">
        <v>350000.0</v>
      </c>
      <c r="M26" s="814">
        <v>0.00147</v>
      </c>
      <c r="N26" s="1373">
        <f t="shared" si="4"/>
        <v>543.56925</v>
      </c>
      <c r="O26" s="1373">
        <f t="shared" si="5"/>
        <v>-108.71385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>
      <c r="A27" s="1371">
        <v>45921.0</v>
      </c>
      <c r="B27" s="1371" t="str">
        <f t="shared" si="1"/>
        <v>setembro</v>
      </c>
      <c r="C27" s="1371">
        <v>45921.0</v>
      </c>
      <c r="D27" s="814" t="str">
        <f t="shared" si="2"/>
        <v>setembro</v>
      </c>
      <c r="E27" s="814" t="s">
        <v>1737</v>
      </c>
      <c r="F27" s="814" t="s">
        <v>1738</v>
      </c>
      <c r="G27" s="1377"/>
      <c r="H27" s="814">
        <v>0.00147</v>
      </c>
      <c r="I27" s="1373">
        <f t="shared" si="3"/>
        <v>0</v>
      </c>
      <c r="J27" s="814" t="s">
        <v>3350</v>
      </c>
      <c r="K27" s="814" t="s">
        <v>1648</v>
      </c>
      <c r="L27" s="1374">
        <v>370000.0</v>
      </c>
      <c r="M27" s="814">
        <v>0.00147</v>
      </c>
      <c r="N27" s="1373">
        <f t="shared" si="4"/>
        <v>574.63035</v>
      </c>
      <c r="O27" s="1373">
        <f t="shared" si="5"/>
        <v>-114.92607</v>
      </c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>
      <c r="A28" s="1371">
        <v>45924.0</v>
      </c>
      <c r="B28" s="1371" t="str">
        <f t="shared" si="1"/>
        <v>setembro</v>
      </c>
      <c r="C28" s="1371">
        <v>45924.0</v>
      </c>
      <c r="D28" s="814" t="str">
        <f t="shared" si="2"/>
        <v>setembro</v>
      </c>
      <c r="E28" s="814" t="s">
        <v>1739</v>
      </c>
      <c r="F28" s="814" t="s">
        <v>1692</v>
      </c>
      <c r="G28" s="1377"/>
      <c r="H28" s="814">
        <v>0.00147</v>
      </c>
      <c r="I28" s="1373">
        <f t="shared" si="3"/>
        <v>0</v>
      </c>
      <c r="J28" s="814" t="s">
        <v>3350</v>
      </c>
      <c r="K28" s="814" t="s">
        <v>1648</v>
      </c>
      <c r="L28" s="1374">
        <v>660000.0</v>
      </c>
      <c r="M28" s="814">
        <v>0.00147</v>
      </c>
      <c r="N28" s="1373">
        <f t="shared" si="4"/>
        <v>1025.0163</v>
      </c>
      <c r="O28" s="1373">
        <f t="shared" si="5"/>
        <v>-205.00326</v>
      </c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>
      <c r="A29" s="1371">
        <v>45925.0</v>
      </c>
      <c r="B29" s="1371" t="str">
        <f t="shared" si="1"/>
        <v>setembro</v>
      </c>
      <c r="C29" s="1371">
        <v>45925.0</v>
      </c>
      <c r="D29" s="814" t="str">
        <f t="shared" si="2"/>
        <v>setembro</v>
      </c>
      <c r="E29" s="814" t="s">
        <v>1739</v>
      </c>
      <c r="F29" s="814" t="s">
        <v>156</v>
      </c>
      <c r="G29" s="1377"/>
      <c r="H29" s="814">
        <v>0.00147</v>
      </c>
      <c r="I29" s="1373">
        <f t="shared" si="3"/>
        <v>0</v>
      </c>
      <c r="J29" s="814" t="s">
        <v>3350</v>
      </c>
      <c r="K29" s="1379" t="s">
        <v>1648</v>
      </c>
      <c r="L29" s="1374">
        <v>660000.0</v>
      </c>
      <c r="M29" s="814">
        <v>0.00147</v>
      </c>
      <c r="N29" s="1373">
        <f t="shared" si="4"/>
        <v>1025.0163</v>
      </c>
      <c r="O29" s="1373">
        <f t="shared" si="5"/>
        <v>-205.00326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>
      <c r="A30" s="1371">
        <v>45977.0</v>
      </c>
      <c r="B30" s="1371" t="str">
        <f t="shared" si="1"/>
        <v>novembro</v>
      </c>
      <c r="C30" s="1371">
        <v>45977.0</v>
      </c>
      <c r="D30" s="814" t="str">
        <f t="shared" si="2"/>
        <v>novembro</v>
      </c>
      <c r="E30" s="814" t="s">
        <v>1765</v>
      </c>
      <c r="F30" s="814" t="s">
        <v>1766</v>
      </c>
      <c r="G30" s="1377"/>
      <c r="H30" s="814">
        <v>0.00147</v>
      </c>
      <c r="I30" s="1373">
        <f t="shared" si="3"/>
        <v>0</v>
      </c>
      <c r="J30" s="814" t="s">
        <v>3350</v>
      </c>
      <c r="K30" s="814" t="s">
        <v>2181</v>
      </c>
      <c r="L30" s="1374">
        <v>768800.0</v>
      </c>
      <c r="M30" s="814">
        <v>0.00147</v>
      </c>
      <c r="N30" s="1373">
        <f t="shared" si="4"/>
        <v>1193.988684</v>
      </c>
      <c r="O30" s="1373">
        <f t="shared" si="5"/>
        <v>-238.7977368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>
      <c r="A31" s="1371">
        <v>45978.0</v>
      </c>
      <c r="B31" s="1371" t="str">
        <f t="shared" si="1"/>
        <v>novembro</v>
      </c>
      <c r="C31" s="1371">
        <v>45978.0</v>
      </c>
      <c r="D31" s="814" t="str">
        <f t="shared" si="2"/>
        <v>novembro</v>
      </c>
      <c r="E31" s="814" t="s">
        <v>3362</v>
      </c>
      <c r="F31" s="814" t="s">
        <v>3363</v>
      </c>
      <c r="G31" s="1377"/>
      <c r="H31" s="814">
        <v>0.00147</v>
      </c>
      <c r="I31" s="1373">
        <f t="shared" si="3"/>
        <v>0</v>
      </c>
      <c r="J31" s="814" t="s">
        <v>3350</v>
      </c>
      <c r="K31" s="814" t="s">
        <v>2181</v>
      </c>
      <c r="L31" s="1374">
        <v>1320000.0</v>
      </c>
      <c r="M31" s="814">
        <v>0.00147</v>
      </c>
      <c r="N31" s="1373">
        <f t="shared" si="4"/>
        <v>2050.0326</v>
      </c>
      <c r="O31" s="1373">
        <f t="shared" si="5"/>
        <v>-410.00652</v>
      </c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>
      <c r="A32" s="1371">
        <v>45978.0</v>
      </c>
      <c r="B32" s="1371" t="str">
        <f t="shared" si="1"/>
        <v>novembro</v>
      </c>
      <c r="C32" s="1371">
        <v>45978.0</v>
      </c>
      <c r="D32" s="814" t="str">
        <f t="shared" si="2"/>
        <v>novembro</v>
      </c>
      <c r="E32" s="814" t="s">
        <v>1765</v>
      </c>
      <c r="F32" s="814" t="s">
        <v>1779</v>
      </c>
      <c r="G32" s="1377"/>
      <c r="H32" s="814">
        <v>0.00147</v>
      </c>
      <c r="I32" s="1373">
        <f t="shared" si="3"/>
        <v>0</v>
      </c>
      <c r="J32" s="814" t="s">
        <v>3350</v>
      </c>
      <c r="K32" s="814" t="s">
        <v>2181</v>
      </c>
      <c r="L32" s="1374">
        <v>966400.0</v>
      </c>
      <c r="M32" s="814">
        <v>0.00147</v>
      </c>
      <c r="N32" s="1373">
        <f t="shared" si="4"/>
        <v>1500.872352</v>
      </c>
      <c r="O32" s="1373">
        <f t="shared" si="5"/>
        <v>-300.1744704</v>
      </c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>
      <c r="A33" s="1371">
        <v>45979.0</v>
      </c>
      <c r="B33" s="1371" t="str">
        <f t="shared" si="1"/>
        <v>novembro</v>
      </c>
      <c r="C33" s="1371">
        <v>45979.0</v>
      </c>
      <c r="D33" s="814" t="str">
        <f t="shared" si="2"/>
        <v>novembro</v>
      </c>
      <c r="E33" s="814" t="s">
        <v>1765</v>
      </c>
      <c r="F33" s="814" t="s">
        <v>1782</v>
      </c>
      <c r="G33" s="1377"/>
      <c r="H33" s="814">
        <v>0.00147</v>
      </c>
      <c r="I33" s="1373">
        <f t="shared" si="3"/>
        <v>0</v>
      </c>
      <c r="J33" s="814" t="s">
        <v>3350</v>
      </c>
      <c r="K33" s="814" t="s">
        <v>2181</v>
      </c>
      <c r="L33" s="1374">
        <v>442400.0</v>
      </c>
      <c r="M33" s="814">
        <v>0.00147</v>
      </c>
      <c r="N33" s="1373">
        <f t="shared" si="4"/>
        <v>687.071532</v>
      </c>
      <c r="O33" s="1373">
        <f t="shared" si="5"/>
        <v>-137.4143064</v>
      </c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>
      <c r="A34" s="1371">
        <v>45980.0</v>
      </c>
      <c r="B34" s="1371" t="str">
        <f t="shared" si="1"/>
        <v>novembro</v>
      </c>
      <c r="C34" s="1371">
        <v>45980.0</v>
      </c>
      <c r="D34" s="814" t="str">
        <f t="shared" si="2"/>
        <v>novembro</v>
      </c>
      <c r="E34" s="814" t="s">
        <v>1765</v>
      </c>
      <c r="F34" s="814" t="s">
        <v>1460</v>
      </c>
      <c r="G34" s="1377"/>
      <c r="H34" s="814">
        <v>0.00147</v>
      </c>
      <c r="I34" s="1373">
        <f t="shared" si="3"/>
        <v>0</v>
      </c>
      <c r="J34" s="814" t="s">
        <v>3350</v>
      </c>
      <c r="K34" s="814" t="s">
        <v>2181</v>
      </c>
      <c r="L34" s="1374">
        <v>220000.0</v>
      </c>
      <c r="M34" s="814">
        <v>0.00147</v>
      </c>
      <c r="N34" s="1373">
        <f t="shared" si="4"/>
        <v>341.6721</v>
      </c>
      <c r="O34" s="1373">
        <f t="shared" si="5"/>
        <v>-68.33442</v>
      </c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>
      <c r="A35" s="1371">
        <v>45981.0</v>
      </c>
      <c r="B35" s="1371" t="str">
        <f t="shared" si="1"/>
        <v>novembro</v>
      </c>
      <c r="C35" s="1371">
        <v>45981.0</v>
      </c>
      <c r="D35" s="814" t="str">
        <f t="shared" si="2"/>
        <v>novembro</v>
      </c>
      <c r="E35" s="814" t="s">
        <v>1765</v>
      </c>
      <c r="F35" s="814" t="s">
        <v>1725</v>
      </c>
      <c r="G35" s="1377"/>
      <c r="H35" s="814">
        <v>0.00147</v>
      </c>
      <c r="I35" s="1373">
        <f t="shared" si="3"/>
        <v>0</v>
      </c>
      <c r="J35" s="814" t="s">
        <v>3350</v>
      </c>
      <c r="K35" s="814" t="s">
        <v>2181</v>
      </c>
      <c r="L35" s="1374">
        <v>422000.0</v>
      </c>
      <c r="M35" s="814">
        <v>0.00147</v>
      </c>
      <c r="N35" s="1373">
        <f t="shared" si="4"/>
        <v>655.38921</v>
      </c>
      <c r="O35" s="1373">
        <f t="shared" si="5"/>
        <v>-131.077842</v>
      </c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>
      <c r="A36" s="1371">
        <v>45981.0</v>
      </c>
      <c r="B36" s="1371" t="str">
        <f t="shared" si="1"/>
        <v>novembro</v>
      </c>
      <c r="C36" s="1371">
        <v>45981.0</v>
      </c>
      <c r="D36" s="814" t="str">
        <f t="shared" si="2"/>
        <v>novembro</v>
      </c>
      <c r="E36" s="814" t="s">
        <v>1765</v>
      </c>
      <c r="F36" s="814" t="s">
        <v>1788</v>
      </c>
      <c r="G36" s="1377"/>
      <c r="H36" s="814">
        <v>0.00147</v>
      </c>
      <c r="I36" s="1373">
        <f t="shared" si="3"/>
        <v>0</v>
      </c>
      <c r="J36" s="814" t="s">
        <v>3350</v>
      </c>
      <c r="K36" s="814" t="s">
        <v>2181</v>
      </c>
      <c r="L36" s="1374">
        <v>370000.0</v>
      </c>
      <c r="M36" s="814">
        <v>0.00147</v>
      </c>
      <c r="N36" s="1373">
        <f t="shared" si="4"/>
        <v>574.63035</v>
      </c>
      <c r="O36" s="1373">
        <f t="shared" si="5"/>
        <v>-114.92607</v>
      </c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>
      <c r="A37" s="1371">
        <v>45982.0</v>
      </c>
      <c r="B37" s="1371" t="str">
        <f t="shared" si="1"/>
        <v>novembro</v>
      </c>
      <c r="C37" s="1371">
        <v>45982.0</v>
      </c>
      <c r="D37" s="814" t="str">
        <f t="shared" si="2"/>
        <v>novembro</v>
      </c>
      <c r="E37" s="814" t="s">
        <v>1765</v>
      </c>
      <c r="F37" s="814" t="s">
        <v>1792</v>
      </c>
      <c r="G37" s="1377"/>
      <c r="H37" s="814">
        <v>0.00147</v>
      </c>
      <c r="I37" s="1373">
        <f t="shared" si="3"/>
        <v>0</v>
      </c>
      <c r="J37" s="814" t="s">
        <v>3350</v>
      </c>
      <c r="K37" s="814" t="s">
        <v>2181</v>
      </c>
      <c r="L37" s="1374">
        <v>928000.0</v>
      </c>
      <c r="M37" s="814">
        <v>0.00147</v>
      </c>
      <c r="N37" s="1373">
        <f t="shared" si="4"/>
        <v>1441.23504</v>
      </c>
      <c r="O37" s="1373">
        <f t="shared" si="5"/>
        <v>-288.247008</v>
      </c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>
      <c r="A38" s="1371">
        <v>45983.0</v>
      </c>
      <c r="B38" s="1371" t="str">
        <f t="shared" si="1"/>
        <v>novembro</v>
      </c>
      <c r="C38" s="1371">
        <v>45983.0</v>
      </c>
      <c r="D38" s="814" t="str">
        <f t="shared" si="2"/>
        <v>novembro</v>
      </c>
      <c r="E38" s="814" t="s">
        <v>1765</v>
      </c>
      <c r="F38" s="814" t="s">
        <v>554</v>
      </c>
      <c r="G38" s="1377"/>
      <c r="H38" s="814">
        <v>0.00147</v>
      </c>
      <c r="I38" s="1373">
        <f t="shared" si="3"/>
        <v>0</v>
      </c>
      <c r="J38" s="814" t="s">
        <v>3350</v>
      </c>
      <c r="K38" s="814" t="s">
        <v>2181</v>
      </c>
      <c r="L38" s="1374">
        <v>740000.0</v>
      </c>
      <c r="M38" s="814">
        <v>0.00147</v>
      </c>
      <c r="N38" s="1373">
        <f t="shared" si="4"/>
        <v>1149.2607</v>
      </c>
      <c r="O38" s="1373">
        <f t="shared" si="5"/>
        <v>-229.85214</v>
      </c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>
      <c r="A39" s="1371">
        <v>46007.0</v>
      </c>
      <c r="B39" s="1371" t="str">
        <f t="shared" si="1"/>
        <v>dezembro</v>
      </c>
      <c r="C39" s="1371">
        <v>46007.0</v>
      </c>
      <c r="D39" s="814" t="str">
        <f t="shared" si="2"/>
        <v>dezembro</v>
      </c>
      <c r="E39" s="814" t="s">
        <v>1822</v>
      </c>
      <c r="F39" s="814" t="s">
        <v>3364</v>
      </c>
      <c r="G39" s="1377"/>
      <c r="H39" s="814">
        <v>0.00147</v>
      </c>
      <c r="I39" s="1373">
        <f t="shared" si="3"/>
        <v>0</v>
      </c>
      <c r="J39" s="814" t="s">
        <v>3350</v>
      </c>
      <c r="K39" s="814" t="s">
        <v>2181</v>
      </c>
      <c r="L39" s="1374">
        <v>452000.0</v>
      </c>
      <c r="M39" s="814">
        <v>0.00147</v>
      </c>
      <c r="N39" s="1373">
        <f t="shared" si="4"/>
        <v>701.98086</v>
      </c>
      <c r="O39" s="1373">
        <f t="shared" si="5"/>
        <v>-140.396172</v>
      </c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>
      <c r="A40" s="1371">
        <v>46007.0</v>
      </c>
      <c r="B40" s="1371" t="str">
        <f t="shared" si="1"/>
        <v>dezembro</v>
      </c>
      <c r="C40" s="1371">
        <v>46007.0</v>
      </c>
      <c r="D40" s="814" t="str">
        <f t="shared" si="2"/>
        <v>dezembro</v>
      </c>
      <c r="E40" s="814" t="s">
        <v>1822</v>
      </c>
      <c r="F40" s="814" t="s">
        <v>1808</v>
      </c>
      <c r="G40" s="1377"/>
      <c r="H40" s="814">
        <v>0.00147</v>
      </c>
      <c r="I40" s="1373">
        <f t="shared" si="3"/>
        <v>0</v>
      </c>
      <c r="J40" s="814" t="s">
        <v>3350</v>
      </c>
      <c r="K40" s="814" t="s">
        <v>2181</v>
      </c>
      <c r="L40" s="1374">
        <v>240000.0</v>
      </c>
      <c r="M40" s="814">
        <v>0.00147</v>
      </c>
      <c r="N40" s="1373">
        <f t="shared" si="4"/>
        <v>372.7332</v>
      </c>
      <c r="O40" s="1373">
        <f t="shared" si="5"/>
        <v>-74.54664</v>
      </c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>
      <c r="A41" s="1371">
        <v>46014.0</v>
      </c>
      <c r="B41" s="1371" t="str">
        <f t="shared" si="1"/>
        <v>dezembro</v>
      </c>
      <c r="C41" s="1371">
        <v>46014.0</v>
      </c>
      <c r="D41" s="814" t="str">
        <f t="shared" si="2"/>
        <v>dezembro</v>
      </c>
      <c r="E41" s="814" t="s">
        <v>1833</v>
      </c>
      <c r="F41" s="814" t="s">
        <v>1515</v>
      </c>
      <c r="G41" s="1377"/>
      <c r="H41" s="814">
        <v>0.00147</v>
      </c>
      <c r="I41" s="1373">
        <f t="shared" si="3"/>
        <v>0</v>
      </c>
      <c r="J41" s="814" t="s">
        <v>3350</v>
      </c>
      <c r="K41" s="814" t="s">
        <v>2181</v>
      </c>
      <c r="L41" s="1374">
        <v>422000.0</v>
      </c>
      <c r="M41" s="814">
        <v>0.00147</v>
      </c>
      <c r="N41" s="1373">
        <f t="shared" si="4"/>
        <v>655.38921</v>
      </c>
      <c r="O41" s="1373">
        <f t="shared" si="5"/>
        <v>-131.077842</v>
      </c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>
      <c r="A42" s="1371">
        <v>46016.0</v>
      </c>
      <c r="B42" s="1371" t="str">
        <f t="shared" si="1"/>
        <v>dezembro</v>
      </c>
      <c r="C42" s="1371">
        <v>46016.0</v>
      </c>
      <c r="D42" s="814" t="str">
        <f t="shared" si="2"/>
        <v>dezembro</v>
      </c>
      <c r="E42" s="814" t="s">
        <v>1837</v>
      </c>
      <c r="F42" s="814" t="s">
        <v>158</v>
      </c>
      <c r="G42" s="1377"/>
      <c r="H42" s="814">
        <v>0.00147</v>
      </c>
      <c r="I42" s="1373">
        <f t="shared" si="3"/>
        <v>0</v>
      </c>
      <c r="J42" s="814" t="s">
        <v>3350</v>
      </c>
      <c r="K42" s="814" t="s">
        <v>2181</v>
      </c>
      <c r="L42" s="1374">
        <v>740000.0</v>
      </c>
      <c r="M42" s="814">
        <v>0.00147</v>
      </c>
      <c r="N42" s="1373">
        <f t="shared" si="4"/>
        <v>1149.2607</v>
      </c>
      <c r="O42" s="1373">
        <f t="shared" si="5"/>
        <v>-229.85214</v>
      </c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>
      <c r="A43" s="1371">
        <v>46017.0</v>
      </c>
      <c r="B43" s="1371" t="str">
        <f t="shared" si="1"/>
        <v>dezembro</v>
      </c>
      <c r="C43" s="1371">
        <v>46017.0</v>
      </c>
      <c r="D43" s="814" t="str">
        <f t="shared" si="2"/>
        <v>dezembro</v>
      </c>
      <c r="E43" s="814" t="s">
        <v>1837</v>
      </c>
      <c r="F43" s="814" t="s">
        <v>1843</v>
      </c>
      <c r="G43" s="1377"/>
      <c r="H43" s="814">
        <v>0.00147</v>
      </c>
      <c r="I43" s="1373">
        <f t="shared" si="3"/>
        <v>0</v>
      </c>
      <c r="J43" s="814" t="s">
        <v>3350</v>
      </c>
      <c r="K43" s="814" t="s">
        <v>2181</v>
      </c>
      <c r="L43" s="1374">
        <v>350000.0</v>
      </c>
      <c r="M43" s="814">
        <v>0.00147</v>
      </c>
      <c r="N43" s="1373">
        <f t="shared" si="4"/>
        <v>543.56925</v>
      </c>
      <c r="O43" s="1373">
        <f t="shared" si="5"/>
        <v>-108.71385</v>
      </c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>
      <c r="A44" s="1371">
        <v>46017.0</v>
      </c>
      <c r="B44" s="1371" t="str">
        <f t="shared" si="1"/>
        <v>dezembro</v>
      </c>
      <c r="C44" s="1371">
        <v>46017.0</v>
      </c>
      <c r="D44" s="814" t="str">
        <f t="shared" si="2"/>
        <v>dezembro</v>
      </c>
      <c r="E44" s="814" t="s">
        <v>1833</v>
      </c>
      <c r="F44" s="814" t="s">
        <v>3365</v>
      </c>
      <c r="G44" s="1377"/>
      <c r="H44" s="814">
        <v>0.00147</v>
      </c>
      <c r="I44" s="1373">
        <f t="shared" si="3"/>
        <v>0</v>
      </c>
      <c r="J44" s="814" t="s">
        <v>3350</v>
      </c>
      <c r="K44" s="814" t="s">
        <v>2181</v>
      </c>
      <c r="L44" s="1374">
        <v>220000.0</v>
      </c>
      <c r="M44" s="814">
        <v>0.00147</v>
      </c>
      <c r="N44" s="1373">
        <f t="shared" si="4"/>
        <v>341.6721</v>
      </c>
      <c r="O44" s="1373">
        <f t="shared" si="5"/>
        <v>-68.33442</v>
      </c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>
      <c r="A45" s="1380">
        <v>45915.0</v>
      </c>
      <c r="B45" s="1371" t="str">
        <f t="shared" si="1"/>
        <v>setembro</v>
      </c>
      <c r="C45" s="1371">
        <v>45671.0</v>
      </c>
      <c r="D45" s="814" t="str">
        <f t="shared" si="2"/>
        <v>janeiro</v>
      </c>
      <c r="E45" s="814" t="s">
        <v>1904</v>
      </c>
      <c r="F45" s="814" t="s">
        <v>1905</v>
      </c>
      <c r="G45" s="1377"/>
      <c r="H45" s="814">
        <v>0.00147</v>
      </c>
      <c r="I45" s="1373">
        <f t="shared" si="3"/>
        <v>0</v>
      </c>
      <c r="J45" s="814" t="s">
        <v>3350</v>
      </c>
      <c r="K45" s="814" t="s">
        <v>2181</v>
      </c>
      <c r="L45" s="1374">
        <v>55000.0</v>
      </c>
      <c r="M45" s="814">
        <v>0.00147</v>
      </c>
      <c r="N45" s="1373">
        <f t="shared" si="4"/>
        <v>85.418025</v>
      </c>
      <c r="O45" s="1373">
        <f t="shared" si="5"/>
        <v>-17.083605</v>
      </c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>
      <c r="A46" s="1380">
        <v>45915.0</v>
      </c>
      <c r="B46" s="1371" t="str">
        <f t="shared" si="1"/>
        <v>setembro</v>
      </c>
      <c r="C46" s="1371">
        <v>45672.0</v>
      </c>
      <c r="D46" s="814" t="str">
        <f t="shared" si="2"/>
        <v>janeiro</v>
      </c>
      <c r="E46" s="814" t="s">
        <v>1907</v>
      </c>
      <c r="F46" s="814" t="s">
        <v>1908</v>
      </c>
      <c r="G46" s="1377"/>
      <c r="H46" s="814">
        <v>0.00147</v>
      </c>
      <c r="I46" s="1373">
        <f t="shared" si="3"/>
        <v>0</v>
      </c>
      <c r="J46" s="814" t="s">
        <v>3350</v>
      </c>
      <c r="K46" s="814" t="s">
        <v>2181</v>
      </c>
      <c r="L46" s="1374">
        <v>442000.0</v>
      </c>
      <c r="M46" s="814">
        <v>0.00147</v>
      </c>
      <c r="N46" s="1373">
        <f t="shared" si="4"/>
        <v>686.45031</v>
      </c>
      <c r="O46" s="1373">
        <f t="shared" si="5"/>
        <v>-137.290062</v>
      </c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>
      <c r="A47" s="1380">
        <v>45923.0</v>
      </c>
      <c r="B47" s="1381" t="s">
        <v>3353</v>
      </c>
      <c r="C47" s="1380">
        <v>45673.0</v>
      </c>
      <c r="D47" s="1379" t="s">
        <v>3354</v>
      </c>
      <c r="E47" s="1379" t="s">
        <v>1904</v>
      </c>
      <c r="F47" s="1379" t="s">
        <v>3366</v>
      </c>
      <c r="G47" s="1372">
        <v>600000.0</v>
      </c>
      <c r="H47" s="1379">
        <v>0.00145</v>
      </c>
      <c r="I47" s="1382">
        <v>871.16</v>
      </c>
      <c r="J47" s="1379" t="s">
        <v>3350</v>
      </c>
      <c r="K47" s="1379" t="s">
        <v>2181</v>
      </c>
      <c r="L47" s="1374">
        <f>176000*2</f>
        <v>352000</v>
      </c>
      <c r="M47" s="1379">
        <v>0.00145</v>
      </c>
      <c r="N47" s="1373">
        <f t="shared" si="4"/>
        <v>539.2376</v>
      </c>
      <c r="O47" s="1373">
        <f t="shared" si="5"/>
        <v>66.38448</v>
      </c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>
      <c r="A48" s="1380">
        <v>45915.0</v>
      </c>
      <c r="B48" s="1371" t="str">
        <f t="shared" ref="B48:B51" si="10">TEXT(A48,"mmmmmmmmmmmmmmmmmmmmmmmmmmm")</f>
        <v>setembro</v>
      </c>
      <c r="C48" s="1371">
        <v>45674.0</v>
      </c>
      <c r="D48" s="814" t="str">
        <f t="shared" ref="D48:D51" si="11">TEXT(C48,"mmmmmmmmmmmmmmmmmmmmmmmmmmm")</f>
        <v>janeiro</v>
      </c>
      <c r="E48" s="814" t="s">
        <v>1909</v>
      </c>
      <c r="F48" s="814" t="s">
        <v>156</v>
      </c>
      <c r="G48" s="1377"/>
      <c r="H48" s="814">
        <v>0.00147</v>
      </c>
      <c r="I48" s="1373">
        <f t="shared" ref="I48:I110" si="12">G48*H48</f>
        <v>0</v>
      </c>
      <c r="J48" s="814" t="s">
        <v>3350</v>
      </c>
      <c r="K48" s="814" t="s">
        <v>2181</v>
      </c>
      <c r="L48" s="1374">
        <v>660000.0</v>
      </c>
      <c r="M48" s="814">
        <v>0.00147</v>
      </c>
      <c r="N48" s="1373">
        <f t="shared" si="4"/>
        <v>1025.0163</v>
      </c>
      <c r="O48" s="1373">
        <f t="shared" si="5"/>
        <v>-205.00326</v>
      </c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>
      <c r="A49" s="1380">
        <v>45915.0</v>
      </c>
      <c r="B49" s="1371" t="str">
        <f t="shared" si="10"/>
        <v>setembro</v>
      </c>
      <c r="C49" s="1371">
        <v>45676.0</v>
      </c>
      <c r="D49" s="814" t="str">
        <f t="shared" si="11"/>
        <v>janeiro</v>
      </c>
      <c r="E49" s="814" t="s">
        <v>1909</v>
      </c>
      <c r="F49" s="814" t="s">
        <v>1911</v>
      </c>
      <c r="G49" s="1377"/>
      <c r="H49" s="814">
        <v>0.00147</v>
      </c>
      <c r="I49" s="1373">
        <f t="shared" si="12"/>
        <v>0</v>
      </c>
      <c r="J49" s="814" t="s">
        <v>3350</v>
      </c>
      <c r="K49" s="814" t="s">
        <v>2181</v>
      </c>
      <c r="L49" s="1374">
        <v>280000.0</v>
      </c>
      <c r="M49" s="814">
        <v>0.00147</v>
      </c>
      <c r="N49" s="1373">
        <f t="shared" si="4"/>
        <v>434.8554</v>
      </c>
      <c r="O49" s="1373">
        <f t="shared" si="5"/>
        <v>-86.97108</v>
      </c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>
      <c r="A50" s="1380">
        <v>45915.0</v>
      </c>
      <c r="B50" s="1371" t="str">
        <f t="shared" si="10"/>
        <v>setembro</v>
      </c>
      <c r="C50" s="1371">
        <v>45679.0</v>
      </c>
      <c r="D50" s="814" t="str">
        <f t="shared" si="11"/>
        <v>janeiro</v>
      </c>
      <c r="E50" s="814" t="s">
        <v>1909</v>
      </c>
      <c r="F50" s="814" t="s">
        <v>1913</v>
      </c>
      <c r="G50" s="1377"/>
      <c r="H50" s="814">
        <v>0.00147</v>
      </c>
      <c r="I50" s="1373">
        <f t="shared" si="12"/>
        <v>0</v>
      </c>
      <c r="J50" s="814" t="s">
        <v>3350</v>
      </c>
      <c r="K50" s="814" t="s">
        <v>2181</v>
      </c>
      <c r="L50" s="1374">
        <v>280000.0</v>
      </c>
      <c r="M50" s="814">
        <v>0.00147</v>
      </c>
      <c r="N50" s="1373">
        <f t="shared" si="4"/>
        <v>434.8554</v>
      </c>
      <c r="O50" s="1373">
        <f t="shared" si="5"/>
        <v>-86.97108</v>
      </c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>
      <c r="A51" s="1371">
        <v>45694.0</v>
      </c>
      <c r="B51" s="1371" t="str">
        <f t="shared" si="10"/>
        <v>fevereiro</v>
      </c>
      <c r="C51" s="1371">
        <v>45694.0</v>
      </c>
      <c r="D51" s="814" t="str">
        <f t="shared" si="11"/>
        <v>fevereiro</v>
      </c>
      <c r="E51" s="814" t="s">
        <v>1937</v>
      </c>
      <c r="F51" s="814" t="s">
        <v>1961</v>
      </c>
      <c r="G51" s="1377"/>
      <c r="H51" s="814">
        <v>0.00147</v>
      </c>
      <c r="I51" s="1373">
        <f t="shared" si="12"/>
        <v>0</v>
      </c>
      <c r="J51" s="1379"/>
      <c r="K51" s="814"/>
      <c r="L51" s="1374"/>
      <c r="M51" s="814">
        <v>0.00147</v>
      </c>
      <c r="N51" s="1373">
        <f t="shared" si="4"/>
        <v>0</v>
      </c>
      <c r="O51" s="1373">
        <f t="shared" si="5"/>
        <v>0</v>
      </c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>
      <c r="A52" s="1371"/>
      <c r="B52" s="1371"/>
      <c r="C52" s="1371"/>
      <c r="D52" s="814"/>
      <c r="E52" s="814"/>
      <c r="F52" s="814"/>
      <c r="G52" s="1377"/>
      <c r="H52" s="814">
        <v>0.00147</v>
      </c>
      <c r="I52" s="1373">
        <f t="shared" si="12"/>
        <v>0</v>
      </c>
      <c r="J52" s="814"/>
      <c r="K52" s="814"/>
      <c r="L52" s="1374"/>
      <c r="M52" s="814">
        <v>0.00147</v>
      </c>
      <c r="N52" s="1373">
        <f t="shared" si="4"/>
        <v>0</v>
      </c>
      <c r="O52" s="1373">
        <f t="shared" si="5"/>
        <v>0</v>
      </c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>
      <c r="A53" s="1371"/>
      <c r="B53" s="1371"/>
      <c r="C53" s="1371"/>
      <c r="D53" s="814"/>
      <c r="E53" s="814"/>
      <c r="F53" s="814"/>
      <c r="G53" s="1377"/>
      <c r="H53" s="814">
        <v>0.00147</v>
      </c>
      <c r="I53" s="1373">
        <f t="shared" si="12"/>
        <v>0</v>
      </c>
      <c r="J53" s="814"/>
      <c r="K53" s="814"/>
      <c r="L53" s="1374"/>
      <c r="M53" s="814">
        <v>0.00147</v>
      </c>
      <c r="N53" s="1373">
        <f t="shared" si="4"/>
        <v>0</v>
      </c>
      <c r="O53" s="1373">
        <f t="shared" si="5"/>
        <v>0</v>
      </c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>
      <c r="A54" s="1371"/>
      <c r="B54" s="1371"/>
      <c r="C54" s="1371"/>
      <c r="D54" s="814"/>
      <c r="E54" s="814"/>
      <c r="F54" s="814"/>
      <c r="G54" s="1377"/>
      <c r="H54" s="814">
        <v>0.00147</v>
      </c>
      <c r="I54" s="1373">
        <f t="shared" si="12"/>
        <v>0</v>
      </c>
      <c r="J54" s="814"/>
      <c r="K54" s="814"/>
      <c r="L54" s="1374"/>
      <c r="M54" s="814">
        <v>0.00147</v>
      </c>
      <c r="N54" s="1373">
        <f t="shared" si="4"/>
        <v>0</v>
      </c>
      <c r="O54" s="1373">
        <f t="shared" si="5"/>
        <v>0</v>
      </c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>
      <c r="A55" s="1371"/>
      <c r="B55" s="1371"/>
      <c r="C55" s="1371"/>
      <c r="D55" s="814"/>
      <c r="E55" s="814"/>
      <c r="F55" s="814"/>
      <c r="G55" s="1377"/>
      <c r="H55" s="814">
        <v>0.00147</v>
      </c>
      <c r="I55" s="1373">
        <f t="shared" si="12"/>
        <v>0</v>
      </c>
      <c r="J55" s="814"/>
      <c r="K55" s="814"/>
      <c r="L55" s="1374"/>
      <c r="M55" s="814">
        <v>0.00147</v>
      </c>
      <c r="N55" s="1373">
        <f t="shared" si="4"/>
        <v>0</v>
      </c>
      <c r="O55" s="1373">
        <f t="shared" si="5"/>
        <v>0</v>
      </c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>
      <c r="A56" s="1371"/>
      <c r="B56" s="1371"/>
      <c r="C56" s="1371"/>
      <c r="D56" s="814"/>
      <c r="E56" s="814"/>
      <c r="F56" s="814"/>
      <c r="G56" s="1377"/>
      <c r="H56" s="814">
        <v>0.00147</v>
      </c>
      <c r="I56" s="1373">
        <f t="shared" si="12"/>
        <v>0</v>
      </c>
      <c r="J56" s="814"/>
      <c r="K56" s="814"/>
      <c r="L56" s="1374"/>
      <c r="M56" s="814">
        <v>0.00147</v>
      </c>
      <c r="N56" s="1373">
        <f t="shared" si="4"/>
        <v>0</v>
      </c>
      <c r="O56" s="1373">
        <f t="shared" si="5"/>
        <v>0</v>
      </c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>
      <c r="A57" s="1371"/>
      <c r="B57" s="1371"/>
      <c r="C57" s="1371"/>
      <c r="D57" s="814"/>
      <c r="E57" s="814"/>
      <c r="F57" s="814"/>
      <c r="G57" s="1377"/>
      <c r="H57" s="814">
        <v>0.00147</v>
      </c>
      <c r="I57" s="1373">
        <f t="shared" si="12"/>
        <v>0</v>
      </c>
      <c r="J57" s="814"/>
      <c r="K57" s="814"/>
      <c r="L57" s="1374"/>
      <c r="M57" s="814">
        <v>0.00147</v>
      </c>
      <c r="N57" s="1373">
        <f t="shared" si="4"/>
        <v>0</v>
      </c>
      <c r="O57" s="1373">
        <f t="shared" si="5"/>
        <v>0</v>
      </c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>
      <c r="A58" s="1371"/>
      <c r="B58" s="1371"/>
      <c r="C58" s="1371"/>
      <c r="D58" s="814"/>
      <c r="E58" s="814"/>
      <c r="F58" s="814"/>
      <c r="G58" s="1377"/>
      <c r="H58" s="814">
        <v>0.00147</v>
      </c>
      <c r="I58" s="1373">
        <f t="shared" si="12"/>
        <v>0</v>
      </c>
      <c r="J58" s="814"/>
      <c r="K58" s="814"/>
      <c r="L58" s="1374"/>
      <c r="M58" s="814">
        <v>0.00147</v>
      </c>
      <c r="N58" s="1373">
        <f t="shared" si="4"/>
        <v>0</v>
      </c>
      <c r="O58" s="1373">
        <f t="shared" si="5"/>
        <v>0</v>
      </c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>
      <c r="A59" s="1371"/>
      <c r="B59" s="1371"/>
      <c r="C59" s="1371"/>
      <c r="D59" s="814"/>
      <c r="E59" s="814"/>
      <c r="F59" s="814"/>
      <c r="G59" s="1377"/>
      <c r="H59" s="814">
        <v>0.00147</v>
      </c>
      <c r="I59" s="1373">
        <f t="shared" si="12"/>
        <v>0</v>
      </c>
      <c r="J59" s="814"/>
      <c r="K59" s="814"/>
      <c r="L59" s="1374"/>
      <c r="M59" s="814">
        <v>0.00147</v>
      </c>
      <c r="N59" s="1373">
        <f t="shared" si="4"/>
        <v>0</v>
      </c>
      <c r="O59" s="1373">
        <f t="shared" si="5"/>
        <v>0</v>
      </c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>
      <c r="A60" s="1371"/>
      <c r="B60" s="1371"/>
      <c r="C60" s="1371"/>
      <c r="D60" s="814"/>
      <c r="E60" s="814"/>
      <c r="F60" s="814"/>
      <c r="G60" s="1377"/>
      <c r="H60" s="814">
        <v>0.00147</v>
      </c>
      <c r="I60" s="1373">
        <f t="shared" si="12"/>
        <v>0</v>
      </c>
      <c r="J60" s="814"/>
      <c r="K60" s="814"/>
      <c r="L60" s="1374"/>
      <c r="M60" s="814">
        <v>0.00147</v>
      </c>
      <c r="N60" s="1373">
        <f t="shared" si="4"/>
        <v>0</v>
      </c>
      <c r="O60" s="1373">
        <f t="shared" si="5"/>
        <v>0</v>
      </c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>
      <c r="A61" s="1371"/>
      <c r="B61" s="1371"/>
      <c r="C61" s="1371"/>
      <c r="D61" s="814"/>
      <c r="E61" s="814"/>
      <c r="F61" s="814"/>
      <c r="G61" s="1377"/>
      <c r="H61" s="814">
        <v>0.00147</v>
      </c>
      <c r="I61" s="1373">
        <f t="shared" si="12"/>
        <v>0</v>
      </c>
      <c r="J61" s="814"/>
      <c r="K61" s="814"/>
      <c r="L61" s="1374"/>
      <c r="M61" s="814">
        <v>0.00147</v>
      </c>
      <c r="N61" s="1373">
        <f t="shared" si="4"/>
        <v>0</v>
      </c>
      <c r="O61" s="1373">
        <f t="shared" si="5"/>
        <v>0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>
      <c r="A62" s="1371"/>
      <c r="B62" s="1371"/>
      <c r="C62" s="1371"/>
      <c r="D62" s="814"/>
      <c r="E62" s="814"/>
      <c r="F62" s="814"/>
      <c r="G62" s="1377"/>
      <c r="H62" s="814">
        <v>0.00147</v>
      </c>
      <c r="I62" s="1373">
        <f t="shared" si="12"/>
        <v>0</v>
      </c>
      <c r="J62" s="814"/>
      <c r="K62" s="814"/>
      <c r="L62" s="1374"/>
      <c r="M62" s="814">
        <v>0.00147</v>
      </c>
      <c r="N62" s="1373">
        <f t="shared" si="4"/>
        <v>0</v>
      </c>
      <c r="O62" s="1373">
        <f t="shared" si="5"/>
        <v>0</v>
      </c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>
      <c r="A63" s="1371"/>
      <c r="B63" s="1371"/>
      <c r="C63" s="1371"/>
      <c r="D63" s="814"/>
      <c r="E63" s="814"/>
      <c r="F63" s="814"/>
      <c r="G63" s="1377"/>
      <c r="H63" s="814">
        <v>0.00147</v>
      </c>
      <c r="I63" s="1373">
        <f t="shared" si="12"/>
        <v>0</v>
      </c>
      <c r="J63" s="814"/>
      <c r="K63" s="814"/>
      <c r="L63" s="1374"/>
      <c r="M63" s="814">
        <v>0.00147</v>
      </c>
      <c r="N63" s="1373">
        <f t="shared" si="4"/>
        <v>0</v>
      </c>
      <c r="O63" s="1373">
        <f t="shared" si="5"/>
        <v>0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>
      <c r="A64" s="1371"/>
      <c r="B64" s="1371"/>
      <c r="C64" s="1371"/>
      <c r="D64" s="814"/>
      <c r="E64" s="814"/>
      <c r="F64" s="814"/>
      <c r="G64" s="1377"/>
      <c r="H64" s="814">
        <v>0.00147</v>
      </c>
      <c r="I64" s="1373">
        <f t="shared" si="12"/>
        <v>0</v>
      </c>
      <c r="J64" s="814"/>
      <c r="K64" s="814"/>
      <c r="L64" s="1374"/>
      <c r="M64" s="814">
        <v>0.00147</v>
      </c>
      <c r="N64" s="1373">
        <f t="shared" si="4"/>
        <v>0</v>
      </c>
      <c r="O64" s="1373">
        <f t="shared" si="5"/>
        <v>0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>
      <c r="A65" s="1371"/>
      <c r="B65" s="1371"/>
      <c r="C65" s="1371"/>
      <c r="D65" s="814"/>
      <c r="E65" s="814"/>
      <c r="F65" s="814"/>
      <c r="G65" s="1377"/>
      <c r="H65" s="814">
        <v>0.00147</v>
      </c>
      <c r="I65" s="1373">
        <f t="shared" si="12"/>
        <v>0</v>
      </c>
      <c r="J65" s="814"/>
      <c r="K65" s="814"/>
      <c r="L65" s="1374"/>
      <c r="M65" s="814">
        <v>0.00147</v>
      </c>
      <c r="N65" s="1373">
        <f t="shared" si="4"/>
        <v>0</v>
      </c>
      <c r="O65" s="1373">
        <f t="shared" si="5"/>
        <v>0</v>
      </c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>
      <c r="A66" s="1371"/>
      <c r="B66" s="1371"/>
      <c r="C66" s="1371"/>
      <c r="D66" s="814"/>
      <c r="E66" s="814"/>
      <c r="F66" s="814"/>
      <c r="G66" s="1377"/>
      <c r="H66" s="814">
        <v>0.00147</v>
      </c>
      <c r="I66" s="1373">
        <f t="shared" si="12"/>
        <v>0</v>
      </c>
      <c r="J66" s="814"/>
      <c r="K66" s="814"/>
      <c r="L66" s="1374"/>
      <c r="M66" s="814">
        <v>0.00147</v>
      </c>
      <c r="N66" s="1373">
        <f t="shared" si="4"/>
        <v>0</v>
      </c>
      <c r="O66" s="1373">
        <f t="shared" si="5"/>
        <v>0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>
      <c r="A67" s="1371"/>
      <c r="B67" s="1371"/>
      <c r="C67" s="1371"/>
      <c r="D67" s="814"/>
      <c r="E67" s="814"/>
      <c r="F67" s="814"/>
      <c r="G67" s="1377"/>
      <c r="H67" s="814">
        <v>0.00147</v>
      </c>
      <c r="I67" s="1373">
        <f t="shared" si="12"/>
        <v>0</v>
      </c>
      <c r="J67" s="814"/>
      <c r="K67" s="814"/>
      <c r="L67" s="1374"/>
      <c r="M67" s="814">
        <v>0.00147</v>
      </c>
      <c r="N67" s="1373">
        <f t="shared" si="4"/>
        <v>0</v>
      </c>
      <c r="O67" s="1373">
        <f t="shared" si="5"/>
        <v>0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>
      <c r="A68" s="1371"/>
      <c r="B68" s="1371"/>
      <c r="C68" s="1371"/>
      <c r="D68" s="814"/>
      <c r="E68" s="814"/>
      <c r="F68" s="814"/>
      <c r="G68" s="1377"/>
      <c r="H68" s="814">
        <v>0.00147</v>
      </c>
      <c r="I68" s="1373">
        <f t="shared" si="12"/>
        <v>0</v>
      </c>
      <c r="J68" s="814"/>
      <c r="K68" s="814"/>
      <c r="L68" s="1374"/>
      <c r="M68" s="814">
        <v>0.00147</v>
      </c>
      <c r="N68" s="1373">
        <f t="shared" si="4"/>
        <v>0</v>
      </c>
      <c r="O68" s="1373">
        <f t="shared" si="5"/>
        <v>0</v>
      </c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>
      <c r="A69" s="1371"/>
      <c r="B69" s="1371"/>
      <c r="C69" s="1371"/>
      <c r="D69" s="814"/>
      <c r="E69" s="814"/>
      <c r="F69" s="814"/>
      <c r="G69" s="1377"/>
      <c r="H69" s="814">
        <v>0.00147</v>
      </c>
      <c r="I69" s="1373">
        <f t="shared" si="12"/>
        <v>0</v>
      </c>
      <c r="J69" s="814"/>
      <c r="K69" s="814"/>
      <c r="L69" s="1374"/>
      <c r="M69" s="814">
        <v>0.00147</v>
      </c>
      <c r="N69" s="1373">
        <f t="shared" si="4"/>
        <v>0</v>
      </c>
      <c r="O69" s="1373">
        <f t="shared" si="5"/>
        <v>0</v>
      </c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>
      <c r="A70" s="1371"/>
      <c r="B70" s="1371"/>
      <c r="C70" s="1371"/>
      <c r="D70" s="814"/>
      <c r="E70" s="814"/>
      <c r="F70" s="814"/>
      <c r="G70" s="1377"/>
      <c r="H70" s="814">
        <v>0.00147</v>
      </c>
      <c r="I70" s="1373">
        <f t="shared" si="12"/>
        <v>0</v>
      </c>
      <c r="J70" s="814"/>
      <c r="K70" s="814"/>
      <c r="L70" s="1374"/>
      <c r="M70" s="814">
        <v>0.00147</v>
      </c>
      <c r="N70" s="1373">
        <f t="shared" si="4"/>
        <v>0</v>
      </c>
      <c r="O70" s="1373">
        <f t="shared" si="5"/>
        <v>0</v>
      </c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>
      <c r="A71" s="1371"/>
      <c r="B71" s="1371"/>
      <c r="C71" s="1371"/>
      <c r="D71" s="814"/>
      <c r="E71" s="814"/>
      <c r="F71" s="814"/>
      <c r="G71" s="1377"/>
      <c r="H71" s="814">
        <v>0.00147</v>
      </c>
      <c r="I71" s="1373">
        <f t="shared" si="12"/>
        <v>0</v>
      </c>
      <c r="J71" s="814"/>
      <c r="K71" s="814"/>
      <c r="L71" s="1374"/>
      <c r="M71" s="814">
        <v>0.00147</v>
      </c>
      <c r="N71" s="1373">
        <f t="shared" si="4"/>
        <v>0</v>
      </c>
      <c r="O71" s="1373">
        <f t="shared" si="5"/>
        <v>0</v>
      </c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>
      <c r="A72" s="1371"/>
      <c r="B72" s="1371"/>
      <c r="C72" s="1371"/>
      <c r="D72" s="814"/>
      <c r="E72" s="814"/>
      <c r="F72" s="814"/>
      <c r="G72" s="1377"/>
      <c r="H72" s="814">
        <v>0.00147</v>
      </c>
      <c r="I72" s="1373">
        <f t="shared" si="12"/>
        <v>0</v>
      </c>
      <c r="J72" s="814"/>
      <c r="K72" s="814"/>
      <c r="L72" s="1374"/>
      <c r="M72" s="814">
        <v>0.00147</v>
      </c>
      <c r="N72" s="1373">
        <f t="shared" si="4"/>
        <v>0</v>
      </c>
      <c r="O72" s="1373">
        <f t="shared" si="5"/>
        <v>0</v>
      </c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>
      <c r="A73" s="1371"/>
      <c r="B73" s="1371"/>
      <c r="C73" s="1371"/>
      <c r="D73" s="814"/>
      <c r="E73" s="814"/>
      <c r="F73" s="814"/>
      <c r="G73" s="1377"/>
      <c r="H73" s="814">
        <v>0.00147</v>
      </c>
      <c r="I73" s="1373">
        <f t="shared" si="12"/>
        <v>0</v>
      </c>
      <c r="J73" s="814"/>
      <c r="K73" s="814"/>
      <c r="L73" s="1374"/>
      <c r="M73" s="814">
        <v>0.00147</v>
      </c>
      <c r="N73" s="1373">
        <f t="shared" si="4"/>
        <v>0</v>
      </c>
      <c r="O73" s="1373">
        <f t="shared" si="5"/>
        <v>0</v>
      </c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>
      <c r="A74" s="1371"/>
      <c r="B74" s="1371"/>
      <c r="C74" s="1371"/>
      <c r="D74" s="814"/>
      <c r="E74" s="814"/>
      <c r="F74" s="814"/>
      <c r="G74" s="1377"/>
      <c r="H74" s="814">
        <v>0.00147</v>
      </c>
      <c r="I74" s="1373">
        <f t="shared" si="12"/>
        <v>0</v>
      </c>
      <c r="J74" s="814"/>
      <c r="K74" s="814"/>
      <c r="L74" s="1374"/>
      <c r="M74" s="814">
        <v>0.00147</v>
      </c>
      <c r="N74" s="1373">
        <f t="shared" si="4"/>
        <v>0</v>
      </c>
      <c r="O74" s="1373">
        <f t="shared" si="5"/>
        <v>0</v>
      </c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>
      <c r="A75" s="1371"/>
      <c r="B75" s="1371"/>
      <c r="C75" s="1371"/>
      <c r="D75" s="814"/>
      <c r="E75" s="814"/>
      <c r="F75" s="814"/>
      <c r="G75" s="1377"/>
      <c r="H75" s="814">
        <v>0.00147</v>
      </c>
      <c r="I75" s="1373">
        <f t="shared" si="12"/>
        <v>0</v>
      </c>
      <c r="J75" s="814"/>
      <c r="K75" s="814"/>
      <c r="L75" s="1374"/>
      <c r="M75" s="814">
        <v>0.00147</v>
      </c>
      <c r="N75" s="1373">
        <f t="shared" si="4"/>
        <v>0</v>
      </c>
      <c r="O75" s="1373">
        <f t="shared" si="5"/>
        <v>0</v>
      </c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>
      <c r="A76" s="1371"/>
      <c r="B76" s="1371"/>
      <c r="C76" s="1371"/>
      <c r="D76" s="814"/>
      <c r="E76" s="814"/>
      <c r="F76" s="814"/>
      <c r="G76" s="1377"/>
      <c r="H76" s="814">
        <v>0.00147</v>
      </c>
      <c r="I76" s="1373">
        <f t="shared" si="12"/>
        <v>0</v>
      </c>
      <c r="J76" s="814"/>
      <c r="K76" s="814"/>
      <c r="L76" s="1374"/>
      <c r="M76" s="814">
        <v>0.00147</v>
      </c>
      <c r="N76" s="1373">
        <f t="shared" si="4"/>
        <v>0</v>
      </c>
      <c r="O76" s="1373">
        <f t="shared" si="5"/>
        <v>0</v>
      </c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>
      <c r="A77" s="1371"/>
      <c r="B77" s="1371"/>
      <c r="C77" s="1371"/>
      <c r="D77" s="814"/>
      <c r="E77" s="814"/>
      <c r="F77" s="814"/>
      <c r="G77" s="1377"/>
      <c r="H77" s="814">
        <v>0.00147</v>
      </c>
      <c r="I77" s="1373">
        <f t="shared" si="12"/>
        <v>0</v>
      </c>
      <c r="J77" s="814"/>
      <c r="K77" s="814"/>
      <c r="L77" s="1374"/>
      <c r="M77" s="814">
        <v>0.00147</v>
      </c>
      <c r="N77" s="1373">
        <f t="shared" si="4"/>
        <v>0</v>
      </c>
      <c r="O77" s="1373">
        <f t="shared" si="5"/>
        <v>0</v>
      </c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>
      <c r="A78" s="1371"/>
      <c r="B78" s="1371"/>
      <c r="C78" s="1371"/>
      <c r="D78" s="814"/>
      <c r="E78" s="814"/>
      <c r="F78" s="814"/>
      <c r="G78" s="1377"/>
      <c r="H78" s="814">
        <v>0.00147</v>
      </c>
      <c r="I78" s="1373">
        <f t="shared" si="12"/>
        <v>0</v>
      </c>
      <c r="J78" s="814"/>
      <c r="K78" s="814"/>
      <c r="L78" s="1374"/>
      <c r="M78" s="814">
        <v>0.00147</v>
      </c>
      <c r="N78" s="1373">
        <f t="shared" si="4"/>
        <v>0</v>
      </c>
      <c r="O78" s="1373">
        <f t="shared" si="5"/>
        <v>0</v>
      </c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>
      <c r="A79" s="1371"/>
      <c r="B79" s="1371"/>
      <c r="C79" s="1371"/>
      <c r="D79" s="814"/>
      <c r="E79" s="814"/>
      <c r="F79" s="814"/>
      <c r="G79" s="1377"/>
      <c r="H79" s="814">
        <v>0.00147</v>
      </c>
      <c r="I79" s="1373">
        <f t="shared" si="12"/>
        <v>0</v>
      </c>
      <c r="J79" s="814"/>
      <c r="K79" s="814"/>
      <c r="L79" s="1374"/>
      <c r="M79" s="814">
        <v>0.00147</v>
      </c>
      <c r="N79" s="1373">
        <f t="shared" si="4"/>
        <v>0</v>
      </c>
      <c r="O79" s="1373">
        <f t="shared" si="5"/>
        <v>0</v>
      </c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>
      <c r="A80" s="1371"/>
      <c r="B80" s="1371"/>
      <c r="C80" s="1371"/>
      <c r="D80" s="814"/>
      <c r="E80" s="814"/>
      <c r="F80" s="814"/>
      <c r="G80" s="1377"/>
      <c r="H80" s="814">
        <v>0.00147</v>
      </c>
      <c r="I80" s="1373">
        <f t="shared" si="12"/>
        <v>0</v>
      </c>
      <c r="J80" s="814"/>
      <c r="K80" s="814"/>
      <c r="L80" s="1374"/>
      <c r="M80" s="814">
        <v>0.00147</v>
      </c>
      <c r="N80" s="1373">
        <f t="shared" si="4"/>
        <v>0</v>
      </c>
      <c r="O80" s="1373">
        <f t="shared" si="5"/>
        <v>0</v>
      </c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>
      <c r="A81" s="1371"/>
      <c r="B81" s="1371"/>
      <c r="C81" s="1371"/>
      <c r="D81" s="814"/>
      <c r="E81" s="814"/>
      <c r="F81" s="814"/>
      <c r="G81" s="1377"/>
      <c r="H81" s="814">
        <v>0.00147</v>
      </c>
      <c r="I81" s="1373">
        <f t="shared" si="12"/>
        <v>0</v>
      </c>
      <c r="J81" s="814"/>
      <c r="K81" s="814"/>
      <c r="L81" s="1374"/>
      <c r="M81" s="814">
        <v>0.00147</v>
      </c>
      <c r="N81" s="1373">
        <f t="shared" si="4"/>
        <v>0</v>
      </c>
      <c r="O81" s="1373">
        <f t="shared" si="5"/>
        <v>0</v>
      </c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>
      <c r="A82" s="1371"/>
      <c r="B82" s="1371"/>
      <c r="C82" s="1371"/>
      <c r="D82" s="814"/>
      <c r="E82" s="814"/>
      <c r="F82" s="814"/>
      <c r="G82" s="1377"/>
      <c r="H82" s="814">
        <v>0.00147</v>
      </c>
      <c r="I82" s="1373">
        <f t="shared" si="12"/>
        <v>0</v>
      </c>
      <c r="J82" s="814"/>
      <c r="K82" s="814"/>
      <c r="L82" s="1374"/>
      <c r="M82" s="814">
        <v>0.00147</v>
      </c>
      <c r="N82" s="1373">
        <f t="shared" si="4"/>
        <v>0</v>
      </c>
      <c r="O82" s="1373">
        <f t="shared" si="5"/>
        <v>0</v>
      </c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>
      <c r="A83" s="1371"/>
      <c r="B83" s="1371"/>
      <c r="C83" s="1371"/>
      <c r="D83" s="814"/>
      <c r="E83" s="814"/>
      <c r="F83" s="814"/>
      <c r="G83" s="1377"/>
      <c r="H83" s="814">
        <v>0.00147</v>
      </c>
      <c r="I83" s="1373">
        <f t="shared" si="12"/>
        <v>0</v>
      </c>
      <c r="J83" s="814"/>
      <c r="K83" s="814"/>
      <c r="L83" s="1374"/>
      <c r="M83" s="814">
        <v>0.00147</v>
      </c>
      <c r="N83" s="1373">
        <f t="shared" si="4"/>
        <v>0</v>
      </c>
      <c r="O83" s="1373">
        <f t="shared" si="5"/>
        <v>0</v>
      </c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>
      <c r="A84" s="1371"/>
      <c r="B84" s="1371"/>
      <c r="C84" s="1371"/>
      <c r="D84" s="814"/>
      <c r="E84" s="814"/>
      <c r="F84" s="814"/>
      <c r="G84" s="1377"/>
      <c r="H84" s="814">
        <v>0.00147</v>
      </c>
      <c r="I84" s="1373">
        <f t="shared" si="12"/>
        <v>0</v>
      </c>
      <c r="J84" s="814"/>
      <c r="K84" s="814"/>
      <c r="L84" s="1374"/>
      <c r="M84" s="814">
        <v>0.00147</v>
      </c>
      <c r="N84" s="1373">
        <f t="shared" si="4"/>
        <v>0</v>
      </c>
      <c r="O84" s="1373">
        <f t="shared" si="5"/>
        <v>0</v>
      </c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>
      <c r="A85" s="1371"/>
      <c r="B85" s="1371"/>
      <c r="C85" s="1371"/>
      <c r="D85" s="814"/>
      <c r="E85" s="814"/>
      <c r="F85" s="814"/>
      <c r="G85" s="1377"/>
      <c r="H85" s="814">
        <v>0.00147</v>
      </c>
      <c r="I85" s="1373">
        <f t="shared" si="12"/>
        <v>0</v>
      </c>
      <c r="J85" s="814"/>
      <c r="K85" s="814"/>
      <c r="L85" s="1374"/>
      <c r="M85" s="814">
        <v>0.00147</v>
      </c>
      <c r="N85" s="1373">
        <f t="shared" si="4"/>
        <v>0</v>
      </c>
      <c r="O85" s="1373">
        <f t="shared" si="5"/>
        <v>0</v>
      </c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>
      <c r="A86" s="1371"/>
      <c r="B86" s="1371"/>
      <c r="C86" s="1371"/>
      <c r="D86" s="814"/>
      <c r="E86" s="814"/>
      <c r="F86" s="814"/>
      <c r="G86" s="1377"/>
      <c r="H86" s="814">
        <v>0.00147</v>
      </c>
      <c r="I86" s="1373">
        <f t="shared" si="12"/>
        <v>0</v>
      </c>
      <c r="J86" s="814"/>
      <c r="K86" s="814"/>
      <c r="L86" s="1374"/>
      <c r="M86" s="814">
        <v>0.00147</v>
      </c>
      <c r="N86" s="1373">
        <f t="shared" si="4"/>
        <v>0</v>
      </c>
      <c r="O86" s="1373">
        <f t="shared" si="5"/>
        <v>0</v>
      </c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>
      <c r="A87" s="1371"/>
      <c r="B87" s="1371"/>
      <c r="C87" s="1371"/>
      <c r="D87" s="814"/>
      <c r="E87" s="814"/>
      <c r="F87" s="814"/>
      <c r="G87" s="1377"/>
      <c r="H87" s="814">
        <v>0.00147</v>
      </c>
      <c r="I87" s="1373">
        <f t="shared" si="12"/>
        <v>0</v>
      </c>
      <c r="J87" s="814"/>
      <c r="K87" s="814"/>
      <c r="L87" s="1374"/>
      <c r="M87" s="814">
        <v>0.00147</v>
      </c>
      <c r="N87" s="1373">
        <f t="shared" si="4"/>
        <v>0</v>
      </c>
      <c r="O87" s="1373">
        <f t="shared" si="5"/>
        <v>0</v>
      </c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>
      <c r="A88" s="1371"/>
      <c r="B88" s="1371"/>
      <c r="C88" s="1371"/>
      <c r="D88" s="814"/>
      <c r="E88" s="814"/>
      <c r="F88" s="814"/>
      <c r="G88" s="1377"/>
      <c r="H88" s="814">
        <v>0.00147</v>
      </c>
      <c r="I88" s="1373">
        <f t="shared" si="12"/>
        <v>0</v>
      </c>
      <c r="J88" s="814"/>
      <c r="K88" s="814"/>
      <c r="L88" s="1374"/>
      <c r="M88" s="814">
        <v>0.00147</v>
      </c>
      <c r="N88" s="1373">
        <f t="shared" si="4"/>
        <v>0</v>
      </c>
      <c r="O88" s="1373">
        <f t="shared" si="5"/>
        <v>0</v>
      </c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>
      <c r="A89" s="1371"/>
      <c r="B89" s="1371"/>
      <c r="C89" s="1371"/>
      <c r="D89" s="814"/>
      <c r="E89" s="814"/>
      <c r="F89" s="814"/>
      <c r="G89" s="1377"/>
      <c r="H89" s="814">
        <v>0.00147</v>
      </c>
      <c r="I89" s="1373">
        <f t="shared" si="12"/>
        <v>0</v>
      </c>
      <c r="J89" s="814"/>
      <c r="K89" s="814"/>
      <c r="L89" s="1374"/>
      <c r="M89" s="814">
        <v>0.00147</v>
      </c>
      <c r="N89" s="1373">
        <f t="shared" si="4"/>
        <v>0</v>
      </c>
      <c r="O89" s="1373">
        <f t="shared" si="5"/>
        <v>0</v>
      </c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>
      <c r="A90" s="1371"/>
      <c r="B90" s="1371"/>
      <c r="C90" s="1371"/>
      <c r="D90" s="814"/>
      <c r="E90" s="814"/>
      <c r="F90" s="814"/>
      <c r="G90" s="1377"/>
      <c r="H90" s="814">
        <v>0.00147</v>
      </c>
      <c r="I90" s="1373">
        <f t="shared" si="12"/>
        <v>0</v>
      </c>
      <c r="J90" s="814"/>
      <c r="K90" s="814"/>
      <c r="L90" s="1374"/>
      <c r="M90" s="814">
        <v>0.00147</v>
      </c>
      <c r="N90" s="1373">
        <f t="shared" si="4"/>
        <v>0</v>
      </c>
      <c r="O90" s="1373">
        <f t="shared" si="5"/>
        <v>0</v>
      </c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>
      <c r="A91" s="1371"/>
      <c r="B91" s="1371"/>
      <c r="C91" s="1371"/>
      <c r="D91" s="814"/>
      <c r="E91" s="814"/>
      <c r="F91" s="814"/>
      <c r="G91" s="1377"/>
      <c r="H91" s="814">
        <v>0.00147</v>
      </c>
      <c r="I91" s="1373">
        <f t="shared" si="12"/>
        <v>0</v>
      </c>
      <c r="J91" s="814"/>
      <c r="K91" s="814"/>
      <c r="L91" s="1374"/>
      <c r="M91" s="814">
        <v>0.00147</v>
      </c>
      <c r="N91" s="1373">
        <f t="shared" si="4"/>
        <v>0</v>
      </c>
      <c r="O91" s="1373">
        <f t="shared" si="5"/>
        <v>0</v>
      </c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>
      <c r="A92" s="1371"/>
      <c r="B92" s="1371"/>
      <c r="C92" s="1371"/>
      <c r="D92" s="814"/>
      <c r="E92" s="814"/>
      <c r="F92" s="814"/>
      <c r="G92" s="1377"/>
      <c r="H92" s="814">
        <v>0.00147</v>
      </c>
      <c r="I92" s="1373">
        <f t="shared" si="12"/>
        <v>0</v>
      </c>
      <c r="J92" s="814"/>
      <c r="K92" s="814"/>
      <c r="L92" s="1374"/>
      <c r="M92" s="814">
        <v>0.00147</v>
      </c>
      <c r="N92" s="1373">
        <f t="shared" si="4"/>
        <v>0</v>
      </c>
      <c r="O92" s="1373">
        <f t="shared" si="5"/>
        <v>0</v>
      </c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>
      <c r="A93" s="1371"/>
      <c r="B93" s="1371"/>
      <c r="C93" s="1371"/>
      <c r="D93" s="814"/>
      <c r="E93" s="814"/>
      <c r="F93" s="814"/>
      <c r="G93" s="1377"/>
      <c r="H93" s="814">
        <v>0.00147</v>
      </c>
      <c r="I93" s="1373">
        <f t="shared" si="12"/>
        <v>0</v>
      </c>
      <c r="J93" s="814"/>
      <c r="K93" s="814"/>
      <c r="L93" s="1374"/>
      <c r="M93" s="814">
        <v>0.00147</v>
      </c>
      <c r="N93" s="1373">
        <f t="shared" si="4"/>
        <v>0</v>
      </c>
      <c r="O93" s="1373">
        <f t="shared" si="5"/>
        <v>0</v>
      </c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>
      <c r="A94" s="1371"/>
      <c r="B94" s="1371"/>
      <c r="C94" s="1371"/>
      <c r="D94" s="814"/>
      <c r="E94" s="814"/>
      <c r="F94" s="814"/>
      <c r="G94" s="1377"/>
      <c r="H94" s="814">
        <v>0.00147</v>
      </c>
      <c r="I94" s="1373">
        <f t="shared" si="12"/>
        <v>0</v>
      </c>
      <c r="J94" s="814"/>
      <c r="K94" s="814"/>
      <c r="L94" s="1374"/>
      <c r="M94" s="814">
        <v>0.00147</v>
      </c>
      <c r="N94" s="1373">
        <f t="shared" si="4"/>
        <v>0</v>
      </c>
      <c r="O94" s="1373">
        <f t="shared" si="5"/>
        <v>0</v>
      </c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>
      <c r="A95" s="1371"/>
      <c r="B95" s="1371"/>
      <c r="C95" s="1371"/>
      <c r="D95" s="814"/>
      <c r="E95" s="814"/>
      <c r="F95" s="814"/>
      <c r="G95" s="1377"/>
      <c r="H95" s="814">
        <v>0.00147</v>
      </c>
      <c r="I95" s="1373">
        <f t="shared" si="12"/>
        <v>0</v>
      </c>
      <c r="J95" s="814"/>
      <c r="K95" s="814"/>
      <c r="L95" s="1374"/>
      <c r="M95" s="814">
        <v>0.00147</v>
      </c>
      <c r="N95" s="1373">
        <f t="shared" si="4"/>
        <v>0</v>
      </c>
      <c r="O95" s="1373">
        <f t="shared" si="5"/>
        <v>0</v>
      </c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>
      <c r="A96" s="1371"/>
      <c r="B96" s="1371"/>
      <c r="C96" s="1371"/>
      <c r="D96" s="814"/>
      <c r="E96" s="814"/>
      <c r="F96" s="814"/>
      <c r="G96" s="1377"/>
      <c r="H96" s="814">
        <v>0.00147</v>
      </c>
      <c r="I96" s="1373">
        <f t="shared" si="12"/>
        <v>0</v>
      </c>
      <c r="J96" s="814"/>
      <c r="K96" s="814"/>
      <c r="L96" s="1374"/>
      <c r="M96" s="814">
        <v>0.00147</v>
      </c>
      <c r="N96" s="1373">
        <f t="shared" si="4"/>
        <v>0</v>
      </c>
      <c r="O96" s="1373">
        <f t="shared" si="5"/>
        <v>0</v>
      </c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>
      <c r="A97" s="1371"/>
      <c r="B97" s="1371"/>
      <c r="C97" s="1371"/>
      <c r="D97" s="814"/>
      <c r="E97" s="814"/>
      <c r="F97" s="814"/>
      <c r="G97" s="1377"/>
      <c r="H97" s="814">
        <v>0.00147</v>
      </c>
      <c r="I97" s="1373">
        <f t="shared" si="12"/>
        <v>0</v>
      </c>
      <c r="J97" s="814"/>
      <c r="K97" s="814"/>
      <c r="L97" s="1374"/>
      <c r="M97" s="814">
        <v>0.00147</v>
      </c>
      <c r="N97" s="1373">
        <f t="shared" si="4"/>
        <v>0</v>
      </c>
      <c r="O97" s="1373">
        <f t="shared" si="5"/>
        <v>0</v>
      </c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>
      <c r="A98" s="1371"/>
      <c r="B98" s="1371"/>
      <c r="C98" s="1371"/>
      <c r="D98" s="814"/>
      <c r="E98" s="814"/>
      <c r="F98" s="814"/>
      <c r="G98" s="1377"/>
      <c r="H98" s="814">
        <v>0.00147</v>
      </c>
      <c r="I98" s="1373">
        <f t="shared" si="12"/>
        <v>0</v>
      </c>
      <c r="J98" s="814"/>
      <c r="K98" s="814"/>
      <c r="L98" s="1374"/>
      <c r="M98" s="814">
        <v>0.00147</v>
      </c>
      <c r="N98" s="1373">
        <f t="shared" si="4"/>
        <v>0</v>
      </c>
      <c r="O98" s="1373">
        <f t="shared" si="5"/>
        <v>0</v>
      </c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>
      <c r="A99" s="1371"/>
      <c r="B99" s="1371"/>
      <c r="C99" s="1371"/>
      <c r="D99" s="814"/>
      <c r="E99" s="814"/>
      <c r="F99" s="814"/>
      <c r="G99" s="1377"/>
      <c r="H99" s="814">
        <v>0.00147</v>
      </c>
      <c r="I99" s="1373">
        <f t="shared" si="12"/>
        <v>0</v>
      </c>
      <c r="J99" s="814"/>
      <c r="K99" s="814"/>
      <c r="L99" s="1374"/>
      <c r="M99" s="814">
        <v>0.00147</v>
      </c>
      <c r="N99" s="1373">
        <f t="shared" si="4"/>
        <v>0</v>
      </c>
      <c r="O99" s="1373">
        <f t="shared" si="5"/>
        <v>0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>
      <c r="A100" s="1371"/>
      <c r="B100" s="1371"/>
      <c r="C100" s="1371"/>
      <c r="D100" s="814"/>
      <c r="E100" s="814"/>
      <c r="F100" s="814"/>
      <c r="G100" s="1377"/>
      <c r="H100" s="814">
        <v>0.00147</v>
      </c>
      <c r="I100" s="1373">
        <f t="shared" si="12"/>
        <v>0</v>
      </c>
      <c r="J100" s="814"/>
      <c r="K100" s="814"/>
      <c r="L100" s="1374"/>
      <c r="M100" s="814">
        <v>0.00147</v>
      </c>
      <c r="N100" s="1373">
        <f t="shared" si="4"/>
        <v>0</v>
      </c>
      <c r="O100" s="1373">
        <f t="shared" si="5"/>
        <v>0</v>
      </c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>
      <c r="A101" s="1371"/>
      <c r="B101" s="1371"/>
      <c r="C101" s="1371"/>
      <c r="D101" s="814"/>
      <c r="E101" s="814"/>
      <c r="F101" s="814"/>
      <c r="G101" s="1377"/>
      <c r="H101" s="814">
        <v>0.00147</v>
      </c>
      <c r="I101" s="1373">
        <f t="shared" si="12"/>
        <v>0</v>
      </c>
      <c r="J101" s="814"/>
      <c r="K101" s="814"/>
      <c r="L101" s="1374"/>
      <c r="M101" s="814">
        <v>0.00147</v>
      </c>
      <c r="N101" s="1373">
        <f t="shared" si="4"/>
        <v>0</v>
      </c>
      <c r="O101" s="1373">
        <f t="shared" si="5"/>
        <v>0</v>
      </c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>
      <c r="A102" s="1371"/>
      <c r="B102" s="1371"/>
      <c r="C102" s="1371"/>
      <c r="D102" s="814"/>
      <c r="E102" s="814"/>
      <c r="F102" s="814"/>
      <c r="G102" s="1377"/>
      <c r="H102" s="814">
        <v>0.00147</v>
      </c>
      <c r="I102" s="1373">
        <f t="shared" si="12"/>
        <v>0</v>
      </c>
      <c r="J102" s="814"/>
      <c r="K102" s="814"/>
      <c r="L102" s="1374"/>
      <c r="M102" s="814">
        <v>0.00147</v>
      </c>
      <c r="N102" s="1373">
        <f t="shared" si="4"/>
        <v>0</v>
      </c>
      <c r="O102" s="1373">
        <f t="shared" si="5"/>
        <v>0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>
      <c r="A103" s="1371"/>
      <c r="B103" s="1371"/>
      <c r="C103" s="1371"/>
      <c r="D103" s="814"/>
      <c r="E103" s="814"/>
      <c r="F103" s="814"/>
      <c r="G103" s="1377"/>
      <c r="H103" s="814">
        <v>0.00147</v>
      </c>
      <c r="I103" s="1373">
        <f t="shared" si="12"/>
        <v>0</v>
      </c>
      <c r="J103" s="814"/>
      <c r="K103" s="814"/>
      <c r="L103" s="1374"/>
      <c r="M103" s="814">
        <v>0.00147</v>
      </c>
      <c r="N103" s="1373">
        <f t="shared" si="4"/>
        <v>0</v>
      </c>
      <c r="O103" s="1373">
        <f t="shared" si="5"/>
        <v>0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>
      <c r="A104" s="1371"/>
      <c r="B104" s="1371"/>
      <c r="C104" s="1371"/>
      <c r="D104" s="814"/>
      <c r="E104" s="814"/>
      <c r="F104" s="814"/>
      <c r="G104" s="1377"/>
      <c r="H104" s="814">
        <v>0.00147</v>
      </c>
      <c r="I104" s="1373">
        <f t="shared" si="12"/>
        <v>0</v>
      </c>
      <c r="J104" s="814"/>
      <c r="K104" s="814"/>
      <c r="L104" s="1374"/>
      <c r="M104" s="814">
        <v>0.00147</v>
      </c>
      <c r="N104" s="1373">
        <f t="shared" si="4"/>
        <v>0</v>
      </c>
      <c r="O104" s="1373">
        <f t="shared" si="5"/>
        <v>0</v>
      </c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>
      <c r="A105" s="1371"/>
      <c r="B105" s="1371"/>
      <c r="C105" s="1371"/>
      <c r="D105" s="814"/>
      <c r="E105" s="814"/>
      <c r="F105" s="814"/>
      <c r="G105" s="1377"/>
      <c r="H105" s="814">
        <v>0.00147</v>
      </c>
      <c r="I105" s="1373">
        <f t="shared" si="12"/>
        <v>0</v>
      </c>
      <c r="J105" s="814"/>
      <c r="K105" s="814"/>
      <c r="L105" s="1374"/>
      <c r="M105" s="814">
        <v>0.00147</v>
      </c>
      <c r="N105" s="1373">
        <f t="shared" si="4"/>
        <v>0</v>
      </c>
      <c r="O105" s="1373">
        <f t="shared" si="5"/>
        <v>0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>
      <c r="A106" s="1371"/>
      <c r="B106" s="1371"/>
      <c r="C106" s="1371"/>
      <c r="D106" s="814"/>
      <c r="E106" s="814"/>
      <c r="F106" s="814"/>
      <c r="G106" s="1377"/>
      <c r="H106" s="814">
        <v>0.00147</v>
      </c>
      <c r="I106" s="1373">
        <f t="shared" si="12"/>
        <v>0</v>
      </c>
      <c r="J106" s="814"/>
      <c r="K106" s="814"/>
      <c r="L106" s="1374"/>
      <c r="M106" s="814">
        <v>0.00147</v>
      </c>
      <c r="N106" s="1373">
        <f t="shared" si="4"/>
        <v>0</v>
      </c>
      <c r="O106" s="1373">
        <f t="shared" si="5"/>
        <v>0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>
      <c r="A107" s="1371"/>
      <c r="B107" s="1371"/>
      <c r="C107" s="1371"/>
      <c r="D107" s="814"/>
      <c r="E107" s="814"/>
      <c r="F107" s="814"/>
      <c r="G107" s="1377"/>
      <c r="H107" s="814">
        <v>0.00147</v>
      </c>
      <c r="I107" s="1373">
        <f t="shared" si="12"/>
        <v>0</v>
      </c>
      <c r="J107" s="814"/>
      <c r="K107" s="814"/>
      <c r="L107" s="1374"/>
      <c r="M107" s="814">
        <v>0.00147</v>
      </c>
      <c r="N107" s="1373">
        <f t="shared" si="4"/>
        <v>0</v>
      </c>
      <c r="O107" s="1373">
        <f t="shared" si="5"/>
        <v>0</v>
      </c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>
      <c r="A108" s="1371"/>
      <c r="B108" s="1371"/>
      <c r="C108" s="1371"/>
      <c r="D108" s="814"/>
      <c r="E108" s="814"/>
      <c r="F108" s="814"/>
      <c r="G108" s="1377"/>
      <c r="H108" s="814">
        <v>0.00147</v>
      </c>
      <c r="I108" s="1373">
        <f t="shared" si="12"/>
        <v>0</v>
      </c>
      <c r="J108" s="814"/>
      <c r="K108" s="814"/>
      <c r="L108" s="1374"/>
      <c r="M108" s="814">
        <v>0.00147</v>
      </c>
      <c r="N108" s="1373">
        <f t="shared" si="4"/>
        <v>0</v>
      </c>
      <c r="O108" s="1373">
        <f t="shared" si="5"/>
        <v>0</v>
      </c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>
      <c r="A109" s="1371"/>
      <c r="B109" s="1371"/>
      <c r="C109" s="1371"/>
      <c r="D109" s="814"/>
      <c r="E109" s="814"/>
      <c r="F109" s="814"/>
      <c r="G109" s="1377"/>
      <c r="H109" s="814">
        <v>0.00147</v>
      </c>
      <c r="I109" s="1373">
        <f t="shared" si="12"/>
        <v>0</v>
      </c>
      <c r="J109" s="814"/>
      <c r="K109" s="814"/>
      <c r="L109" s="1374"/>
      <c r="M109" s="814">
        <v>0.00147</v>
      </c>
      <c r="N109" s="1373">
        <f t="shared" si="4"/>
        <v>0</v>
      </c>
      <c r="O109" s="1373">
        <f t="shared" si="5"/>
        <v>0</v>
      </c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>
      <c r="A110" s="1371"/>
      <c r="B110" s="1371"/>
      <c r="C110" s="1371"/>
      <c r="D110" s="814"/>
      <c r="E110" s="814"/>
      <c r="F110" s="814"/>
      <c r="G110" s="1377"/>
      <c r="H110" s="814">
        <v>0.00147</v>
      </c>
      <c r="I110" s="1373">
        <f t="shared" si="12"/>
        <v>0</v>
      </c>
      <c r="J110" s="814"/>
      <c r="K110" s="814"/>
      <c r="L110" s="1374"/>
      <c r="M110" s="814">
        <v>0.00147</v>
      </c>
      <c r="N110" s="1373">
        <f t="shared" si="4"/>
        <v>0</v>
      </c>
      <c r="O110" s="1373">
        <f t="shared" si="5"/>
        <v>0</v>
      </c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</sheetData>
  <mergeCells count="3">
    <mergeCell ref="G1:J1"/>
    <mergeCell ref="K1:O1"/>
    <mergeCell ref="Q5:AB5"/>
  </mergeCells>
  <dataValidations>
    <dataValidation type="list" allowBlank="1" showErrorMessage="1" sqref="K3:K145">
      <formula1>"Pago,Pendente,Pagamento Parcial"</formula1>
    </dataValidation>
    <dataValidation type="list" allowBlank="1" showErrorMessage="1" sqref="J3:J145">
      <formula1>"Recebido - PIX,Recebido - Wize,Recebido - Reajuste,Á Receber"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205" t="s">
        <v>3367</v>
      </c>
      <c r="B2" s="205" t="s">
        <v>3368</v>
      </c>
      <c r="C2" s="205" t="s">
        <v>3369</v>
      </c>
      <c r="D2" s="205" t="s">
        <v>3370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8.71"/>
  </cols>
  <sheetData>
    <row r="1">
      <c r="A1" s="1383" t="s">
        <v>3371</v>
      </c>
      <c r="B1" s="439"/>
      <c r="C1" s="439"/>
      <c r="D1" s="439"/>
      <c r="E1" s="439"/>
      <c r="F1" s="439"/>
      <c r="G1" s="440"/>
      <c r="H1" s="1384" t="s">
        <v>3372</v>
      </c>
      <c r="I1" s="439"/>
      <c r="J1" s="439"/>
      <c r="K1" s="439"/>
      <c r="L1" s="439"/>
      <c r="M1" s="439"/>
      <c r="N1" s="440"/>
    </row>
    <row r="2">
      <c r="A2" s="1385" t="s">
        <v>3373</v>
      </c>
      <c r="B2" s="439"/>
      <c r="C2" s="439"/>
      <c r="D2" s="439"/>
      <c r="E2" s="440"/>
      <c r="F2" s="630"/>
      <c r="G2" s="630"/>
      <c r="H2" s="1386" t="s">
        <v>3374</v>
      </c>
      <c r="I2" s="439"/>
      <c r="J2" s="439"/>
      <c r="K2" s="439"/>
      <c r="L2" s="440"/>
      <c r="M2" s="1387"/>
      <c r="N2" s="1387"/>
    </row>
    <row r="3">
      <c r="A3" s="751"/>
      <c r="B3" s="1388">
        <v>1.0</v>
      </c>
      <c r="C3" s="1388">
        <v>2.0</v>
      </c>
      <c r="D3" s="1388">
        <v>3.0</v>
      </c>
      <c r="E3" s="1388">
        <v>4.0</v>
      </c>
      <c r="F3" s="630"/>
      <c r="G3" s="630"/>
      <c r="H3" s="751"/>
      <c r="I3" s="1389" t="s">
        <v>153</v>
      </c>
      <c r="J3" s="1389">
        <v>2.0</v>
      </c>
      <c r="K3" s="1389">
        <v>3.0</v>
      </c>
      <c r="L3" s="1389">
        <v>4.0</v>
      </c>
      <c r="M3" s="1387"/>
      <c r="N3" s="1387"/>
    </row>
    <row r="4">
      <c r="A4" s="753" t="s">
        <v>3375</v>
      </c>
      <c r="B4" s="1390">
        <v>880000.0</v>
      </c>
      <c r="C4" s="1391">
        <v>485000.0</v>
      </c>
      <c r="D4" s="1391">
        <v>435000.0</v>
      </c>
      <c r="E4" s="1391">
        <v>453000.0</v>
      </c>
      <c r="F4" s="630"/>
      <c r="G4" s="630"/>
      <c r="H4" s="753" t="s">
        <v>3375</v>
      </c>
      <c r="I4" s="1390">
        <f t="shared" ref="I4:L4" si="1">I7+I8</f>
        <v>880000</v>
      </c>
      <c r="J4" s="1390">
        <f t="shared" si="1"/>
        <v>485000</v>
      </c>
      <c r="K4" s="1390">
        <f t="shared" si="1"/>
        <v>460000.0033</v>
      </c>
      <c r="L4" s="1390">
        <f t="shared" si="1"/>
        <v>380000</v>
      </c>
      <c r="M4" s="1387"/>
      <c r="N4" s="1387"/>
    </row>
    <row r="5">
      <c r="A5" s="1392" t="s">
        <v>3376</v>
      </c>
      <c r="B5" s="1393">
        <v>100000.0</v>
      </c>
      <c r="C5" s="1393">
        <v>100000.0</v>
      </c>
      <c r="D5" s="1393">
        <v>100000.0</v>
      </c>
      <c r="E5" s="1393">
        <v>100000.0</v>
      </c>
      <c r="F5" s="630"/>
      <c r="G5" s="630"/>
      <c r="H5" s="753"/>
      <c r="I5" s="1390"/>
      <c r="J5" s="1394"/>
      <c r="K5" s="1390"/>
      <c r="L5" s="1394"/>
      <c r="M5" s="1387"/>
      <c r="N5" s="1387"/>
    </row>
    <row r="6">
      <c r="A6" s="1392" t="s">
        <v>3377</v>
      </c>
      <c r="B6" s="1393">
        <v>783000.0</v>
      </c>
      <c r="C6" s="1393">
        <v>418000.0</v>
      </c>
      <c r="D6" s="1393">
        <v>368000.0</v>
      </c>
      <c r="E6" s="1393">
        <v>289000.0</v>
      </c>
      <c r="F6" s="630"/>
      <c r="G6" s="630"/>
      <c r="H6" s="753"/>
      <c r="I6" s="1390"/>
      <c r="J6" s="1394"/>
      <c r="K6" s="1390"/>
      <c r="L6" s="1394"/>
      <c r="M6" s="1387"/>
      <c r="N6" s="1387"/>
    </row>
    <row r="7">
      <c r="A7" s="753" t="s">
        <v>172</v>
      </c>
      <c r="B7" s="1393">
        <f>(B6*0.8*B3)+(B5/B3)</f>
        <v>726400</v>
      </c>
      <c r="C7" s="1393">
        <f t="shared" ref="C7:E7" si="2">((C6*0.8*C3)+(C5/C3))/C3</f>
        <v>359400</v>
      </c>
      <c r="D7" s="1393">
        <f t="shared" si="2"/>
        <v>305511.1111</v>
      </c>
      <c r="E7" s="1393">
        <f t="shared" si="2"/>
        <v>237450</v>
      </c>
      <c r="F7" s="630"/>
      <c r="G7" s="630"/>
      <c r="H7" s="753" t="s">
        <v>172</v>
      </c>
      <c r="I7" s="1390">
        <f>626400+100000</f>
        <v>726400</v>
      </c>
      <c r="J7" s="1394">
        <f>334400+(100000/2)</f>
        <v>384400</v>
      </c>
      <c r="K7" s="1390">
        <f>294400+(100000/3)</f>
        <v>327733.3333</v>
      </c>
      <c r="L7" s="1394">
        <f>231200+(100000/4)</f>
        <v>256200</v>
      </c>
      <c r="M7" s="1387"/>
      <c r="N7" s="1387"/>
    </row>
    <row r="8">
      <c r="A8" s="757" t="s">
        <v>1977</v>
      </c>
      <c r="B8" s="1393">
        <f>(B4*B3)-B7</f>
        <v>153600</v>
      </c>
      <c r="C8" s="1393">
        <f t="shared" ref="C8:E8" si="3">C4-C7</f>
        <v>125600</v>
      </c>
      <c r="D8" s="1393">
        <f t="shared" si="3"/>
        <v>129488.8889</v>
      </c>
      <c r="E8" s="1393">
        <f t="shared" si="3"/>
        <v>215550</v>
      </c>
      <c r="F8" s="630"/>
      <c r="G8" s="630"/>
      <c r="H8" s="757" t="s">
        <v>1977</v>
      </c>
      <c r="I8" s="1390">
        <v>153600.0</v>
      </c>
      <c r="J8" s="1390">
        <v>100600.0</v>
      </c>
      <c r="K8" s="1390">
        <v>132266.67</v>
      </c>
      <c r="L8" s="1390">
        <v>123800.0</v>
      </c>
      <c r="M8" s="1387"/>
      <c r="N8" s="1387"/>
    </row>
    <row r="9">
      <c r="A9" s="630"/>
      <c r="B9" s="630"/>
      <c r="C9" s="630"/>
      <c r="D9" s="630"/>
      <c r="E9" s="630"/>
      <c r="F9" s="630"/>
      <c r="G9" s="630"/>
      <c r="H9" s="1387"/>
      <c r="I9" s="1387"/>
      <c r="J9" s="1387"/>
      <c r="K9" s="1387"/>
      <c r="L9" s="1387"/>
      <c r="M9" s="1387"/>
      <c r="N9" s="1387"/>
    </row>
    <row r="10">
      <c r="A10" s="1385" t="s">
        <v>3378</v>
      </c>
      <c r="B10" s="439"/>
      <c r="C10" s="439"/>
      <c r="D10" s="439"/>
      <c r="E10" s="440"/>
      <c r="F10" s="630"/>
      <c r="G10" s="630"/>
      <c r="H10" s="1386" t="s">
        <v>3378</v>
      </c>
      <c r="I10" s="439"/>
      <c r="J10" s="439"/>
      <c r="K10" s="439"/>
      <c r="L10" s="440"/>
      <c r="M10" s="1387"/>
      <c r="N10" s="1387"/>
    </row>
    <row r="11">
      <c r="A11" s="753" t="s">
        <v>3375</v>
      </c>
      <c r="B11" s="1390">
        <f t="shared" ref="B11:E11" si="4">B12+B13</f>
        <v>1150000</v>
      </c>
      <c r="C11" s="1390">
        <f t="shared" si="4"/>
        <v>680000</v>
      </c>
      <c r="D11" s="1390">
        <f t="shared" si="4"/>
        <v>625000.0033</v>
      </c>
      <c r="E11" s="1390">
        <f t="shared" si="4"/>
        <v>510000</v>
      </c>
      <c r="F11" s="1388">
        <v>460000.0</v>
      </c>
      <c r="G11" s="630"/>
      <c r="H11" s="753" t="s">
        <v>3375</v>
      </c>
      <c r="I11" s="1390">
        <f t="shared" ref="I11:L11" si="5">I12+I13</f>
        <v>1150000</v>
      </c>
      <c r="J11" s="1390">
        <f t="shared" si="5"/>
        <v>680000</v>
      </c>
      <c r="K11" s="1390">
        <f t="shared" si="5"/>
        <v>625000.0033</v>
      </c>
      <c r="L11" s="1390">
        <f t="shared" si="5"/>
        <v>510000</v>
      </c>
      <c r="M11" s="1387"/>
      <c r="N11" s="1387"/>
    </row>
    <row r="12">
      <c r="A12" s="753" t="s">
        <v>172</v>
      </c>
      <c r="B12" s="1395">
        <f>929600+100000</f>
        <v>1029600</v>
      </c>
      <c r="C12" s="630">
        <f>508000+(100000/2)</f>
        <v>558000</v>
      </c>
      <c r="D12" s="1396">
        <f>454400+(100000/3)</f>
        <v>487733.3333</v>
      </c>
      <c r="E12" s="630">
        <f>362400+(100000/4)</f>
        <v>387400</v>
      </c>
      <c r="F12" s="1388">
        <v>329200.0</v>
      </c>
      <c r="G12" s="630"/>
      <c r="H12" s="753" t="s">
        <v>172</v>
      </c>
      <c r="I12" s="1397">
        <f>929600+100000</f>
        <v>1029600</v>
      </c>
      <c r="J12" s="1387">
        <f>508000+(100000/2)</f>
        <v>558000</v>
      </c>
      <c r="K12" s="1398">
        <f>454400+(100000/3)</f>
        <v>487733.3333</v>
      </c>
      <c r="L12" s="1387">
        <f>362400+(100000/4)</f>
        <v>387400</v>
      </c>
      <c r="M12" s="1387"/>
      <c r="N12" s="1387"/>
    </row>
    <row r="13">
      <c r="A13" s="757" t="s">
        <v>1977</v>
      </c>
      <c r="B13" s="1388">
        <v>120400.0</v>
      </c>
      <c r="C13" s="1388">
        <v>122000.0</v>
      </c>
      <c r="D13" s="1388">
        <v>137266.67</v>
      </c>
      <c r="E13" s="1388">
        <v>122600.0</v>
      </c>
      <c r="F13" s="630">
        <f>F11-F12</f>
        <v>130800</v>
      </c>
      <c r="G13" s="630"/>
      <c r="H13" s="757" t="s">
        <v>1977</v>
      </c>
      <c r="I13" s="1389">
        <v>120400.0</v>
      </c>
      <c r="J13" s="1389">
        <v>122000.0</v>
      </c>
      <c r="K13" s="1389">
        <v>137266.67</v>
      </c>
      <c r="L13" s="1389">
        <v>122600.0</v>
      </c>
      <c r="M13" s="1387"/>
      <c r="N13" s="1387"/>
    </row>
    <row r="14">
      <c r="A14" s="630"/>
      <c r="B14" s="630"/>
      <c r="C14" s="630"/>
      <c r="D14" s="630"/>
      <c r="E14" s="630"/>
      <c r="F14" s="630"/>
      <c r="G14" s="630"/>
      <c r="H14" s="1387"/>
      <c r="I14" s="1387"/>
      <c r="J14" s="1387"/>
      <c r="K14" s="1387"/>
      <c r="L14" s="1387"/>
      <c r="M14" s="1387"/>
      <c r="N14" s="1387"/>
    </row>
    <row r="15">
      <c r="A15" s="1385" t="s">
        <v>3379</v>
      </c>
      <c r="B15" s="439"/>
      <c r="C15" s="439"/>
      <c r="D15" s="439"/>
      <c r="E15" s="440"/>
      <c r="F15" s="630"/>
      <c r="G15" s="630"/>
      <c r="H15" s="1386" t="s">
        <v>3379</v>
      </c>
      <c r="I15" s="439"/>
      <c r="J15" s="439"/>
      <c r="K15" s="439"/>
      <c r="L15" s="440"/>
      <c r="M15" s="1387"/>
      <c r="N15" s="1387"/>
    </row>
    <row r="16">
      <c r="A16" s="753" t="s">
        <v>3375</v>
      </c>
      <c r="B16" s="1390">
        <f t="shared" ref="B16:E16" si="6">B17+B18</f>
        <v>800000</v>
      </c>
      <c r="C16" s="1390">
        <f t="shared" si="6"/>
        <v>475000</v>
      </c>
      <c r="D16" s="1390">
        <f t="shared" si="6"/>
        <v>444000.0033</v>
      </c>
      <c r="E16" s="1390">
        <f t="shared" si="6"/>
        <v>395000</v>
      </c>
      <c r="F16" s="630"/>
      <c r="G16" s="630"/>
      <c r="H16" s="753" t="s">
        <v>3375</v>
      </c>
      <c r="I16" s="1390">
        <f t="shared" ref="I16:L16" si="7">I17+I18</f>
        <v>800000</v>
      </c>
      <c r="J16" s="1390">
        <f t="shared" si="7"/>
        <v>475000</v>
      </c>
      <c r="K16" s="1390">
        <f t="shared" si="7"/>
        <v>444000.0033</v>
      </c>
      <c r="L16" s="1390">
        <f t="shared" si="7"/>
        <v>395000</v>
      </c>
      <c r="M16" s="1387"/>
      <c r="N16" s="1387"/>
    </row>
    <row r="17">
      <c r="A17" s="753" t="s">
        <v>172</v>
      </c>
      <c r="B17" s="1395">
        <f>598400+100000</f>
        <v>698400</v>
      </c>
      <c r="C17" s="1388">
        <f>313600+(100000/2)</f>
        <v>363600</v>
      </c>
      <c r="D17" s="1396">
        <f>276000+(100000/3)</f>
        <v>309333.3333</v>
      </c>
      <c r="E17" s="630">
        <f>248000+(100000/4)</f>
        <v>273000</v>
      </c>
      <c r="F17" s="630"/>
      <c r="G17" s="630"/>
      <c r="H17" s="753" t="s">
        <v>172</v>
      </c>
      <c r="I17" s="1397">
        <f>598400+100000</f>
        <v>698400</v>
      </c>
      <c r="J17" s="1389">
        <f>313600+(100000/2)</f>
        <v>363600</v>
      </c>
      <c r="K17" s="1398">
        <f>276000+(100000/3)</f>
        <v>309333.3333</v>
      </c>
      <c r="L17" s="1387">
        <f>248000+(100000/4)</f>
        <v>273000</v>
      </c>
      <c r="M17" s="1387"/>
      <c r="N17" s="1387"/>
    </row>
    <row r="18">
      <c r="A18" s="757" t="s">
        <v>1977</v>
      </c>
      <c r="B18" s="1388">
        <v>101600.0</v>
      </c>
      <c r="C18" s="1388">
        <v>111400.0</v>
      </c>
      <c r="D18" s="1388">
        <v>134666.67</v>
      </c>
      <c r="E18" s="1388">
        <v>122000.0</v>
      </c>
      <c r="F18" s="630"/>
      <c r="G18" s="630"/>
      <c r="H18" s="757" t="s">
        <v>1977</v>
      </c>
      <c r="I18" s="1389">
        <v>101600.0</v>
      </c>
      <c r="J18" s="1389">
        <v>111400.0</v>
      </c>
      <c r="K18" s="1389">
        <v>134666.67</v>
      </c>
      <c r="L18" s="1389">
        <v>122000.0</v>
      </c>
      <c r="M18" s="1387"/>
      <c r="N18" s="1387"/>
    </row>
    <row r="19">
      <c r="H19" s="1399"/>
      <c r="I19" s="1399"/>
      <c r="J19" s="1399"/>
      <c r="K19" s="1399"/>
      <c r="L19" s="1399"/>
      <c r="M19" s="1399"/>
      <c r="N19" s="1399"/>
    </row>
    <row r="20">
      <c r="H20" s="1399"/>
      <c r="I20" s="1399"/>
      <c r="J20" s="1399"/>
      <c r="K20" s="1399"/>
      <c r="L20" s="1399"/>
      <c r="M20" s="1399"/>
      <c r="N20" s="1399"/>
    </row>
    <row r="21">
      <c r="A21" s="1385" t="s">
        <v>3380</v>
      </c>
      <c r="B21" s="439"/>
      <c r="C21" s="439"/>
      <c r="D21" s="439"/>
      <c r="E21" s="440"/>
      <c r="F21" s="630"/>
      <c r="G21" s="630"/>
      <c r="H21" s="1386" t="s">
        <v>3380</v>
      </c>
      <c r="I21" s="439"/>
      <c r="J21" s="439"/>
      <c r="K21" s="439"/>
      <c r="L21" s="440"/>
      <c r="M21" s="1387"/>
      <c r="N21" s="1387"/>
    </row>
    <row r="22">
      <c r="A22" s="753" t="s">
        <v>3375</v>
      </c>
      <c r="B22" s="1390">
        <f t="shared" ref="B22:E22" si="8">B23+B24</f>
        <v>1130000</v>
      </c>
      <c r="C22" s="1390">
        <f t="shared" si="8"/>
        <v>690000</v>
      </c>
      <c r="D22" s="1390">
        <f t="shared" si="8"/>
        <v>660000.0033</v>
      </c>
      <c r="E22" s="1390">
        <f t="shared" si="8"/>
        <v>550000</v>
      </c>
      <c r="F22" s="630"/>
      <c r="G22" s="630"/>
      <c r="H22" s="753" t="s">
        <v>3375</v>
      </c>
      <c r="I22" s="1390">
        <f t="shared" ref="I22:L22" si="9">I23+I24</f>
        <v>1130000</v>
      </c>
      <c r="J22" s="1390">
        <f t="shared" si="9"/>
        <v>690000</v>
      </c>
      <c r="K22" s="1390">
        <f t="shared" si="9"/>
        <v>660000.0033</v>
      </c>
      <c r="L22" s="1390">
        <f t="shared" si="9"/>
        <v>550000</v>
      </c>
      <c r="M22" s="1387"/>
      <c r="N22" s="1387"/>
    </row>
    <row r="23">
      <c r="A23" s="753" t="s">
        <v>172</v>
      </c>
      <c r="B23" s="1395">
        <f>928000+100000</f>
        <v>1028000</v>
      </c>
      <c r="C23" s="1388">
        <f>525000+(100000/2)</f>
        <v>575000</v>
      </c>
      <c r="D23" s="1396">
        <f>487200+(100000/3)</f>
        <v>520533.3333</v>
      </c>
      <c r="E23" s="630">
        <f>400000+(100000/4)</f>
        <v>425000</v>
      </c>
      <c r="F23" s="630"/>
      <c r="G23" s="630"/>
      <c r="H23" s="753" t="s">
        <v>172</v>
      </c>
      <c r="I23" s="1397">
        <f>928000+100000</f>
        <v>1028000</v>
      </c>
      <c r="J23" s="1389">
        <f>525000+(100000/2)</f>
        <v>575000</v>
      </c>
      <c r="K23" s="1398">
        <f>487200+(100000/3)</f>
        <v>520533.3333</v>
      </c>
      <c r="L23" s="1387">
        <f>400000+(100000/4)</f>
        <v>425000</v>
      </c>
      <c r="M23" s="1387"/>
      <c r="N23" s="1387"/>
    </row>
    <row r="24">
      <c r="A24" s="757" t="s">
        <v>1977</v>
      </c>
      <c r="B24" s="1388">
        <v>102000.0</v>
      </c>
      <c r="C24" s="1388">
        <v>115000.0</v>
      </c>
      <c r="D24" s="1388">
        <v>139466.67</v>
      </c>
      <c r="E24" s="1388">
        <v>125000.0</v>
      </c>
      <c r="F24" s="630"/>
      <c r="G24" s="630"/>
      <c r="H24" s="757" t="s">
        <v>1977</v>
      </c>
      <c r="I24" s="1389">
        <v>102000.0</v>
      </c>
      <c r="J24" s="1389">
        <v>115000.0</v>
      </c>
      <c r="K24" s="1389">
        <v>139466.67</v>
      </c>
      <c r="L24" s="1389">
        <v>125000.0</v>
      </c>
      <c r="M24" s="1387"/>
      <c r="N24" s="1387"/>
    </row>
    <row r="25">
      <c r="H25" s="1399"/>
      <c r="I25" s="1399"/>
      <c r="J25" s="1399"/>
      <c r="K25" s="1399"/>
      <c r="L25" s="1399"/>
      <c r="M25" s="1399"/>
      <c r="N25" s="1399"/>
    </row>
    <row r="26">
      <c r="A26" s="1385" t="s">
        <v>3381</v>
      </c>
      <c r="B26" s="439"/>
      <c r="C26" s="439"/>
      <c r="D26" s="439"/>
      <c r="E26" s="440"/>
      <c r="F26" s="630"/>
      <c r="G26" s="630"/>
      <c r="H26" s="1386" t="s">
        <v>3381</v>
      </c>
      <c r="I26" s="439"/>
      <c r="J26" s="439"/>
      <c r="K26" s="439"/>
      <c r="L26" s="440"/>
      <c r="M26" s="1387"/>
      <c r="N26" s="1387"/>
    </row>
    <row r="27">
      <c r="A27" s="753" t="s">
        <v>3375</v>
      </c>
      <c r="B27" s="1397">
        <f>B28+102400</f>
        <v>900000</v>
      </c>
      <c r="C27" s="1399">
        <f>C28+117000</f>
        <v>600000</v>
      </c>
      <c r="D27" s="1398">
        <f>D28+138200</f>
        <v>595000</v>
      </c>
      <c r="E27" s="1389">
        <f>E28+124000</f>
        <v>585000</v>
      </c>
      <c r="F27" s="630"/>
      <c r="G27" s="630"/>
      <c r="H27" s="753" t="s">
        <v>3375</v>
      </c>
      <c r="I27" s="1397">
        <f>I28+102400</f>
        <v>900000</v>
      </c>
      <c r="J27" s="1399">
        <f>J28+117000</f>
        <v>600000</v>
      </c>
      <c r="K27" s="1398">
        <f>K28+138200</f>
        <v>595000</v>
      </c>
      <c r="L27" s="1389">
        <f>L28+124000</f>
        <v>585000</v>
      </c>
      <c r="M27" s="1387"/>
      <c r="N27" s="1387"/>
    </row>
    <row r="28">
      <c r="A28" s="753" t="s">
        <v>172</v>
      </c>
      <c r="B28" s="1395">
        <f>797600</f>
        <v>797600</v>
      </c>
      <c r="C28" s="1388">
        <f>483000</f>
        <v>483000</v>
      </c>
      <c r="D28" s="1396">
        <f>456800</f>
        <v>456800</v>
      </c>
      <c r="E28" s="630">
        <f>461000</f>
        <v>461000</v>
      </c>
      <c r="F28" s="630"/>
      <c r="G28" s="630"/>
      <c r="H28" s="753" t="s">
        <v>172</v>
      </c>
      <c r="I28" s="1397">
        <f>797600</f>
        <v>797600</v>
      </c>
      <c r="J28" s="1389">
        <f>483000</f>
        <v>483000</v>
      </c>
      <c r="K28" s="1398">
        <f>456800</f>
        <v>456800</v>
      </c>
      <c r="L28" s="1387">
        <f>461000</f>
        <v>461000</v>
      </c>
      <c r="M28" s="1387"/>
      <c r="N28" s="1387"/>
    </row>
    <row r="29">
      <c r="A29" s="757" t="s">
        <v>1977</v>
      </c>
      <c r="B29" s="1400">
        <f t="shared" ref="B29:E29" si="10">B27-B28</f>
        <v>102400</v>
      </c>
      <c r="C29" s="630">
        <f t="shared" si="10"/>
        <v>117000</v>
      </c>
      <c r="D29" s="1401">
        <f t="shared" si="10"/>
        <v>138200</v>
      </c>
      <c r="E29" s="630">
        <f t="shared" si="10"/>
        <v>124000</v>
      </c>
      <c r="F29" s="630"/>
      <c r="G29" s="630"/>
      <c r="H29" s="757" t="s">
        <v>1977</v>
      </c>
      <c r="I29" s="1402">
        <f t="shared" ref="I29:L29" si="11">I27-I28</f>
        <v>102400</v>
      </c>
      <c r="J29" s="1387">
        <f t="shared" si="11"/>
        <v>117000</v>
      </c>
      <c r="K29" s="1403">
        <f t="shared" si="11"/>
        <v>138200</v>
      </c>
      <c r="L29" s="1387">
        <f t="shared" si="11"/>
        <v>124000</v>
      </c>
      <c r="M29" s="1387"/>
      <c r="N29" s="1387"/>
    </row>
    <row r="30">
      <c r="H30" s="1399"/>
      <c r="I30" s="1399"/>
      <c r="J30" s="1399"/>
      <c r="K30" s="1399"/>
      <c r="L30" s="1399"/>
      <c r="M30" s="1399"/>
      <c r="N30" s="1399"/>
    </row>
    <row r="31">
      <c r="A31" s="1385" t="s">
        <v>3382</v>
      </c>
      <c r="B31" s="439"/>
      <c r="C31" s="439"/>
      <c r="D31" s="439"/>
      <c r="E31" s="440"/>
      <c r="F31" s="630"/>
      <c r="G31" s="630"/>
      <c r="H31" s="1386" t="s">
        <v>3382</v>
      </c>
      <c r="I31" s="439"/>
      <c r="J31" s="439"/>
      <c r="K31" s="439"/>
      <c r="L31" s="440"/>
      <c r="M31" s="1387"/>
      <c r="N31" s="1387"/>
    </row>
    <row r="32">
      <c r="A32" s="753" t="s">
        <v>3375</v>
      </c>
      <c r="B32" s="1390">
        <f t="shared" ref="B32:E32" si="12">B33+B34</f>
        <v>1300000</v>
      </c>
      <c r="C32" s="1390">
        <f t="shared" si="12"/>
        <v>800000</v>
      </c>
      <c r="D32" s="1390">
        <f t="shared" si="12"/>
        <v>735000.0033</v>
      </c>
      <c r="E32" s="1390">
        <f t="shared" si="12"/>
        <v>610000</v>
      </c>
      <c r="F32" s="1390">
        <v>580000.0</v>
      </c>
      <c r="G32" s="630"/>
      <c r="H32" s="753" t="s">
        <v>3375</v>
      </c>
      <c r="I32" s="1390">
        <f t="shared" ref="I32:L32" si="13">I33+I34</f>
        <v>1300000</v>
      </c>
      <c r="J32" s="1390">
        <f t="shared" si="13"/>
        <v>800000</v>
      </c>
      <c r="K32" s="1390">
        <f t="shared" si="13"/>
        <v>735000.0033</v>
      </c>
      <c r="L32" s="1390">
        <f t="shared" si="13"/>
        <v>610000</v>
      </c>
      <c r="M32" s="1387"/>
      <c r="N32" s="1387"/>
    </row>
    <row r="33">
      <c r="A33" s="753" t="s">
        <v>172</v>
      </c>
      <c r="B33" s="1395">
        <f>1098400+100000</f>
        <v>1198400</v>
      </c>
      <c r="C33" s="1388">
        <f>635500+(100000/2)</f>
        <v>685500</v>
      </c>
      <c r="D33" s="1396">
        <f>560000+(100000/3)</f>
        <v>593333.3333</v>
      </c>
      <c r="E33" s="630">
        <f>463200+(100000/4)</f>
        <v>488200</v>
      </c>
      <c r="F33" s="1395">
        <f>404800+22000</f>
        <v>426800</v>
      </c>
      <c r="G33" s="630"/>
      <c r="H33" s="753" t="s">
        <v>172</v>
      </c>
      <c r="I33" s="1397">
        <f>1098400+100000</f>
        <v>1198400</v>
      </c>
      <c r="J33" s="1389">
        <f>635500+(100000/2)</f>
        <v>685500</v>
      </c>
      <c r="K33" s="1398">
        <f>560000+(100000/3)</f>
        <v>593333.3333</v>
      </c>
      <c r="L33" s="1387">
        <f>463200+(100000/4)</f>
        <v>488200</v>
      </c>
      <c r="M33" s="1387"/>
      <c r="N33" s="1387"/>
    </row>
    <row r="34">
      <c r="A34" s="757" t="s">
        <v>1977</v>
      </c>
      <c r="B34" s="1388">
        <v>101600.0</v>
      </c>
      <c r="C34" s="1388">
        <v>114500.0</v>
      </c>
      <c r="D34" s="1388">
        <v>141666.67</v>
      </c>
      <c r="E34" s="1388">
        <v>121800.0</v>
      </c>
      <c r="F34" s="1404">
        <f>F32-F33</f>
        <v>153200</v>
      </c>
      <c r="G34" s="630"/>
      <c r="H34" s="757" t="s">
        <v>1977</v>
      </c>
      <c r="I34" s="1389">
        <v>101600.0</v>
      </c>
      <c r="J34" s="1389">
        <v>114500.0</v>
      </c>
      <c r="K34" s="1389">
        <v>141666.67</v>
      </c>
      <c r="L34" s="1389">
        <v>121800.0</v>
      </c>
      <c r="M34" s="1387"/>
      <c r="N34" s="1387"/>
    </row>
    <row r="35">
      <c r="H35" s="1399"/>
      <c r="I35" s="1399"/>
      <c r="J35" s="1399"/>
      <c r="K35" s="1399"/>
      <c r="L35" s="1399"/>
      <c r="M35" s="1399"/>
      <c r="N35" s="1399"/>
    </row>
    <row r="36">
      <c r="A36" s="1385" t="s">
        <v>3383</v>
      </c>
      <c r="B36" s="439"/>
      <c r="C36" s="439"/>
      <c r="D36" s="439"/>
      <c r="E36" s="440"/>
      <c r="F36" s="630"/>
      <c r="G36" s="630"/>
      <c r="H36" s="1386" t="s">
        <v>3383</v>
      </c>
      <c r="I36" s="439"/>
      <c r="J36" s="439"/>
      <c r="K36" s="439"/>
      <c r="L36" s="440"/>
      <c r="M36" s="1387"/>
      <c r="N36" s="1387"/>
    </row>
    <row r="37">
      <c r="A37" s="753" t="s">
        <v>3375</v>
      </c>
      <c r="B37" s="1390">
        <f t="shared" ref="B37:E37" si="14">B38+B39</f>
        <v>480000</v>
      </c>
      <c r="C37" s="1390">
        <f t="shared" si="14"/>
        <v>345000</v>
      </c>
      <c r="D37" s="1390">
        <f t="shared" si="14"/>
        <v>325000.0033</v>
      </c>
      <c r="E37" s="1390">
        <f t="shared" si="14"/>
        <v>270000</v>
      </c>
      <c r="F37" s="630"/>
      <c r="G37" s="630"/>
      <c r="H37" s="753" t="s">
        <v>3375</v>
      </c>
      <c r="I37" s="1390">
        <f t="shared" ref="I37:L37" si="15">I38+I39</f>
        <v>480000</v>
      </c>
      <c r="J37" s="1390">
        <f t="shared" si="15"/>
        <v>345000</v>
      </c>
      <c r="K37" s="1390">
        <f t="shared" si="15"/>
        <v>325000.0033</v>
      </c>
      <c r="L37" s="1390">
        <f t="shared" si="15"/>
        <v>270000</v>
      </c>
      <c r="M37" s="1387"/>
      <c r="N37" s="1387"/>
    </row>
    <row r="38">
      <c r="A38" s="753" t="s">
        <v>172</v>
      </c>
      <c r="B38" s="1395">
        <f>272000+100000</f>
        <v>372000</v>
      </c>
      <c r="C38" s="1388">
        <f>171200+(100000/2)</f>
        <v>221200</v>
      </c>
      <c r="D38" s="1396">
        <f>135200+(100000/3)</f>
        <v>168533.3333</v>
      </c>
      <c r="E38" s="630">
        <f>117600+(100000/4)</f>
        <v>142600</v>
      </c>
      <c r="F38" s="630"/>
      <c r="G38" s="630"/>
      <c r="H38" s="753" t="s">
        <v>172</v>
      </c>
      <c r="I38" s="1397">
        <f>272000+100000</f>
        <v>372000</v>
      </c>
      <c r="J38" s="1389">
        <f>171200+(100000/2)</f>
        <v>221200</v>
      </c>
      <c r="K38" s="1398">
        <f>135200+(100000/3)</f>
        <v>168533.3333</v>
      </c>
      <c r="L38" s="1387">
        <f>117600+(100000/4)</f>
        <v>142600</v>
      </c>
      <c r="M38" s="1387"/>
      <c r="N38" s="1387"/>
    </row>
    <row r="39">
      <c r="A39" s="757" t="s">
        <v>1977</v>
      </c>
      <c r="B39" s="1388">
        <v>108000.0</v>
      </c>
      <c r="C39" s="1388">
        <v>123800.0</v>
      </c>
      <c r="D39" s="1405">
        <v>156466.67</v>
      </c>
      <c r="E39" s="1388">
        <v>127400.0</v>
      </c>
      <c r="F39" s="630"/>
      <c r="G39" s="630"/>
      <c r="H39" s="757" t="s">
        <v>1977</v>
      </c>
      <c r="I39" s="1389">
        <v>108000.0</v>
      </c>
      <c r="J39" s="1389">
        <v>123800.0</v>
      </c>
      <c r="K39" s="1406">
        <v>156466.67</v>
      </c>
      <c r="L39" s="1389">
        <v>127400.0</v>
      </c>
      <c r="M39" s="1387"/>
      <c r="N39" s="1387"/>
    </row>
    <row r="40">
      <c r="H40" s="1399"/>
      <c r="I40" s="1399"/>
      <c r="J40" s="1399"/>
      <c r="K40" s="1399"/>
      <c r="L40" s="1399"/>
      <c r="M40" s="1399"/>
      <c r="N40" s="1399"/>
    </row>
    <row r="41">
      <c r="A41" s="1385" t="s">
        <v>3384</v>
      </c>
      <c r="B41" s="439"/>
      <c r="C41" s="439"/>
      <c r="D41" s="439"/>
      <c r="E41" s="440"/>
      <c r="F41" s="630"/>
      <c r="G41" s="630"/>
      <c r="H41" s="1386" t="s">
        <v>3385</v>
      </c>
      <c r="I41" s="439"/>
      <c r="J41" s="439"/>
      <c r="K41" s="439"/>
      <c r="L41" s="440"/>
      <c r="M41" s="1387"/>
      <c r="N41" s="1387"/>
    </row>
    <row r="42">
      <c r="A42" s="753" t="s">
        <v>3375</v>
      </c>
      <c r="B42" s="1390">
        <f t="shared" ref="B42:E42" si="16">B43+B44</f>
        <v>1055000</v>
      </c>
      <c r="C42" s="1390">
        <f t="shared" si="16"/>
        <v>660000</v>
      </c>
      <c r="D42" s="1390">
        <f t="shared" si="16"/>
        <v>615000.0033</v>
      </c>
      <c r="E42" s="1390">
        <f t="shared" si="16"/>
        <v>525000</v>
      </c>
      <c r="F42" s="630"/>
      <c r="G42" s="630"/>
      <c r="H42" s="753" t="s">
        <v>3375</v>
      </c>
      <c r="I42" s="1390">
        <v>1350000.0</v>
      </c>
      <c r="J42" s="1390">
        <v>840000.0</v>
      </c>
      <c r="K42" s="1390">
        <v>780000.0</v>
      </c>
      <c r="L42" s="1390">
        <v>690000.0</v>
      </c>
      <c r="M42" s="1387"/>
      <c r="N42" s="1387"/>
    </row>
    <row r="43">
      <c r="A43" s="753" t="s">
        <v>172</v>
      </c>
      <c r="B43" s="1395">
        <f>846400+100000</f>
        <v>946400</v>
      </c>
      <c r="C43" s="1388">
        <f>493600+(100000/2)</f>
        <v>543600</v>
      </c>
      <c r="D43" s="1396">
        <f>449600+(100000/3)</f>
        <v>482933.3333</v>
      </c>
      <c r="E43" s="630">
        <f>374400+(100000/4)</f>
        <v>399400</v>
      </c>
      <c r="F43" s="630"/>
      <c r="G43" s="630"/>
      <c r="H43" s="753" t="s">
        <v>172</v>
      </c>
      <c r="I43" s="1397">
        <v>1183000.0</v>
      </c>
      <c r="J43" s="1389">
        <v>671000.0</v>
      </c>
      <c r="K43" s="1398">
        <v>578000.0</v>
      </c>
      <c r="L43" s="1389">
        <v>473000.0</v>
      </c>
      <c r="M43" s="1387"/>
      <c r="N43" s="1387"/>
    </row>
    <row r="44">
      <c r="A44" s="757" t="s">
        <v>1977</v>
      </c>
      <c r="B44" s="1388">
        <v>108600.0</v>
      </c>
      <c r="C44" s="1388">
        <v>116400.0</v>
      </c>
      <c r="D44" s="1388">
        <v>132066.67</v>
      </c>
      <c r="E44" s="1388">
        <v>125600.0</v>
      </c>
      <c r="F44" s="630"/>
      <c r="G44" s="630"/>
      <c r="H44" s="757" t="s">
        <v>1977</v>
      </c>
      <c r="I44" s="1390">
        <f t="shared" ref="I44:L44" si="17">I42-I43</f>
        <v>167000</v>
      </c>
      <c r="J44" s="1390">
        <f t="shared" si="17"/>
        <v>169000</v>
      </c>
      <c r="K44" s="1390">
        <f t="shared" si="17"/>
        <v>202000</v>
      </c>
      <c r="L44" s="1390">
        <f t="shared" si="17"/>
        <v>217000</v>
      </c>
      <c r="M44" s="1387"/>
      <c r="N44" s="1387"/>
    </row>
    <row r="47">
      <c r="A47" s="1383" t="s">
        <v>3386</v>
      </c>
      <c r="B47" s="439"/>
      <c r="C47" s="439"/>
      <c r="D47" s="439"/>
      <c r="E47" s="439"/>
      <c r="F47" s="439"/>
      <c r="G47" s="440"/>
    </row>
    <row r="48">
      <c r="A48" s="1385" t="s">
        <v>3387</v>
      </c>
      <c r="B48" s="439"/>
      <c r="C48" s="439"/>
      <c r="D48" s="439"/>
      <c r="E48" s="440"/>
      <c r="F48" s="630"/>
      <c r="G48" s="630"/>
    </row>
    <row r="49">
      <c r="A49" s="751"/>
      <c r="B49" s="1388"/>
      <c r="C49" s="1388"/>
      <c r="D49" s="1388"/>
      <c r="E49" s="1388"/>
      <c r="F49" s="630"/>
      <c r="G49" s="630"/>
    </row>
    <row r="50">
      <c r="A50" s="753" t="s">
        <v>3375</v>
      </c>
      <c r="B50" s="1390">
        <v>180000.0</v>
      </c>
      <c r="C50" s="1390">
        <v>200000.0</v>
      </c>
      <c r="D50" s="1390"/>
      <c r="E50" s="1390"/>
      <c r="F50" s="630"/>
      <c r="G50" s="630"/>
    </row>
    <row r="51">
      <c r="A51" s="753" t="s">
        <v>172</v>
      </c>
      <c r="B51" s="1393">
        <f t="shared" ref="B51:C51" si="18">99000*0.85</f>
        <v>84150</v>
      </c>
      <c r="C51" s="1393">
        <f t="shared" si="18"/>
        <v>84150</v>
      </c>
      <c r="D51" s="1393"/>
      <c r="E51" s="1404"/>
      <c r="F51" s="630"/>
      <c r="G51" s="630"/>
    </row>
    <row r="52">
      <c r="A52" s="757" t="s">
        <v>1977</v>
      </c>
      <c r="B52" s="1393">
        <f t="shared" ref="B52:C52" si="19">B50-B51</f>
        <v>95850</v>
      </c>
      <c r="C52" s="1393">
        <f t="shared" si="19"/>
        <v>115850</v>
      </c>
      <c r="D52" s="1393"/>
      <c r="E52" s="1393"/>
      <c r="F52" s="630"/>
      <c r="G52" s="630"/>
    </row>
    <row r="53">
      <c r="A53" s="1385" t="s">
        <v>3388</v>
      </c>
      <c r="B53" s="439"/>
      <c r="C53" s="439"/>
      <c r="D53" s="439"/>
      <c r="E53" s="440"/>
      <c r="F53" s="630"/>
      <c r="G53" s="630"/>
    </row>
    <row r="54">
      <c r="A54" s="753" t="s">
        <v>3375</v>
      </c>
      <c r="B54" s="1390">
        <v>400000.0</v>
      </c>
      <c r="C54" s="1390">
        <v>440000.0</v>
      </c>
      <c r="D54" s="1390"/>
      <c r="E54" s="1390"/>
      <c r="F54" s="630"/>
      <c r="G54" s="630"/>
    </row>
    <row r="55">
      <c r="A55" s="753" t="s">
        <v>172</v>
      </c>
      <c r="B55" s="1393">
        <f>299000*0.85</f>
        <v>254150</v>
      </c>
      <c r="C55" s="1393">
        <v>279510.0</v>
      </c>
      <c r="D55" s="1393"/>
      <c r="E55" s="1404"/>
      <c r="F55" s="630"/>
      <c r="G55" s="630"/>
    </row>
    <row r="56">
      <c r="A56" s="757" t="s">
        <v>1977</v>
      </c>
      <c r="B56" s="1393">
        <f t="shared" ref="B56:C56" si="20">B54-B55</f>
        <v>145850</v>
      </c>
      <c r="C56" s="1393">
        <f t="shared" si="20"/>
        <v>160490</v>
      </c>
      <c r="D56" s="1393"/>
      <c r="E56" s="1393"/>
      <c r="F56" s="630"/>
      <c r="G56" s="630"/>
    </row>
    <row r="57">
      <c r="A57" s="1385" t="s">
        <v>3389</v>
      </c>
      <c r="B57" s="439"/>
      <c r="C57" s="439"/>
      <c r="D57" s="439"/>
      <c r="E57" s="440"/>
      <c r="F57" s="630"/>
      <c r="G57" s="630"/>
    </row>
    <row r="58">
      <c r="A58" s="753" t="s">
        <v>3375</v>
      </c>
      <c r="B58" s="1390">
        <v>500000.0</v>
      </c>
      <c r="C58" s="1390">
        <v>550000.0</v>
      </c>
      <c r="D58" s="1390"/>
      <c r="E58" s="1390"/>
      <c r="F58" s="630"/>
      <c r="G58" s="630"/>
    </row>
    <row r="59">
      <c r="A59" s="753" t="s">
        <v>172</v>
      </c>
      <c r="B59" s="1393">
        <f t="shared" ref="B59:C59" si="21">399000*0.85</f>
        <v>339150</v>
      </c>
      <c r="C59" s="1393">
        <f t="shared" si="21"/>
        <v>339150</v>
      </c>
      <c r="D59" s="1393"/>
      <c r="E59" s="1404"/>
      <c r="F59" s="630"/>
      <c r="G59" s="630"/>
    </row>
    <row r="60">
      <c r="A60" s="757" t="s">
        <v>1977</v>
      </c>
      <c r="B60" s="1393">
        <f t="shared" ref="B60:C60" si="22">B58-B59</f>
        <v>160850</v>
      </c>
      <c r="C60" s="1393">
        <f t="shared" si="22"/>
        <v>210850</v>
      </c>
      <c r="D60" s="1393"/>
      <c r="E60" s="1393"/>
      <c r="F60" s="630"/>
      <c r="G60" s="630"/>
    </row>
    <row r="61">
      <c r="A61" s="1385" t="s">
        <v>3390</v>
      </c>
      <c r="B61" s="439"/>
      <c r="C61" s="439"/>
      <c r="D61" s="439"/>
      <c r="E61" s="440"/>
      <c r="F61" s="630"/>
      <c r="G61" s="630"/>
    </row>
    <row r="62">
      <c r="A62" s="753" t="s">
        <v>3375</v>
      </c>
      <c r="B62" s="1390">
        <v>190000.0</v>
      </c>
      <c r="C62" s="1390">
        <v>220000.0</v>
      </c>
      <c r="D62" s="1390"/>
      <c r="E62" s="1390"/>
      <c r="F62" s="630"/>
      <c r="G62" s="630"/>
    </row>
    <row r="63">
      <c r="A63" s="753" t="s">
        <v>172</v>
      </c>
      <c r="B63" s="1393">
        <f t="shared" ref="B63:C63" si="23">129000*0.85</f>
        <v>109650</v>
      </c>
      <c r="C63" s="1393">
        <f t="shared" si="23"/>
        <v>109650</v>
      </c>
      <c r="D63" s="1393"/>
      <c r="E63" s="1404"/>
      <c r="F63" s="630"/>
      <c r="G63" s="630"/>
    </row>
    <row r="64">
      <c r="A64" s="757" t="s">
        <v>1977</v>
      </c>
      <c r="B64" s="1393">
        <f t="shared" ref="B64:C64" si="24">B62-B63</f>
        <v>80350</v>
      </c>
      <c r="C64" s="1393">
        <f t="shared" si="24"/>
        <v>110350</v>
      </c>
      <c r="D64" s="1393"/>
      <c r="E64" s="1393"/>
      <c r="F64" s="630"/>
      <c r="G64" s="630"/>
    </row>
    <row r="65">
      <c r="A65" s="1385" t="s">
        <v>3391</v>
      </c>
      <c r="B65" s="439"/>
      <c r="C65" s="439"/>
      <c r="D65" s="439"/>
      <c r="E65" s="440"/>
      <c r="F65" s="630"/>
      <c r="G65" s="630"/>
    </row>
    <row r="66">
      <c r="A66" s="753" t="s">
        <v>3375</v>
      </c>
      <c r="B66" s="1390">
        <v>530000.0</v>
      </c>
      <c r="C66" s="1390">
        <v>585000.0</v>
      </c>
      <c r="D66" s="1390"/>
      <c r="E66" s="1390"/>
      <c r="F66" s="630"/>
      <c r="G66" s="630"/>
    </row>
    <row r="67">
      <c r="A67" s="753" t="s">
        <v>172</v>
      </c>
      <c r="B67" s="1393">
        <f t="shared" ref="B67:C67" si="25">399000*0.85</f>
        <v>339150</v>
      </c>
      <c r="C67" s="1393">
        <f t="shared" si="25"/>
        <v>339150</v>
      </c>
      <c r="D67" s="1393"/>
      <c r="E67" s="1404"/>
      <c r="F67" s="630"/>
      <c r="G67" s="630"/>
    </row>
    <row r="68">
      <c r="A68" s="757" t="s">
        <v>1977</v>
      </c>
      <c r="B68" s="1393">
        <f t="shared" ref="B68:C68" si="26">B66-B67</f>
        <v>190850</v>
      </c>
      <c r="C68" s="1393">
        <f t="shared" si="26"/>
        <v>245850</v>
      </c>
      <c r="D68" s="1393"/>
      <c r="E68" s="1393"/>
      <c r="F68" s="630"/>
      <c r="G68" s="630"/>
    </row>
    <row r="73">
      <c r="A73" s="1385" t="s">
        <v>3378</v>
      </c>
      <c r="B73" s="439"/>
      <c r="C73" s="439"/>
      <c r="D73" s="439"/>
      <c r="E73" s="440"/>
      <c r="F73" s="630"/>
      <c r="G73" s="630"/>
      <c r="H73" s="1386" t="s">
        <v>3378</v>
      </c>
      <c r="I73" s="439"/>
      <c r="J73" s="439"/>
      <c r="K73" s="439"/>
      <c r="L73" s="440"/>
      <c r="M73" s="1387"/>
      <c r="N73" s="1387"/>
    </row>
    <row r="74">
      <c r="A74" s="753" t="s">
        <v>3375</v>
      </c>
      <c r="B74" s="1390">
        <f t="shared" ref="B74:E74" si="27">B75+B76</f>
        <v>1150000</v>
      </c>
      <c r="C74" s="1390">
        <f t="shared" si="27"/>
        <v>680000</v>
      </c>
      <c r="D74" s="1390">
        <f t="shared" si="27"/>
        <v>625000.0033</v>
      </c>
      <c r="E74" s="1390">
        <f t="shared" si="27"/>
        <v>548740</v>
      </c>
      <c r="F74" s="1388">
        <v>460000.0</v>
      </c>
      <c r="G74" s="630"/>
      <c r="H74" s="753" t="s">
        <v>3375</v>
      </c>
      <c r="I74" s="1390">
        <f t="shared" ref="I74:L74" si="28">I75+I76</f>
        <v>1150000</v>
      </c>
      <c r="J74" s="1390">
        <f t="shared" si="28"/>
        <v>680000</v>
      </c>
      <c r="K74" s="1390">
        <f t="shared" si="28"/>
        <v>625000.0033</v>
      </c>
      <c r="L74" s="1390">
        <f t="shared" si="28"/>
        <v>510000</v>
      </c>
      <c r="M74" s="1387"/>
      <c r="N74" s="1387"/>
    </row>
    <row r="75">
      <c r="A75" s="753" t="s">
        <v>172</v>
      </c>
      <c r="B75" s="1395">
        <f>929600+100000</f>
        <v>1029600</v>
      </c>
      <c r="C75" s="630">
        <f>508000+(100000/2)</f>
        <v>558000</v>
      </c>
      <c r="D75" s="1396">
        <f>454400+(100000/3)</f>
        <v>487733.3333</v>
      </c>
      <c r="E75" s="1395">
        <v>426140.0</v>
      </c>
      <c r="F75" s="1388">
        <v>329200.0</v>
      </c>
      <c r="G75" s="630"/>
      <c r="H75" s="753" t="s">
        <v>172</v>
      </c>
      <c r="I75" s="1397">
        <f>929600+100000</f>
        <v>1029600</v>
      </c>
      <c r="J75" s="1387">
        <f>508000+(100000/2)</f>
        <v>558000</v>
      </c>
      <c r="K75" s="1398">
        <f>454400+(100000/3)</f>
        <v>487733.3333</v>
      </c>
      <c r="L75" s="1387">
        <f>362400+(100000/4)</f>
        <v>387400</v>
      </c>
      <c r="M75" s="1387"/>
      <c r="N75" s="1387"/>
    </row>
    <row r="76">
      <c r="A76" s="757" t="s">
        <v>1977</v>
      </c>
      <c r="B76" s="1388">
        <v>120400.0</v>
      </c>
      <c r="C76" s="1388">
        <v>122000.0</v>
      </c>
      <c r="D76" s="1388">
        <v>137266.67</v>
      </c>
      <c r="E76" s="1388">
        <v>122600.0</v>
      </c>
      <c r="F76" s="630">
        <f>F74-F75</f>
        <v>130800</v>
      </c>
      <c r="G76" s="630"/>
      <c r="H76" s="757" t="s">
        <v>1977</v>
      </c>
      <c r="I76" s="1389">
        <v>120400.0</v>
      </c>
      <c r="J76" s="1389">
        <v>122000.0</v>
      </c>
      <c r="K76" s="1389">
        <v>137266.67</v>
      </c>
      <c r="L76" s="1389">
        <v>122600.0</v>
      </c>
      <c r="M76" s="1387"/>
      <c r="N76" s="1387"/>
    </row>
  </sheetData>
  <mergeCells count="26">
    <mergeCell ref="A1:G1"/>
    <mergeCell ref="H1:N1"/>
    <mergeCell ref="A2:E2"/>
    <mergeCell ref="H2:L2"/>
    <mergeCell ref="A10:E10"/>
    <mergeCell ref="H10:L10"/>
    <mergeCell ref="H15:L15"/>
    <mergeCell ref="A15:E15"/>
    <mergeCell ref="A21:E21"/>
    <mergeCell ref="H21:L21"/>
    <mergeCell ref="A26:E26"/>
    <mergeCell ref="H26:L26"/>
    <mergeCell ref="A31:E31"/>
    <mergeCell ref="H31:L31"/>
    <mergeCell ref="A57:E57"/>
    <mergeCell ref="A61:E61"/>
    <mergeCell ref="A65:E65"/>
    <mergeCell ref="A73:E73"/>
    <mergeCell ref="H73:L73"/>
    <mergeCell ref="A36:E36"/>
    <mergeCell ref="H36:L36"/>
    <mergeCell ref="A41:E41"/>
    <mergeCell ref="H41:L41"/>
    <mergeCell ref="A47:G47"/>
    <mergeCell ref="A48:E48"/>
    <mergeCell ref="A53:E5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8.71"/>
  </cols>
  <sheetData>
    <row r="1">
      <c r="A1" s="1383"/>
      <c r="B1" s="439"/>
      <c r="C1" s="439"/>
      <c r="D1" s="439"/>
      <c r="E1" s="439"/>
      <c r="F1" s="439"/>
      <c r="G1" s="440"/>
      <c r="H1" s="1384" t="s">
        <v>3372</v>
      </c>
      <c r="I1" s="439"/>
      <c r="J1" s="439"/>
      <c r="K1" s="439"/>
      <c r="L1" s="439"/>
      <c r="M1" s="439"/>
      <c r="N1" s="440"/>
    </row>
    <row r="2">
      <c r="A2" s="1407" t="s">
        <v>3392</v>
      </c>
      <c r="B2" s="439"/>
      <c r="C2" s="439"/>
      <c r="D2" s="439"/>
      <c r="E2" s="439"/>
      <c r="F2" s="439"/>
      <c r="G2" s="440"/>
      <c r="H2" s="1386" t="s">
        <v>3374</v>
      </c>
      <c r="I2" s="439"/>
      <c r="J2" s="439"/>
      <c r="K2" s="439"/>
      <c r="L2" s="440"/>
      <c r="M2" s="1387"/>
      <c r="N2" s="1387"/>
    </row>
    <row r="3">
      <c r="A3" s="1385" t="s">
        <v>3393</v>
      </c>
      <c r="B3" s="439"/>
      <c r="C3" s="439"/>
      <c r="D3" s="439"/>
      <c r="E3" s="440"/>
      <c r="F3" s="630"/>
      <c r="G3" s="630"/>
      <c r="H3" s="751"/>
      <c r="I3" s="1389" t="s">
        <v>153</v>
      </c>
      <c r="J3" s="1389">
        <v>2.0</v>
      </c>
      <c r="K3" s="1389">
        <v>3.0</v>
      </c>
      <c r="L3" s="1389">
        <v>4.0</v>
      </c>
      <c r="M3" s="1387"/>
      <c r="N3" s="1387"/>
    </row>
    <row r="4">
      <c r="A4" s="751"/>
      <c r="B4" s="1388">
        <v>2025.0</v>
      </c>
      <c r="C4" s="1388">
        <v>2026.0</v>
      </c>
      <c r="D4" s="1388"/>
      <c r="E4" s="1388"/>
      <c r="F4" s="630"/>
      <c r="G4" s="630"/>
      <c r="H4" s="753" t="s">
        <v>3375</v>
      </c>
      <c r="I4" s="1390">
        <f t="shared" ref="I4:L4" si="1">I7+I8</f>
        <v>880000</v>
      </c>
      <c r="J4" s="1390">
        <f t="shared" si="1"/>
        <v>485000</v>
      </c>
      <c r="K4" s="1390">
        <f t="shared" si="1"/>
        <v>460000.0033</v>
      </c>
      <c r="L4" s="1390">
        <f t="shared" si="1"/>
        <v>380000</v>
      </c>
      <c r="M4" s="1387"/>
      <c r="N4" s="1387"/>
    </row>
    <row r="5">
      <c r="A5" s="753" t="s">
        <v>3375</v>
      </c>
      <c r="B5" s="1390">
        <v>320000.0</v>
      </c>
      <c r="C5" s="1390">
        <v>350000.0</v>
      </c>
      <c r="D5" s="1390"/>
      <c r="E5" s="1390"/>
      <c r="F5" s="630"/>
      <c r="G5" s="630"/>
      <c r="H5" s="753"/>
      <c r="I5" s="1390"/>
      <c r="J5" s="1394"/>
      <c r="K5" s="1390"/>
      <c r="L5" s="1394"/>
      <c r="M5" s="1387"/>
      <c r="N5" s="1387"/>
    </row>
    <row r="6">
      <c r="A6" s="753" t="s">
        <v>172</v>
      </c>
      <c r="B6" s="1393">
        <v>135000.0</v>
      </c>
      <c r="C6" s="1393">
        <v>148665.0</v>
      </c>
      <c r="D6" s="1393"/>
      <c r="E6" s="1404"/>
      <c r="F6" s="630"/>
      <c r="G6" s="630"/>
      <c r="H6" s="753"/>
      <c r="I6" s="1390"/>
      <c r="J6" s="1394"/>
      <c r="K6" s="1390"/>
      <c r="L6" s="1394"/>
      <c r="M6" s="1387"/>
      <c r="N6" s="1387"/>
    </row>
    <row r="7">
      <c r="A7" s="757" t="s">
        <v>1977</v>
      </c>
      <c r="B7" s="1393">
        <f t="shared" ref="B7:C7" si="2">B5-B6</f>
        <v>185000</v>
      </c>
      <c r="C7" s="1393">
        <f t="shared" si="2"/>
        <v>201335</v>
      </c>
      <c r="D7" s="1393"/>
      <c r="E7" s="1393"/>
      <c r="F7" s="630"/>
      <c r="G7" s="630"/>
      <c r="H7" s="753" t="s">
        <v>172</v>
      </c>
      <c r="I7" s="1390">
        <f>626400+100000</f>
        <v>726400</v>
      </c>
      <c r="J7" s="1394">
        <f>334400+(100000/2)</f>
        <v>384400</v>
      </c>
      <c r="K7" s="1390">
        <f>294400+(100000/3)</f>
        <v>327733.3333</v>
      </c>
      <c r="L7" s="1394">
        <f>231200+(100000/4)</f>
        <v>256200</v>
      </c>
      <c r="M7" s="1387"/>
      <c r="N7" s="1387"/>
    </row>
    <row r="8">
      <c r="A8" s="1385" t="s">
        <v>3394</v>
      </c>
      <c r="B8" s="439"/>
      <c r="C8" s="439"/>
      <c r="D8" s="439"/>
      <c r="E8" s="440"/>
      <c r="F8" s="630"/>
      <c r="G8" s="630"/>
      <c r="H8" s="757" t="s">
        <v>1977</v>
      </c>
      <c r="I8" s="1390">
        <v>153600.0</v>
      </c>
      <c r="J8" s="1390">
        <v>100600.0</v>
      </c>
      <c r="K8" s="1390">
        <v>132266.67</v>
      </c>
      <c r="L8" s="1390">
        <v>123800.0</v>
      </c>
      <c r="M8" s="1387"/>
      <c r="N8" s="1387"/>
    </row>
    <row r="9">
      <c r="A9" s="753" t="s">
        <v>3375</v>
      </c>
      <c r="B9" s="1393">
        <v>200000.0</v>
      </c>
      <c r="C9" s="1390">
        <v>250000.0</v>
      </c>
      <c r="D9" s="1390"/>
      <c r="E9" s="1390"/>
      <c r="F9" s="630"/>
      <c r="G9" s="630"/>
      <c r="H9" s="1387"/>
      <c r="I9" s="1387"/>
      <c r="J9" s="1387"/>
      <c r="K9" s="1387"/>
      <c r="L9" s="1387"/>
      <c r="M9" s="1387"/>
      <c r="N9" s="1387"/>
    </row>
    <row r="10">
      <c r="A10" s="753" t="s">
        <v>172</v>
      </c>
      <c r="B10" s="1408">
        <f t="shared" ref="B10:C10" si="3">B6</f>
        <v>135000</v>
      </c>
      <c r="C10" s="1393">
        <f t="shared" si="3"/>
        <v>148665</v>
      </c>
      <c r="D10" s="1393"/>
      <c r="E10" s="1404"/>
      <c r="F10" s="630"/>
      <c r="G10" s="630"/>
      <c r="H10" s="1386" t="s">
        <v>3378</v>
      </c>
      <c r="I10" s="439"/>
      <c r="J10" s="439"/>
      <c r="K10" s="439"/>
      <c r="L10" s="440"/>
      <c r="M10" s="1387"/>
      <c r="N10" s="1387"/>
    </row>
    <row r="11">
      <c r="A11" s="757" t="s">
        <v>1977</v>
      </c>
      <c r="B11" s="1393">
        <f t="shared" ref="B11:C11" si="4">B9-B10</f>
        <v>65000</v>
      </c>
      <c r="C11" s="1393">
        <f t="shared" si="4"/>
        <v>101335</v>
      </c>
      <c r="D11" s="1393"/>
      <c r="E11" s="1393"/>
      <c r="F11" s="630"/>
      <c r="G11" s="630"/>
      <c r="H11" s="753" t="s">
        <v>3375</v>
      </c>
      <c r="I11" s="1390">
        <f t="shared" ref="I11:L11" si="5">I12+I13</f>
        <v>1150000</v>
      </c>
      <c r="J11" s="1390">
        <f t="shared" si="5"/>
        <v>680000</v>
      </c>
      <c r="K11" s="1390">
        <f t="shared" si="5"/>
        <v>625000.0033</v>
      </c>
      <c r="L11" s="1390">
        <f t="shared" si="5"/>
        <v>510000</v>
      </c>
      <c r="M11" s="1387"/>
      <c r="N11" s="1387"/>
    </row>
    <row r="12">
      <c r="A12" s="1385" t="s">
        <v>3395</v>
      </c>
      <c r="B12" s="439"/>
      <c r="C12" s="439"/>
      <c r="D12" s="439"/>
      <c r="E12" s="440"/>
      <c r="F12" s="630"/>
      <c r="G12" s="630"/>
      <c r="H12" s="753" t="s">
        <v>172</v>
      </c>
      <c r="I12" s="1397">
        <f>929600+100000</f>
        <v>1029600</v>
      </c>
      <c r="J12" s="1387">
        <f>508000+(100000/2)</f>
        <v>558000</v>
      </c>
      <c r="K12" s="1398">
        <f>454400+(100000/3)</f>
        <v>487733.3333</v>
      </c>
      <c r="L12" s="1387">
        <f>362400+(100000/4)</f>
        <v>387400</v>
      </c>
      <c r="M12" s="1387"/>
      <c r="N12" s="1387"/>
    </row>
    <row r="13">
      <c r="A13" s="753" t="s">
        <v>3375</v>
      </c>
      <c r="B13" s="1390">
        <v>320000.0</v>
      </c>
      <c r="C13" s="1390">
        <v>350000.0</v>
      </c>
      <c r="D13" s="1390"/>
      <c r="E13" s="1390"/>
      <c r="F13" s="630"/>
      <c r="G13" s="630"/>
      <c r="H13" s="757" t="s">
        <v>1977</v>
      </c>
      <c r="I13" s="1389">
        <v>120400.0</v>
      </c>
      <c r="J13" s="1389">
        <v>122000.0</v>
      </c>
      <c r="K13" s="1389">
        <v>137266.67</v>
      </c>
      <c r="L13" s="1389">
        <v>122600.0</v>
      </c>
      <c r="M13" s="1387"/>
      <c r="N13" s="1387"/>
    </row>
    <row r="14">
      <c r="A14" s="753" t="s">
        <v>172</v>
      </c>
      <c r="B14" s="1393">
        <v>220150.0</v>
      </c>
      <c r="C14" s="1393">
        <v>242165.0</v>
      </c>
      <c r="D14" s="1393"/>
      <c r="E14" s="1404"/>
      <c r="F14" s="630"/>
      <c r="G14" s="630"/>
      <c r="H14" s="1387"/>
      <c r="I14" s="1387"/>
      <c r="J14" s="1387"/>
      <c r="K14" s="1387"/>
      <c r="L14" s="1387"/>
      <c r="M14" s="1387"/>
      <c r="N14" s="1387"/>
    </row>
    <row r="15">
      <c r="A15" s="757" t="s">
        <v>1977</v>
      </c>
      <c r="B15" s="1393">
        <f t="shared" ref="B15:C15" si="6">B13-B14</f>
        <v>99850</v>
      </c>
      <c r="C15" s="1393">
        <f t="shared" si="6"/>
        <v>107835</v>
      </c>
      <c r="D15" s="1393"/>
      <c r="E15" s="1393"/>
      <c r="F15" s="630"/>
      <c r="G15" s="630"/>
      <c r="H15" s="1386" t="s">
        <v>3379</v>
      </c>
      <c r="I15" s="439"/>
      <c r="J15" s="439"/>
      <c r="K15" s="439"/>
      <c r="L15" s="440"/>
      <c r="M15" s="1387"/>
      <c r="N15" s="1387"/>
    </row>
    <row r="16">
      <c r="A16" s="1409"/>
      <c r="B16" s="1410"/>
      <c r="C16" s="1410"/>
      <c r="D16" s="1410"/>
      <c r="E16" s="1410"/>
      <c r="F16" s="630"/>
      <c r="G16" s="630"/>
      <c r="H16" s="751"/>
      <c r="I16" s="1390"/>
      <c r="J16" s="1390"/>
      <c r="K16" s="1390"/>
      <c r="L16" s="1390"/>
      <c r="M16" s="1387"/>
      <c r="N16" s="1387"/>
    </row>
    <row r="17">
      <c r="A17" s="1409"/>
      <c r="B17" s="1410"/>
      <c r="C17" s="1410"/>
      <c r="D17" s="1410"/>
      <c r="E17" s="1410"/>
      <c r="F17" s="630"/>
      <c r="G17" s="630"/>
      <c r="H17" s="751"/>
      <c r="I17" s="1390"/>
      <c r="J17" s="1390"/>
      <c r="K17" s="1390"/>
      <c r="L17" s="1390"/>
      <c r="M17" s="1387"/>
      <c r="N17" s="1387"/>
    </row>
    <row r="18">
      <c r="A18" s="1411" t="s">
        <v>3396</v>
      </c>
      <c r="B18" s="439"/>
      <c r="C18" s="439"/>
      <c r="D18" s="439"/>
      <c r="E18" s="440"/>
      <c r="F18" s="630"/>
      <c r="G18" s="630"/>
      <c r="H18" s="753" t="s">
        <v>3375</v>
      </c>
      <c r="I18" s="1390">
        <f t="shared" ref="I18:L18" si="7">I21+I22</f>
        <v>800000</v>
      </c>
      <c r="J18" s="1390">
        <f t="shared" si="7"/>
        <v>475000</v>
      </c>
      <c r="K18" s="1390">
        <f t="shared" si="7"/>
        <v>444000.0033</v>
      </c>
      <c r="L18" s="1390">
        <f t="shared" si="7"/>
        <v>395000</v>
      </c>
      <c r="M18" s="1387"/>
      <c r="N18" s="1387"/>
    </row>
    <row r="19">
      <c r="A19" s="1412" t="s">
        <v>3397</v>
      </c>
      <c r="B19" s="740"/>
      <c r="C19" s="740"/>
      <c r="D19" s="740"/>
      <c r="E19" s="741"/>
      <c r="F19" s="630"/>
      <c r="G19" s="630"/>
      <c r="H19" s="753"/>
      <c r="I19" s="1390"/>
      <c r="J19" s="1390"/>
      <c r="K19" s="1390"/>
      <c r="L19" s="1390"/>
      <c r="M19" s="1387"/>
      <c r="N19" s="1387"/>
    </row>
    <row r="20">
      <c r="A20" s="751"/>
      <c r="B20" s="1390"/>
      <c r="C20" s="1390"/>
      <c r="D20" s="1390"/>
      <c r="E20" s="1390"/>
      <c r="F20" s="630"/>
      <c r="G20" s="630"/>
      <c r="H20" s="753"/>
      <c r="I20" s="1397"/>
      <c r="J20" s="1389"/>
      <c r="K20" s="1398"/>
      <c r="L20" s="1387"/>
      <c r="M20" s="1387"/>
      <c r="N20" s="1387"/>
    </row>
    <row r="21">
      <c r="A21" s="753" t="s">
        <v>3375</v>
      </c>
      <c r="B21" s="1390">
        <v>210000.0</v>
      </c>
      <c r="C21" s="1390">
        <v>250000.0</v>
      </c>
      <c r="D21" s="1390"/>
      <c r="E21" s="1390"/>
      <c r="F21" s="630"/>
      <c r="G21" s="630"/>
      <c r="H21" s="753" t="s">
        <v>172</v>
      </c>
      <c r="I21" s="1397">
        <f>598400+100000</f>
        <v>698400</v>
      </c>
      <c r="J21" s="1389">
        <f>313600+(100000/2)</f>
        <v>363600</v>
      </c>
      <c r="K21" s="1398">
        <f>276000+(100000/3)</f>
        <v>309333.3333</v>
      </c>
      <c r="L21" s="1387">
        <f>248000+(100000/4)</f>
        <v>273000</v>
      </c>
      <c r="M21" s="1387"/>
      <c r="N21" s="1387"/>
    </row>
    <row r="22">
      <c r="A22" s="753" t="s">
        <v>172</v>
      </c>
      <c r="B22" s="1393">
        <v>145000.0</v>
      </c>
      <c r="C22" s="1393">
        <v>165000.0</v>
      </c>
      <c r="D22" s="1393"/>
      <c r="E22" s="1404"/>
      <c r="F22" s="630"/>
      <c r="G22" s="630"/>
      <c r="H22" s="757" t="s">
        <v>1977</v>
      </c>
      <c r="I22" s="1389">
        <v>101600.0</v>
      </c>
      <c r="J22" s="1389">
        <v>111400.0</v>
      </c>
      <c r="K22" s="1389">
        <v>134666.67</v>
      </c>
      <c r="L22" s="1389">
        <v>122000.0</v>
      </c>
      <c r="M22" s="1387"/>
      <c r="N22" s="1387"/>
    </row>
    <row r="23">
      <c r="A23" s="757" t="s">
        <v>1977</v>
      </c>
      <c r="B23" s="1393">
        <f t="shared" ref="B23:C23" si="8">B21-B22</f>
        <v>65000</v>
      </c>
      <c r="C23" s="1393">
        <f t="shared" si="8"/>
        <v>85000</v>
      </c>
      <c r="D23" s="1393"/>
      <c r="E23" s="1393"/>
      <c r="F23" s="630"/>
      <c r="G23" s="630"/>
      <c r="H23" s="1399"/>
      <c r="I23" s="1399"/>
      <c r="J23" s="1399"/>
      <c r="K23" s="1399"/>
      <c r="L23" s="1399"/>
      <c r="M23" s="1399"/>
      <c r="N23" s="1399"/>
    </row>
    <row r="24">
      <c r="A24" s="1413" t="s">
        <v>3398</v>
      </c>
      <c r="B24" s="439"/>
      <c r="C24" s="439"/>
      <c r="D24" s="439"/>
      <c r="E24" s="440"/>
      <c r="F24" s="630"/>
      <c r="G24" s="630"/>
      <c r="H24" s="1386" t="s">
        <v>3380</v>
      </c>
      <c r="I24" s="439"/>
      <c r="J24" s="439"/>
      <c r="K24" s="439"/>
      <c r="L24" s="440"/>
      <c r="M24" s="1387"/>
      <c r="N24" s="1387"/>
    </row>
    <row r="25">
      <c r="A25" s="753" t="s">
        <v>3375</v>
      </c>
      <c r="B25" s="1390">
        <v>280000.0</v>
      </c>
      <c r="C25" s="1390">
        <v>300000.0</v>
      </c>
      <c r="D25" s="1390"/>
      <c r="E25" s="1390"/>
      <c r="F25" s="630"/>
      <c r="G25" s="630"/>
      <c r="H25" s="753" t="s">
        <v>3375</v>
      </c>
      <c r="I25" s="1390">
        <f t="shared" ref="I25:L25" si="9">I26+I27</f>
        <v>1130000</v>
      </c>
      <c r="J25" s="1390">
        <f t="shared" si="9"/>
        <v>690000</v>
      </c>
      <c r="K25" s="1390">
        <f t="shared" si="9"/>
        <v>660000.0033</v>
      </c>
      <c r="L25" s="1390">
        <f t="shared" si="9"/>
        <v>550000</v>
      </c>
      <c r="M25" s="1387"/>
      <c r="N25" s="1387"/>
    </row>
    <row r="26">
      <c r="A26" s="753" t="s">
        <v>172</v>
      </c>
      <c r="B26" s="1393">
        <v>185000.0</v>
      </c>
      <c r="C26" s="1393">
        <v>200000.0</v>
      </c>
      <c r="D26" s="1393"/>
      <c r="E26" s="1404"/>
      <c r="F26" s="630"/>
      <c r="G26" s="630"/>
      <c r="H26" s="753" t="s">
        <v>172</v>
      </c>
      <c r="I26" s="1397">
        <f>928000+100000</f>
        <v>1028000</v>
      </c>
      <c r="J26" s="1389">
        <f>525000+(100000/2)</f>
        <v>575000</v>
      </c>
      <c r="K26" s="1398">
        <f>487200+(100000/3)</f>
        <v>520533.3333</v>
      </c>
      <c r="L26" s="1387">
        <f>400000+(100000/4)</f>
        <v>425000</v>
      </c>
      <c r="M26" s="1387"/>
      <c r="N26" s="1387"/>
    </row>
    <row r="27">
      <c r="A27" s="757" t="s">
        <v>1977</v>
      </c>
      <c r="B27" s="1393">
        <f t="shared" ref="B27:C27" si="10">B25-B26</f>
        <v>95000</v>
      </c>
      <c r="C27" s="1393">
        <f t="shared" si="10"/>
        <v>100000</v>
      </c>
      <c r="D27" s="1393"/>
      <c r="E27" s="1393"/>
      <c r="F27" s="630"/>
      <c r="G27" s="630"/>
      <c r="H27" s="757" t="s">
        <v>1977</v>
      </c>
      <c r="I27" s="1389">
        <v>102000.0</v>
      </c>
      <c r="J27" s="1389">
        <v>115000.0</v>
      </c>
      <c r="K27" s="1389">
        <v>139466.67</v>
      </c>
      <c r="L27" s="1389">
        <v>125000.0</v>
      </c>
      <c r="M27" s="1387"/>
      <c r="N27" s="1387"/>
    </row>
    <row r="28">
      <c r="H28" s="1399"/>
      <c r="I28" s="1399"/>
      <c r="J28" s="1399"/>
      <c r="K28" s="1399"/>
      <c r="L28" s="1399"/>
      <c r="M28" s="1399"/>
      <c r="N28" s="1399"/>
    </row>
    <row r="29">
      <c r="A29" s="1385"/>
      <c r="B29" s="439"/>
      <c r="C29" s="439"/>
      <c r="D29" s="439"/>
      <c r="E29" s="440"/>
      <c r="F29" s="630"/>
      <c r="G29" s="630"/>
      <c r="H29" s="1386" t="s">
        <v>3381</v>
      </c>
      <c r="I29" s="439"/>
      <c r="J29" s="439"/>
      <c r="K29" s="439"/>
      <c r="L29" s="440"/>
      <c r="M29" s="1387"/>
      <c r="N29" s="1387"/>
    </row>
    <row r="30">
      <c r="A30" s="753"/>
      <c r="B30" s="1389"/>
      <c r="C30" s="1399"/>
      <c r="D30" s="1389"/>
      <c r="E30" s="1389"/>
      <c r="F30" s="630"/>
      <c r="G30" s="630"/>
      <c r="H30" s="753" t="s">
        <v>3375</v>
      </c>
      <c r="I30" s="1397">
        <f>I31+102400</f>
        <v>900000</v>
      </c>
      <c r="J30" s="1399">
        <f>J31+117000</f>
        <v>600000</v>
      </c>
      <c r="K30" s="1398">
        <f>K31+138200</f>
        <v>595000</v>
      </c>
      <c r="L30" s="1389">
        <f>L31+124000</f>
        <v>585000</v>
      </c>
      <c r="M30" s="1387"/>
      <c r="N30" s="1387"/>
    </row>
    <row r="31">
      <c r="A31" s="753"/>
      <c r="B31" s="1395"/>
      <c r="C31" s="1388"/>
      <c r="D31" s="1396"/>
      <c r="E31" s="630"/>
      <c r="F31" s="630"/>
      <c r="G31" s="630"/>
      <c r="H31" s="753" t="s">
        <v>172</v>
      </c>
      <c r="I31" s="1397">
        <f>797600</f>
        <v>797600</v>
      </c>
      <c r="J31" s="1389">
        <f>483000</f>
        <v>483000</v>
      </c>
      <c r="K31" s="1398">
        <f>456800</f>
        <v>456800</v>
      </c>
      <c r="L31" s="1387">
        <f>461000</f>
        <v>461000</v>
      </c>
      <c r="M31" s="1387"/>
      <c r="N31" s="1387"/>
    </row>
    <row r="32">
      <c r="A32" s="757"/>
      <c r="B32" s="630"/>
      <c r="C32" s="630"/>
      <c r="D32" s="630"/>
      <c r="E32" s="630"/>
      <c r="F32" s="630"/>
      <c r="G32" s="630"/>
      <c r="H32" s="757" t="s">
        <v>1977</v>
      </c>
      <c r="I32" s="1402">
        <f t="shared" ref="I32:L32" si="11">I30-I31</f>
        <v>102400</v>
      </c>
      <c r="J32" s="1387">
        <f t="shared" si="11"/>
        <v>117000</v>
      </c>
      <c r="K32" s="1403">
        <f t="shared" si="11"/>
        <v>138200</v>
      </c>
      <c r="L32" s="1387">
        <f t="shared" si="11"/>
        <v>124000</v>
      </c>
      <c r="M32" s="1387"/>
      <c r="N32" s="1387"/>
    </row>
    <row r="33">
      <c r="H33" s="1399"/>
      <c r="I33" s="1399"/>
      <c r="J33" s="1399"/>
      <c r="K33" s="1399"/>
      <c r="L33" s="1399"/>
      <c r="M33" s="1399"/>
      <c r="N33" s="1399"/>
    </row>
    <row r="34">
      <c r="A34" s="1385"/>
      <c r="B34" s="439"/>
      <c r="C34" s="439"/>
      <c r="D34" s="439"/>
      <c r="E34" s="440"/>
      <c r="F34" s="630"/>
      <c r="G34" s="630"/>
      <c r="H34" s="1386" t="s">
        <v>3382</v>
      </c>
      <c r="I34" s="439"/>
      <c r="J34" s="439"/>
      <c r="K34" s="439"/>
      <c r="L34" s="440"/>
      <c r="M34" s="1387"/>
      <c r="N34" s="1387"/>
    </row>
    <row r="35">
      <c r="A35" s="753"/>
      <c r="B35" s="1390"/>
      <c r="C35" s="1390"/>
      <c r="D35" s="1390"/>
      <c r="E35" s="1390"/>
      <c r="F35" s="1390"/>
      <c r="G35" s="630"/>
      <c r="H35" s="753" t="s">
        <v>3375</v>
      </c>
      <c r="I35" s="1390">
        <f t="shared" ref="I35:L35" si="12">I36+I37</f>
        <v>1300000</v>
      </c>
      <c r="J35" s="1390">
        <f t="shared" si="12"/>
        <v>800000</v>
      </c>
      <c r="K35" s="1390">
        <f t="shared" si="12"/>
        <v>735000.0033</v>
      </c>
      <c r="L35" s="1390">
        <f t="shared" si="12"/>
        <v>610000</v>
      </c>
      <c r="M35" s="1387"/>
      <c r="N35" s="1387"/>
    </row>
    <row r="36">
      <c r="A36" s="753"/>
      <c r="B36" s="1395"/>
      <c r="C36" s="1388"/>
      <c r="D36" s="1396"/>
      <c r="E36" s="630"/>
      <c r="F36" s="1395"/>
      <c r="G36" s="630"/>
      <c r="H36" s="753" t="s">
        <v>172</v>
      </c>
      <c r="I36" s="1397">
        <f>1098400+100000</f>
        <v>1198400</v>
      </c>
      <c r="J36" s="1389">
        <f>635500+(100000/2)</f>
        <v>685500</v>
      </c>
      <c r="K36" s="1398">
        <f>560000+(100000/3)</f>
        <v>593333.3333</v>
      </c>
      <c r="L36" s="1387">
        <f>463200+(100000/4)</f>
        <v>488200</v>
      </c>
      <c r="M36" s="1387"/>
      <c r="N36" s="1387"/>
    </row>
    <row r="37">
      <c r="A37" s="757"/>
      <c r="B37" s="1388"/>
      <c r="C37" s="1388"/>
      <c r="D37" s="1388"/>
      <c r="E37" s="1388"/>
      <c r="F37" s="630"/>
      <c r="G37" s="630"/>
      <c r="H37" s="757" t="s">
        <v>1977</v>
      </c>
      <c r="I37" s="1389">
        <v>101600.0</v>
      </c>
      <c r="J37" s="1389">
        <v>114500.0</v>
      </c>
      <c r="K37" s="1389">
        <v>141666.67</v>
      </c>
      <c r="L37" s="1389">
        <v>121800.0</v>
      </c>
      <c r="M37" s="1387"/>
      <c r="N37" s="1387"/>
    </row>
    <row r="38">
      <c r="H38" s="1399"/>
      <c r="I38" s="1399"/>
      <c r="J38" s="1399"/>
      <c r="K38" s="1399"/>
      <c r="L38" s="1399"/>
      <c r="M38" s="1399"/>
      <c r="N38" s="1399"/>
    </row>
    <row r="39">
      <c r="A39" s="1385"/>
      <c r="B39" s="439"/>
      <c r="C39" s="439"/>
      <c r="D39" s="439"/>
      <c r="E39" s="440"/>
      <c r="F39" s="630"/>
      <c r="G39" s="630"/>
      <c r="H39" s="1386" t="s">
        <v>3383</v>
      </c>
      <c r="I39" s="439"/>
      <c r="J39" s="439"/>
      <c r="K39" s="439"/>
      <c r="L39" s="440"/>
      <c r="M39" s="1387"/>
      <c r="N39" s="1387"/>
    </row>
    <row r="40">
      <c r="A40" s="753"/>
      <c r="B40" s="1390"/>
      <c r="C40" s="1390"/>
      <c r="D40" s="1390"/>
      <c r="E40" s="1390"/>
      <c r="F40" s="630"/>
      <c r="G40" s="630"/>
      <c r="H40" s="753" t="s">
        <v>3375</v>
      </c>
      <c r="I40" s="1390">
        <f t="shared" ref="I40:L40" si="13">I41+I42</f>
        <v>480000</v>
      </c>
      <c r="J40" s="1390">
        <f t="shared" si="13"/>
        <v>345000</v>
      </c>
      <c r="K40" s="1390">
        <f t="shared" si="13"/>
        <v>325000.0033</v>
      </c>
      <c r="L40" s="1390">
        <f t="shared" si="13"/>
        <v>270000</v>
      </c>
      <c r="M40" s="1387"/>
      <c r="N40" s="1387"/>
    </row>
    <row r="41">
      <c r="A41" s="753"/>
      <c r="B41" s="1395"/>
      <c r="C41" s="1388"/>
      <c r="D41" s="1396"/>
      <c r="E41" s="630"/>
      <c r="F41" s="630"/>
      <c r="G41" s="630"/>
      <c r="H41" s="753" t="s">
        <v>172</v>
      </c>
      <c r="I41" s="1397">
        <f>272000+100000</f>
        <v>372000</v>
      </c>
      <c r="J41" s="1389">
        <f>171200+(100000/2)</f>
        <v>221200</v>
      </c>
      <c r="K41" s="1398">
        <f>135200+(100000/3)</f>
        <v>168533.3333</v>
      </c>
      <c r="L41" s="1387">
        <f>117600+(100000/4)</f>
        <v>142600</v>
      </c>
      <c r="M41" s="1387"/>
      <c r="N41" s="1387"/>
    </row>
    <row r="42">
      <c r="A42" s="757"/>
      <c r="B42" s="1388"/>
      <c r="C42" s="1388"/>
      <c r="D42" s="1405"/>
      <c r="E42" s="1388"/>
      <c r="F42" s="630"/>
      <c r="G42" s="630"/>
      <c r="H42" s="757" t="s">
        <v>1977</v>
      </c>
      <c r="I42" s="1389">
        <v>108000.0</v>
      </c>
      <c r="J42" s="1389">
        <v>123800.0</v>
      </c>
      <c r="K42" s="1406">
        <v>156466.67</v>
      </c>
      <c r="L42" s="1389">
        <v>127400.0</v>
      </c>
      <c r="M42" s="1387"/>
      <c r="N42" s="1387"/>
    </row>
    <row r="43">
      <c r="H43" s="1399"/>
      <c r="I43" s="1399"/>
      <c r="J43" s="1399"/>
      <c r="K43" s="1399"/>
      <c r="L43" s="1399"/>
      <c r="M43" s="1399"/>
      <c r="N43" s="1399"/>
    </row>
    <row r="44">
      <c r="A44" s="1385"/>
      <c r="B44" s="439"/>
      <c r="C44" s="439"/>
      <c r="D44" s="439"/>
      <c r="E44" s="440"/>
      <c r="F44" s="630"/>
      <c r="G44" s="630"/>
      <c r="H44" s="1386" t="s">
        <v>3385</v>
      </c>
      <c r="I44" s="439"/>
      <c r="J44" s="439"/>
      <c r="K44" s="439"/>
      <c r="L44" s="440"/>
      <c r="M44" s="1387"/>
      <c r="N44" s="1387"/>
    </row>
    <row r="45">
      <c r="A45" s="753"/>
      <c r="B45" s="1390"/>
      <c r="C45" s="1390"/>
      <c r="D45" s="1390"/>
      <c r="E45" s="1390"/>
      <c r="F45" s="630"/>
      <c r="G45" s="630"/>
      <c r="H45" s="753" t="s">
        <v>3375</v>
      </c>
      <c r="I45" s="1390">
        <v>1350000.0</v>
      </c>
      <c r="J45" s="1390">
        <v>840000.0</v>
      </c>
      <c r="K45" s="1390">
        <v>780000.0</v>
      </c>
      <c r="L45" s="1390">
        <v>690000.0</v>
      </c>
      <c r="M45" s="1387"/>
      <c r="N45" s="1387"/>
    </row>
    <row r="46">
      <c r="A46" s="753"/>
      <c r="B46" s="1395"/>
      <c r="C46" s="1388"/>
      <c r="D46" s="1396"/>
      <c r="E46" s="630"/>
      <c r="F46" s="630"/>
      <c r="G46" s="630"/>
      <c r="H46" s="753" t="s">
        <v>172</v>
      </c>
      <c r="I46" s="1397">
        <v>1183000.0</v>
      </c>
      <c r="J46" s="1389">
        <v>671000.0</v>
      </c>
      <c r="K46" s="1398">
        <v>578000.0</v>
      </c>
      <c r="L46" s="1389">
        <v>473000.0</v>
      </c>
      <c r="M46" s="1387"/>
      <c r="N46" s="1387"/>
    </row>
    <row r="47">
      <c r="A47" s="757"/>
      <c r="B47" s="1388"/>
      <c r="C47" s="1388"/>
      <c r="D47" s="1388"/>
      <c r="E47" s="1388"/>
      <c r="F47" s="630"/>
      <c r="G47" s="630"/>
      <c r="H47" s="757" t="s">
        <v>1977</v>
      </c>
      <c r="I47" s="1390">
        <f t="shared" ref="I47:L47" si="14">I45-I46</f>
        <v>167000</v>
      </c>
      <c r="J47" s="1390">
        <f t="shared" si="14"/>
        <v>169000</v>
      </c>
      <c r="K47" s="1390">
        <f t="shared" si="14"/>
        <v>202000</v>
      </c>
      <c r="L47" s="1390">
        <f t="shared" si="14"/>
        <v>217000</v>
      </c>
      <c r="M47" s="1387"/>
      <c r="N47" s="1387"/>
    </row>
    <row r="50">
      <c r="A50" s="1383"/>
      <c r="B50" s="439"/>
      <c r="C50" s="439"/>
      <c r="D50" s="439"/>
      <c r="E50" s="439"/>
      <c r="F50" s="439"/>
      <c r="G50" s="440"/>
    </row>
    <row r="51">
      <c r="A51" s="1385"/>
      <c r="B51" s="439"/>
      <c r="C51" s="439"/>
      <c r="D51" s="439"/>
      <c r="E51" s="440"/>
      <c r="F51" s="630"/>
      <c r="G51" s="630"/>
    </row>
    <row r="52">
      <c r="A52" s="751"/>
      <c r="B52" s="1388"/>
      <c r="C52" s="1388"/>
      <c r="D52" s="1388"/>
      <c r="E52" s="1388"/>
      <c r="F52" s="630"/>
      <c r="G52" s="630"/>
    </row>
    <row r="53">
      <c r="A53" s="753"/>
      <c r="B53" s="1390"/>
      <c r="C53" s="1390"/>
      <c r="D53" s="1390"/>
      <c r="E53" s="1390"/>
      <c r="F53" s="630"/>
      <c r="G53" s="630"/>
    </row>
    <row r="54">
      <c r="A54" s="753"/>
      <c r="B54" s="1393"/>
      <c r="C54" s="1393"/>
      <c r="D54" s="1393"/>
      <c r="E54" s="1404"/>
      <c r="F54" s="630"/>
      <c r="G54" s="630"/>
    </row>
    <row r="55">
      <c r="A55" s="757"/>
      <c r="B55" s="1393"/>
      <c r="C55" s="1393"/>
      <c r="D55" s="1393"/>
      <c r="E55" s="1393"/>
      <c r="F55" s="630"/>
      <c r="G55" s="630"/>
    </row>
    <row r="56">
      <c r="A56" s="1385"/>
      <c r="B56" s="439"/>
      <c r="C56" s="439"/>
      <c r="D56" s="439"/>
      <c r="E56" s="440"/>
      <c r="F56" s="630"/>
      <c r="G56" s="630"/>
    </row>
    <row r="57">
      <c r="A57" s="753"/>
      <c r="B57" s="1390"/>
      <c r="C57" s="1390"/>
      <c r="D57" s="1390"/>
      <c r="E57" s="1390"/>
      <c r="F57" s="630"/>
      <c r="G57" s="630"/>
    </row>
    <row r="58">
      <c r="A58" s="753"/>
      <c r="B58" s="1393"/>
      <c r="C58" s="1393"/>
      <c r="D58" s="1393"/>
      <c r="E58" s="1404"/>
      <c r="F58" s="630"/>
      <c r="G58" s="630"/>
    </row>
    <row r="59">
      <c r="A59" s="757"/>
      <c r="B59" s="1393"/>
      <c r="C59" s="1393"/>
      <c r="D59" s="1393"/>
      <c r="E59" s="1393"/>
      <c r="F59" s="630"/>
      <c r="G59" s="630"/>
    </row>
    <row r="60">
      <c r="A60" s="1385"/>
      <c r="B60" s="439"/>
      <c r="C60" s="439"/>
      <c r="D60" s="439"/>
      <c r="E60" s="440"/>
      <c r="F60" s="630"/>
      <c r="G60" s="630"/>
    </row>
    <row r="61">
      <c r="A61" s="753"/>
      <c r="B61" s="1390"/>
      <c r="C61" s="1390"/>
      <c r="D61" s="1390"/>
      <c r="E61" s="1390"/>
      <c r="F61" s="630"/>
      <c r="G61" s="630"/>
    </row>
    <row r="62">
      <c r="A62" s="753"/>
      <c r="B62" s="1393"/>
      <c r="C62" s="1393"/>
      <c r="D62" s="1393"/>
      <c r="E62" s="1404"/>
      <c r="F62" s="630"/>
      <c r="G62" s="630"/>
    </row>
    <row r="63">
      <c r="A63" s="757"/>
      <c r="B63" s="1393"/>
      <c r="C63" s="1393"/>
      <c r="D63" s="1393"/>
      <c r="E63" s="1393"/>
      <c r="F63" s="630"/>
      <c r="G63" s="630"/>
    </row>
    <row r="64">
      <c r="A64" s="1385"/>
      <c r="B64" s="439"/>
      <c r="C64" s="439"/>
      <c r="D64" s="439"/>
      <c r="E64" s="440"/>
      <c r="F64" s="630"/>
      <c r="G64" s="630"/>
    </row>
    <row r="65">
      <c r="A65" s="753"/>
      <c r="B65" s="1390"/>
      <c r="C65" s="1390"/>
      <c r="D65" s="1390"/>
      <c r="E65" s="1390"/>
      <c r="F65" s="630"/>
      <c r="G65" s="630"/>
    </row>
    <row r="66">
      <c r="A66" s="753"/>
      <c r="B66" s="1393"/>
      <c r="C66" s="1393"/>
      <c r="D66" s="1393"/>
      <c r="E66" s="1404"/>
      <c r="F66" s="630"/>
      <c r="G66" s="630"/>
    </row>
    <row r="67">
      <c r="A67" s="757"/>
      <c r="B67" s="1393"/>
      <c r="C67" s="1393"/>
      <c r="D67" s="1393"/>
      <c r="E67" s="1393"/>
      <c r="F67" s="630"/>
      <c r="G67" s="630"/>
    </row>
    <row r="68">
      <c r="A68" s="1385"/>
      <c r="B68" s="439"/>
      <c r="C68" s="439"/>
      <c r="D68" s="439"/>
      <c r="E68" s="440"/>
      <c r="F68" s="630"/>
      <c r="G68" s="630"/>
    </row>
    <row r="69">
      <c r="A69" s="753"/>
      <c r="B69" s="1390"/>
      <c r="C69" s="1390"/>
      <c r="D69" s="1390"/>
      <c r="E69" s="1390"/>
      <c r="F69" s="630"/>
      <c r="G69" s="630"/>
    </row>
    <row r="70">
      <c r="A70" s="753"/>
      <c r="B70" s="1393"/>
      <c r="C70" s="1393"/>
      <c r="D70" s="1393"/>
      <c r="E70" s="1404"/>
      <c r="F70" s="630"/>
      <c r="G70" s="630"/>
    </row>
    <row r="71">
      <c r="A71" s="757"/>
      <c r="B71" s="1393"/>
      <c r="C71" s="1393"/>
      <c r="D71" s="1393"/>
      <c r="E71" s="1393"/>
      <c r="F71" s="630"/>
      <c r="G71" s="630"/>
    </row>
  </sheetData>
  <mergeCells count="27">
    <mergeCell ref="A1:G1"/>
    <mergeCell ref="H1:N1"/>
    <mergeCell ref="A2:G2"/>
    <mergeCell ref="H2:L2"/>
    <mergeCell ref="A3:E3"/>
    <mergeCell ref="A8:E8"/>
    <mergeCell ref="A12:E12"/>
    <mergeCell ref="H10:L10"/>
    <mergeCell ref="H15:L15"/>
    <mergeCell ref="A18:E18"/>
    <mergeCell ref="A19:E19"/>
    <mergeCell ref="A24:E24"/>
    <mergeCell ref="H24:L24"/>
    <mergeCell ref="H29:L29"/>
    <mergeCell ref="A50:G50"/>
    <mergeCell ref="A51:E51"/>
    <mergeCell ref="A56:E56"/>
    <mergeCell ref="A60:E60"/>
    <mergeCell ref="A64:E64"/>
    <mergeCell ref="A68:E68"/>
    <mergeCell ref="A29:E29"/>
    <mergeCell ref="A34:E34"/>
    <mergeCell ref="H34:L34"/>
    <mergeCell ref="A39:E39"/>
    <mergeCell ref="H39:L39"/>
    <mergeCell ref="A44:E44"/>
    <mergeCell ref="H44:L4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14"/>
    <col customWidth="1" min="2" max="2" width="30.86"/>
    <col customWidth="1" min="3" max="3" width="17.0"/>
    <col customWidth="1" min="4" max="4" width="15.43"/>
    <col customWidth="1" min="5" max="5" width="7.0"/>
    <col customWidth="1" min="6" max="6" width="33.43"/>
    <col customWidth="1" min="11" max="11" width="14.86"/>
    <col customWidth="1" min="12" max="12" width="26.43"/>
    <col customWidth="1" min="13" max="13" width="12.71"/>
    <col customWidth="1" min="14" max="14" width="15.0"/>
    <col customWidth="1" min="15" max="15" width="21.43"/>
    <col customWidth="1" min="16" max="16" width="26.43"/>
  </cols>
  <sheetData>
    <row r="1">
      <c r="A1" s="1414"/>
      <c r="B1" s="1415" t="s">
        <v>3399</v>
      </c>
      <c r="C1" s="1414" t="s">
        <v>3400</v>
      </c>
      <c r="D1" s="1414" t="s">
        <v>3401</v>
      </c>
      <c r="E1" s="1414" t="s">
        <v>3402</v>
      </c>
      <c r="F1" s="1414" t="s">
        <v>3403</v>
      </c>
      <c r="G1" s="1414" t="s">
        <v>1141</v>
      </c>
      <c r="H1" s="1416" t="s">
        <v>3404</v>
      </c>
      <c r="I1" s="1416" t="s">
        <v>3405</v>
      </c>
      <c r="J1" s="1416" t="s">
        <v>3406</v>
      </c>
      <c r="K1" s="1416" t="s">
        <v>3407</v>
      </c>
      <c r="L1" s="1416" t="s">
        <v>3408</v>
      </c>
      <c r="M1" s="1416" t="s">
        <v>799</v>
      </c>
      <c r="N1" s="1416" t="s">
        <v>3409</v>
      </c>
      <c r="O1" s="1416" t="s">
        <v>3410</v>
      </c>
      <c r="P1" s="1414" t="s">
        <v>3411</v>
      </c>
    </row>
    <row r="2">
      <c r="A2" s="519"/>
      <c r="B2" s="1417" t="s">
        <v>3412</v>
      </c>
      <c r="C2" s="1418">
        <v>45717.0</v>
      </c>
      <c r="D2" s="1419">
        <v>45718.0</v>
      </c>
      <c r="E2" s="519"/>
      <c r="F2" s="519"/>
      <c r="G2" s="1420" t="s">
        <v>3413</v>
      </c>
      <c r="H2" s="1421"/>
      <c r="I2" s="1421"/>
      <c r="J2" s="1421"/>
      <c r="K2" s="1421"/>
      <c r="L2" s="1421"/>
      <c r="M2" s="1421"/>
      <c r="N2" s="1421"/>
      <c r="O2" s="1421"/>
      <c r="P2" s="519"/>
    </row>
    <row r="3">
      <c r="A3" s="519"/>
      <c r="B3" s="1417" t="s">
        <v>3414</v>
      </c>
      <c r="C3" s="1418">
        <v>45725.0</v>
      </c>
      <c r="D3" s="1299"/>
      <c r="E3" s="519">
        <v>2.0</v>
      </c>
      <c r="F3" s="519" t="s">
        <v>160</v>
      </c>
      <c r="G3" s="1420" t="s">
        <v>3413</v>
      </c>
      <c r="H3" s="1421">
        <v>422000.0</v>
      </c>
      <c r="I3" s="1421">
        <v>650000.0</v>
      </c>
      <c r="J3" s="1421">
        <v>682500.0</v>
      </c>
      <c r="K3" s="1421">
        <v>640718.0</v>
      </c>
      <c r="L3" s="1421">
        <f t="shared" ref="L3:L28" si="1">J3-K3</f>
        <v>41782</v>
      </c>
      <c r="M3" s="1421"/>
      <c r="N3" s="1421">
        <f t="shared" ref="N3:N8" si="2">K3-H3</f>
        <v>218718</v>
      </c>
      <c r="O3" s="1421">
        <f t="shared" ref="O3:O28" si="3">N3*20%</f>
        <v>43743.6</v>
      </c>
      <c r="P3" s="519" t="s">
        <v>3415</v>
      </c>
    </row>
    <row r="4">
      <c r="A4" s="519"/>
      <c r="B4" s="1417" t="s">
        <v>3416</v>
      </c>
      <c r="C4" s="1418">
        <v>45728.0</v>
      </c>
      <c r="D4" s="1419">
        <v>45729.0</v>
      </c>
      <c r="E4" s="519">
        <v>4.0</v>
      </c>
      <c r="F4" s="519" t="s">
        <v>3364</v>
      </c>
      <c r="G4" s="1420" t="s">
        <v>3413</v>
      </c>
      <c r="H4" s="1421">
        <v>740000.0</v>
      </c>
      <c r="I4" s="1421">
        <v>12000.0</v>
      </c>
      <c r="J4" s="1421">
        <v>1260000.0</v>
      </c>
      <c r="K4" s="1421">
        <v>1183693.0</v>
      </c>
      <c r="L4" s="1421">
        <f t="shared" si="1"/>
        <v>76307</v>
      </c>
      <c r="M4" s="1421"/>
      <c r="N4" s="1421">
        <f t="shared" si="2"/>
        <v>443693</v>
      </c>
      <c r="O4" s="1421">
        <f t="shared" si="3"/>
        <v>88738.6</v>
      </c>
    </row>
    <row r="5">
      <c r="A5" s="519"/>
      <c r="B5" s="1417" t="s">
        <v>3417</v>
      </c>
      <c r="C5" s="1418">
        <v>45734.0</v>
      </c>
      <c r="D5" s="1419">
        <v>45738.0</v>
      </c>
      <c r="E5" s="519">
        <v>2.0</v>
      </c>
      <c r="F5" s="519" t="s">
        <v>3418</v>
      </c>
      <c r="G5" s="1420" t="s">
        <v>3413</v>
      </c>
      <c r="H5" s="1421">
        <v>1630000.0</v>
      </c>
      <c r="I5" s="1421">
        <v>2340000.0</v>
      </c>
      <c r="J5" s="1421">
        <v>2280000.0</v>
      </c>
      <c r="K5" s="1421">
        <v>2141500.0</v>
      </c>
      <c r="L5" s="1421">
        <f t="shared" si="1"/>
        <v>138500</v>
      </c>
      <c r="M5" s="1421"/>
      <c r="N5" s="1421">
        <f t="shared" si="2"/>
        <v>511500</v>
      </c>
      <c r="O5" s="1421">
        <f t="shared" si="3"/>
        <v>102300</v>
      </c>
    </row>
    <row r="6">
      <c r="A6" s="519"/>
      <c r="B6" s="1417" t="s">
        <v>1565</v>
      </c>
      <c r="C6" s="1418">
        <v>45738.0</v>
      </c>
      <c r="D6" s="1299">
        <v>45755.0</v>
      </c>
      <c r="E6" s="519">
        <v>1.0</v>
      </c>
      <c r="F6" s="519" t="s">
        <v>3419</v>
      </c>
      <c r="G6" s="1420" t="s">
        <v>3413</v>
      </c>
      <c r="H6" s="1421">
        <v>670000.0</v>
      </c>
      <c r="I6" s="1421">
        <v>1000000.0</v>
      </c>
      <c r="J6" s="1421">
        <v>1050000.0</v>
      </c>
      <c r="K6" s="1421">
        <v>986305.0</v>
      </c>
      <c r="L6" s="1421">
        <f t="shared" si="1"/>
        <v>63695</v>
      </c>
      <c r="M6" s="1421"/>
      <c r="N6" s="1421">
        <f t="shared" si="2"/>
        <v>316305</v>
      </c>
      <c r="O6" s="1421">
        <f t="shared" si="3"/>
        <v>63261</v>
      </c>
    </row>
    <row r="7">
      <c r="A7" s="519"/>
      <c r="B7" s="1417" t="s">
        <v>1571</v>
      </c>
      <c r="C7" s="1418">
        <v>45738.0</v>
      </c>
      <c r="D7" s="1299">
        <v>45755.0</v>
      </c>
      <c r="E7" s="519">
        <v>2.0</v>
      </c>
      <c r="F7" s="519" t="s">
        <v>3420</v>
      </c>
      <c r="G7" s="1420" t="s">
        <v>3413</v>
      </c>
      <c r="H7" s="1421">
        <v>532000.0</v>
      </c>
      <c r="I7" s="1421">
        <v>950000.0</v>
      </c>
      <c r="J7" s="1421">
        <v>997500.0</v>
      </c>
      <c r="K7" s="1421">
        <v>936850.0</v>
      </c>
      <c r="L7" s="1421">
        <f t="shared" si="1"/>
        <v>60650</v>
      </c>
      <c r="M7" s="1421"/>
      <c r="N7" s="1421">
        <f t="shared" si="2"/>
        <v>404850</v>
      </c>
      <c r="O7" s="1421">
        <f t="shared" si="3"/>
        <v>80970</v>
      </c>
    </row>
    <row r="8">
      <c r="A8" s="519"/>
      <c r="B8" s="1417" t="s">
        <v>1541</v>
      </c>
      <c r="C8" s="1418">
        <v>45741.0</v>
      </c>
      <c r="D8" s="1299">
        <v>45741.0</v>
      </c>
      <c r="E8" s="519">
        <v>2.0</v>
      </c>
      <c r="G8" s="519"/>
      <c r="H8" s="1421"/>
      <c r="I8" s="1421"/>
      <c r="J8" s="1421">
        <v>1417500.0</v>
      </c>
      <c r="K8" s="1421">
        <v>1331700.0</v>
      </c>
      <c r="L8" s="1421">
        <f t="shared" si="1"/>
        <v>85800</v>
      </c>
      <c r="M8" s="1421"/>
      <c r="N8" s="1421">
        <f t="shared" si="2"/>
        <v>1331700</v>
      </c>
      <c r="O8" s="1421">
        <f t="shared" si="3"/>
        <v>266340</v>
      </c>
    </row>
    <row r="9">
      <c r="A9" s="519"/>
      <c r="B9" s="1417" t="s">
        <v>1541</v>
      </c>
      <c r="C9" s="1418"/>
      <c r="D9" s="1299">
        <v>45741.0</v>
      </c>
      <c r="E9" s="519">
        <v>2.0</v>
      </c>
      <c r="G9" s="519"/>
      <c r="H9" s="1421"/>
      <c r="I9" s="1421"/>
      <c r="J9" s="1421"/>
      <c r="K9" s="1421"/>
      <c r="L9" s="1421">
        <f t="shared" si="1"/>
        <v>0</v>
      </c>
      <c r="M9" s="1421"/>
      <c r="N9" s="1421"/>
      <c r="O9" s="1421">
        <f t="shared" si="3"/>
        <v>0</v>
      </c>
    </row>
    <row r="10">
      <c r="A10" s="548"/>
      <c r="B10" s="1422" t="s">
        <v>3421</v>
      </c>
      <c r="C10" s="1423">
        <v>45749.64795138889</v>
      </c>
      <c r="D10" s="1424">
        <v>45756.0</v>
      </c>
      <c r="E10" s="548">
        <v>3.0</v>
      </c>
      <c r="F10" s="548" t="s">
        <v>3422</v>
      </c>
      <c r="G10" s="548" t="s">
        <v>3413</v>
      </c>
      <c r="H10" s="1425">
        <v>4910000.0</v>
      </c>
      <c r="I10" s="1425">
        <v>6790000.0</v>
      </c>
      <c r="J10" s="1425">
        <v>5155500.0</v>
      </c>
      <c r="K10" s="1426">
        <v>4845315.5</v>
      </c>
      <c r="L10" s="1425">
        <f t="shared" si="1"/>
        <v>310184.5</v>
      </c>
      <c r="M10" s="1425">
        <v>1880000.0</v>
      </c>
      <c r="N10" s="1425">
        <v>1880000.0</v>
      </c>
      <c r="O10" s="1425">
        <f t="shared" si="3"/>
        <v>376000</v>
      </c>
      <c r="P10" s="548"/>
      <c r="Q10" s="548"/>
      <c r="R10" s="548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8"/>
      <c r="AH10" s="548"/>
      <c r="AI10" s="548"/>
      <c r="AJ10" s="548"/>
      <c r="AK10" s="548"/>
    </row>
    <row r="11">
      <c r="A11" s="548"/>
      <c r="B11" s="1422" t="s">
        <v>3423</v>
      </c>
      <c r="C11" s="1423">
        <v>45749.64795138889</v>
      </c>
      <c r="D11" s="1424">
        <v>45756.0</v>
      </c>
      <c r="E11" s="548">
        <v>2.0</v>
      </c>
      <c r="F11" s="548" t="s">
        <v>3422</v>
      </c>
      <c r="G11" s="548" t="s">
        <v>3413</v>
      </c>
      <c r="H11" s="1425">
        <v>3275000.0</v>
      </c>
      <c r="I11" s="1425">
        <v>4505000.0</v>
      </c>
      <c r="J11" s="1426">
        <v>3439000.0</v>
      </c>
      <c r="K11" s="1426">
        <v>3232103.9</v>
      </c>
      <c r="L11" s="1425">
        <f t="shared" si="1"/>
        <v>206896.1</v>
      </c>
      <c r="M11" s="1425">
        <v>1230000.0</v>
      </c>
      <c r="N11" s="1425">
        <f>M11</f>
        <v>1230000</v>
      </c>
      <c r="O11" s="1425">
        <f t="shared" si="3"/>
        <v>246000</v>
      </c>
      <c r="P11" s="548"/>
      <c r="Q11" s="548"/>
      <c r="R11" s="548"/>
      <c r="S11" s="548"/>
      <c r="T11" s="548"/>
      <c r="U11" s="548"/>
      <c r="V11" s="548"/>
      <c r="W11" s="548"/>
      <c r="X11" s="548"/>
      <c r="Y11" s="548"/>
      <c r="Z11" s="548"/>
      <c r="AA11" s="548"/>
      <c r="AB11" s="548"/>
      <c r="AC11" s="548"/>
      <c r="AD11" s="548"/>
      <c r="AE11" s="548"/>
      <c r="AF11" s="548"/>
      <c r="AG11" s="548"/>
      <c r="AH11" s="548"/>
      <c r="AI11" s="548"/>
      <c r="AJ11" s="548"/>
      <c r="AK11" s="548"/>
    </row>
    <row r="12">
      <c r="A12" s="548"/>
      <c r="B12" s="1422" t="s">
        <v>3424</v>
      </c>
      <c r="C12" s="1423">
        <v>45749.69329861111</v>
      </c>
      <c r="D12" s="1424">
        <v>45756.0</v>
      </c>
      <c r="E12" s="548">
        <v>1.0</v>
      </c>
      <c r="F12" s="548" t="s">
        <v>3422</v>
      </c>
      <c r="G12" s="548" t="s">
        <v>3413</v>
      </c>
      <c r="H12" s="1425">
        <v>1655000.0</v>
      </c>
      <c r="I12" s="1425"/>
      <c r="J12" s="1426">
        <v>1738000.0</v>
      </c>
      <c r="K12" s="1426">
        <v>1632993.8</v>
      </c>
      <c r="L12" s="1425">
        <f t="shared" si="1"/>
        <v>105006.2</v>
      </c>
      <c r="M12" s="1425">
        <v>615000.0</v>
      </c>
      <c r="N12" s="1425">
        <v>615000.0</v>
      </c>
      <c r="O12" s="1425">
        <f t="shared" si="3"/>
        <v>123000</v>
      </c>
      <c r="P12" s="548"/>
      <c r="Q12" s="548"/>
      <c r="R12" s="548"/>
      <c r="S12" s="548"/>
      <c r="T12" s="548"/>
      <c r="U12" s="548"/>
      <c r="V12" s="548"/>
      <c r="W12" s="548"/>
      <c r="X12" s="548"/>
      <c r="Y12" s="548"/>
      <c r="Z12" s="548"/>
      <c r="AA12" s="548"/>
      <c r="AB12" s="548"/>
      <c r="AC12" s="548"/>
      <c r="AD12" s="548"/>
      <c r="AE12" s="548"/>
      <c r="AF12" s="548"/>
      <c r="AG12" s="548"/>
      <c r="AH12" s="548"/>
      <c r="AI12" s="548"/>
      <c r="AJ12" s="548"/>
      <c r="AK12" s="548"/>
    </row>
    <row r="13">
      <c r="A13" s="519"/>
      <c r="B13" s="1417" t="s">
        <v>3425</v>
      </c>
      <c r="C13" s="1427">
        <v>45749.64795138889</v>
      </c>
      <c r="D13" s="1428">
        <v>45756.0</v>
      </c>
      <c r="E13" s="1429">
        <v>2.0</v>
      </c>
      <c r="F13" s="1429" t="s">
        <v>3422</v>
      </c>
      <c r="G13" s="1429" t="s">
        <v>3413</v>
      </c>
      <c r="H13" s="1430">
        <v>3275000.0</v>
      </c>
      <c r="I13" s="1430">
        <v>4505000.0</v>
      </c>
      <c r="J13" s="1431">
        <v>3439000.0</v>
      </c>
      <c r="K13" s="1431">
        <v>3232103.9</v>
      </c>
      <c r="L13" s="1430">
        <f t="shared" si="1"/>
        <v>206896.1</v>
      </c>
      <c r="M13" s="1430">
        <v>1230000.0</v>
      </c>
      <c r="N13" s="1430">
        <f>M13</f>
        <v>1230000</v>
      </c>
      <c r="O13" s="1430">
        <f t="shared" si="3"/>
        <v>246000</v>
      </c>
    </row>
    <row r="14">
      <c r="A14" s="519"/>
      <c r="B14" s="1417" t="s">
        <v>3412</v>
      </c>
      <c r="C14" s="1418"/>
      <c r="D14" s="1419">
        <v>45718.0</v>
      </c>
      <c r="G14" s="519"/>
      <c r="H14" s="1421"/>
      <c r="I14" s="1421"/>
      <c r="J14" s="1421"/>
      <c r="K14" s="1421"/>
      <c r="L14" s="1421">
        <f t="shared" si="1"/>
        <v>0</v>
      </c>
      <c r="M14" s="1421"/>
      <c r="N14" s="1421"/>
      <c r="O14" s="1421">
        <f t="shared" si="3"/>
        <v>0</v>
      </c>
    </row>
    <row r="15">
      <c r="A15" s="519"/>
      <c r="B15" s="1417" t="s">
        <v>3426</v>
      </c>
      <c r="C15" s="1418">
        <v>45758.0</v>
      </c>
      <c r="D15" s="1419">
        <v>45818.0</v>
      </c>
      <c r="E15" s="519">
        <v>2.0</v>
      </c>
      <c r="F15" s="246" t="s">
        <v>3427</v>
      </c>
      <c r="G15" s="519" t="s">
        <v>3428</v>
      </c>
      <c r="H15" s="1421">
        <v>470000.0</v>
      </c>
      <c r="I15" s="1421">
        <v>470000.0</v>
      </c>
      <c r="J15" s="1421">
        <v>470000.0</v>
      </c>
      <c r="K15" s="1421">
        <v>470000.0</v>
      </c>
      <c r="L15" s="1421">
        <f t="shared" si="1"/>
        <v>0</v>
      </c>
      <c r="M15" s="1421"/>
      <c r="N15" s="1421"/>
      <c r="O15" s="1421">
        <f t="shared" si="3"/>
        <v>0</v>
      </c>
    </row>
    <row r="16">
      <c r="A16" s="519"/>
      <c r="B16" s="1417" t="s">
        <v>3429</v>
      </c>
      <c r="C16" s="1418">
        <v>45752.0</v>
      </c>
      <c r="D16" s="1299">
        <v>45753.0</v>
      </c>
      <c r="E16" s="519">
        <v>6.0</v>
      </c>
      <c r="F16" s="519" t="s">
        <v>3430</v>
      </c>
      <c r="G16" s="519" t="s">
        <v>3413</v>
      </c>
      <c r="H16" s="1421">
        <v>1421100.0</v>
      </c>
      <c r="I16" s="1421"/>
      <c r="J16" s="1421"/>
      <c r="K16" s="1421"/>
      <c r="L16" s="1421">
        <f t="shared" si="1"/>
        <v>0</v>
      </c>
      <c r="M16" s="1421"/>
      <c r="N16" s="1421"/>
      <c r="O16" s="1421">
        <f t="shared" si="3"/>
        <v>0</v>
      </c>
    </row>
    <row r="17">
      <c r="A17" s="519"/>
      <c r="B17" s="1417" t="s">
        <v>1595</v>
      </c>
      <c r="C17" s="1418"/>
      <c r="D17" s="1419">
        <v>45765.0</v>
      </c>
      <c r="F17" s="519" t="s">
        <v>3431</v>
      </c>
      <c r="G17" s="519" t="s">
        <v>3413</v>
      </c>
      <c r="H17" s="1421">
        <v>4460000.0</v>
      </c>
      <c r="I17" s="1421"/>
      <c r="J17" s="1421">
        <v>4683000.0</v>
      </c>
      <c r="K17" s="1421"/>
      <c r="L17" s="1432">
        <f t="shared" si="1"/>
        <v>4683000</v>
      </c>
      <c r="M17" s="1432"/>
      <c r="N17" s="1432"/>
      <c r="O17" s="1421">
        <f t="shared" si="3"/>
        <v>0</v>
      </c>
    </row>
    <row r="18">
      <c r="A18" s="519"/>
      <c r="B18" s="1417" t="s">
        <v>3432</v>
      </c>
      <c r="C18" s="1418">
        <v>45761.0</v>
      </c>
      <c r="D18" s="1419">
        <v>45764.0</v>
      </c>
      <c r="E18" s="519">
        <v>2.0</v>
      </c>
      <c r="F18" s="519" t="s">
        <v>3433</v>
      </c>
      <c r="G18" s="519" t="s">
        <v>3413</v>
      </c>
      <c r="H18" s="1421"/>
      <c r="I18" s="1421"/>
      <c r="J18" s="1421">
        <v>589050.0</v>
      </c>
      <c r="K18" s="1421">
        <v>552865.0</v>
      </c>
      <c r="L18" s="1421">
        <f t="shared" si="1"/>
        <v>36185</v>
      </c>
      <c r="M18" s="1421"/>
      <c r="N18" s="1421"/>
      <c r="O18" s="1421">
        <f t="shared" si="3"/>
        <v>0</v>
      </c>
    </row>
    <row r="19">
      <c r="A19" s="519"/>
      <c r="B19" s="1417" t="s">
        <v>3434</v>
      </c>
      <c r="C19" s="1418">
        <v>45762.0</v>
      </c>
      <c r="D19" s="1419">
        <v>45763.0</v>
      </c>
      <c r="F19" s="519" t="s">
        <v>3435</v>
      </c>
      <c r="G19" s="519" t="s">
        <v>3413</v>
      </c>
      <c r="H19" s="1421"/>
      <c r="I19" s="1421"/>
      <c r="J19" s="1421">
        <v>650000.0</v>
      </c>
      <c r="K19" s="1421">
        <v>610165.0</v>
      </c>
      <c r="L19" s="1421">
        <f t="shared" si="1"/>
        <v>39835</v>
      </c>
      <c r="M19" s="1421"/>
      <c r="N19" s="1421"/>
      <c r="O19" s="1421">
        <f t="shared" si="3"/>
        <v>0</v>
      </c>
    </row>
    <row r="20">
      <c r="A20" s="519"/>
      <c r="B20" s="1417" t="s">
        <v>3436</v>
      </c>
      <c r="C20" s="1418">
        <v>45761.0</v>
      </c>
      <c r="D20" s="1419">
        <v>45814.0</v>
      </c>
      <c r="F20" s="519" t="s">
        <v>3437</v>
      </c>
      <c r="G20" s="519" t="s">
        <v>3428</v>
      </c>
      <c r="H20" s="1421"/>
      <c r="I20" s="1421"/>
      <c r="J20" s="1421">
        <v>560000.0</v>
      </c>
      <c r="K20" s="1421">
        <v>560000.0</v>
      </c>
      <c r="L20" s="1421">
        <f t="shared" si="1"/>
        <v>0</v>
      </c>
      <c r="M20" s="1421"/>
      <c r="N20" s="1421"/>
      <c r="O20" s="1421">
        <f t="shared" si="3"/>
        <v>0</v>
      </c>
    </row>
    <row r="21">
      <c r="A21" s="519"/>
      <c r="B21" s="1417" t="s">
        <v>3438</v>
      </c>
      <c r="C21" s="1418">
        <v>45762.0</v>
      </c>
      <c r="D21" s="1419">
        <v>45781.0</v>
      </c>
      <c r="E21" s="519">
        <v>1.0</v>
      </c>
      <c r="F21" s="519" t="s">
        <v>3435</v>
      </c>
      <c r="G21" s="519" t="s">
        <v>3428</v>
      </c>
      <c r="H21" s="1421"/>
      <c r="I21" s="1421"/>
      <c r="J21" s="1421">
        <v>500000.0</v>
      </c>
      <c r="K21" s="1421">
        <v>500000.0</v>
      </c>
      <c r="L21" s="1421">
        <f t="shared" si="1"/>
        <v>0</v>
      </c>
      <c r="M21" s="1421"/>
      <c r="N21" s="1421"/>
      <c r="O21" s="1421">
        <f t="shared" si="3"/>
        <v>0</v>
      </c>
    </row>
    <row r="22">
      <c r="A22" s="1433"/>
      <c r="B22" s="1434" t="s">
        <v>3439</v>
      </c>
      <c r="C22" s="1435">
        <v>45766.0</v>
      </c>
      <c r="D22" s="1436">
        <v>45765.0</v>
      </c>
      <c r="E22" s="1437">
        <v>3.0</v>
      </c>
      <c r="F22" s="1437" t="s">
        <v>3440</v>
      </c>
      <c r="G22" s="1433" t="s">
        <v>3428</v>
      </c>
      <c r="H22" s="1438"/>
      <c r="I22" s="1438"/>
      <c r="J22" s="1439">
        <v>190000.0</v>
      </c>
      <c r="K22" s="1438"/>
      <c r="L22" s="1438">
        <f t="shared" si="1"/>
        <v>190000</v>
      </c>
      <c r="M22" s="1438"/>
      <c r="N22" s="1438"/>
      <c r="O22" s="1438">
        <f t="shared" si="3"/>
        <v>0</v>
      </c>
      <c r="P22" s="1440"/>
      <c r="Q22" s="1440"/>
      <c r="R22" s="1440"/>
      <c r="S22" s="1440"/>
      <c r="T22" s="1440"/>
      <c r="U22" s="1440"/>
      <c r="V22" s="1440"/>
      <c r="W22" s="1440"/>
      <c r="X22" s="1440"/>
      <c r="Y22" s="1440"/>
      <c r="Z22" s="1440"/>
      <c r="AA22" s="1440"/>
      <c r="AB22" s="1440"/>
      <c r="AC22" s="1440"/>
      <c r="AD22" s="1440"/>
      <c r="AE22" s="1440"/>
      <c r="AF22" s="1440"/>
      <c r="AG22" s="1440"/>
      <c r="AH22" s="1440"/>
      <c r="AI22" s="1440"/>
      <c r="AJ22" s="1440"/>
      <c r="AK22" s="1440"/>
    </row>
    <row r="23">
      <c r="A23" s="1433"/>
      <c r="B23" s="1434" t="s">
        <v>3439</v>
      </c>
      <c r="C23" s="1435">
        <v>45766.0</v>
      </c>
      <c r="D23" s="1436">
        <v>45765.0</v>
      </c>
      <c r="E23" s="1437">
        <v>3.0</v>
      </c>
      <c r="F23" s="1437" t="s">
        <v>3440</v>
      </c>
      <c r="G23" s="1433" t="s">
        <v>3428</v>
      </c>
      <c r="H23" s="1438"/>
      <c r="I23" s="1438"/>
      <c r="J23" s="1439">
        <v>190000.0</v>
      </c>
      <c r="K23" s="1438"/>
      <c r="L23" s="1438">
        <f t="shared" si="1"/>
        <v>190000</v>
      </c>
      <c r="M23" s="1438"/>
      <c r="N23" s="1438"/>
      <c r="O23" s="1438">
        <f t="shared" si="3"/>
        <v>0</v>
      </c>
      <c r="P23" s="1440"/>
      <c r="Q23" s="1440"/>
      <c r="R23" s="1440"/>
      <c r="S23" s="1440"/>
      <c r="T23" s="1440"/>
      <c r="U23" s="1440"/>
      <c r="V23" s="1440"/>
      <c r="W23" s="1440"/>
      <c r="X23" s="1440"/>
      <c r="Y23" s="1440"/>
      <c r="Z23" s="1440"/>
      <c r="AA23" s="1440"/>
      <c r="AB23" s="1440"/>
      <c r="AC23" s="1440"/>
      <c r="AD23" s="1440"/>
      <c r="AE23" s="1440"/>
      <c r="AF23" s="1440"/>
      <c r="AG23" s="1440"/>
      <c r="AH23" s="1440"/>
      <c r="AI23" s="1440"/>
      <c r="AJ23" s="1440"/>
      <c r="AK23" s="1440"/>
    </row>
    <row r="24">
      <c r="A24" s="1433"/>
      <c r="B24" s="1434" t="s">
        <v>3439</v>
      </c>
      <c r="C24" s="1435">
        <v>45766.0</v>
      </c>
      <c r="D24" s="1436">
        <v>45765.0</v>
      </c>
      <c r="E24" s="1437">
        <v>3.0</v>
      </c>
      <c r="F24" s="1437" t="s">
        <v>3440</v>
      </c>
      <c r="G24" s="1433" t="s">
        <v>3428</v>
      </c>
      <c r="H24" s="1438"/>
      <c r="I24" s="1438"/>
      <c r="J24" s="1439">
        <v>190000.0</v>
      </c>
      <c r="K24" s="1438"/>
      <c r="L24" s="1438">
        <f t="shared" si="1"/>
        <v>190000</v>
      </c>
      <c r="M24" s="1438"/>
      <c r="N24" s="1438"/>
      <c r="O24" s="1438">
        <f t="shared" si="3"/>
        <v>0</v>
      </c>
      <c r="P24" s="1440"/>
      <c r="Q24" s="1440"/>
      <c r="R24" s="1440"/>
      <c r="S24" s="1440"/>
      <c r="T24" s="1440"/>
      <c r="U24" s="1440"/>
      <c r="V24" s="1440"/>
      <c r="W24" s="1440"/>
      <c r="X24" s="1440"/>
      <c r="Y24" s="1440"/>
      <c r="Z24" s="1440"/>
      <c r="AA24" s="1440"/>
      <c r="AB24" s="1440"/>
      <c r="AC24" s="1440"/>
      <c r="AD24" s="1440"/>
      <c r="AE24" s="1440"/>
      <c r="AF24" s="1440"/>
      <c r="AG24" s="1440"/>
      <c r="AH24" s="1440"/>
      <c r="AI24" s="1440"/>
      <c r="AJ24" s="1440"/>
      <c r="AK24" s="1440"/>
    </row>
    <row r="25">
      <c r="A25" s="1433"/>
      <c r="B25" s="1434" t="s">
        <v>3441</v>
      </c>
      <c r="C25" s="1435">
        <v>45768.0</v>
      </c>
      <c r="D25" s="1436">
        <v>45769.0</v>
      </c>
      <c r="E25" s="1440"/>
      <c r="F25" s="1433" t="s">
        <v>3442</v>
      </c>
      <c r="G25" s="1433" t="s">
        <v>3428</v>
      </c>
      <c r="H25" s="1438"/>
      <c r="I25" s="1438"/>
      <c r="J25" s="1439">
        <v>580000.0</v>
      </c>
      <c r="K25" s="1438"/>
      <c r="L25" s="1438">
        <f t="shared" si="1"/>
        <v>580000</v>
      </c>
      <c r="M25" s="1438"/>
      <c r="N25" s="1438"/>
      <c r="O25" s="1438">
        <f t="shared" si="3"/>
        <v>0</v>
      </c>
      <c r="P25" s="1440"/>
      <c r="Q25" s="1440"/>
      <c r="R25" s="1440"/>
      <c r="S25" s="1440"/>
      <c r="T25" s="1440"/>
      <c r="U25" s="1440"/>
      <c r="V25" s="1440"/>
      <c r="W25" s="1440"/>
      <c r="X25" s="1440"/>
      <c r="Y25" s="1440"/>
      <c r="Z25" s="1440"/>
      <c r="AA25" s="1440"/>
      <c r="AB25" s="1440"/>
      <c r="AC25" s="1440"/>
      <c r="AD25" s="1440"/>
      <c r="AE25" s="1440"/>
      <c r="AF25" s="1440"/>
      <c r="AG25" s="1440"/>
      <c r="AH25" s="1440"/>
      <c r="AI25" s="1440"/>
      <c r="AJ25" s="1440"/>
      <c r="AK25" s="1440"/>
    </row>
    <row r="26">
      <c r="A26" s="519"/>
      <c r="B26" s="1417" t="s">
        <v>3443</v>
      </c>
      <c r="C26" s="1418">
        <v>45771.0</v>
      </c>
      <c r="D26" s="1419">
        <v>45778.0</v>
      </c>
      <c r="E26" s="519">
        <v>3.0</v>
      </c>
      <c r="F26" s="519" t="s">
        <v>3444</v>
      </c>
      <c r="G26" s="519" t="s">
        <v>3428</v>
      </c>
      <c r="H26" s="1421"/>
      <c r="I26" s="1421"/>
      <c r="J26" s="1421">
        <v>990000.0</v>
      </c>
      <c r="K26" s="1421"/>
      <c r="L26" s="1421">
        <f t="shared" si="1"/>
        <v>990000</v>
      </c>
      <c r="M26" s="1421"/>
      <c r="N26" s="1421"/>
      <c r="O26" s="1421">
        <f t="shared" si="3"/>
        <v>0</v>
      </c>
    </row>
    <row r="27">
      <c r="A27" s="519"/>
      <c r="B27" s="1417" t="s">
        <v>3443</v>
      </c>
      <c r="C27" s="1418">
        <v>45772.0</v>
      </c>
      <c r="D27" s="1419">
        <v>45778.0</v>
      </c>
      <c r="E27" s="519">
        <v>3.0</v>
      </c>
      <c r="G27" s="519" t="s">
        <v>3428</v>
      </c>
      <c r="H27" s="1421"/>
      <c r="I27" s="1421"/>
      <c r="J27" s="1421">
        <v>1102500.0</v>
      </c>
      <c r="K27" s="1421"/>
      <c r="L27" s="1421">
        <f t="shared" si="1"/>
        <v>1102500</v>
      </c>
      <c r="M27" s="1421"/>
      <c r="N27" s="1421"/>
      <c r="O27" s="1421">
        <f t="shared" si="3"/>
        <v>0</v>
      </c>
    </row>
    <row r="28">
      <c r="A28" s="519"/>
      <c r="B28" s="1417" t="s">
        <v>3445</v>
      </c>
      <c r="C28" s="1441">
        <v>45772.0</v>
      </c>
      <c r="D28" s="1419">
        <v>45855.0</v>
      </c>
      <c r="E28" s="519">
        <v>2.0</v>
      </c>
      <c r="F28" s="205" t="s">
        <v>3446</v>
      </c>
      <c r="G28" s="519" t="s">
        <v>3428</v>
      </c>
      <c r="H28" s="1421"/>
      <c r="I28" s="1421"/>
      <c r="J28" s="1442">
        <v>660000.22</v>
      </c>
      <c r="K28" s="1421"/>
      <c r="L28" s="1421">
        <f t="shared" si="1"/>
        <v>660000.22</v>
      </c>
      <c r="M28" s="1421"/>
      <c r="N28" s="1421"/>
      <c r="O28" s="1421">
        <f t="shared" si="3"/>
        <v>0</v>
      </c>
    </row>
    <row r="29">
      <c r="B29" s="1417" t="s">
        <v>3445</v>
      </c>
      <c r="C29" s="1441">
        <v>45774.0</v>
      </c>
      <c r="D29" s="1419">
        <v>45855.0</v>
      </c>
      <c r="E29" s="246">
        <v>2.0</v>
      </c>
      <c r="F29" s="246" t="s">
        <v>3447</v>
      </c>
      <c r="G29" s="246" t="s">
        <v>3428</v>
      </c>
      <c r="H29" s="1421"/>
      <c r="I29" s="1421"/>
      <c r="J29" s="1442">
        <v>735000.22</v>
      </c>
      <c r="K29" s="1421"/>
      <c r="L29" s="1421"/>
      <c r="M29" s="1421"/>
      <c r="N29" s="1421"/>
      <c r="O29" s="1421"/>
    </row>
    <row r="30">
      <c r="B30" s="1417" t="s">
        <v>3448</v>
      </c>
      <c r="C30" s="1441">
        <v>45775.0</v>
      </c>
      <c r="D30" s="1419">
        <v>45777.0</v>
      </c>
      <c r="E30" s="519">
        <v>3.0</v>
      </c>
      <c r="F30" s="519" t="s">
        <v>3449</v>
      </c>
      <c r="G30" s="519" t="s">
        <v>3413</v>
      </c>
      <c r="H30" s="1421"/>
      <c r="I30" s="1421"/>
      <c r="J30" s="1442">
        <v>2250000.0</v>
      </c>
      <c r="K30" s="1421"/>
      <c r="L30" s="1421">
        <f t="shared" ref="L30:L33" si="4">J30-K30</f>
        <v>2250000</v>
      </c>
      <c r="M30" s="1421"/>
      <c r="N30" s="1421"/>
      <c r="O30" s="1421">
        <f t="shared" ref="O30:O33" si="5">N30*20%</f>
        <v>0</v>
      </c>
    </row>
    <row r="31" ht="15.0" customHeight="1">
      <c r="B31" s="1443" t="s">
        <v>1618</v>
      </c>
      <c r="C31" s="1418">
        <v>45776.0</v>
      </c>
      <c r="D31" s="1419">
        <v>45779.0</v>
      </c>
      <c r="E31" s="519">
        <v>2.0</v>
      </c>
      <c r="F31" s="519" t="s">
        <v>3450</v>
      </c>
      <c r="G31" s="519" t="s">
        <v>3413</v>
      </c>
      <c r="H31" s="1421">
        <v>460000.0</v>
      </c>
      <c r="I31" s="1421"/>
      <c r="J31" s="1421">
        <v>530000.0</v>
      </c>
      <c r="K31" s="1421"/>
      <c r="L31" s="1421">
        <f t="shared" si="4"/>
        <v>530000</v>
      </c>
      <c r="M31" s="1421"/>
      <c r="N31" s="1421"/>
      <c r="O31" s="1421">
        <f t="shared" si="5"/>
        <v>0</v>
      </c>
    </row>
    <row r="32">
      <c r="B32" s="1417" t="s">
        <v>3451</v>
      </c>
      <c r="C32" s="1418">
        <v>45790.0</v>
      </c>
      <c r="D32" s="1419">
        <v>45825.0</v>
      </c>
      <c r="E32" s="519">
        <v>4.0</v>
      </c>
      <c r="F32" s="205" t="s">
        <v>3452</v>
      </c>
      <c r="G32" s="519" t="s">
        <v>3428</v>
      </c>
      <c r="H32" s="1442">
        <f>2680000</f>
        <v>2680000</v>
      </c>
      <c r="I32" s="1421"/>
      <c r="J32" s="1421"/>
      <c r="K32" s="1421"/>
      <c r="L32" s="1421">
        <f t="shared" si="4"/>
        <v>0</v>
      </c>
      <c r="M32" s="1421"/>
      <c r="N32" s="1421"/>
      <c r="O32" s="1421">
        <f t="shared" si="5"/>
        <v>0</v>
      </c>
    </row>
    <row r="33">
      <c r="A33" s="1440"/>
      <c r="B33" s="1434" t="s">
        <v>3453</v>
      </c>
      <c r="C33" s="1444">
        <v>45790.0</v>
      </c>
      <c r="D33" s="1436">
        <v>45796.0</v>
      </c>
      <c r="E33" s="1433">
        <v>8.0</v>
      </c>
      <c r="F33" s="1433" t="s">
        <v>3454</v>
      </c>
      <c r="G33" s="1433" t="s">
        <v>3428</v>
      </c>
      <c r="H33" s="1438"/>
      <c r="I33" s="1438"/>
      <c r="J33" s="1438"/>
      <c r="K33" s="1438"/>
      <c r="L33" s="1438">
        <f t="shared" si="4"/>
        <v>0</v>
      </c>
      <c r="M33" s="1438"/>
      <c r="N33" s="1438"/>
      <c r="O33" s="1438">
        <f t="shared" si="5"/>
        <v>0</v>
      </c>
      <c r="P33" s="1440"/>
      <c r="Q33" s="1440"/>
      <c r="R33" s="1440"/>
      <c r="S33" s="1440"/>
      <c r="T33" s="1440"/>
      <c r="U33" s="1440"/>
      <c r="V33" s="1440"/>
      <c r="W33" s="1440"/>
      <c r="X33" s="1440"/>
      <c r="Y33" s="1440"/>
      <c r="Z33" s="1440"/>
      <c r="AA33" s="1440"/>
      <c r="AB33" s="1440"/>
      <c r="AC33" s="1440"/>
      <c r="AD33" s="1440"/>
      <c r="AE33" s="1440"/>
      <c r="AF33" s="1440"/>
      <c r="AG33" s="1440"/>
      <c r="AH33" s="1440"/>
      <c r="AI33" s="1440"/>
      <c r="AJ33" s="1440"/>
      <c r="AK33" s="1440"/>
    </row>
    <row r="34">
      <c r="B34" s="1046" t="s">
        <v>3455</v>
      </c>
      <c r="C34" s="1441">
        <v>45792.0</v>
      </c>
      <c r="D34" s="1419">
        <v>45814.0</v>
      </c>
      <c r="E34" s="205"/>
      <c r="F34" s="519" t="s">
        <v>3454</v>
      </c>
      <c r="G34" s="246" t="s">
        <v>3428</v>
      </c>
      <c r="H34" s="1442">
        <v>700000.0</v>
      </c>
      <c r="I34" s="1421"/>
      <c r="J34" s="1442">
        <v>700000.0</v>
      </c>
      <c r="K34" s="1421"/>
      <c r="L34" s="1421"/>
      <c r="M34" s="1421"/>
      <c r="N34" s="1421"/>
      <c r="O34" s="1421"/>
    </row>
    <row r="35">
      <c r="A35" s="1440"/>
      <c r="B35" s="1445" t="s">
        <v>3456</v>
      </c>
      <c r="C35" s="1435">
        <v>45804.0</v>
      </c>
      <c r="D35" s="1436">
        <v>45808.0</v>
      </c>
      <c r="E35" s="1437">
        <v>3.0</v>
      </c>
      <c r="F35" s="1437" t="s">
        <v>3457</v>
      </c>
      <c r="G35" s="1446" t="s">
        <v>3413</v>
      </c>
      <c r="H35" s="1438"/>
      <c r="I35" s="1438"/>
      <c r="J35" s="1439">
        <v>1240200.0</v>
      </c>
      <c r="K35" s="1438">
        <f>413000+826800</f>
        <v>1239800</v>
      </c>
      <c r="L35" s="1438"/>
      <c r="M35" s="1438"/>
      <c r="N35" s="1438"/>
      <c r="O35" s="1438"/>
      <c r="P35" s="1440"/>
      <c r="Q35" s="1440"/>
      <c r="R35" s="1440"/>
      <c r="S35" s="1440"/>
      <c r="T35" s="1440"/>
      <c r="U35" s="1440"/>
      <c r="V35" s="1440"/>
      <c r="W35" s="1440"/>
      <c r="X35" s="1440"/>
      <c r="Y35" s="1440"/>
      <c r="Z35" s="1440"/>
      <c r="AA35" s="1440"/>
      <c r="AB35" s="1440"/>
      <c r="AC35" s="1440"/>
      <c r="AD35" s="1440"/>
      <c r="AE35" s="1440"/>
      <c r="AF35" s="1440"/>
      <c r="AG35" s="1440"/>
      <c r="AH35" s="1440"/>
      <c r="AI35" s="1440"/>
      <c r="AJ35" s="1440"/>
      <c r="AK35" s="1440"/>
    </row>
    <row r="36">
      <c r="B36" s="1046" t="s">
        <v>3458</v>
      </c>
      <c r="C36" s="1441">
        <v>45804.0</v>
      </c>
      <c r="D36" s="1419">
        <v>45820.0</v>
      </c>
      <c r="E36" s="205">
        <v>3.0</v>
      </c>
      <c r="F36" s="205" t="s">
        <v>3459</v>
      </c>
      <c r="G36" s="246" t="s">
        <v>3428</v>
      </c>
      <c r="H36" s="1421"/>
      <c r="I36" s="1421"/>
      <c r="J36" s="1442">
        <v>1860000.0</v>
      </c>
      <c r="K36" s="1421"/>
      <c r="L36" s="1421">
        <f t="shared" ref="L36:L48" si="6">J36-K36</f>
        <v>1860000</v>
      </c>
      <c r="M36" s="1421"/>
      <c r="N36" s="1421"/>
      <c r="O36" s="1421">
        <f>N36*20%</f>
        <v>0</v>
      </c>
    </row>
    <row r="37">
      <c r="B37" s="1046" t="s">
        <v>3460</v>
      </c>
      <c r="C37" s="1441">
        <v>45818.0</v>
      </c>
      <c r="D37" s="1419">
        <v>45859.0</v>
      </c>
      <c r="E37" s="205">
        <v>3.0</v>
      </c>
      <c r="F37" s="205" t="s">
        <v>3461</v>
      </c>
      <c r="G37" s="246" t="s">
        <v>3428</v>
      </c>
      <c r="H37" s="1442">
        <v>1800000.0</v>
      </c>
      <c r="I37" s="1421"/>
      <c r="J37" s="1442">
        <v>1800000.0</v>
      </c>
      <c r="K37" s="1421"/>
      <c r="L37" s="1421">
        <f t="shared" si="6"/>
        <v>1800000</v>
      </c>
      <c r="M37" s="1421"/>
      <c r="N37" s="1421"/>
      <c r="O37" s="1421"/>
    </row>
    <row r="38">
      <c r="B38" s="1046" t="s">
        <v>3451</v>
      </c>
      <c r="C38" s="1418"/>
      <c r="D38" s="1419">
        <v>45826.0</v>
      </c>
      <c r="E38" s="205">
        <v>4.0</v>
      </c>
      <c r="F38" s="205" t="s">
        <v>3462</v>
      </c>
      <c r="G38" s="246" t="s">
        <v>3428</v>
      </c>
      <c r="H38" s="1442">
        <v>2400000.0</v>
      </c>
      <c r="I38" s="1421"/>
      <c r="J38" s="1442">
        <v>2140000.0</v>
      </c>
      <c r="K38" s="1421"/>
      <c r="L38" s="1421">
        <f t="shared" si="6"/>
        <v>2140000</v>
      </c>
      <c r="M38" s="1421"/>
      <c r="N38" s="1421"/>
      <c r="O38" s="1421"/>
    </row>
    <row r="39">
      <c r="B39" s="1046" t="s">
        <v>3463</v>
      </c>
      <c r="C39" s="1441">
        <v>45822.0</v>
      </c>
      <c r="D39" s="1419">
        <v>45841.0</v>
      </c>
      <c r="E39" s="205">
        <v>2.0</v>
      </c>
      <c r="F39" s="205" t="s">
        <v>3464</v>
      </c>
      <c r="G39" s="246" t="s">
        <v>3428</v>
      </c>
      <c r="H39" s="1442">
        <v>740000.0</v>
      </c>
      <c r="I39" s="1421"/>
      <c r="J39" s="1442">
        <v>729968.0</v>
      </c>
      <c r="K39" s="1421"/>
      <c r="L39" s="1421">
        <f t="shared" si="6"/>
        <v>729968</v>
      </c>
      <c r="M39" s="1421"/>
      <c r="N39" s="1421"/>
      <c r="O39" s="1421"/>
      <c r="Q39" s="205" t="s">
        <v>3465</v>
      </c>
    </row>
    <row r="40">
      <c r="A40" s="1440"/>
      <c r="B40" s="1445" t="s">
        <v>3466</v>
      </c>
      <c r="C40" s="1435">
        <v>45823.0</v>
      </c>
      <c r="D40" s="1435">
        <v>45823.0</v>
      </c>
      <c r="E40" s="1437">
        <v>2.0</v>
      </c>
      <c r="F40" s="1437" t="s">
        <v>3467</v>
      </c>
      <c r="G40" s="1446" t="s">
        <v>3428</v>
      </c>
      <c r="H40" s="1439">
        <v>660000.0</v>
      </c>
      <c r="I40" s="1438"/>
      <c r="J40" s="1439">
        <v>880000.0</v>
      </c>
      <c r="K40" s="1438"/>
      <c r="L40" s="1438">
        <f t="shared" si="6"/>
        <v>880000</v>
      </c>
      <c r="M40" s="1438"/>
      <c r="N40" s="1438"/>
      <c r="O40" s="1438"/>
      <c r="P40" s="1440"/>
      <c r="Q40" s="1440"/>
      <c r="R40" s="1440"/>
      <c r="S40" s="1440"/>
      <c r="T40" s="1440"/>
      <c r="U40" s="1440"/>
      <c r="V40" s="1440"/>
      <c r="W40" s="1440"/>
      <c r="X40" s="1440"/>
      <c r="Y40" s="1440"/>
      <c r="Z40" s="1440"/>
      <c r="AA40" s="1440"/>
      <c r="AB40" s="1440"/>
      <c r="AC40" s="1440"/>
      <c r="AD40" s="1440"/>
      <c r="AE40" s="1440"/>
      <c r="AF40" s="1440"/>
      <c r="AG40" s="1440"/>
      <c r="AH40" s="1440"/>
      <c r="AI40" s="1440"/>
      <c r="AJ40" s="1440"/>
      <c r="AK40" s="1440"/>
    </row>
    <row r="41">
      <c r="A41" s="1440"/>
      <c r="B41" s="1445" t="s">
        <v>3468</v>
      </c>
      <c r="C41" s="1435">
        <v>45828.0</v>
      </c>
      <c r="D41" s="1435">
        <v>45828.0</v>
      </c>
      <c r="E41" s="1437">
        <v>2.0</v>
      </c>
      <c r="F41" s="1437" t="s">
        <v>3469</v>
      </c>
      <c r="G41" s="1446" t="s">
        <v>3428</v>
      </c>
      <c r="H41" s="1439">
        <v>560000.0</v>
      </c>
      <c r="I41" s="1438"/>
      <c r="J41" s="1439">
        <v>829968.0</v>
      </c>
      <c r="K41" s="1438"/>
      <c r="L41" s="1438">
        <f t="shared" si="6"/>
        <v>829968</v>
      </c>
      <c r="M41" s="1438"/>
      <c r="N41" s="1438"/>
      <c r="O41" s="1438"/>
      <c r="P41" s="1440"/>
      <c r="Q41" s="1440"/>
      <c r="R41" s="1440"/>
      <c r="S41" s="1440"/>
      <c r="T41" s="1440"/>
      <c r="U41" s="1440"/>
      <c r="V41" s="1440"/>
      <c r="W41" s="1440"/>
      <c r="X41" s="1440"/>
      <c r="Y41" s="1440"/>
      <c r="Z41" s="1440"/>
      <c r="AA41" s="1440"/>
      <c r="AB41" s="1440"/>
      <c r="AC41" s="1440"/>
      <c r="AD41" s="1440"/>
      <c r="AE41" s="1440"/>
      <c r="AF41" s="1440"/>
      <c r="AG41" s="1440"/>
      <c r="AH41" s="1440"/>
      <c r="AI41" s="1440"/>
      <c r="AJ41" s="1440"/>
      <c r="AK41" s="1440"/>
    </row>
    <row r="42">
      <c r="B42" s="1046" t="s">
        <v>3463</v>
      </c>
      <c r="C42" s="1441">
        <v>45828.0</v>
      </c>
      <c r="D42" s="1419">
        <v>45841.0</v>
      </c>
      <c r="E42" s="205">
        <v>2.0</v>
      </c>
      <c r="F42" s="205" t="s">
        <v>3470</v>
      </c>
      <c r="G42" s="246" t="s">
        <v>3428</v>
      </c>
      <c r="H42" s="1421"/>
      <c r="I42" s="1421"/>
      <c r="J42" s="1442">
        <v>920000.0</v>
      </c>
      <c r="K42" s="1421"/>
      <c r="L42" s="1421">
        <f t="shared" si="6"/>
        <v>920000</v>
      </c>
      <c r="M42" s="1421"/>
      <c r="N42" s="1421"/>
      <c r="O42" s="1421"/>
    </row>
    <row r="43">
      <c r="A43" s="1440"/>
      <c r="B43" s="1445" t="s">
        <v>3471</v>
      </c>
      <c r="C43" s="1435">
        <v>45827.0</v>
      </c>
      <c r="D43" s="1435">
        <v>45827.0</v>
      </c>
      <c r="E43" s="1440"/>
      <c r="F43" s="1437" t="s">
        <v>3472</v>
      </c>
      <c r="G43" s="1446" t="s">
        <v>3428</v>
      </c>
      <c r="H43" s="1438"/>
      <c r="I43" s="1438"/>
      <c r="J43" s="1439">
        <v>1113000.0</v>
      </c>
      <c r="K43" s="1438"/>
      <c r="L43" s="1438">
        <f t="shared" si="6"/>
        <v>1113000</v>
      </c>
      <c r="M43" s="1438"/>
      <c r="N43" s="1438"/>
      <c r="O43" s="1438"/>
      <c r="P43" s="1440"/>
      <c r="Q43" s="1440"/>
      <c r="R43" s="1440"/>
      <c r="S43" s="1440"/>
      <c r="T43" s="1440"/>
      <c r="U43" s="1440"/>
      <c r="V43" s="1440"/>
      <c r="W43" s="1440"/>
      <c r="X43" s="1440"/>
      <c r="Y43" s="1440"/>
      <c r="Z43" s="1440"/>
      <c r="AA43" s="1440"/>
      <c r="AB43" s="1440"/>
      <c r="AC43" s="1440"/>
      <c r="AD43" s="1440"/>
      <c r="AE43" s="1440"/>
      <c r="AF43" s="1440"/>
      <c r="AG43" s="1440"/>
      <c r="AH43" s="1440"/>
      <c r="AI43" s="1440"/>
      <c r="AJ43" s="1440"/>
      <c r="AK43" s="1440"/>
    </row>
    <row r="44">
      <c r="A44" s="1440"/>
      <c r="B44" s="1445" t="s">
        <v>3471</v>
      </c>
      <c r="C44" s="1435">
        <v>45827.0</v>
      </c>
      <c r="D44" s="1435">
        <v>45827.0</v>
      </c>
      <c r="E44" s="1440"/>
      <c r="F44" s="1437" t="s">
        <v>3473</v>
      </c>
      <c r="G44" s="1446" t="s">
        <v>3413</v>
      </c>
      <c r="H44" s="1438"/>
      <c r="I44" s="1438"/>
      <c r="J44" s="1439">
        <v>1160000.0</v>
      </c>
      <c r="K44" s="1438"/>
      <c r="L44" s="1438">
        <f t="shared" si="6"/>
        <v>1160000</v>
      </c>
      <c r="M44" s="1438"/>
      <c r="N44" s="1438"/>
      <c r="O44" s="1438"/>
      <c r="P44" s="1440"/>
      <c r="Q44" s="1440"/>
      <c r="R44" s="1440"/>
      <c r="S44" s="1440"/>
      <c r="T44" s="1440"/>
      <c r="U44" s="1440"/>
      <c r="V44" s="1440"/>
      <c r="W44" s="1440"/>
      <c r="X44" s="1440"/>
      <c r="Y44" s="1440"/>
      <c r="Z44" s="1440"/>
      <c r="AA44" s="1440"/>
      <c r="AB44" s="1440"/>
      <c r="AC44" s="1440"/>
      <c r="AD44" s="1440"/>
      <c r="AE44" s="1440"/>
      <c r="AF44" s="1440"/>
      <c r="AG44" s="1440"/>
      <c r="AH44" s="1440"/>
      <c r="AI44" s="1440"/>
      <c r="AJ44" s="1440"/>
      <c r="AK44" s="1440"/>
    </row>
    <row r="45">
      <c r="B45" s="1046" t="s">
        <v>3474</v>
      </c>
      <c r="C45" s="1441">
        <v>45823.0</v>
      </c>
      <c r="D45" s="1419">
        <v>45824.0</v>
      </c>
      <c r="F45" s="205" t="s">
        <v>3475</v>
      </c>
      <c r="G45" s="246" t="s">
        <v>3428</v>
      </c>
      <c r="H45" s="1421"/>
      <c r="I45" s="1421"/>
      <c r="J45" s="1442">
        <v>762468.0</v>
      </c>
      <c r="K45" s="1421"/>
      <c r="L45" s="1421">
        <f t="shared" si="6"/>
        <v>762468</v>
      </c>
      <c r="M45" s="1421"/>
      <c r="N45" s="1421"/>
      <c r="O45" s="1421"/>
    </row>
    <row r="46">
      <c r="B46" s="1046" t="s">
        <v>3474</v>
      </c>
      <c r="C46" s="1441">
        <v>45823.0</v>
      </c>
      <c r="D46" s="1419">
        <v>45824.0</v>
      </c>
      <c r="F46" s="205" t="s">
        <v>3475</v>
      </c>
      <c r="G46" s="246" t="s">
        <v>3428</v>
      </c>
      <c r="H46" s="1421"/>
      <c r="I46" s="1421"/>
      <c r="J46" s="1442">
        <v>762468.0</v>
      </c>
      <c r="K46" s="1421"/>
      <c r="L46" s="1421">
        <f t="shared" si="6"/>
        <v>762468</v>
      </c>
      <c r="M46" s="1421"/>
      <c r="N46" s="1421"/>
      <c r="O46" s="1421"/>
    </row>
    <row r="47">
      <c r="B47" s="1046" t="s">
        <v>3474</v>
      </c>
      <c r="C47" s="1441">
        <v>45823.0</v>
      </c>
      <c r="D47" s="1419">
        <v>45824.0</v>
      </c>
      <c r="F47" s="205" t="s">
        <v>3475</v>
      </c>
      <c r="G47" s="246" t="s">
        <v>3428</v>
      </c>
      <c r="H47" s="1421"/>
      <c r="I47" s="1421"/>
      <c r="J47" s="1442">
        <v>772500.0</v>
      </c>
      <c r="K47" s="1421"/>
      <c r="L47" s="1421">
        <f t="shared" si="6"/>
        <v>772500</v>
      </c>
      <c r="M47" s="1421"/>
      <c r="N47" s="1421"/>
      <c r="O47" s="1421"/>
    </row>
    <row r="48">
      <c r="B48" s="1046" t="s">
        <v>3474</v>
      </c>
      <c r="C48" s="1441">
        <v>45823.0</v>
      </c>
      <c r="D48" s="1419">
        <v>45824.0</v>
      </c>
      <c r="F48" s="205" t="s">
        <v>3475</v>
      </c>
      <c r="G48" s="246" t="s">
        <v>3428</v>
      </c>
      <c r="H48" s="1421"/>
      <c r="I48" s="1421"/>
      <c r="J48" s="1442">
        <v>772500.0</v>
      </c>
      <c r="K48" s="1421"/>
      <c r="L48" s="1421">
        <f t="shared" si="6"/>
        <v>772500</v>
      </c>
      <c r="M48" s="1421"/>
      <c r="N48" s="1421"/>
      <c r="O48" s="1421"/>
    </row>
    <row r="49">
      <c r="B49" s="1046" t="s">
        <v>3476</v>
      </c>
      <c r="C49" s="1441">
        <v>45840.0</v>
      </c>
      <c r="D49" s="1447">
        <v>45843.0</v>
      </c>
      <c r="E49" s="205">
        <v>2.0</v>
      </c>
      <c r="F49" s="205" t="s">
        <v>3477</v>
      </c>
      <c r="G49" s="246" t="s">
        <v>3428</v>
      </c>
      <c r="H49" s="1421"/>
      <c r="I49" s="1421"/>
      <c r="J49" s="1442">
        <v>2320968.0</v>
      </c>
      <c r="K49" s="1421"/>
      <c r="L49" s="1421"/>
      <c r="M49" s="1421"/>
      <c r="N49" s="1421"/>
      <c r="O49" s="1421"/>
    </row>
    <row r="50">
      <c r="B50" s="1046" t="s">
        <v>3478</v>
      </c>
      <c r="C50" s="1441">
        <v>45841.0</v>
      </c>
      <c r="D50" s="1419">
        <v>45852.0</v>
      </c>
      <c r="E50" s="205">
        <v>1.0</v>
      </c>
      <c r="F50" s="205" t="s">
        <v>3479</v>
      </c>
      <c r="G50" s="246" t="s">
        <v>3428</v>
      </c>
      <c r="H50" s="1421"/>
      <c r="I50" s="1421"/>
      <c r="J50" s="1442">
        <v>280000.0</v>
      </c>
      <c r="K50" s="1421"/>
      <c r="L50" s="1421"/>
      <c r="M50" s="1421"/>
      <c r="N50" s="1421"/>
      <c r="O50" s="1421"/>
    </row>
    <row r="51">
      <c r="B51" s="1046" t="s">
        <v>3478</v>
      </c>
      <c r="C51" s="1441">
        <v>45841.0</v>
      </c>
      <c r="D51" s="1419">
        <v>45852.0</v>
      </c>
      <c r="E51" s="205">
        <v>1.0</v>
      </c>
      <c r="F51" s="205" t="s">
        <v>3479</v>
      </c>
      <c r="G51" s="246" t="s">
        <v>3428</v>
      </c>
      <c r="H51" s="1421"/>
      <c r="I51" s="1421"/>
      <c r="J51" s="1442">
        <v>280000.0</v>
      </c>
      <c r="K51" s="1421"/>
      <c r="L51" s="1421"/>
      <c r="M51" s="1421"/>
      <c r="N51" s="1421"/>
      <c r="O51" s="1421"/>
    </row>
    <row r="52">
      <c r="B52" s="1046" t="s">
        <v>3478</v>
      </c>
      <c r="C52" s="1441">
        <v>45841.0</v>
      </c>
      <c r="D52" s="1419">
        <v>45852.0</v>
      </c>
      <c r="E52" s="205">
        <v>1.0</v>
      </c>
      <c r="F52" s="205" t="s">
        <v>3479</v>
      </c>
      <c r="G52" s="246" t="s">
        <v>3428</v>
      </c>
      <c r="H52" s="1421"/>
      <c r="I52" s="1421"/>
      <c r="J52" s="1442">
        <v>280000.0</v>
      </c>
      <c r="K52" s="1421"/>
      <c r="L52" s="1421"/>
      <c r="M52" s="1421"/>
      <c r="N52" s="1421"/>
      <c r="O52" s="1421"/>
    </row>
    <row r="53">
      <c r="B53" s="1046" t="s">
        <v>2066</v>
      </c>
      <c r="C53" s="1441">
        <v>45842.0</v>
      </c>
      <c r="D53" s="1299"/>
      <c r="F53" s="205" t="s">
        <v>3480</v>
      </c>
      <c r="G53" s="246" t="s">
        <v>3428</v>
      </c>
      <c r="H53" s="1421"/>
      <c r="I53" s="1421"/>
      <c r="J53" s="1442">
        <v>4487600.0</v>
      </c>
      <c r="K53" s="1421"/>
      <c r="L53" s="1421">
        <f t="shared" ref="L53:L60" si="7">J53-K53</f>
        <v>4487600</v>
      </c>
      <c r="M53" s="1421"/>
      <c r="N53" s="1421"/>
      <c r="O53" s="1421"/>
    </row>
    <row r="54">
      <c r="B54" s="1049"/>
      <c r="C54" s="1418"/>
      <c r="D54" s="1299"/>
      <c r="G54" s="519"/>
      <c r="H54" s="1421"/>
      <c r="I54" s="1421"/>
      <c r="J54" s="1421"/>
      <c r="K54" s="1421"/>
      <c r="L54" s="1421">
        <f t="shared" si="7"/>
        <v>0</v>
      </c>
      <c r="M54" s="1421"/>
      <c r="N54" s="1421"/>
      <c r="O54" s="1421"/>
    </row>
    <row r="55">
      <c r="B55" s="1049"/>
      <c r="C55" s="1418"/>
      <c r="D55" s="1299"/>
      <c r="G55" s="519"/>
      <c r="H55" s="1421"/>
      <c r="I55" s="1421"/>
      <c r="J55" s="1421"/>
      <c r="K55" s="1421"/>
      <c r="L55" s="1421">
        <f t="shared" si="7"/>
        <v>0</v>
      </c>
      <c r="M55" s="1421"/>
      <c r="N55" s="1421"/>
      <c r="O55" s="1421"/>
    </row>
    <row r="56">
      <c r="B56" s="1049"/>
      <c r="C56" s="1418"/>
      <c r="D56" s="1299"/>
      <c r="G56" s="519"/>
      <c r="H56" s="1421"/>
      <c r="I56" s="1421"/>
      <c r="J56" s="1421"/>
      <c r="K56" s="1421"/>
      <c r="L56" s="1421">
        <f t="shared" si="7"/>
        <v>0</v>
      </c>
      <c r="M56" s="1421"/>
      <c r="N56" s="1421"/>
      <c r="O56" s="1421"/>
    </row>
    <row r="57">
      <c r="B57" s="1049"/>
      <c r="C57" s="1418"/>
      <c r="D57" s="1299"/>
      <c r="G57" s="519"/>
      <c r="H57" s="1421"/>
      <c r="I57" s="1421"/>
      <c r="J57" s="1421"/>
      <c r="K57" s="1421"/>
      <c r="L57" s="1421">
        <f t="shared" si="7"/>
        <v>0</v>
      </c>
      <c r="M57" s="1421"/>
      <c r="N57" s="1421"/>
      <c r="O57" s="1421"/>
    </row>
    <row r="58">
      <c r="B58" s="1049"/>
      <c r="C58" s="1418"/>
      <c r="D58" s="1299"/>
      <c r="G58" s="519"/>
      <c r="H58" s="1421"/>
      <c r="I58" s="1421"/>
      <c r="J58" s="1421"/>
      <c r="K58" s="1421"/>
      <c r="L58" s="1421">
        <f t="shared" si="7"/>
        <v>0</v>
      </c>
      <c r="M58" s="1421"/>
      <c r="N58" s="1421"/>
      <c r="O58" s="1421"/>
    </row>
    <row r="59">
      <c r="B59" s="1049"/>
      <c r="C59" s="1418"/>
      <c r="D59" s="1299"/>
      <c r="G59" s="519"/>
      <c r="H59" s="1421"/>
      <c r="I59" s="1421"/>
      <c r="J59" s="1421"/>
      <c r="K59" s="1421"/>
      <c r="L59" s="1421">
        <f t="shared" si="7"/>
        <v>0</v>
      </c>
      <c r="M59" s="1421"/>
      <c r="N59" s="1421"/>
      <c r="O59" s="1421"/>
    </row>
    <row r="60">
      <c r="B60" s="1049"/>
      <c r="C60" s="1418"/>
      <c r="D60" s="1299"/>
      <c r="G60" s="519"/>
      <c r="H60" s="1421"/>
      <c r="I60" s="1421"/>
      <c r="J60" s="1421"/>
      <c r="K60" s="1421"/>
      <c r="L60" s="1421">
        <f t="shared" si="7"/>
        <v>0</v>
      </c>
      <c r="M60" s="1421"/>
      <c r="N60" s="1421"/>
      <c r="O60" s="1421"/>
    </row>
    <row r="61">
      <c r="B61" s="1049"/>
      <c r="C61" s="1418"/>
      <c r="D61" s="1299"/>
      <c r="G61" s="519"/>
      <c r="H61" s="1421"/>
      <c r="I61" s="1421"/>
      <c r="J61" s="1421"/>
      <c r="K61" s="1421"/>
      <c r="L61" s="1421"/>
      <c r="M61" s="1421"/>
      <c r="N61" s="1421"/>
      <c r="O61" s="1421"/>
    </row>
    <row r="62">
      <c r="B62" s="1049"/>
      <c r="C62" s="1418"/>
      <c r="D62" s="1299"/>
      <c r="G62" s="519"/>
      <c r="H62" s="1421"/>
      <c r="I62" s="1421"/>
      <c r="J62" s="1421"/>
      <c r="K62" s="1421"/>
      <c r="L62" s="1421"/>
      <c r="M62" s="1421"/>
      <c r="N62" s="1421"/>
      <c r="O62" s="1421"/>
    </row>
    <row r="63">
      <c r="B63" s="1049"/>
      <c r="C63" s="1418"/>
      <c r="D63" s="1299"/>
      <c r="G63" s="519"/>
      <c r="H63" s="1421"/>
      <c r="I63" s="1421"/>
      <c r="J63" s="1421"/>
      <c r="K63" s="1421"/>
      <c r="L63" s="1421"/>
      <c r="M63" s="1421"/>
      <c r="N63" s="1421"/>
      <c r="O63" s="1421"/>
    </row>
    <row r="64">
      <c r="B64" s="1049"/>
      <c r="C64" s="1418"/>
      <c r="D64" s="1299"/>
      <c r="G64" s="519"/>
      <c r="H64" s="1421"/>
      <c r="I64" s="1421"/>
      <c r="J64" s="1421"/>
      <c r="K64" s="1421"/>
      <c r="L64" s="1421"/>
      <c r="M64" s="1421"/>
      <c r="N64" s="1421"/>
      <c r="O64" s="1421"/>
    </row>
    <row r="65">
      <c r="B65" s="1049"/>
      <c r="C65" s="1418"/>
      <c r="D65" s="1299"/>
      <c r="G65" s="519"/>
      <c r="H65" s="1421"/>
      <c r="I65" s="1421"/>
      <c r="J65" s="1421"/>
      <c r="K65" s="1421"/>
      <c r="L65" s="1421"/>
      <c r="M65" s="1421"/>
      <c r="N65" s="1421"/>
      <c r="O65" s="1421"/>
    </row>
    <row r="66">
      <c r="B66" s="1049"/>
      <c r="C66" s="1418"/>
      <c r="D66" s="1299"/>
      <c r="G66" s="519"/>
      <c r="H66" s="1421"/>
      <c r="I66" s="1421"/>
      <c r="J66" s="1421"/>
      <c r="K66" s="1421"/>
      <c r="L66" s="1421"/>
      <c r="M66" s="1421"/>
      <c r="N66" s="1421"/>
      <c r="O66" s="1421"/>
    </row>
    <row r="67">
      <c r="B67" s="1049"/>
      <c r="C67" s="1418"/>
      <c r="D67" s="1299"/>
      <c r="G67" s="519"/>
      <c r="H67" s="1421"/>
      <c r="I67" s="1421"/>
      <c r="J67" s="1421"/>
      <c r="K67" s="1421"/>
      <c r="L67" s="1421"/>
      <c r="M67" s="1421"/>
      <c r="N67" s="1421"/>
      <c r="O67" s="1421"/>
    </row>
    <row r="68">
      <c r="B68" s="1049"/>
      <c r="C68" s="1418"/>
      <c r="D68" s="1299"/>
      <c r="G68" s="519"/>
      <c r="H68" s="1421"/>
      <c r="I68" s="1421"/>
      <c r="J68" s="1421"/>
      <c r="K68" s="1421"/>
      <c r="L68" s="1421"/>
      <c r="M68" s="1421"/>
      <c r="N68" s="1421"/>
      <c r="O68" s="1421"/>
    </row>
    <row r="69">
      <c r="B69" s="1049"/>
      <c r="C69" s="1418"/>
      <c r="D69" s="1299"/>
      <c r="G69" s="519"/>
      <c r="H69" s="1421"/>
      <c r="I69" s="1421"/>
      <c r="J69" s="1421"/>
      <c r="K69" s="1421"/>
      <c r="L69" s="1421"/>
      <c r="M69" s="1421"/>
      <c r="N69" s="1421"/>
      <c r="O69" s="1421"/>
    </row>
    <row r="70">
      <c r="B70" s="1049"/>
      <c r="C70" s="1418"/>
      <c r="D70" s="1299"/>
      <c r="G70" s="519"/>
      <c r="H70" s="1421"/>
      <c r="I70" s="1421"/>
      <c r="J70" s="1421"/>
      <c r="K70" s="1421"/>
      <c r="L70" s="1421"/>
      <c r="M70" s="1421"/>
      <c r="N70" s="1421"/>
      <c r="O70" s="1421"/>
    </row>
    <row r="71">
      <c r="B71" s="1049"/>
      <c r="C71" s="1418"/>
      <c r="D71" s="1299"/>
      <c r="G71" s="519"/>
      <c r="H71" s="1421"/>
      <c r="I71" s="1421"/>
      <c r="J71" s="1421"/>
      <c r="K71" s="1421"/>
      <c r="L71" s="1421"/>
      <c r="M71" s="1421"/>
      <c r="N71" s="1421"/>
      <c r="O71" s="1421"/>
    </row>
    <row r="72">
      <c r="B72" s="1049"/>
      <c r="C72" s="1418"/>
      <c r="D72" s="1299"/>
      <c r="G72" s="519"/>
      <c r="H72" s="1421"/>
      <c r="I72" s="1421"/>
      <c r="J72" s="1421"/>
      <c r="K72" s="1421"/>
      <c r="L72" s="1421"/>
      <c r="M72" s="1421"/>
      <c r="N72" s="1421"/>
      <c r="O72" s="1421"/>
    </row>
    <row r="73">
      <c r="B73" s="1049"/>
      <c r="C73" s="1418"/>
      <c r="D73" s="1299"/>
      <c r="G73" s="519"/>
      <c r="H73" s="1421"/>
      <c r="I73" s="1421"/>
      <c r="J73" s="1421"/>
      <c r="K73" s="1421"/>
      <c r="L73" s="1421"/>
      <c r="M73" s="1421"/>
      <c r="N73" s="1421"/>
      <c r="O73" s="1421"/>
    </row>
    <row r="74">
      <c r="B74" s="1049"/>
      <c r="C74" s="1418"/>
      <c r="D74" s="1299"/>
      <c r="G74" s="519"/>
      <c r="H74" s="1421"/>
      <c r="I74" s="1421"/>
      <c r="J74" s="1421"/>
      <c r="K74" s="1421"/>
      <c r="L74" s="1421"/>
      <c r="M74" s="1421"/>
      <c r="N74" s="1421"/>
      <c r="O74" s="1421"/>
    </row>
    <row r="75">
      <c r="B75" s="1049"/>
      <c r="C75" s="1418"/>
      <c r="D75" s="1299"/>
      <c r="G75" s="519"/>
      <c r="H75" s="1421"/>
      <c r="I75" s="1421"/>
      <c r="J75" s="1421"/>
      <c r="K75" s="1421"/>
      <c r="L75" s="1421"/>
      <c r="M75" s="1421"/>
      <c r="N75" s="1421"/>
      <c r="O75" s="1421"/>
    </row>
    <row r="76">
      <c r="B76" s="1049"/>
      <c r="C76" s="1418"/>
      <c r="D76" s="1299"/>
      <c r="G76" s="519"/>
      <c r="H76" s="1421"/>
      <c r="I76" s="1421"/>
      <c r="J76" s="1421"/>
      <c r="K76" s="1421"/>
      <c r="L76" s="1421"/>
      <c r="M76" s="1421"/>
      <c r="N76" s="1421"/>
      <c r="O76" s="1421"/>
    </row>
    <row r="77">
      <c r="B77" s="1049"/>
      <c r="C77" s="1418"/>
      <c r="D77" s="1299"/>
      <c r="G77" s="519"/>
      <c r="H77" s="1421"/>
      <c r="I77" s="1421"/>
      <c r="J77" s="1421"/>
      <c r="K77" s="1421"/>
      <c r="L77" s="1421"/>
      <c r="M77" s="1421"/>
      <c r="N77" s="1421"/>
      <c r="O77" s="1421"/>
    </row>
    <row r="78">
      <c r="B78" s="1049"/>
      <c r="C78" s="1418"/>
      <c r="D78" s="1299"/>
      <c r="G78" s="519"/>
      <c r="H78" s="1421"/>
      <c r="I78" s="1421"/>
      <c r="J78" s="1421"/>
      <c r="K78" s="1421"/>
      <c r="L78" s="1421"/>
      <c r="M78" s="1421"/>
      <c r="N78" s="1421"/>
      <c r="O78" s="1421"/>
    </row>
    <row r="79">
      <c r="B79" s="1049"/>
      <c r="C79" s="1418"/>
      <c r="D79" s="1299"/>
      <c r="G79" s="519"/>
      <c r="H79" s="1421"/>
      <c r="I79" s="1421"/>
      <c r="J79" s="1421"/>
      <c r="K79" s="1421"/>
      <c r="L79" s="1421"/>
      <c r="M79" s="1421"/>
      <c r="N79" s="1421"/>
      <c r="O79" s="1421"/>
    </row>
    <row r="80">
      <c r="B80" s="1049"/>
      <c r="C80" s="1418"/>
      <c r="D80" s="1299"/>
      <c r="G80" s="519"/>
      <c r="H80" s="1421"/>
      <c r="I80" s="1421"/>
      <c r="J80" s="1421"/>
      <c r="K80" s="1421"/>
      <c r="L80" s="1421"/>
      <c r="M80" s="1421"/>
      <c r="N80" s="1421"/>
      <c r="O80" s="1421"/>
    </row>
    <row r="81">
      <c r="B81" s="1049"/>
      <c r="C81" s="1418"/>
      <c r="D81" s="1299"/>
      <c r="G81" s="519"/>
      <c r="H81" s="1421"/>
      <c r="I81" s="1421"/>
      <c r="J81" s="1421"/>
      <c r="K81" s="1421"/>
      <c r="L81" s="1421"/>
      <c r="M81" s="1421"/>
      <c r="N81" s="1421"/>
      <c r="O81" s="1421"/>
    </row>
    <row r="82">
      <c r="B82" s="1049"/>
      <c r="C82" s="1418"/>
      <c r="D82" s="1299"/>
      <c r="G82" s="519"/>
      <c r="H82" s="1421"/>
      <c r="I82" s="1421"/>
      <c r="J82" s="1421"/>
      <c r="K82" s="1421"/>
      <c r="L82" s="1421"/>
      <c r="M82" s="1421"/>
      <c r="N82" s="1421"/>
      <c r="O82" s="1421"/>
    </row>
    <row r="83">
      <c r="B83" s="1049"/>
      <c r="C83" s="1418"/>
      <c r="D83" s="1299"/>
      <c r="G83" s="519"/>
      <c r="H83" s="1421"/>
      <c r="I83" s="1421"/>
      <c r="J83" s="1421"/>
      <c r="K83" s="1421"/>
      <c r="L83" s="1421"/>
      <c r="M83" s="1421"/>
      <c r="N83" s="1421"/>
      <c r="O83" s="1421"/>
    </row>
    <row r="84">
      <c r="B84" s="1049"/>
      <c r="C84" s="1418"/>
      <c r="D84" s="1299"/>
      <c r="G84" s="519"/>
      <c r="H84" s="1421"/>
      <c r="I84" s="1421"/>
      <c r="J84" s="1421"/>
      <c r="K84" s="1421"/>
      <c r="L84" s="1421"/>
      <c r="M84" s="1421"/>
      <c r="N84" s="1421"/>
      <c r="O84" s="1421"/>
    </row>
    <row r="85">
      <c r="B85" s="1049"/>
      <c r="C85" s="1418"/>
      <c r="D85" s="1299"/>
      <c r="G85" s="519"/>
      <c r="H85" s="1421"/>
      <c r="I85" s="1421"/>
      <c r="J85" s="1421"/>
      <c r="K85" s="1421"/>
      <c r="L85" s="1421"/>
      <c r="M85" s="1421"/>
      <c r="N85" s="1421"/>
      <c r="O85" s="1421"/>
    </row>
    <row r="86">
      <c r="B86" s="1049"/>
      <c r="C86" s="1418"/>
      <c r="D86" s="1299"/>
      <c r="G86" s="519"/>
      <c r="H86" s="1421"/>
      <c r="I86" s="1421"/>
      <c r="J86" s="1421"/>
      <c r="K86" s="1421"/>
      <c r="L86" s="1421"/>
      <c r="M86" s="1421"/>
      <c r="N86" s="1421"/>
      <c r="O86" s="1421"/>
    </row>
    <row r="87">
      <c r="B87" s="1049"/>
      <c r="C87" s="1418"/>
      <c r="D87" s="1299"/>
      <c r="G87" s="519"/>
      <c r="H87" s="1421"/>
      <c r="I87" s="1421"/>
      <c r="J87" s="1421"/>
      <c r="K87" s="1421"/>
      <c r="L87" s="1421"/>
      <c r="M87" s="1421"/>
      <c r="N87" s="1421"/>
      <c r="O87" s="1421"/>
    </row>
    <row r="88">
      <c r="B88" s="1049"/>
      <c r="C88" s="1418"/>
      <c r="D88" s="1299"/>
      <c r="G88" s="519"/>
      <c r="H88" s="1421"/>
      <c r="I88" s="1421"/>
      <c r="J88" s="1421"/>
      <c r="K88" s="1421"/>
      <c r="L88" s="1421"/>
      <c r="M88" s="1421"/>
      <c r="N88" s="1421"/>
      <c r="O88" s="1421"/>
    </row>
    <row r="89">
      <c r="B89" s="1049"/>
      <c r="C89" s="1418"/>
      <c r="D89" s="1299"/>
      <c r="G89" s="519"/>
      <c r="H89" s="1421"/>
      <c r="I89" s="1421"/>
      <c r="J89" s="1421"/>
      <c r="K89" s="1421"/>
      <c r="L89" s="1421"/>
      <c r="M89" s="1421"/>
      <c r="N89" s="1421"/>
      <c r="O89" s="1421"/>
    </row>
    <row r="90">
      <c r="B90" s="1049"/>
      <c r="C90" s="1418"/>
      <c r="D90" s="1299"/>
      <c r="G90" s="519"/>
      <c r="H90" s="1421"/>
      <c r="I90" s="1421"/>
      <c r="J90" s="1421"/>
      <c r="K90" s="1421"/>
      <c r="L90" s="1421"/>
      <c r="M90" s="1421"/>
      <c r="N90" s="1421"/>
      <c r="O90" s="1421"/>
    </row>
    <row r="91">
      <c r="B91" s="1049"/>
      <c r="C91" s="1418"/>
      <c r="D91" s="1299"/>
      <c r="G91" s="519"/>
      <c r="H91" s="1421"/>
      <c r="I91" s="1421"/>
      <c r="J91" s="1421"/>
      <c r="K91" s="1421"/>
      <c r="L91" s="1421"/>
      <c r="M91" s="1421"/>
      <c r="N91" s="1421"/>
      <c r="O91" s="1421"/>
    </row>
    <row r="92">
      <c r="B92" s="1049"/>
      <c r="C92" s="1418"/>
      <c r="D92" s="1299"/>
      <c r="G92" s="519"/>
      <c r="H92" s="1421"/>
      <c r="I92" s="1421"/>
      <c r="J92" s="1421"/>
      <c r="K92" s="1421"/>
      <c r="L92" s="1421"/>
      <c r="M92" s="1421"/>
      <c r="N92" s="1421"/>
      <c r="O92" s="1421"/>
    </row>
    <row r="93">
      <c r="B93" s="1049"/>
      <c r="C93" s="1418"/>
      <c r="D93" s="1299"/>
      <c r="G93" s="519"/>
      <c r="H93" s="1421"/>
      <c r="I93" s="1421"/>
      <c r="J93" s="1421"/>
      <c r="K93" s="1421"/>
      <c r="L93" s="1421"/>
      <c r="M93" s="1421"/>
      <c r="N93" s="1421"/>
      <c r="O93" s="1421"/>
    </row>
    <row r="94">
      <c r="B94" s="1049"/>
      <c r="C94" s="1418"/>
      <c r="D94" s="1299"/>
      <c r="G94" s="519"/>
      <c r="H94" s="1421"/>
      <c r="I94" s="1421"/>
      <c r="J94" s="1421"/>
      <c r="K94" s="1421"/>
      <c r="L94" s="1421"/>
      <c r="M94" s="1421"/>
      <c r="N94" s="1421"/>
      <c r="O94" s="1421"/>
    </row>
    <row r="95">
      <c r="B95" s="1049"/>
      <c r="C95" s="1418"/>
      <c r="D95" s="1299"/>
      <c r="G95" s="519"/>
      <c r="H95" s="1421"/>
      <c r="I95" s="1421"/>
      <c r="J95" s="1421"/>
      <c r="K95" s="1421"/>
      <c r="L95" s="1421"/>
      <c r="M95" s="1421"/>
      <c r="N95" s="1421"/>
      <c r="O95" s="1421"/>
    </row>
    <row r="96">
      <c r="B96" s="1049"/>
      <c r="C96" s="1418"/>
      <c r="D96" s="1299"/>
      <c r="G96" s="519"/>
      <c r="H96" s="1421"/>
      <c r="I96" s="1421"/>
      <c r="J96" s="1421"/>
      <c r="K96" s="1421"/>
      <c r="L96" s="1421"/>
      <c r="M96" s="1421"/>
      <c r="N96" s="1421"/>
      <c r="O96" s="1421"/>
    </row>
    <row r="97">
      <c r="B97" s="1049"/>
      <c r="C97" s="1418"/>
      <c r="D97" s="1299"/>
      <c r="G97" s="519"/>
      <c r="H97" s="1421"/>
      <c r="I97" s="1421"/>
      <c r="J97" s="1421"/>
      <c r="K97" s="1421"/>
      <c r="L97" s="1421"/>
      <c r="M97" s="1421"/>
      <c r="N97" s="1421"/>
      <c r="O97" s="1421"/>
    </row>
    <row r="98">
      <c r="B98" s="1049"/>
      <c r="C98" s="1418"/>
      <c r="D98" s="1299"/>
      <c r="G98" s="519"/>
      <c r="H98" s="1421"/>
      <c r="I98" s="1421"/>
      <c r="J98" s="1421"/>
      <c r="K98" s="1421"/>
      <c r="L98" s="1421"/>
      <c r="M98" s="1421"/>
      <c r="N98" s="1421"/>
      <c r="O98" s="1421"/>
    </row>
    <row r="99">
      <c r="B99" s="1049"/>
      <c r="C99" s="1418"/>
      <c r="D99" s="1299"/>
      <c r="G99" s="519"/>
      <c r="H99" s="1421"/>
      <c r="I99" s="1421"/>
      <c r="J99" s="1421"/>
      <c r="K99" s="1421"/>
      <c r="L99" s="1421"/>
      <c r="M99" s="1421"/>
      <c r="N99" s="1421"/>
      <c r="O99" s="1421"/>
    </row>
    <row r="100">
      <c r="B100" s="1049"/>
      <c r="C100" s="1418"/>
      <c r="D100" s="1299"/>
      <c r="G100" s="519"/>
      <c r="H100" s="1421"/>
      <c r="I100" s="1421"/>
      <c r="J100" s="1421"/>
      <c r="K100" s="1421"/>
      <c r="L100" s="1421"/>
      <c r="M100" s="1421"/>
      <c r="N100" s="1421"/>
      <c r="O100" s="1421"/>
    </row>
    <row r="101">
      <c r="B101" s="1049"/>
      <c r="C101" s="1418"/>
      <c r="D101" s="1299"/>
      <c r="G101" s="519"/>
      <c r="H101" s="1421"/>
      <c r="I101" s="1421"/>
      <c r="J101" s="1421"/>
      <c r="K101" s="1421"/>
      <c r="L101" s="1421"/>
      <c r="M101" s="1421"/>
      <c r="N101" s="1421"/>
      <c r="O101" s="1421"/>
    </row>
    <row r="102">
      <c r="B102" s="1049"/>
      <c r="C102" s="1418"/>
      <c r="D102" s="1299"/>
      <c r="G102" s="519"/>
      <c r="H102" s="1421"/>
      <c r="I102" s="1421"/>
      <c r="J102" s="1421"/>
      <c r="K102" s="1421"/>
      <c r="L102" s="1421"/>
      <c r="M102" s="1421"/>
      <c r="N102" s="1421"/>
      <c r="O102" s="1421"/>
    </row>
    <row r="103">
      <c r="B103" s="1049"/>
      <c r="C103" s="1418"/>
      <c r="D103" s="1299"/>
      <c r="G103" s="519"/>
      <c r="H103" s="1421"/>
      <c r="I103" s="1421"/>
      <c r="J103" s="1421"/>
      <c r="K103" s="1421"/>
      <c r="L103" s="1421"/>
      <c r="M103" s="1421"/>
      <c r="N103" s="1421"/>
      <c r="O103" s="1421"/>
    </row>
    <row r="104">
      <c r="B104" s="1049"/>
      <c r="C104" s="1418"/>
      <c r="D104" s="1299"/>
      <c r="G104" s="519"/>
      <c r="H104" s="1421"/>
      <c r="I104" s="1421"/>
      <c r="J104" s="1421"/>
      <c r="K104" s="1421"/>
      <c r="L104" s="1421"/>
      <c r="M104" s="1421"/>
      <c r="N104" s="1421"/>
      <c r="O104" s="1421"/>
    </row>
    <row r="105">
      <c r="B105" s="1049"/>
      <c r="C105" s="1418"/>
      <c r="D105" s="1299"/>
      <c r="G105" s="519"/>
      <c r="H105" s="1421"/>
      <c r="I105" s="1421"/>
      <c r="J105" s="1421"/>
      <c r="K105" s="1421"/>
      <c r="L105" s="1421"/>
      <c r="M105" s="1421"/>
      <c r="N105" s="1421"/>
      <c r="O105" s="1421"/>
    </row>
    <row r="106">
      <c r="B106" s="1049"/>
      <c r="C106" s="1418"/>
      <c r="D106" s="1299"/>
      <c r="G106" s="519"/>
      <c r="H106" s="1421"/>
      <c r="I106" s="1421"/>
      <c r="J106" s="1421"/>
      <c r="K106" s="1421"/>
      <c r="L106" s="1421"/>
      <c r="M106" s="1421"/>
      <c r="N106" s="1421"/>
      <c r="O106" s="1421"/>
    </row>
    <row r="107">
      <c r="B107" s="1049"/>
      <c r="C107" s="1418"/>
      <c r="D107" s="1299"/>
      <c r="G107" s="519"/>
      <c r="H107" s="1421"/>
      <c r="I107" s="1421"/>
      <c r="J107" s="1421"/>
      <c r="K107" s="1421"/>
      <c r="L107" s="1421"/>
      <c r="M107" s="1421"/>
      <c r="N107" s="1421"/>
      <c r="O107" s="1421"/>
    </row>
    <row r="108">
      <c r="B108" s="1049"/>
      <c r="C108" s="1418"/>
      <c r="D108" s="1299"/>
      <c r="G108" s="519"/>
      <c r="H108" s="1421"/>
      <c r="I108" s="1421"/>
      <c r="J108" s="1421"/>
      <c r="K108" s="1421"/>
      <c r="L108" s="1421"/>
      <c r="M108" s="1421"/>
      <c r="N108" s="1421"/>
      <c r="O108" s="1421"/>
    </row>
    <row r="109">
      <c r="B109" s="1049"/>
      <c r="C109" s="1418"/>
      <c r="D109" s="1299"/>
      <c r="G109" s="519"/>
      <c r="H109" s="1421"/>
      <c r="I109" s="1421"/>
      <c r="J109" s="1421"/>
      <c r="K109" s="1421"/>
      <c r="L109" s="1421"/>
      <c r="M109" s="1421"/>
      <c r="N109" s="1421"/>
      <c r="O109" s="1421"/>
    </row>
    <row r="110">
      <c r="B110" s="1049"/>
      <c r="C110" s="1418"/>
      <c r="D110" s="1299"/>
      <c r="G110" s="519"/>
      <c r="H110" s="1421"/>
      <c r="I110" s="1421"/>
      <c r="J110" s="1421"/>
      <c r="K110" s="1421"/>
      <c r="L110" s="1421"/>
      <c r="M110" s="1421"/>
      <c r="N110" s="1421"/>
      <c r="O110" s="1421"/>
    </row>
    <row r="111">
      <c r="B111" s="1049"/>
      <c r="C111" s="1418"/>
      <c r="D111" s="1299"/>
      <c r="G111" s="519"/>
      <c r="H111" s="1421"/>
      <c r="I111" s="1421"/>
      <c r="J111" s="1421"/>
      <c r="K111" s="1421"/>
      <c r="L111" s="1421"/>
      <c r="M111" s="1421"/>
      <c r="N111" s="1421"/>
      <c r="O111" s="1421"/>
    </row>
    <row r="112">
      <c r="B112" s="1049"/>
      <c r="C112" s="1418"/>
      <c r="D112" s="1299"/>
      <c r="G112" s="519"/>
      <c r="H112" s="1421"/>
      <c r="I112" s="1421"/>
      <c r="J112" s="1421"/>
      <c r="K112" s="1421"/>
      <c r="L112" s="1421"/>
      <c r="M112" s="1421"/>
      <c r="N112" s="1421"/>
      <c r="O112" s="1421"/>
    </row>
    <row r="113">
      <c r="B113" s="1049"/>
      <c r="C113" s="1418"/>
      <c r="D113" s="1299"/>
      <c r="G113" s="519"/>
      <c r="H113" s="1421"/>
      <c r="I113" s="1421"/>
      <c r="J113" s="1421"/>
      <c r="K113" s="1421"/>
      <c r="L113" s="1421"/>
      <c r="M113" s="1421"/>
      <c r="N113" s="1421"/>
      <c r="O113" s="1421"/>
    </row>
    <row r="114">
      <c r="B114" s="1049"/>
      <c r="C114" s="1418"/>
      <c r="D114" s="1299"/>
      <c r="G114" s="519"/>
      <c r="H114" s="1421"/>
      <c r="I114" s="1421"/>
      <c r="J114" s="1421"/>
      <c r="K114" s="1421"/>
      <c r="L114" s="1421"/>
      <c r="M114" s="1421"/>
      <c r="N114" s="1421"/>
      <c r="O114" s="1421"/>
    </row>
    <row r="115">
      <c r="B115" s="1049"/>
      <c r="C115" s="1418"/>
      <c r="D115" s="1299"/>
      <c r="G115" s="519"/>
      <c r="H115" s="1421"/>
      <c r="I115" s="1421"/>
      <c r="J115" s="1421"/>
      <c r="K115" s="1421"/>
      <c r="L115" s="1421"/>
      <c r="M115" s="1421"/>
      <c r="N115" s="1421"/>
      <c r="O115" s="1421"/>
    </row>
    <row r="116">
      <c r="B116" s="1049"/>
      <c r="C116" s="1418"/>
      <c r="D116" s="1299"/>
      <c r="G116" s="519"/>
      <c r="H116" s="1421"/>
      <c r="I116" s="1421"/>
      <c r="J116" s="1421"/>
      <c r="K116" s="1421"/>
      <c r="L116" s="1421"/>
      <c r="M116" s="1421"/>
      <c r="N116" s="1421"/>
      <c r="O116" s="1421"/>
    </row>
    <row r="117">
      <c r="B117" s="1049"/>
      <c r="C117" s="1418"/>
      <c r="D117" s="1299"/>
      <c r="G117" s="519"/>
      <c r="H117" s="1421"/>
      <c r="I117" s="1421"/>
      <c r="J117" s="1421"/>
      <c r="K117" s="1421"/>
      <c r="L117" s="1421"/>
      <c r="M117" s="1421"/>
      <c r="N117" s="1421"/>
      <c r="O117" s="1421"/>
    </row>
    <row r="118">
      <c r="B118" s="1049"/>
      <c r="C118" s="1418"/>
      <c r="D118" s="1299"/>
      <c r="G118" s="519"/>
      <c r="H118" s="1421"/>
      <c r="I118" s="1421"/>
      <c r="J118" s="1421"/>
      <c r="K118" s="1421"/>
      <c r="L118" s="1421"/>
      <c r="M118" s="1421"/>
      <c r="N118" s="1421"/>
      <c r="O118" s="1421"/>
    </row>
    <row r="119">
      <c r="B119" s="1049"/>
      <c r="C119" s="1418"/>
      <c r="D119" s="1299"/>
      <c r="G119" s="519"/>
      <c r="H119" s="1421"/>
      <c r="I119" s="1421"/>
      <c r="J119" s="1421"/>
      <c r="K119" s="1421"/>
      <c r="L119" s="1421"/>
      <c r="M119" s="1421"/>
      <c r="N119" s="1421"/>
      <c r="O119" s="1421"/>
    </row>
    <row r="120">
      <c r="B120" s="1049"/>
      <c r="C120" s="1418"/>
      <c r="D120" s="1299"/>
      <c r="G120" s="519"/>
      <c r="H120" s="1421"/>
      <c r="I120" s="1421"/>
      <c r="J120" s="1421"/>
      <c r="K120" s="1421"/>
      <c r="L120" s="1421"/>
      <c r="M120" s="1421"/>
      <c r="N120" s="1421"/>
      <c r="O120" s="1421"/>
    </row>
    <row r="121">
      <c r="B121" s="1049"/>
      <c r="C121" s="1418"/>
      <c r="D121" s="1299"/>
      <c r="G121" s="519"/>
      <c r="H121" s="1421"/>
      <c r="I121" s="1421"/>
      <c r="J121" s="1421"/>
      <c r="K121" s="1421"/>
      <c r="L121" s="1421"/>
      <c r="M121" s="1421"/>
      <c r="N121" s="1421"/>
      <c r="O121" s="1421"/>
    </row>
    <row r="122">
      <c r="B122" s="1049"/>
      <c r="C122" s="1418"/>
      <c r="D122" s="1299"/>
      <c r="G122" s="519"/>
      <c r="H122" s="1421"/>
      <c r="I122" s="1421"/>
      <c r="J122" s="1421"/>
      <c r="K122" s="1421"/>
      <c r="L122" s="1421"/>
      <c r="M122" s="1421"/>
      <c r="N122" s="1421"/>
      <c r="O122" s="1421"/>
    </row>
    <row r="123">
      <c r="B123" s="1049"/>
      <c r="C123" s="1418"/>
      <c r="D123" s="1299"/>
      <c r="G123" s="519"/>
      <c r="H123" s="1421"/>
      <c r="I123" s="1421"/>
      <c r="J123" s="1421"/>
      <c r="K123" s="1421"/>
      <c r="L123" s="1421"/>
      <c r="M123" s="1421"/>
      <c r="N123" s="1421"/>
      <c r="O123" s="1421"/>
    </row>
    <row r="124">
      <c r="B124" s="1049"/>
      <c r="C124" s="1418"/>
      <c r="D124" s="1299"/>
      <c r="G124" s="519"/>
      <c r="H124" s="1421"/>
      <c r="I124" s="1421"/>
      <c r="J124" s="1421"/>
      <c r="K124" s="1421"/>
      <c r="L124" s="1421"/>
      <c r="M124" s="1421"/>
      <c r="N124" s="1421"/>
      <c r="O124" s="1421"/>
    </row>
    <row r="125">
      <c r="B125" s="1049"/>
      <c r="C125" s="1418"/>
      <c r="D125" s="1299"/>
      <c r="G125" s="519"/>
      <c r="H125" s="1421"/>
      <c r="I125" s="1421"/>
      <c r="J125" s="1421"/>
      <c r="K125" s="1421"/>
      <c r="L125" s="1421"/>
      <c r="M125" s="1421"/>
      <c r="N125" s="1421"/>
      <c r="O125" s="1421"/>
    </row>
    <row r="126">
      <c r="B126" s="1049"/>
      <c r="C126" s="1418"/>
      <c r="D126" s="1299"/>
      <c r="G126" s="519"/>
      <c r="H126" s="1421"/>
      <c r="I126" s="1421"/>
      <c r="J126" s="1421"/>
      <c r="K126" s="1421"/>
      <c r="L126" s="1421"/>
      <c r="M126" s="1421"/>
      <c r="N126" s="1421"/>
      <c r="O126" s="1421"/>
    </row>
    <row r="127">
      <c r="B127" s="1049"/>
      <c r="C127" s="1418"/>
      <c r="D127" s="1299"/>
      <c r="G127" s="519"/>
      <c r="H127" s="1421"/>
      <c r="I127" s="1421"/>
      <c r="J127" s="1421"/>
      <c r="K127" s="1421"/>
      <c r="L127" s="1421"/>
      <c r="M127" s="1421"/>
      <c r="N127" s="1421"/>
      <c r="O127" s="1421"/>
    </row>
    <row r="128">
      <c r="B128" s="1049"/>
      <c r="C128" s="1418"/>
      <c r="D128" s="1299"/>
      <c r="G128" s="519"/>
      <c r="H128" s="1421"/>
      <c r="I128" s="1421"/>
      <c r="J128" s="1421"/>
      <c r="K128" s="1421"/>
      <c r="L128" s="1421"/>
      <c r="M128" s="1421"/>
      <c r="N128" s="1421"/>
      <c r="O128" s="1421"/>
    </row>
    <row r="129">
      <c r="B129" s="1049"/>
      <c r="C129" s="1418"/>
      <c r="D129" s="1299"/>
      <c r="G129" s="519"/>
      <c r="H129" s="1421"/>
      <c r="I129" s="1421"/>
      <c r="J129" s="1421"/>
      <c r="K129" s="1421"/>
      <c r="L129" s="1421"/>
      <c r="M129" s="1421"/>
      <c r="N129" s="1421"/>
      <c r="O129" s="1421"/>
    </row>
    <row r="130">
      <c r="B130" s="1049"/>
      <c r="C130" s="1418"/>
      <c r="D130" s="1299"/>
      <c r="G130" s="519"/>
      <c r="H130" s="1421"/>
      <c r="I130" s="1421"/>
      <c r="J130" s="1421"/>
      <c r="K130" s="1421"/>
      <c r="L130" s="1421"/>
      <c r="M130" s="1421"/>
      <c r="N130" s="1421"/>
      <c r="O130" s="1421"/>
    </row>
    <row r="131">
      <c r="B131" s="1049"/>
      <c r="C131" s="1418"/>
      <c r="D131" s="1299"/>
      <c r="G131" s="519"/>
      <c r="H131" s="1421"/>
      <c r="I131" s="1421"/>
      <c r="J131" s="1421"/>
      <c r="K131" s="1421"/>
      <c r="L131" s="1421"/>
      <c r="M131" s="1421"/>
      <c r="N131" s="1421"/>
      <c r="O131" s="1421"/>
    </row>
    <row r="132">
      <c r="B132" s="1049"/>
      <c r="C132" s="1418"/>
      <c r="D132" s="1299"/>
      <c r="G132" s="519"/>
      <c r="H132" s="1421"/>
      <c r="I132" s="1421"/>
      <c r="J132" s="1421"/>
      <c r="K132" s="1421"/>
      <c r="L132" s="1421"/>
      <c r="M132" s="1421"/>
      <c r="N132" s="1421"/>
      <c r="O132" s="1421"/>
    </row>
    <row r="133">
      <c r="B133" s="1049"/>
      <c r="C133" s="1418"/>
      <c r="D133" s="1299"/>
      <c r="G133" s="519"/>
      <c r="H133" s="1421"/>
      <c r="I133" s="1421"/>
      <c r="J133" s="1421"/>
      <c r="K133" s="1421"/>
      <c r="L133" s="1421"/>
      <c r="M133" s="1421"/>
      <c r="N133" s="1421"/>
      <c r="O133" s="1421"/>
    </row>
    <row r="134">
      <c r="B134" s="1049"/>
      <c r="C134" s="1418"/>
      <c r="D134" s="1299"/>
      <c r="G134" s="519"/>
      <c r="H134" s="1421"/>
      <c r="I134" s="1421"/>
      <c r="J134" s="1421"/>
      <c r="K134" s="1421"/>
      <c r="L134" s="1421"/>
      <c r="M134" s="1421"/>
      <c r="N134" s="1421"/>
      <c r="O134" s="1421"/>
    </row>
    <row r="135">
      <c r="B135" s="1049"/>
      <c r="C135" s="1418"/>
      <c r="D135" s="1299"/>
      <c r="G135" s="519"/>
      <c r="H135" s="1421"/>
      <c r="I135" s="1421"/>
      <c r="J135" s="1421"/>
      <c r="K135" s="1421"/>
      <c r="L135" s="1421"/>
      <c r="M135" s="1421"/>
      <c r="N135" s="1421"/>
      <c r="O135" s="1421"/>
    </row>
    <row r="136">
      <c r="B136" s="1049"/>
      <c r="C136" s="1418"/>
      <c r="D136" s="1299"/>
      <c r="G136" s="519"/>
      <c r="H136" s="1421"/>
      <c r="I136" s="1421"/>
      <c r="J136" s="1421"/>
      <c r="K136" s="1421"/>
      <c r="L136" s="1421"/>
      <c r="M136" s="1421"/>
      <c r="N136" s="1421"/>
      <c r="O136" s="1421"/>
    </row>
    <row r="137">
      <c r="B137" s="1049"/>
      <c r="C137" s="1418"/>
      <c r="D137" s="1299"/>
      <c r="G137" s="519"/>
      <c r="H137" s="1421"/>
      <c r="I137" s="1421"/>
      <c r="J137" s="1421"/>
      <c r="K137" s="1421"/>
      <c r="L137" s="1421"/>
      <c r="M137" s="1421"/>
      <c r="N137" s="1421"/>
      <c r="O137" s="1421"/>
    </row>
    <row r="138">
      <c r="B138" s="1049"/>
      <c r="C138" s="1418"/>
      <c r="D138" s="1299"/>
      <c r="G138" s="519"/>
      <c r="H138" s="1421"/>
      <c r="I138" s="1421"/>
      <c r="J138" s="1421"/>
      <c r="K138" s="1421"/>
      <c r="L138" s="1421"/>
      <c r="M138" s="1421"/>
      <c r="N138" s="1421"/>
      <c r="O138" s="1421"/>
    </row>
    <row r="139">
      <c r="B139" s="1049"/>
      <c r="C139" s="1418"/>
      <c r="D139" s="1299"/>
      <c r="G139" s="519"/>
      <c r="H139" s="1421"/>
      <c r="I139" s="1421"/>
      <c r="J139" s="1421"/>
      <c r="K139" s="1421"/>
      <c r="L139" s="1421"/>
      <c r="M139" s="1421"/>
      <c r="N139" s="1421"/>
      <c r="O139" s="1421"/>
    </row>
    <row r="140">
      <c r="B140" s="1049"/>
      <c r="C140" s="1418"/>
      <c r="D140" s="1299"/>
      <c r="G140" s="519"/>
      <c r="H140" s="1421"/>
      <c r="I140" s="1421"/>
      <c r="J140" s="1421"/>
      <c r="K140" s="1421"/>
      <c r="L140" s="1421"/>
      <c r="M140" s="1421"/>
      <c r="N140" s="1421"/>
      <c r="O140" s="1421"/>
    </row>
    <row r="141">
      <c r="B141" s="1049"/>
      <c r="C141" s="1418"/>
      <c r="D141" s="1299"/>
      <c r="G141" s="519"/>
      <c r="H141" s="1421"/>
      <c r="I141" s="1421"/>
      <c r="J141" s="1421"/>
      <c r="K141" s="1421"/>
      <c r="L141" s="1421"/>
      <c r="M141" s="1421"/>
      <c r="N141" s="1421"/>
      <c r="O141" s="1421"/>
    </row>
    <row r="142">
      <c r="B142" s="1049"/>
      <c r="C142" s="1418"/>
      <c r="D142" s="1299"/>
      <c r="G142" s="519"/>
      <c r="H142" s="1421"/>
      <c r="I142" s="1421"/>
      <c r="J142" s="1421"/>
      <c r="K142" s="1421"/>
      <c r="L142" s="1421"/>
      <c r="M142" s="1421"/>
      <c r="N142" s="1421"/>
      <c r="O142" s="1421"/>
    </row>
    <row r="143">
      <c r="B143" s="1049"/>
      <c r="C143" s="1418"/>
      <c r="D143" s="1299"/>
      <c r="G143" s="519"/>
      <c r="H143" s="1421"/>
      <c r="I143" s="1421"/>
      <c r="J143" s="1421"/>
      <c r="K143" s="1421"/>
      <c r="L143" s="1421"/>
      <c r="M143" s="1421"/>
      <c r="N143" s="1421"/>
      <c r="O143" s="1421"/>
    </row>
    <row r="144">
      <c r="B144" s="1049"/>
      <c r="C144" s="1418"/>
      <c r="D144" s="1299"/>
      <c r="G144" s="519"/>
      <c r="H144" s="1421"/>
      <c r="I144" s="1421"/>
      <c r="J144" s="1421"/>
      <c r="K144" s="1421"/>
      <c r="L144" s="1421"/>
      <c r="M144" s="1421"/>
      <c r="N144" s="1421"/>
      <c r="O144" s="1421"/>
    </row>
    <row r="145">
      <c r="B145" s="1049"/>
      <c r="C145" s="1418"/>
      <c r="D145" s="1299"/>
      <c r="G145" s="519"/>
      <c r="H145" s="1421"/>
      <c r="I145" s="1421"/>
      <c r="J145" s="1421"/>
      <c r="K145" s="1421"/>
      <c r="L145" s="1421"/>
      <c r="M145" s="1421"/>
      <c r="N145" s="1421"/>
      <c r="O145" s="1421"/>
    </row>
    <row r="146">
      <c r="B146" s="1049"/>
      <c r="C146" s="1418"/>
      <c r="D146" s="1299"/>
      <c r="G146" s="519"/>
      <c r="H146" s="1421"/>
      <c r="I146" s="1421"/>
      <c r="J146" s="1421"/>
      <c r="K146" s="1421"/>
      <c r="L146" s="1421"/>
      <c r="M146" s="1421"/>
      <c r="N146" s="1421"/>
      <c r="O146" s="1421"/>
    </row>
    <row r="147">
      <c r="B147" s="1049"/>
      <c r="C147" s="1418"/>
      <c r="D147" s="1299"/>
      <c r="G147" s="519"/>
      <c r="H147" s="1421"/>
      <c r="I147" s="1421"/>
      <c r="J147" s="1421"/>
      <c r="K147" s="1421"/>
      <c r="L147" s="1421"/>
      <c r="M147" s="1421"/>
      <c r="N147" s="1421"/>
      <c r="O147" s="1421"/>
    </row>
    <row r="148">
      <c r="B148" s="1049"/>
      <c r="C148" s="1418"/>
      <c r="D148" s="1299"/>
      <c r="G148" s="519"/>
      <c r="H148" s="1421"/>
      <c r="I148" s="1421"/>
      <c r="J148" s="1421"/>
      <c r="K148" s="1421"/>
      <c r="L148" s="1421"/>
      <c r="M148" s="1421"/>
      <c r="N148" s="1421"/>
      <c r="O148" s="1421"/>
    </row>
    <row r="149">
      <c r="B149" s="1049"/>
      <c r="C149" s="1418"/>
      <c r="D149" s="1299"/>
      <c r="G149" s="519"/>
      <c r="H149" s="1421"/>
      <c r="I149" s="1421"/>
      <c r="J149" s="1421"/>
      <c r="K149" s="1421"/>
      <c r="L149" s="1421"/>
      <c r="M149" s="1421"/>
      <c r="N149" s="1421"/>
      <c r="O149" s="1421"/>
    </row>
    <row r="150">
      <c r="B150" s="1049"/>
      <c r="C150" s="1418"/>
      <c r="D150" s="1299"/>
      <c r="G150" s="519"/>
      <c r="H150" s="1421"/>
      <c r="I150" s="1421"/>
      <c r="J150" s="1421"/>
      <c r="K150" s="1421"/>
      <c r="L150" s="1421"/>
      <c r="M150" s="1421"/>
      <c r="N150" s="1421"/>
      <c r="O150" s="1421"/>
    </row>
    <row r="151">
      <c r="B151" s="1049"/>
      <c r="C151" s="1418"/>
      <c r="D151" s="1299"/>
      <c r="G151" s="519"/>
      <c r="H151" s="1421"/>
      <c r="I151" s="1421"/>
      <c r="J151" s="1421"/>
      <c r="K151" s="1421"/>
      <c r="L151" s="1421"/>
      <c r="M151" s="1421"/>
      <c r="N151" s="1421"/>
      <c r="O151" s="1421"/>
    </row>
    <row r="152">
      <c r="B152" s="1049"/>
      <c r="C152" s="1418"/>
      <c r="D152" s="1299"/>
      <c r="G152" s="519"/>
      <c r="H152" s="1421"/>
      <c r="I152" s="1421"/>
      <c r="J152" s="1421"/>
      <c r="K152" s="1421"/>
      <c r="L152" s="1421"/>
      <c r="M152" s="1421"/>
      <c r="N152" s="1421"/>
      <c r="O152" s="1421"/>
    </row>
    <row r="153">
      <c r="B153" s="1049"/>
      <c r="C153" s="1418"/>
      <c r="D153" s="1299"/>
      <c r="G153" s="519"/>
      <c r="H153" s="1421"/>
      <c r="I153" s="1421"/>
      <c r="J153" s="1421"/>
      <c r="K153" s="1421"/>
      <c r="L153" s="1421"/>
      <c r="M153" s="1421"/>
      <c r="N153" s="1421"/>
      <c r="O153" s="1421"/>
    </row>
    <row r="154">
      <c r="B154" s="1049"/>
      <c r="C154" s="1418"/>
      <c r="D154" s="1299"/>
      <c r="G154" s="519"/>
      <c r="H154" s="1421"/>
      <c r="I154" s="1421"/>
      <c r="J154" s="1421"/>
      <c r="K154" s="1421"/>
      <c r="L154" s="1421"/>
      <c r="M154" s="1421"/>
      <c r="N154" s="1421"/>
      <c r="O154" s="1421"/>
    </row>
    <row r="155">
      <c r="B155" s="1049"/>
      <c r="C155" s="1418"/>
      <c r="D155" s="1299"/>
      <c r="G155" s="519"/>
      <c r="H155" s="1421"/>
      <c r="I155" s="1421"/>
      <c r="J155" s="1421"/>
      <c r="K155" s="1421"/>
      <c r="L155" s="1421"/>
      <c r="M155" s="1421"/>
      <c r="N155" s="1421"/>
      <c r="O155" s="1421"/>
    </row>
    <row r="156">
      <c r="B156" s="1049"/>
      <c r="C156" s="1418"/>
      <c r="D156" s="1299"/>
      <c r="G156" s="519"/>
      <c r="H156" s="1421"/>
      <c r="I156" s="1421"/>
      <c r="J156" s="1421"/>
      <c r="K156" s="1421"/>
      <c r="L156" s="1421"/>
      <c r="M156" s="1421"/>
      <c r="N156" s="1421"/>
      <c r="O156" s="1421"/>
    </row>
    <row r="157">
      <c r="B157" s="1049"/>
      <c r="C157" s="1418"/>
      <c r="D157" s="1299"/>
      <c r="G157" s="519"/>
      <c r="H157" s="1421"/>
      <c r="I157" s="1421"/>
      <c r="J157" s="1421"/>
      <c r="K157" s="1421"/>
      <c r="L157" s="1421"/>
      <c r="M157" s="1421"/>
      <c r="N157" s="1421"/>
      <c r="O157" s="1421"/>
    </row>
    <row r="158">
      <c r="B158" s="1049"/>
      <c r="C158" s="1418"/>
      <c r="D158" s="1299"/>
      <c r="G158" s="519"/>
      <c r="H158" s="1421"/>
      <c r="I158" s="1421"/>
      <c r="J158" s="1421"/>
      <c r="K158" s="1421"/>
      <c r="L158" s="1421"/>
      <c r="M158" s="1421"/>
      <c r="N158" s="1421"/>
      <c r="O158" s="1421"/>
    </row>
    <row r="159">
      <c r="B159" s="1049"/>
      <c r="C159" s="1418"/>
      <c r="D159" s="1299"/>
      <c r="G159" s="519"/>
      <c r="H159" s="1421"/>
      <c r="I159" s="1421"/>
      <c r="J159" s="1421"/>
      <c r="K159" s="1421"/>
      <c r="L159" s="1421"/>
      <c r="M159" s="1421"/>
      <c r="N159" s="1421"/>
      <c r="O159" s="1421"/>
    </row>
    <row r="160">
      <c r="B160" s="1049"/>
      <c r="C160" s="1418"/>
      <c r="D160" s="1299"/>
      <c r="G160" s="519"/>
      <c r="H160" s="1421"/>
      <c r="I160" s="1421"/>
      <c r="J160" s="1421"/>
      <c r="K160" s="1421"/>
      <c r="L160" s="1421"/>
      <c r="M160" s="1421"/>
      <c r="N160" s="1421"/>
      <c r="O160" s="1421"/>
    </row>
    <row r="161">
      <c r="B161" s="1049"/>
      <c r="C161" s="1418"/>
      <c r="D161" s="1299"/>
      <c r="G161" s="519"/>
      <c r="H161" s="1421"/>
      <c r="I161" s="1421"/>
      <c r="J161" s="1421"/>
      <c r="K161" s="1421"/>
      <c r="L161" s="1421"/>
      <c r="M161" s="1421"/>
      <c r="N161" s="1421"/>
      <c r="O161" s="1421"/>
    </row>
    <row r="162">
      <c r="B162" s="1049"/>
      <c r="C162" s="1418"/>
      <c r="D162" s="1299"/>
      <c r="G162" s="519"/>
      <c r="H162" s="1421"/>
      <c r="I162" s="1421"/>
      <c r="J162" s="1421"/>
      <c r="K162" s="1421"/>
      <c r="L162" s="1421"/>
      <c r="M162" s="1421"/>
      <c r="N162" s="1421"/>
      <c r="O162" s="1421"/>
    </row>
    <row r="163">
      <c r="B163" s="1049"/>
      <c r="C163" s="1418"/>
      <c r="D163" s="1299"/>
      <c r="G163" s="519"/>
      <c r="H163" s="1421"/>
      <c r="I163" s="1421"/>
      <c r="J163" s="1421"/>
      <c r="K163" s="1421"/>
      <c r="L163" s="1421"/>
      <c r="M163" s="1421"/>
      <c r="N163" s="1421"/>
      <c r="O163" s="1421"/>
    </row>
    <row r="164">
      <c r="B164" s="1049"/>
      <c r="C164" s="1418"/>
      <c r="D164" s="1299"/>
      <c r="G164" s="519"/>
      <c r="H164" s="1421"/>
      <c r="I164" s="1421"/>
      <c r="J164" s="1421"/>
      <c r="K164" s="1421"/>
      <c r="L164" s="1421"/>
      <c r="M164" s="1421"/>
      <c r="N164" s="1421"/>
      <c r="O164" s="1421"/>
    </row>
    <row r="165">
      <c r="B165" s="1049"/>
      <c r="C165" s="1418"/>
      <c r="D165" s="1299"/>
      <c r="G165" s="519"/>
      <c r="H165" s="1421"/>
      <c r="I165" s="1421"/>
      <c r="J165" s="1421"/>
      <c r="K165" s="1421"/>
      <c r="L165" s="1421"/>
      <c r="M165" s="1421"/>
      <c r="N165" s="1421"/>
      <c r="O165" s="1421"/>
    </row>
    <row r="166">
      <c r="B166" s="1049"/>
      <c r="C166" s="1418"/>
      <c r="D166" s="1299"/>
      <c r="G166" s="519"/>
      <c r="H166" s="1421"/>
      <c r="I166" s="1421"/>
      <c r="J166" s="1421"/>
      <c r="K166" s="1421"/>
      <c r="L166" s="1421"/>
      <c r="M166" s="1421"/>
      <c r="N166" s="1421"/>
      <c r="O166" s="1421"/>
    </row>
    <row r="167">
      <c r="B167" s="1049"/>
      <c r="C167" s="1418"/>
      <c r="D167" s="1299"/>
      <c r="G167" s="519"/>
      <c r="H167" s="1421"/>
      <c r="I167" s="1421"/>
      <c r="J167" s="1421"/>
      <c r="K167" s="1421"/>
      <c r="L167" s="1421"/>
      <c r="M167" s="1421"/>
      <c r="N167" s="1421"/>
      <c r="O167" s="1421"/>
    </row>
    <row r="168">
      <c r="B168" s="1049"/>
      <c r="C168" s="1418"/>
      <c r="D168" s="1299"/>
      <c r="G168" s="519"/>
      <c r="H168" s="1421"/>
      <c r="I168" s="1421"/>
      <c r="J168" s="1421"/>
      <c r="K168" s="1421"/>
      <c r="L168" s="1421"/>
      <c r="M168" s="1421"/>
      <c r="N168" s="1421"/>
      <c r="O168" s="1421"/>
    </row>
    <row r="169">
      <c r="B169" s="1049"/>
      <c r="C169" s="1418"/>
      <c r="D169" s="1299"/>
      <c r="G169" s="519"/>
      <c r="H169" s="1421"/>
      <c r="I169" s="1421"/>
      <c r="J169" s="1421"/>
      <c r="K169" s="1421"/>
      <c r="L169" s="1421"/>
      <c r="M169" s="1421"/>
      <c r="N169" s="1421"/>
      <c r="O169" s="1421"/>
    </row>
    <row r="170">
      <c r="B170" s="1049"/>
      <c r="C170" s="1418"/>
      <c r="D170" s="1299"/>
      <c r="G170" s="519"/>
      <c r="H170" s="1421"/>
      <c r="I170" s="1421"/>
      <c r="J170" s="1421"/>
      <c r="K170" s="1421"/>
      <c r="L170" s="1421"/>
      <c r="M170" s="1421"/>
      <c r="N170" s="1421"/>
      <c r="O170" s="1421"/>
    </row>
    <row r="171">
      <c r="B171" s="1049"/>
      <c r="C171" s="1418"/>
      <c r="D171" s="1299"/>
      <c r="G171" s="519"/>
      <c r="H171" s="1421"/>
      <c r="I171" s="1421"/>
      <c r="J171" s="1421"/>
      <c r="K171" s="1421"/>
      <c r="L171" s="1421"/>
      <c r="M171" s="1421"/>
      <c r="N171" s="1421"/>
      <c r="O171" s="1421"/>
    </row>
    <row r="172">
      <c r="B172" s="1049"/>
      <c r="C172" s="1418"/>
      <c r="D172" s="1299"/>
      <c r="G172" s="519"/>
      <c r="H172" s="1421"/>
      <c r="I172" s="1421"/>
      <c r="J172" s="1421"/>
      <c r="K172" s="1421"/>
      <c r="L172" s="1421"/>
      <c r="M172" s="1421"/>
      <c r="N172" s="1421"/>
      <c r="O172" s="1421"/>
    </row>
    <row r="173">
      <c r="B173" s="1049"/>
      <c r="C173" s="1418"/>
      <c r="D173" s="1299"/>
      <c r="G173" s="519"/>
      <c r="H173" s="1421"/>
      <c r="I173" s="1421"/>
      <c r="J173" s="1421"/>
      <c r="K173" s="1421"/>
      <c r="L173" s="1421"/>
      <c r="M173" s="1421"/>
      <c r="N173" s="1421"/>
      <c r="O173" s="1421"/>
    </row>
    <row r="174">
      <c r="B174" s="1049"/>
      <c r="C174" s="1418"/>
      <c r="D174" s="1299"/>
      <c r="G174" s="519"/>
      <c r="H174" s="1421"/>
      <c r="I174" s="1421"/>
      <c r="J174" s="1421"/>
      <c r="K174" s="1421"/>
      <c r="L174" s="1421"/>
      <c r="M174" s="1421"/>
      <c r="N174" s="1421"/>
      <c r="O174" s="1421"/>
    </row>
    <row r="175">
      <c r="B175" s="1049"/>
      <c r="C175" s="1418"/>
      <c r="D175" s="1299"/>
      <c r="G175" s="519"/>
      <c r="H175" s="1421"/>
      <c r="I175" s="1421"/>
      <c r="J175" s="1421"/>
      <c r="K175" s="1421"/>
      <c r="L175" s="1421"/>
      <c r="M175" s="1421"/>
      <c r="N175" s="1421"/>
      <c r="O175" s="1421"/>
    </row>
    <row r="176">
      <c r="B176" s="1049"/>
      <c r="C176" s="1418"/>
      <c r="D176" s="1299"/>
      <c r="G176" s="519"/>
      <c r="H176" s="1421"/>
      <c r="I176" s="1421"/>
      <c r="J176" s="1421"/>
      <c r="K176" s="1421"/>
      <c r="L176" s="1421"/>
      <c r="M176" s="1421"/>
      <c r="N176" s="1421"/>
      <c r="O176" s="1421"/>
    </row>
    <row r="177">
      <c r="B177" s="1049"/>
      <c r="C177" s="1418"/>
      <c r="D177" s="1299"/>
      <c r="G177" s="519"/>
      <c r="H177" s="1421"/>
      <c r="I177" s="1421"/>
      <c r="J177" s="1421"/>
      <c r="K177" s="1421"/>
      <c r="L177" s="1421"/>
      <c r="M177" s="1421"/>
      <c r="N177" s="1421"/>
      <c r="O177" s="1421"/>
    </row>
    <row r="178">
      <c r="B178" s="1049"/>
      <c r="C178" s="1418"/>
      <c r="D178" s="1299"/>
      <c r="G178" s="519"/>
      <c r="H178" s="1421"/>
      <c r="I178" s="1421"/>
      <c r="J178" s="1421"/>
      <c r="K178" s="1421"/>
      <c r="L178" s="1421"/>
      <c r="M178" s="1421"/>
      <c r="N178" s="1421"/>
      <c r="O178" s="1421"/>
    </row>
    <row r="179">
      <c r="B179" s="1049"/>
      <c r="C179" s="1418"/>
      <c r="D179" s="1299"/>
      <c r="G179" s="519"/>
      <c r="H179" s="1421"/>
      <c r="I179" s="1421"/>
      <c r="J179" s="1421"/>
      <c r="K179" s="1421"/>
      <c r="L179" s="1421"/>
      <c r="M179" s="1421"/>
      <c r="N179" s="1421"/>
      <c r="O179" s="1421"/>
    </row>
    <row r="180">
      <c r="B180" s="1049"/>
      <c r="C180" s="1418"/>
      <c r="D180" s="1299"/>
      <c r="G180" s="519"/>
      <c r="H180" s="1421"/>
      <c r="I180" s="1421"/>
      <c r="J180" s="1421"/>
      <c r="K180" s="1421"/>
      <c r="L180" s="1421"/>
      <c r="M180" s="1421"/>
      <c r="N180" s="1421"/>
      <c r="O180" s="1421"/>
    </row>
    <row r="181">
      <c r="B181" s="1049"/>
      <c r="C181" s="1418"/>
      <c r="D181" s="1299"/>
      <c r="G181" s="519"/>
      <c r="H181" s="1421"/>
      <c r="I181" s="1421"/>
      <c r="J181" s="1421"/>
      <c r="K181" s="1421"/>
      <c r="L181" s="1421"/>
      <c r="M181" s="1421"/>
      <c r="N181" s="1421"/>
      <c r="O181" s="1421"/>
    </row>
    <row r="182">
      <c r="B182" s="1049"/>
      <c r="C182" s="1418"/>
      <c r="D182" s="1299"/>
      <c r="G182" s="519"/>
      <c r="H182" s="1421"/>
      <c r="I182" s="1421"/>
      <c r="J182" s="1421"/>
      <c r="K182" s="1421"/>
      <c r="L182" s="1421"/>
      <c r="M182" s="1421"/>
      <c r="N182" s="1421"/>
      <c r="O182" s="1421"/>
    </row>
    <row r="183">
      <c r="B183" s="1049"/>
      <c r="C183" s="1418"/>
      <c r="D183" s="1299"/>
      <c r="G183" s="519"/>
      <c r="H183" s="1421"/>
      <c r="I183" s="1421"/>
      <c r="J183" s="1421"/>
      <c r="K183" s="1421"/>
      <c r="L183" s="1421"/>
      <c r="M183" s="1421"/>
      <c r="N183" s="1421"/>
      <c r="O183" s="1421"/>
    </row>
    <row r="184">
      <c r="B184" s="1049"/>
      <c r="C184" s="1418"/>
      <c r="D184" s="1299"/>
      <c r="G184" s="519"/>
      <c r="H184" s="1421"/>
      <c r="I184" s="1421"/>
      <c r="J184" s="1421"/>
      <c r="K184" s="1421"/>
      <c r="L184" s="1421"/>
      <c r="M184" s="1421"/>
      <c r="N184" s="1421"/>
      <c r="O184" s="1421"/>
    </row>
    <row r="185">
      <c r="B185" s="1049"/>
      <c r="C185" s="1418"/>
      <c r="D185" s="1299"/>
      <c r="G185" s="519"/>
      <c r="H185" s="1421"/>
      <c r="I185" s="1421"/>
      <c r="J185" s="1421"/>
      <c r="K185" s="1421"/>
      <c r="L185" s="1421"/>
      <c r="M185" s="1421"/>
      <c r="N185" s="1421"/>
      <c r="O185" s="1421"/>
    </row>
    <row r="186">
      <c r="B186" s="1049"/>
      <c r="C186" s="1418"/>
      <c r="D186" s="1299"/>
      <c r="G186" s="519"/>
      <c r="H186" s="1421"/>
      <c r="I186" s="1421"/>
      <c r="J186" s="1421"/>
      <c r="K186" s="1421"/>
      <c r="L186" s="1421"/>
      <c r="M186" s="1421"/>
      <c r="N186" s="1421"/>
      <c r="O186" s="1421"/>
    </row>
    <row r="187">
      <c r="B187" s="1049"/>
      <c r="C187" s="1418"/>
      <c r="D187" s="1299"/>
      <c r="G187" s="519"/>
      <c r="H187" s="1421"/>
      <c r="I187" s="1421"/>
      <c r="J187" s="1421"/>
      <c r="K187" s="1421"/>
      <c r="L187" s="1421"/>
      <c r="M187" s="1421"/>
      <c r="N187" s="1421"/>
      <c r="O187" s="1421"/>
    </row>
    <row r="188">
      <c r="B188" s="1049"/>
      <c r="C188" s="1418"/>
      <c r="D188" s="1299"/>
      <c r="G188" s="519"/>
      <c r="H188" s="1421"/>
      <c r="I188" s="1421"/>
      <c r="J188" s="1421"/>
      <c r="K188" s="1421"/>
      <c r="L188" s="1421"/>
      <c r="M188" s="1421"/>
      <c r="N188" s="1421"/>
      <c r="O188" s="1421"/>
    </row>
    <row r="189">
      <c r="B189" s="1049"/>
      <c r="C189" s="1418"/>
      <c r="D189" s="1299"/>
      <c r="G189" s="519"/>
      <c r="H189" s="1421"/>
      <c r="I189" s="1421"/>
      <c r="J189" s="1421"/>
      <c r="K189" s="1421"/>
      <c r="L189" s="1421"/>
      <c r="M189" s="1421"/>
      <c r="N189" s="1421"/>
      <c r="O189" s="1421"/>
    </row>
    <row r="190">
      <c r="B190" s="1049"/>
      <c r="C190" s="1418"/>
      <c r="D190" s="1299"/>
      <c r="G190" s="519"/>
      <c r="H190" s="1421"/>
      <c r="I190" s="1421"/>
      <c r="J190" s="1421"/>
      <c r="K190" s="1421"/>
      <c r="L190" s="1421"/>
      <c r="M190" s="1421"/>
      <c r="N190" s="1421"/>
      <c r="O190" s="1421"/>
    </row>
    <row r="191">
      <c r="B191" s="1049"/>
      <c r="C191" s="1418"/>
      <c r="D191" s="1299"/>
      <c r="G191" s="519"/>
      <c r="H191" s="1421"/>
      <c r="I191" s="1421"/>
      <c r="J191" s="1421"/>
      <c r="K191" s="1421"/>
      <c r="L191" s="1421"/>
      <c r="M191" s="1421"/>
      <c r="N191" s="1421"/>
      <c r="O191" s="1421"/>
    </row>
    <row r="192">
      <c r="B192" s="1049"/>
      <c r="C192" s="1418"/>
      <c r="D192" s="1299"/>
      <c r="G192" s="519"/>
      <c r="H192" s="1421"/>
      <c r="I192" s="1421"/>
      <c r="J192" s="1421"/>
      <c r="K192" s="1421"/>
      <c r="L192" s="1421"/>
      <c r="M192" s="1421"/>
      <c r="N192" s="1421"/>
      <c r="O192" s="1421"/>
    </row>
    <row r="193">
      <c r="B193" s="1049"/>
      <c r="C193" s="1418"/>
      <c r="D193" s="1299"/>
      <c r="G193" s="519"/>
      <c r="H193" s="1421"/>
      <c r="I193" s="1421"/>
      <c r="J193" s="1421"/>
      <c r="K193" s="1421"/>
      <c r="L193" s="1421"/>
      <c r="M193" s="1421"/>
      <c r="N193" s="1421"/>
      <c r="O193" s="1421"/>
    </row>
    <row r="194">
      <c r="B194" s="1049"/>
      <c r="C194" s="1418"/>
      <c r="D194" s="1299"/>
      <c r="G194" s="519"/>
      <c r="H194" s="1421"/>
      <c r="I194" s="1421"/>
      <c r="J194" s="1421"/>
      <c r="K194" s="1421"/>
      <c r="L194" s="1421"/>
      <c r="M194" s="1421"/>
      <c r="N194" s="1421"/>
      <c r="O194" s="1421"/>
    </row>
    <row r="195">
      <c r="B195" s="1049"/>
      <c r="C195" s="1418"/>
      <c r="D195" s="1299"/>
      <c r="G195" s="519"/>
      <c r="H195" s="1421"/>
      <c r="I195" s="1421"/>
      <c r="J195" s="1421"/>
      <c r="K195" s="1421"/>
      <c r="L195" s="1421"/>
      <c r="M195" s="1421"/>
      <c r="N195" s="1421"/>
      <c r="O195" s="1421"/>
    </row>
    <row r="196">
      <c r="B196" s="1049"/>
      <c r="C196" s="1418"/>
      <c r="D196" s="1299"/>
      <c r="G196" s="519"/>
      <c r="H196" s="1421"/>
      <c r="I196" s="1421"/>
      <c r="J196" s="1421"/>
      <c r="K196" s="1421"/>
      <c r="L196" s="1421"/>
      <c r="M196" s="1421"/>
      <c r="N196" s="1421"/>
      <c r="O196" s="1421"/>
    </row>
    <row r="197">
      <c r="B197" s="1049"/>
      <c r="C197" s="1418"/>
      <c r="D197" s="1299"/>
      <c r="G197" s="519"/>
      <c r="H197" s="1421"/>
      <c r="I197" s="1421"/>
      <c r="J197" s="1421"/>
      <c r="K197" s="1421"/>
      <c r="L197" s="1421"/>
      <c r="M197" s="1421"/>
      <c r="N197" s="1421"/>
      <c r="O197" s="1421"/>
    </row>
    <row r="198">
      <c r="B198" s="1049"/>
      <c r="C198" s="1418"/>
      <c r="D198" s="1299"/>
      <c r="G198" s="519"/>
      <c r="H198" s="1421"/>
      <c r="I198" s="1421"/>
      <c r="J198" s="1421"/>
      <c r="K198" s="1421"/>
      <c r="L198" s="1421"/>
      <c r="M198" s="1421"/>
      <c r="N198" s="1421"/>
      <c r="O198" s="1421"/>
    </row>
    <row r="199">
      <c r="B199" s="1049"/>
      <c r="C199" s="1418"/>
      <c r="D199" s="1299"/>
      <c r="G199" s="519"/>
      <c r="H199" s="1421"/>
      <c r="I199" s="1421"/>
      <c r="J199" s="1421"/>
      <c r="K199" s="1421"/>
      <c r="L199" s="1421"/>
      <c r="M199" s="1421"/>
      <c r="N199" s="1421"/>
      <c r="O199" s="1421"/>
    </row>
    <row r="200">
      <c r="B200" s="1049"/>
      <c r="C200" s="1418"/>
      <c r="D200" s="1299"/>
      <c r="G200" s="519"/>
      <c r="H200" s="1421"/>
      <c r="I200" s="1421"/>
      <c r="J200" s="1421"/>
      <c r="K200" s="1421"/>
      <c r="L200" s="1421"/>
      <c r="M200" s="1421"/>
      <c r="N200" s="1421"/>
      <c r="O200" s="1421"/>
    </row>
    <row r="201">
      <c r="B201" s="1049"/>
      <c r="C201" s="1418"/>
      <c r="D201" s="1299"/>
      <c r="G201" s="519"/>
      <c r="H201" s="1421"/>
      <c r="I201" s="1421"/>
      <c r="J201" s="1421"/>
      <c r="K201" s="1421"/>
      <c r="L201" s="1421"/>
      <c r="M201" s="1421"/>
      <c r="N201" s="1421"/>
      <c r="O201" s="1421"/>
    </row>
    <row r="202">
      <c r="B202" s="1049"/>
      <c r="C202" s="1418"/>
      <c r="D202" s="1299"/>
      <c r="G202" s="519"/>
      <c r="H202" s="1421"/>
      <c r="I202" s="1421"/>
      <c r="J202" s="1421"/>
      <c r="K202" s="1421"/>
      <c r="L202" s="1421"/>
      <c r="M202" s="1421"/>
      <c r="N202" s="1421"/>
      <c r="O202" s="1421"/>
    </row>
    <row r="203">
      <c r="B203" s="1049"/>
      <c r="C203" s="1418"/>
      <c r="D203" s="1299"/>
      <c r="G203" s="519"/>
      <c r="H203" s="1421"/>
      <c r="I203" s="1421"/>
      <c r="J203" s="1421"/>
      <c r="K203" s="1421"/>
      <c r="L203" s="1421"/>
      <c r="M203" s="1421"/>
      <c r="N203" s="1421"/>
      <c r="O203" s="1421"/>
    </row>
    <row r="204">
      <c r="B204" s="1049"/>
      <c r="C204" s="1418"/>
      <c r="D204" s="1299"/>
      <c r="G204" s="519"/>
      <c r="H204" s="1421"/>
      <c r="I204" s="1421"/>
      <c r="J204" s="1421"/>
      <c r="K204" s="1421"/>
      <c r="L204" s="1421"/>
      <c r="M204" s="1421"/>
      <c r="N204" s="1421"/>
      <c r="O204" s="1421"/>
    </row>
    <row r="205">
      <c r="B205" s="1049"/>
      <c r="C205" s="1418"/>
      <c r="D205" s="1299"/>
      <c r="G205" s="519"/>
      <c r="H205" s="1421"/>
      <c r="I205" s="1421"/>
      <c r="J205" s="1421"/>
      <c r="K205" s="1421"/>
      <c r="L205" s="1421"/>
      <c r="M205" s="1421"/>
      <c r="N205" s="1421"/>
      <c r="O205" s="1421"/>
    </row>
    <row r="206">
      <c r="B206" s="1049"/>
      <c r="C206" s="1418"/>
      <c r="D206" s="1299"/>
      <c r="G206" s="519"/>
      <c r="H206" s="1421"/>
      <c r="I206" s="1421"/>
      <c r="J206" s="1421"/>
      <c r="K206" s="1421"/>
      <c r="L206" s="1421"/>
      <c r="M206" s="1421"/>
      <c r="N206" s="1421"/>
      <c r="O206" s="1421"/>
    </row>
    <row r="207">
      <c r="B207" s="1049"/>
      <c r="C207" s="1418"/>
      <c r="D207" s="1299"/>
      <c r="G207" s="519"/>
      <c r="H207" s="1421"/>
      <c r="I207" s="1421"/>
      <c r="J207" s="1421"/>
      <c r="K207" s="1421"/>
      <c r="L207" s="1421"/>
      <c r="M207" s="1421"/>
      <c r="N207" s="1421"/>
      <c r="O207" s="1421"/>
    </row>
    <row r="208">
      <c r="B208" s="1049"/>
      <c r="C208" s="1418"/>
      <c r="D208" s="1299"/>
      <c r="G208" s="519"/>
      <c r="H208" s="1421"/>
      <c r="I208" s="1421"/>
      <c r="J208" s="1421"/>
      <c r="K208" s="1421"/>
      <c r="L208" s="1421"/>
      <c r="M208" s="1421"/>
      <c r="N208" s="1421"/>
      <c r="O208" s="1421"/>
    </row>
    <row r="209">
      <c r="B209" s="1049"/>
      <c r="C209" s="1418"/>
      <c r="D209" s="1299"/>
      <c r="G209" s="519"/>
      <c r="H209" s="1421"/>
      <c r="I209" s="1421"/>
      <c r="J209" s="1421"/>
      <c r="K209" s="1421"/>
      <c r="L209" s="1421"/>
      <c r="M209" s="1421"/>
      <c r="N209" s="1421"/>
      <c r="O209" s="1421"/>
    </row>
    <row r="210">
      <c r="B210" s="1049"/>
      <c r="C210" s="1418"/>
      <c r="D210" s="1299"/>
      <c r="G210" s="519"/>
      <c r="H210" s="1421"/>
      <c r="I210" s="1421"/>
      <c r="J210" s="1421"/>
      <c r="K210" s="1421"/>
      <c r="L210" s="1421"/>
      <c r="M210" s="1421"/>
      <c r="N210" s="1421"/>
      <c r="O210" s="1421"/>
    </row>
    <row r="211">
      <c r="B211" s="1049"/>
      <c r="C211" s="1418"/>
      <c r="D211" s="1299"/>
      <c r="G211" s="519"/>
      <c r="H211" s="1421"/>
      <c r="I211" s="1421"/>
      <c r="J211" s="1421"/>
      <c r="K211" s="1421"/>
      <c r="L211" s="1421"/>
      <c r="M211" s="1421"/>
      <c r="N211" s="1421"/>
      <c r="O211" s="1421"/>
    </row>
    <row r="212">
      <c r="B212" s="1049"/>
      <c r="C212" s="1418"/>
      <c r="D212" s="1299"/>
      <c r="G212" s="519"/>
      <c r="H212" s="1421"/>
      <c r="I212" s="1421"/>
      <c r="J212" s="1421"/>
      <c r="K212" s="1421"/>
      <c r="L212" s="1421"/>
      <c r="M212" s="1421"/>
      <c r="N212" s="1421"/>
      <c r="O212" s="1421"/>
    </row>
    <row r="213">
      <c r="B213" s="1049"/>
      <c r="C213" s="1418"/>
      <c r="D213" s="1299"/>
      <c r="G213" s="519"/>
      <c r="H213" s="1421"/>
      <c r="I213" s="1421"/>
      <c r="J213" s="1421"/>
      <c r="K213" s="1421"/>
      <c r="L213" s="1421"/>
      <c r="M213" s="1421"/>
      <c r="N213" s="1421"/>
      <c r="O213" s="1421"/>
    </row>
    <row r="214">
      <c r="B214" s="1049"/>
      <c r="C214" s="1418"/>
      <c r="D214" s="1299"/>
      <c r="G214" s="519"/>
      <c r="H214" s="1421"/>
      <c r="I214" s="1421"/>
      <c r="J214" s="1421"/>
      <c r="K214" s="1421"/>
      <c r="L214" s="1421"/>
      <c r="M214" s="1421"/>
      <c r="N214" s="1421"/>
      <c r="O214" s="1421"/>
    </row>
    <row r="215">
      <c r="B215" s="1049"/>
      <c r="C215" s="1418"/>
      <c r="D215" s="1299"/>
      <c r="G215" s="519"/>
      <c r="H215" s="1421"/>
      <c r="I215" s="1421"/>
      <c r="J215" s="1421"/>
      <c r="K215" s="1421"/>
      <c r="L215" s="1421"/>
      <c r="M215" s="1421"/>
      <c r="N215" s="1421"/>
      <c r="O215" s="1421"/>
    </row>
    <row r="216">
      <c r="B216" s="1049"/>
      <c r="C216" s="1418"/>
      <c r="D216" s="1299"/>
      <c r="G216" s="519"/>
      <c r="H216" s="1421"/>
      <c r="I216" s="1421"/>
      <c r="J216" s="1421"/>
      <c r="K216" s="1421"/>
      <c r="L216" s="1421"/>
      <c r="M216" s="1421"/>
      <c r="N216" s="1421"/>
      <c r="O216" s="1421"/>
    </row>
    <row r="217">
      <c r="B217" s="1049"/>
      <c r="C217" s="1418"/>
      <c r="D217" s="1299"/>
      <c r="G217" s="519"/>
      <c r="H217" s="1421"/>
      <c r="I217" s="1421"/>
      <c r="J217" s="1421"/>
      <c r="K217" s="1421"/>
      <c r="L217" s="1421"/>
      <c r="M217" s="1421"/>
      <c r="N217" s="1421"/>
      <c r="O217" s="1421"/>
    </row>
    <row r="218">
      <c r="B218" s="1049"/>
      <c r="C218" s="1418"/>
      <c r="D218" s="1299"/>
      <c r="G218" s="519"/>
      <c r="H218" s="1421"/>
      <c r="I218" s="1421"/>
      <c r="J218" s="1421"/>
      <c r="K218" s="1421"/>
      <c r="L218" s="1421"/>
      <c r="M218" s="1421"/>
      <c r="N218" s="1421"/>
      <c r="O218" s="1421"/>
    </row>
    <row r="219">
      <c r="B219" s="1049"/>
      <c r="C219" s="1418"/>
      <c r="D219" s="1299"/>
      <c r="G219" s="519"/>
      <c r="H219" s="1421"/>
      <c r="I219" s="1421"/>
      <c r="J219" s="1421"/>
      <c r="K219" s="1421"/>
      <c r="L219" s="1421"/>
      <c r="M219" s="1421"/>
      <c r="N219" s="1421"/>
      <c r="O219" s="1421"/>
    </row>
    <row r="220">
      <c r="B220" s="1049"/>
      <c r="C220" s="1418"/>
      <c r="D220" s="1299"/>
      <c r="G220" s="519"/>
      <c r="H220" s="1421"/>
      <c r="I220" s="1421"/>
      <c r="J220" s="1421"/>
      <c r="K220" s="1421"/>
      <c r="L220" s="1421"/>
      <c r="M220" s="1421"/>
      <c r="N220" s="1421"/>
      <c r="O220" s="1421"/>
    </row>
    <row r="221">
      <c r="B221" s="1049"/>
      <c r="C221" s="1418"/>
      <c r="D221" s="1299"/>
      <c r="G221" s="519"/>
      <c r="H221" s="1421"/>
      <c r="I221" s="1421"/>
      <c r="J221" s="1421"/>
      <c r="K221" s="1421"/>
      <c r="L221" s="1421"/>
      <c r="M221" s="1421"/>
      <c r="N221" s="1421"/>
      <c r="O221" s="1421"/>
    </row>
    <row r="222">
      <c r="B222" s="1049"/>
      <c r="C222" s="1418"/>
      <c r="D222" s="1299"/>
      <c r="G222" s="519"/>
      <c r="H222" s="1421"/>
      <c r="I222" s="1421"/>
      <c r="J222" s="1421"/>
      <c r="K222" s="1421"/>
      <c r="L222" s="1421"/>
      <c r="M222" s="1421"/>
      <c r="N222" s="1421"/>
      <c r="O222" s="1421"/>
    </row>
    <row r="223">
      <c r="B223" s="1049"/>
      <c r="C223" s="1418"/>
      <c r="D223" s="1299"/>
      <c r="G223" s="519"/>
      <c r="H223" s="1421"/>
      <c r="I223" s="1421"/>
      <c r="J223" s="1421"/>
      <c r="K223" s="1421"/>
      <c r="L223" s="1421"/>
      <c r="M223" s="1421"/>
      <c r="N223" s="1421"/>
      <c r="O223" s="1421"/>
    </row>
    <row r="224">
      <c r="B224" s="1049"/>
      <c r="C224" s="1418"/>
      <c r="D224" s="1299"/>
      <c r="G224" s="519"/>
      <c r="H224" s="1421"/>
      <c r="I224" s="1421"/>
      <c r="J224" s="1421"/>
      <c r="K224" s="1421"/>
      <c r="L224" s="1421"/>
      <c r="M224" s="1421"/>
      <c r="N224" s="1421"/>
      <c r="O224" s="1421"/>
    </row>
    <row r="225">
      <c r="B225" s="1049"/>
      <c r="C225" s="1418"/>
      <c r="D225" s="1299"/>
      <c r="G225" s="519"/>
      <c r="H225" s="1421"/>
      <c r="I225" s="1421"/>
      <c r="J225" s="1421"/>
      <c r="K225" s="1421"/>
      <c r="L225" s="1421"/>
      <c r="M225" s="1421"/>
      <c r="N225" s="1421"/>
      <c r="O225" s="1421"/>
    </row>
    <row r="226">
      <c r="B226" s="1049"/>
      <c r="C226" s="1418"/>
      <c r="D226" s="1299"/>
      <c r="G226" s="519"/>
      <c r="H226" s="1421"/>
      <c r="I226" s="1421"/>
      <c r="J226" s="1421"/>
      <c r="K226" s="1421"/>
      <c r="L226" s="1421"/>
      <c r="M226" s="1421"/>
      <c r="N226" s="1421"/>
      <c r="O226" s="1421"/>
    </row>
    <row r="227">
      <c r="B227" s="1049"/>
      <c r="C227" s="1418"/>
      <c r="D227" s="1299"/>
      <c r="G227" s="519"/>
      <c r="H227" s="1421"/>
      <c r="I227" s="1421"/>
      <c r="J227" s="1421"/>
      <c r="K227" s="1421"/>
      <c r="L227" s="1421"/>
      <c r="M227" s="1421"/>
      <c r="N227" s="1421"/>
      <c r="O227" s="1421"/>
    </row>
    <row r="228">
      <c r="B228" s="1049"/>
      <c r="C228" s="1418"/>
      <c r="D228" s="1299"/>
      <c r="G228" s="519"/>
      <c r="H228" s="1421"/>
      <c r="I228" s="1421"/>
      <c r="J228" s="1421"/>
      <c r="K228" s="1421"/>
      <c r="L228" s="1421"/>
      <c r="M228" s="1421"/>
      <c r="N228" s="1421"/>
      <c r="O228" s="1421"/>
    </row>
    <row r="229">
      <c r="B229" s="1049"/>
      <c r="C229" s="1418"/>
      <c r="D229" s="1299"/>
      <c r="G229" s="519"/>
      <c r="H229" s="1421"/>
      <c r="I229" s="1421"/>
      <c r="J229" s="1421"/>
      <c r="K229" s="1421"/>
      <c r="L229" s="1421"/>
      <c r="M229" s="1421"/>
      <c r="N229" s="1421"/>
      <c r="O229" s="1421"/>
    </row>
    <row r="230">
      <c r="B230" s="1049"/>
      <c r="C230" s="1418"/>
      <c r="D230" s="1299"/>
      <c r="G230" s="519"/>
      <c r="H230" s="1421"/>
      <c r="I230" s="1421"/>
      <c r="J230" s="1421"/>
      <c r="K230" s="1421"/>
      <c r="L230" s="1421"/>
      <c r="M230" s="1421"/>
      <c r="N230" s="1421"/>
      <c r="O230" s="1421"/>
    </row>
    <row r="231">
      <c r="B231" s="1049"/>
      <c r="C231" s="1418"/>
      <c r="D231" s="1299"/>
      <c r="G231" s="519"/>
      <c r="H231" s="1421"/>
      <c r="I231" s="1421"/>
      <c r="J231" s="1421"/>
      <c r="K231" s="1421"/>
      <c r="L231" s="1421"/>
      <c r="M231" s="1421"/>
      <c r="N231" s="1421"/>
      <c r="O231" s="1421"/>
    </row>
    <row r="232">
      <c r="B232" s="1049"/>
      <c r="C232" s="1418"/>
      <c r="D232" s="1299"/>
      <c r="G232" s="519"/>
      <c r="H232" s="1421"/>
      <c r="I232" s="1421"/>
      <c r="J232" s="1421"/>
      <c r="K232" s="1421"/>
      <c r="L232" s="1421"/>
      <c r="M232" s="1421"/>
      <c r="N232" s="1421"/>
      <c r="O232" s="1421"/>
    </row>
    <row r="233">
      <c r="B233" s="1049"/>
      <c r="C233" s="1418"/>
      <c r="D233" s="1299"/>
      <c r="G233" s="519"/>
      <c r="H233" s="1421"/>
      <c r="I233" s="1421"/>
      <c r="J233" s="1421"/>
      <c r="K233" s="1421"/>
      <c r="L233" s="1421"/>
      <c r="M233" s="1421"/>
      <c r="N233" s="1421"/>
      <c r="O233" s="1421"/>
    </row>
    <row r="234">
      <c r="B234" s="1049"/>
      <c r="C234" s="1418"/>
      <c r="D234" s="1299"/>
      <c r="G234" s="519"/>
      <c r="H234" s="1421"/>
      <c r="I234" s="1421"/>
      <c r="J234" s="1421"/>
      <c r="K234" s="1421"/>
      <c r="L234" s="1421"/>
      <c r="M234" s="1421"/>
      <c r="N234" s="1421"/>
      <c r="O234" s="1421"/>
    </row>
    <row r="235">
      <c r="B235" s="1049"/>
      <c r="C235" s="1418"/>
      <c r="D235" s="1299"/>
      <c r="G235" s="519"/>
      <c r="H235" s="1421"/>
      <c r="I235" s="1421"/>
      <c r="J235" s="1421"/>
      <c r="K235" s="1421"/>
      <c r="L235" s="1421"/>
      <c r="M235" s="1421"/>
      <c r="N235" s="1421"/>
      <c r="O235" s="1421"/>
    </row>
    <row r="236">
      <c r="B236" s="1049"/>
      <c r="C236" s="1418"/>
      <c r="D236" s="1299"/>
      <c r="G236" s="519"/>
      <c r="H236" s="1421"/>
      <c r="I236" s="1421"/>
      <c r="J236" s="1421"/>
      <c r="K236" s="1421"/>
      <c r="L236" s="1421"/>
      <c r="M236" s="1421"/>
      <c r="N236" s="1421"/>
      <c r="O236" s="1421"/>
    </row>
    <row r="237">
      <c r="B237" s="1049"/>
      <c r="C237" s="1418"/>
      <c r="D237" s="1299"/>
      <c r="G237" s="519"/>
      <c r="H237" s="1421"/>
      <c r="I237" s="1421"/>
      <c r="J237" s="1421"/>
      <c r="K237" s="1421"/>
      <c r="L237" s="1421"/>
      <c r="M237" s="1421"/>
      <c r="N237" s="1421"/>
      <c r="O237" s="1421"/>
    </row>
    <row r="238">
      <c r="B238" s="1049"/>
      <c r="C238" s="1418"/>
      <c r="D238" s="1299"/>
      <c r="G238" s="519"/>
      <c r="H238" s="1421"/>
      <c r="I238" s="1421"/>
      <c r="J238" s="1421"/>
      <c r="K238" s="1421"/>
      <c r="L238" s="1421"/>
      <c r="M238" s="1421"/>
      <c r="N238" s="1421"/>
      <c r="O238" s="1421"/>
    </row>
    <row r="239">
      <c r="B239" s="1049"/>
      <c r="C239" s="1418"/>
      <c r="D239" s="1299"/>
      <c r="G239" s="519"/>
      <c r="H239" s="1421"/>
      <c r="I239" s="1421"/>
      <c r="J239" s="1421"/>
      <c r="K239" s="1421"/>
      <c r="L239" s="1421"/>
      <c r="M239" s="1421"/>
      <c r="N239" s="1421"/>
      <c r="O239" s="1421"/>
    </row>
    <row r="240">
      <c r="B240" s="1049"/>
      <c r="C240" s="1418"/>
      <c r="D240" s="1299"/>
      <c r="G240" s="519"/>
      <c r="H240" s="1421"/>
      <c r="I240" s="1421"/>
      <c r="J240" s="1421"/>
      <c r="K240" s="1421"/>
      <c r="L240" s="1421"/>
      <c r="M240" s="1421"/>
      <c r="N240" s="1421"/>
      <c r="O240" s="1421"/>
    </row>
    <row r="241">
      <c r="B241" s="1049"/>
      <c r="C241" s="1418"/>
      <c r="D241" s="1299"/>
      <c r="G241" s="519"/>
      <c r="H241" s="1421"/>
      <c r="I241" s="1421"/>
      <c r="J241" s="1421"/>
      <c r="K241" s="1421"/>
      <c r="L241" s="1421"/>
      <c r="M241" s="1421"/>
      <c r="N241" s="1421"/>
      <c r="O241" s="1421"/>
    </row>
    <row r="242">
      <c r="B242" s="1049"/>
      <c r="C242" s="1418"/>
      <c r="D242" s="1299"/>
      <c r="G242" s="519"/>
      <c r="H242" s="1421"/>
      <c r="I242" s="1421"/>
      <c r="J242" s="1421"/>
      <c r="K242" s="1421"/>
      <c r="L242" s="1421"/>
      <c r="M242" s="1421"/>
      <c r="N242" s="1421"/>
      <c r="O242" s="1421"/>
    </row>
    <row r="243">
      <c r="B243" s="1049"/>
      <c r="C243" s="1418"/>
      <c r="D243" s="1299"/>
      <c r="G243" s="519"/>
      <c r="H243" s="1421"/>
      <c r="I243" s="1421"/>
      <c r="J243" s="1421"/>
      <c r="K243" s="1421"/>
      <c r="L243" s="1421"/>
      <c r="M243" s="1421"/>
      <c r="N243" s="1421"/>
      <c r="O243" s="1421"/>
    </row>
    <row r="244">
      <c r="B244" s="1049"/>
      <c r="C244" s="1418"/>
      <c r="D244" s="1299"/>
      <c r="G244" s="519"/>
      <c r="H244" s="1421"/>
      <c r="I244" s="1421"/>
      <c r="J244" s="1421"/>
      <c r="K244" s="1421"/>
      <c r="L244" s="1421"/>
      <c r="M244" s="1421"/>
      <c r="N244" s="1421"/>
      <c r="O244" s="1421"/>
    </row>
    <row r="245">
      <c r="B245" s="1049"/>
      <c r="C245" s="1418"/>
      <c r="D245" s="1299"/>
      <c r="G245" s="519"/>
      <c r="H245" s="1421"/>
      <c r="I245" s="1421"/>
      <c r="J245" s="1421"/>
      <c r="K245" s="1421"/>
      <c r="L245" s="1421"/>
      <c r="M245" s="1421"/>
      <c r="N245" s="1421"/>
      <c r="O245" s="1421"/>
    </row>
    <row r="246">
      <c r="B246" s="1049"/>
      <c r="C246" s="1418"/>
      <c r="D246" s="1299"/>
      <c r="G246" s="519"/>
      <c r="H246" s="1421"/>
      <c r="I246" s="1421"/>
      <c r="J246" s="1421"/>
      <c r="K246" s="1421"/>
      <c r="L246" s="1421"/>
      <c r="M246" s="1421"/>
      <c r="N246" s="1421"/>
      <c r="O246" s="1421"/>
    </row>
    <row r="247">
      <c r="B247" s="1049"/>
      <c r="C247" s="1418"/>
      <c r="D247" s="1299"/>
      <c r="G247" s="519"/>
      <c r="H247" s="1421"/>
      <c r="I247" s="1421"/>
      <c r="J247" s="1421"/>
      <c r="K247" s="1421"/>
      <c r="L247" s="1421"/>
      <c r="M247" s="1421"/>
      <c r="N247" s="1421"/>
      <c r="O247" s="1421"/>
    </row>
    <row r="248">
      <c r="B248" s="1049"/>
      <c r="C248" s="1418"/>
      <c r="D248" s="1299"/>
      <c r="G248" s="519"/>
      <c r="H248" s="1421"/>
      <c r="I248" s="1421"/>
      <c r="J248" s="1421"/>
      <c r="K248" s="1421"/>
      <c r="L248" s="1421"/>
      <c r="M248" s="1421"/>
      <c r="N248" s="1421"/>
      <c r="O248" s="1421"/>
    </row>
    <row r="249">
      <c r="B249" s="1049"/>
      <c r="C249" s="1418"/>
      <c r="D249" s="1299"/>
      <c r="G249" s="519"/>
      <c r="H249" s="1421"/>
      <c r="I249" s="1421"/>
      <c r="J249" s="1421"/>
      <c r="K249" s="1421"/>
      <c r="L249" s="1421"/>
      <c r="M249" s="1421"/>
      <c r="N249" s="1421"/>
      <c r="O249" s="1421"/>
    </row>
    <row r="250">
      <c r="B250" s="1049"/>
      <c r="C250" s="1418"/>
      <c r="D250" s="1299"/>
      <c r="G250" s="519"/>
      <c r="H250" s="1421"/>
      <c r="I250" s="1421"/>
      <c r="J250" s="1421"/>
      <c r="K250" s="1421"/>
      <c r="L250" s="1421"/>
      <c r="M250" s="1421"/>
      <c r="N250" s="1421"/>
      <c r="O250" s="1421"/>
    </row>
    <row r="251">
      <c r="B251" s="1049"/>
      <c r="C251" s="1418"/>
      <c r="D251" s="1299"/>
      <c r="G251" s="519"/>
      <c r="H251" s="1421"/>
      <c r="I251" s="1421"/>
      <c r="J251" s="1421"/>
      <c r="K251" s="1421"/>
      <c r="L251" s="1421"/>
      <c r="M251" s="1421"/>
      <c r="N251" s="1421"/>
      <c r="O251" s="1421"/>
    </row>
    <row r="252">
      <c r="B252" s="1049"/>
      <c r="C252" s="1418"/>
      <c r="D252" s="1299"/>
      <c r="G252" s="519"/>
      <c r="H252" s="1421"/>
      <c r="I252" s="1421"/>
      <c r="J252" s="1421"/>
      <c r="K252" s="1421"/>
      <c r="L252" s="1421"/>
      <c r="M252" s="1421"/>
      <c r="N252" s="1421"/>
      <c r="O252" s="1421"/>
    </row>
    <row r="253">
      <c r="B253" s="1049"/>
      <c r="C253" s="1418"/>
      <c r="D253" s="1299"/>
      <c r="G253" s="519"/>
      <c r="H253" s="1421"/>
      <c r="I253" s="1421"/>
      <c r="J253" s="1421"/>
      <c r="K253" s="1421"/>
      <c r="L253" s="1421"/>
      <c r="M253" s="1421"/>
      <c r="N253" s="1421"/>
      <c r="O253" s="1421"/>
    </row>
    <row r="254">
      <c r="B254" s="1049"/>
      <c r="C254" s="1418"/>
      <c r="D254" s="1299"/>
      <c r="G254" s="519"/>
      <c r="H254" s="1421"/>
      <c r="I254" s="1421"/>
      <c r="J254" s="1421"/>
      <c r="K254" s="1421"/>
      <c r="L254" s="1421"/>
      <c r="M254" s="1421"/>
      <c r="N254" s="1421"/>
      <c r="O254" s="1421"/>
    </row>
    <row r="255">
      <c r="B255" s="1049"/>
      <c r="C255" s="1418"/>
      <c r="D255" s="1299"/>
      <c r="G255" s="519"/>
      <c r="H255" s="1421"/>
      <c r="I255" s="1421"/>
      <c r="J255" s="1421"/>
      <c r="K255" s="1421"/>
      <c r="L255" s="1421"/>
      <c r="M255" s="1421"/>
      <c r="N255" s="1421"/>
      <c r="O255" s="1421"/>
    </row>
    <row r="256">
      <c r="B256" s="1049"/>
      <c r="C256" s="1418"/>
      <c r="D256" s="1299"/>
      <c r="G256" s="519"/>
      <c r="H256" s="1421"/>
      <c r="I256" s="1421"/>
      <c r="J256" s="1421"/>
      <c r="K256" s="1421"/>
      <c r="L256" s="1421"/>
      <c r="M256" s="1421"/>
      <c r="N256" s="1421"/>
      <c r="O256" s="1421"/>
    </row>
    <row r="257">
      <c r="B257" s="1049"/>
      <c r="C257" s="1418"/>
      <c r="D257" s="1299"/>
      <c r="G257" s="519"/>
      <c r="H257" s="1421"/>
      <c r="I257" s="1421"/>
      <c r="J257" s="1421"/>
      <c r="K257" s="1421"/>
      <c r="L257" s="1421"/>
      <c r="M257" s="1421"/>
      <c r="N257" s="1421"/>
      <c r="O257" s="1421"/>
    </row>
    <row r="258">
      <c r="B258" s="1049"/>
      <c r="C258" s="1418"/>
      <c r="D258" s="1299"/>
      <c r="G258" s="519"/>
      <c r="H258" s="1421"/>
      <c r="I258" s="1421"/>
      <c r="J258" s="1421"/>
      <c r="K258" s="1421"/>
      <c r="L258" s="1421"/>
      <c r="M258" s="1421"/>
      <c r="N258" s="1421"/>
      <c r="O258" s="1421"/>
    </row>
    <row r="259">
      <c r="B259" s="1049"/>
      <c r="C259" s="1418"/>
      <c r="D259" s="1299"/>
      <c r="G259" s="519"/>
      <c r="H259" s="1421"/>
      <c r="I259" s="1421"/>
      <c r="J259" s="1421"/>
      <c r="K259" s="1421"/>
      <c r="L259" s="1421"/>
      <c r="M259" s="1421"/>
      <c r="N259" s="1421"/>
      <c r="O259" s="1421"/>
    </row>
    <row r="260">
      <c r="B260" s="1049"/>
      <c r="C260" s="1418"/>
      <c r="D260" s="1299"/>
      <c r="G260" s="519"/>
      <c r="H260" s="1421"/>
      <c r="I260" s="1421"/>
      <c r="J260" s="1421"/>
      <c r="K260" s="1421"/>
      <c r="L260" s="1421"/>
      <c r="M260" s="1421"/>
      <c r="N260" s="1421"/>
      <c r="O260" s="1421"/>
    </row>
    <row r="261">
      <c r="B261" s="1049"/>
      <c r="C261" s="1418"/>
      <c r="D261" s="1299"/>
      <c r="G261" s="519"/>
      <c r="H261" s="1421"/>
      <c r="I261" s="1421"/>
      <c r="J261" s="1421"/>
      <c r="K261" s="1421"/>
      <c r="L261" s="1421"/>
      <c r="M261" s="1421"/>
      <c r="N261" s="1421"/>
      <c r="O261" s="1421"/>
    </row>
    <row r="262">
      <c r="B262" s="1049"/>
      <c r="C262" s="1418"/>
      <c r="D262" s="1299"/>
      <c r="G262" s="519"/>
      <c r="H262" s="1421"/>
      <c r="I262" s="1421"/>
      <c r="J262" s="1421"/>
      <c r="K262" s="1421"/>
      <c r="L262" s="1421"/>
      <c r="M262" s="1421"/>
      <c r="N262" s="1421"/>
      <c r="O262" s="1421"/>
    </row>
    <row r="263">
      <c r="B263" s="1049"/>
      <c r="C263" s="1418"/>
      <c r="D263" s="1299"/>
      <c r="G263" s="519"/>
      <c r="H263" s="1421"/>
      <c r="I263" s="1421"/>
      <c r="J263" s="1421"/>
      <c r="K263" s="1421"/>
      <c r="L263" s="1421"/>
      <c r="M263" s="1421"/>
      <c r="N263" s="1421"/>
      <c r="O263" s="1421"/>
    </row>
    <row r="264">
      <c r="B264" s="1049"/>
      <c r="C264" s="1418"/>
      <c r="D264" s="1299"/>
      <c r="G264" s="519"/>
      <c r="H264" s="1421"/>
      <c r="I264" s="1421"/>
      <c r="J264" s="1421"/>
      <c r="K264" s="1421"/>
      <c r="L264" s="1421"/>
      <c r="M264" s="1421"/>
      <c r="N264" s="1421"/>
      <c r="O264" s="1421"/>
    </row>
    <row r="265">
      <c r="B265" s="1049"/>
      <c r="C265" s="1418"/>
      <c r="D265" s="1299"/>
      <c r="G265" s="519"/>
      <c r="H265" s="1421"/>
      <c r="I265" s="1421"/>
      <c r="J265" s="1421"/>
      <c r="K265" s="1421"/>
      <c r="L265" s="1421"/>
      <c r="M265" s="1421"/>
      <c r="N265" s="1421"/>
      <c r="O265" s="1421"/>
    </row>
    <row r="266">
      <c r="B266" s="1049"/>
      <c r="C266" s="1418"/>
      <c r="D266" s="1299"/>
      <c r="G266" s="519"/>
      <c r="H266" s="1421"/>
      <c r="I266" s="1421"/>
      <c r="J266" s="1421"/>
      <c r="K266" s="1421"/>
      <c r="L266" s="1421"/>
      <c r="M266" s="1421"/>
      <c r="N266" s="1421"/>
      <c r="O266" s="1421"/>
    </row>
    <row r="267">
      <c r="B267" s="1049"/>
      <c r="C267" s="1418"/>
      <c r="D267" s="1299"/>
      <c r="G267" s="519"/>
      <c r="H267" s="1421"/>
      <c r="I267" s="1421"/>
      <c r="J267" s="1421"/>
      <c r="K267" s="1421"/>
      <c r="L267" s="1421"/>
      <c r="M267" s="1421"/>
      <c r="N267" s="1421"/>
      <c r="O267" s="1421"/>
    </row>
    <row r="268">
      <c r="B268" s="1049"/>
      <c r="C268" s="1418"/>
      <c r="D268" s="1299"/>
      <c r="G268" s="519"/>
      <c r="H268" s="1421"/>
      <c r="I268" s="1421"/>
      <c r="J268" s="1421"/>
      <c r="K268" s="1421"/>
      <c r="L268" s="1421"/>
      <c r="M268" s="1421"/>
      <c r="N268" s="1421"/>
      <c r="O268" s="1421"/>
    </row>
    <row r="269">
      <c r="B269" s="1049"/>
      <c r="C269" s="1418"/>
      <c r="D269" s="1299"/>
      <c r="G269" s="519"/>
      <c r="H269" s="1421"/>
      <c r="I269" s="1421"/>
      <c r="J269" s="1421"/>
      <c r="K269" s="1421"/>
      <c r="L269" s="1421"/>
      <c r="M269" s="1421"/>
      <c r="N269" s="1421"/>
      <c r="O269" s="1421"/>
    </row>
    <row r="270">
      <c r="B270" s="1049"/>
      <c r="C270" s="1418"/>
      <c r="D270" s="1299"/>
      <c r="G270" s="519"/>
      <c r="H270" s="1421"/>
      <c r="I270" s="1421"/>
      <c r="J270" s="1421"/>
      <c r="K270" s="1421"/>
      <c r="L270" s="1421"/>
      <c r="M270" s="1421"/>
      <c r="N270" s="1421"/>
      <c r="O270" s="1421"/>
    </row>
    <row r="271">
      <c r="B271" s="1049"/>
      <c r="C271" s="1418"/>
      <c r="D271" s="1299"/>
      <c r="G271" s="519"/>
      <c r="H271" s="1421"/>
      <c r="I271" s="1421"/>
      <c r="J271" s="1421"/>
      <c r="K271" s="1421"/>
      <c r="L271" s="1421"/>
      <c r="M271" s="1421"/>
      <c r="N271" s="1421"/>
      <c r="O271" s="1421"/>
    </row>
    <row r="272">
      <c r="B272" s="1049"/>
      <c r="C272" s="1418"/>
      <c r="D272" s="1299"/>
      <c r="G272" s="519"/>
      <c r="H272" s="1421"/>
      <c r="I272" s="1421"/>
      <c r="J272" s="1421"/>
      <c r="K272" s="1421"/>
      <c r="L272" s="1421"/>
      <c r="M272" s="1421"/>
      <c r="N272" s="1421"/>
      <c r="O272" s="1421"/>
    </row>
    <row r="273">
      <c r="B273" s="1049"/>
      <c r="C273" s="1418"/>
      <c r="D273" s="1299"/>
      <c r="G273" s="519"/>
      <c r="H273" s="1421"/>
      <c r="I273" s="1421"/>
      <c r="J273" s="1421"/>
      <c r="K273" s="1421"/>
      <c r="L273" s="1421"/>
      <c r="M273" s="1421"/>
      <c r="N273" s="1421"/>
      <c r="O273" s="1421"/>
    </row>
    <row r="274">
      <c r="B274" s="1049"/>
      <c r="C274" s="1418"/>
      <c r="D274" s="1299"/>
      <c r="G274" s="519"/>
      <c r="H274" s="1421"/>
      <c r="I274" s="1421"/>
      <c r="J274" s="1421"/>
      <c r="K274" s="1421"/>
      <c r="L274" s="1421"/>
      <c r="M274" s="1421"/>
      <c r="N274" s="1421"/>
      <c r="O274" s="1421"/>
    </row>
    <row r="275">
      <c r="B275" s="1049"/>
      <c r="C275" s="1418"/>
      <c r="D275" s="1299"/>
      <c r="G275" s="519"/>
      <c r="H275" s="1421"/>
      <c r="I275" s="1421"/>
      <c r="J275" s="1421"/>
      <c r="K275" s="1421"/>
      <c r="L275" s="1421"/>
      <c r="M275" s="1421"/>
      <c r="N275" s="1421"/>
      <c r="O275" s="1421"/>
    </row>
    <row r="276">
      <c r="B276" s="1049"/>
      <c r="C276" s="1418"/>
      <c r="D276" s="1299"/>
      <c r="G276" s="519"/>
      <c r="H276" s="1421"/>
      <c r="I276" s="1421"/>
      <c r="J276" s="1421"/>
      <c r="K276" s="1421"/>
      <c r="L276" s="1421"/>
      <c r="M276" s="1421"/>
      <c r="N276" s="1421"/>
      <c r="O276" s="1421"/>
    </row>
    <row r="277">
      <c r="B277" s="1049"/>
      <c r="C277" s="1418"/>
      <c r="D277" s="1299"/>
      <c r="G277" s="519"/>
      <c r="H277" s="1421"/>
      <c r="I277" s="1421"/>
      <c r="J277" s="1421"/>
      <c r="K277" s="1421"/>
      <c r="L277" s="1421"/>
      <c r="M277" s="1421"/>
      <c r="N277" s="1421"/>
      <c r="O277" s="1421"/>
    </row>
    <row r="278">
      <c r="B278" s="1049"/>
      <c r="C278" s="1418"/>
      <c r="D278" s="1299"/>
      <c r="G278" s="519"/>
      <c r="H278" s="1421"/>
      <c r="I278" s="1421"/>
      <c r="J278" s="1421"/>
      <c r="K278" s="1421"/>
      <c r="L278" s="1421"/>
      <c r="M278" s="1421"/>
      <c r="N278" s="1421"/>
      <c r="O278" s="1421"/>
    </row>
    <row r="279">
      <c r="B279" s="1049"/>
      <c r="C279" s="1418"/>
      <c r="D279" s="1299"/>
      <c r="G279" s="519"/>
      <c r="H279" s="1421"/>
      <c r="I279" s="1421"/>
      <c r="J279" s="1421"/>
      <c r="K279" s="1421"/>
      <c r="L279" s="1421"/>
      <c r="M279" s="1421"/>
      <c r="N279" s="1421"/>
      <c r="O279" s="1421"/>
    </row>
    <row r="280">
      <c r="B280" s="1049"/>
      <c r="C280" s="1418"/>
      <c r="D280" s="1299"/>
      <c r="G280" s="519"/>
      <c r="H280" s="1421"/>
      <c r="I280" s="1421"/>
      <c r="J280" s="1421"/>
      <c r="K280" s="1421"/>
      <c r="L280" s="1421"/>
      <c r="M280" s="1421"/>
      <c r="N280" s="1421"/>
      <c r="O280" s="1421"/>
    </row>
    <row r="281">
      <c r="B281" s="1049"/>
      <c r="C281" s="1418"/>
      <c r="D281" s="1299"/>
      <c r="G281" s="519"/>
      <c r="H281" s="1421"/>
      <c r="I281" s="1421"/>
      <c r="J281" s="1421"/>
      <c r="K281" s="1421"/>
      <c r="L281" s="1421"/>
      <c r="M281" s="1421"/>
      <c r="N281" s="1421"/>
      <c r="O281" s="1421"/>
    </row>
    <row r="282">
      <c r="B282" s="1049"/>
      <c r="C282" s="1418"/>
      <c r="D282" s="1299"/>
      <c r="G282" s="519"/>
      <c r="H282" s="1421"/>
      <c r="I282" s="1421"/>
      <c r="J282" s="1421"/>
      <c r="K282" s="1421"/>
      <c r="L282" s="1421"/>
      <c r="M282" s="1421"/>
      <c r="N282" s="1421"/>
      <c r="O282" s="1421"/>
    </row>
    <row r="283">
      <c r="B283" s="1049"/>
      <c r="C283" s="1418"/>
      <c r="D283" s="1299"/>
      <c r="G283" s="519"/>
      <c r="H283" s="1421"/>
      <c r="I283" s="1421"/>
      <c r="J283" s="1421"/>
      <c r="K283" s="1421"/>
      <c r="L283" s="1421"/>
      <c r="M283" s="1421"/>
      <c r="N283" s="1421"/>
      <c r="O283" s="1421"/>
    </row>
    <row r="284">
      <c r="B284" s="1049"/>
      <c r="C284" s="1418"/>
      <c r="D284" s="1299"/>
      <c r="G284" s="519"/>
      <c r="H284" s="1421"/>
      <c r="I284" s="1421"/>
      <c r="J284" s="1421"/>
      <c r="K284" s="1421"/>
      <c r="L284" s="1421"/>
      <c r="M284" s="1421"/>
      <c r="N284" s="1421"/>
      <c r="O284" s="1421"/>
    </row>
    <row r="285">
      <c r="B285" s="1049"/>
      <c r="C285" s="1418"/>
      <c r="D285" s="1299"/>
      <c r="G285" s="519"/>
      <c r="H285" s="1421"/>
      <c r="I285" s="1421"/>
      <c r="J285" s="1421"/>
      <c r="K285" s="1421"/>
      <c r="L285" s="1421"/>
      <c r="M285" s="1421"/>
      <c r="N285" s="1421"/>
      <c r="O285" s="1421"/>
    </row>
    <row r="286">
      <c r="B286" s="1049"/>
      <c r="C286" s="1418"/>
      <c r="D286" s="1299"/>
      <c r="G286" s="519"/>
      <c r="H286" s="1421"/>
      <c r="I286" s="1421"/>
      <c r="J286" s="1421"/>
      <c r="K286" s="1421"/>
      <c r="L286" s="1421"/>
      <c r="M286" s="1421"/>
      <c r="N286" s="1421"/>
      <c r="O286" s="1421"/>
    </row>
    <row r="287">
      <c r="B287" s="1049"/>
      <c r="C287" s="1418"/>
      <c r="D287" s="1299"/>
      <c r="G287" s="519"/>
      <c r="H287" s="1421"/>
      <c r="I287" s="1421"/>
      <c r="J287" s="1421"/>
      <c r="K287" s="1421"/>
      <c r="L287" s="1421"/>
      <c r="M287" s="1421"/>
      <c r="N287" s="1421"/>
      <c r="O287" s="1421"/>
    </row>
    <row r="288">
      <c r="B288" s="1049"/>
      <c r="C288" s="1418"/>
      <c r="D288" s="1299"/>
      <c r="G288" s="519"/>
      <c r="H288" s="1421"/>
      <c r="I288" s="1421"/>
      <c r="J288" s="1421"/>
      <c r="K288" s="1421"/>
      <c r="L288" s="1421"/>
      <c r="M288" s="1421"/>
      <c r="N288" s="1421"/>
      <c r="O288" s="1421"/>
    </row>
    <row r="289">
      <c r="B289" s="1049"/>
      <c r="C289" s="1418"/>
      <c r="D289" s="1299"/>
      <c r="G289" s="519"/>
      <c r="H289" s="1421"/>
      <c r="I289" s="1421"/>
      <c r="J289" s="1421"/>
      <c r="K289" s="1421"/>
      <c r="L289" s="1421"/>
      <c r="M289" s="1421"/>
      <c r="N289" s="1421"/>
      <c r="O289" s="1421"/>
    </row>
    <row r="290">
      <c r="B290" s="1049"/>
      <c r="C290" s="1418"/>
      <c r="D290" s="1299"/>
      <c r="G290" s="519"/>
      <c r="H290" s="1421"/>
      <c r="I290" s="1421"/>
      <c r="J290" s="1421"/>
      <c r="K290" s="1421"/>
      <c r="L290" s="1421"/>
      <c r="M290" s="1421"/>
      <c r="N290" s="1421"/>
      <c r="O290" s="1421"/>
    </row>
    <row r="291">
      <c r="B291" s="1049"/>
      <c r="C291" s="1418"/>
      <c r="D291" s="1299"/>
      <c r="G291" s="519"/>
      <c r="H291" s="1421"/>
      <c r="I291" s="1421"/>
      <c r="J291" s="1421"/>
      <c r="K291" s="1421"/>
      <c r="L291" s="1421"/>
      <c r="M291" s="1421"/>
      <c r="N291" s="1421"/>
      <c r="O291" s="1421"/>
    </row>
    <row r="292">
      <c r="B292" s="1049"/>
      <c r="C292" s="1418"/>
      <c r="D292" s="1299"/>
      <c r="G292" s="519"/>
      <c r="H292" s="1421"/>
      <c r="I292" s="1421"/>
      <c r="J292" s="1421"/>
      <c r="K292" s="1421"/>
      <c r="L292" s="1421"/>
      <c r="M292" s="1421"/>
      <c r="N292" s="1421"/>
      <c r="O292" s="1421"/>
    </row>
    <row r="293">
      <c r="B293" s="1049"/>
      <c r="C293" s="1418"/>
      <c r="D293" s="1299"/>
      <c r="G293" s="519"/>
      <c r="H293" s="1421"/>
      <c r="I293" s="1421"/>
      <c r="J293" s="1421"/>
      <c r="K293" s="1421"/>
      <c r="L293" s="1421"/>
      <c r="M293" s="1421"/>
      <c r="N293" s="1421"/>
      <c r="O293" s="1421"/>
    </row>
    <row r="294">
      <c r="B294" s="1049"/>
      <c r="C294" s="1418"/>
      <c r="D294" s="1299"/>
      <c r="G294" s="519"/>
      <c r="H294" s="1421"/>
      <c r="I294" s="1421"/>
      <c r="J294" s="1421"/>
      <c r="K294" s="1421"/>
      <c r="L294" s="1421"/>
      <c r="M294" s="1421"/>
      <c r="N294" s="1421"/>
      <c r="O294" s="1421"/>
    </row>
    <row r="295">
      <c r="B295" s="1049"/>
      <c r="C295" s="1418"/>
      <c r="D295" s="1299"/>
      <c r="G295" s="519"/>
      <c r="H295" s="1421"/>
      <c r="I295" s="1421"/>
      <c r="J295" s="1421"/>
      <c r="K295" s="1421"/>
      <c r="L295" s="1421"/>
      <c r="M295" s="1421"/>
      <c r="N295" s="1421"/>
      <c r="O295" s="1421"/>
    </row>
    <row r="296">
      <c r="B296" s="1049"/>
      <c r="C296" s="1418"/>
      <c r="D296" s="1299"/>
      <c r="G296" s="519"/>
      <c r="H296" s="1421"/>
      <c r="I296" s="1421"/>
      <c r="J296" s="1421"/>
      <c r="K296" s="1421"/>
      <c r="L296" s="1421"/>
      <c r="M296" s="1421"/>
      <c r="N296" s="1421"/>
      <c r="O296" s="1421"/>
    </row>
    <row r="297">
      <c r="B297" s="1049"/>
      <c r="C297" s="1418"/>
      <c r="D297" s="1299"/>
      <c r="G297" s="519"/>
      <c r="H297" s="1421"/>
      <c r="I297" s="1421"/>
      <c r="J297" s="1421"/>
      <c r="K297" s="1421"/>
      <c r="L297" s="1421"/>
      <c r="M297" s="1421"/>
      <c r="N297" s="1421"/>
      <c r="O297" s="1421"/>
    </row>
    <row r="298">
      <c r="B298" s="1049"/>
      <c r="C298" s="1418"/>
      <c r="D298" s="1299"/>
      <c r="G298" s="519"/>
      <c r="H298" s="1421"/>
      <c r="I298" s="1421"/>
      <c r="J298" s="1421"/>
      <c r="K298" s="1421"/>
      <c r="L298" s="1421"/>
      <c r="M298" s="1421"/>
      <c r="N298" s="1421"/>
      <c r="O298" s="1421"/>
    </row>
    <row r="299">
      <c r="B299" s="1049"/>
      <c r="C299" s="1418"/>
      <c r="D299" s="1299"/>
      <c r="G299" s="519"/>
      <c r="H299" s="1421"/>
      <c r="I299" s="1421"/>
      <c r="J299" s="1421"/>
      <c r="K299" s="1421"/>
      <c r="L299" s="1421"/>
      <c r="M299" s="1421"/>
      <c r="N299" s="1421"/>
      <c r="O299" s="1421"/>
    </row>
    <row r="300">
      <c r="B300" s="1049"/>
      <c r="C300" s="1418"/>
      <c r="D300" s="1299"/>
      <c r="G300" s="519"/>
      <c r="H300" s="1421"/>
      <c r="I300" s="1421"/>
      <c r="J300" s="1421"/>
      <c r="K300" s="1421"/>
      <c r="L300" s="1421"/>
      <c r="M300" s="1421"/>
      <c r="N300" s="1421"/>
      <c r="O300" s="1421"/>
    </row>
    <row r="301">
      <c r="B301" s="1049"/>
      <c r="C301" s="1418"/>
      <c r="D301" s="1299"/>
      <c r="G301" s="519"/>
      <c r="H301" s="1421"/>
      <c r="I301" s="1421"/>
      <c r="J301" s="1421"/>
      <c r="K301" s="1421"/>
      <c r="L301" s="1421"/>
      <c r="M301" s="1421"/>
      <c r="N301" s="1421"/>
      <c r="O301" s="1421"/>
    </row>
    <row r="302">
      <c r="B302" s="1049"/>
      <c r="C302" s="1418"/>
      <c r="D302" s="1299"/>
      <c r="G302" s="519"/>
      <c r="H302" s="1421"/>
      <c r="I302" s="1421"/>
      <c r="J302" s="1421"/>
      <c r="K302" s="1421"/>
      <c r="L302" s="1421"/>
      <c r="M302" s="1421"/>
      <c r="N302" s="1421"/>
      <c r="O302" s="1421"/>
    </row>
    <row r="303">
      <c r="B303" s="1049"/>
      <c r="C303" s="1418"/>
      <c r="D303" s="1299"/>
      <c r="G303" s="519"/>
      <c r="H303" s="1421"/>
      <c r="I303" s="1421"/>
      <c r="J303" s="1421"/>
      <c r="K303" s="1421"/>
      <c r="L303" s="1421"/>
      <c r="M303" s="1421"/>
      <c r="N303" s="1421"/>
      <c r="O303" s="1421"/>
    </row>
    <row r="304">
      <c r="B304" s="1049"/>
      <c r="C304" s="1418"/>
      <c r="D304" s="1299"/>
      <c r="G304" s="519"/>
      <c r="H304" s="1421"/>
      <c r="I304" s="1421"/>
      <c r="J304" s="1421"/>
      <c r="K304" s="1421"/>
      <c r="L304" s="1421"/>
      <c r="M304" s="1421"/>
      <c r="N304" s="1421"/>
      <c r="O304" s="1421"/>
    </row>
    <row r="305">
      <c r="B305" s="1049"/>
      <c r="C305" s="1418"/>
      <c r="D305" s="1299"/>
      <c r="G305" s="519"/>
      <c r="H305" s="1421"/>
      <c r="I305" s="1421"/>
      <c r="J305" s="1421"/>
      <c r="K305" s="1421"/>
      <c r="L305" s="1421"/>
      <c r="M305" s="1421"/>
      <c r="N305" s="1421"/>
      <c r="O305" s="1421"/>
    </row>
    <row r="306">
      <c r="B306" s="1049"/>
      <c r="C306" s="1418"/>
      <c r="D306" s="1299"/>
      <c r="G306" s="519"/>
      <c r="H306" s="1421"/>
      <c r="I306" s="1421"/>
      <c r="J306" s="1421"/>
      <c r="K306" s="1421"/>
      <c r="L306" s="1421"/>
      <c r="M306" s="1421"/>
      <c r="N306" s="1421"/>
      <c r="O306" s="1421"/>
    </row>
    <row r="307">
      <c r="B307" s="1049"/>
      <c r="C307" s="1418"/>
      <c r="D307" s="1299"/>
      <c r="G307" s="519"/>
      <c r="H307" s="1421"/>
      <c r="I307" s="1421"/>
      <c r="J307" s="1421"/>
      <c r="K307" s="1421"/>
      <c r="L307" s="1421"/>
      <c r="M307" s="1421"/>
      <c r="N307" s="1421"/>
      <c r="O307" s="1421"/>
    </row>
    <row r="308">
      <c r="B308" s="1049"/>
      <c r="C308" s="1418"/>
      <c r="D308" s="1299"/>
      <c r="G308" s="519"/>
      <c r="H308" s="1421"/>
      <c r="I308" s="1421"/>
      <c r="J308" s="1421"/>
      <c r="K308" s="1421"/>
      <c r="L308" s="1421"/>
      <c r="M308" s="1421"/>
      <c r="N308" s="1421"/>
      <c r="O308" s="1421"/>
    </row>
    <row r="309">
      <c r="B309" s="1049"/>
      <c r="C309" s="1418"/>
      <c r="D309" s="1299"/>
      <c r="G309" s="519"/>
      <c r="H309" s="1421"/>
      <c r="I309" s="1421"/>
      <c r="J309" s="1421"/>
      <c r="K309" s="1421"/>
      <c r="L309" s="1421"/>
      <c r="M309" s="1421"/>
      <c r="N309" s="1421"/>
      <c r="O309" s="1421"/>
    </row>
    <row r="310">
      <c r="B310" s="1049"/>
      <c r="C310" s="1418"/>
      <c r="D310" s="1299"/>
      <c r="G310" s="519"/>
      <c r="H310" s="1421"/>
      <c r="I310" s="1421"/>
      <c r="J310" s="1421"/>
      <c r="K310" s="1421"/>
      <c r="L310" s="1421"/>
      <c r="M310" s="1421"/>
      <c r="N310" s="1421"/>
      <c r="O310" s="1421"/>
    </row>
    <row r="311">
      <c r="B311" s="1049"/>
      <c r="C311" s="1418"/>
      <c r="D311" s="1299"/>
      <c r="G311" s="519"/>
      <c r="H311" s="1421"/>
      <c r="I311" s="1421"/>
      <c r="J311" s="1421"/>
      <c r="K311" s="1421"/>
      <c r="L311" s="1421"/>
      <c r="M311" s="1421"/>
      <c r="N311" s="1421"/>
      <c r="O311" s="1421"/>
    </row>
    <row r="312">
      <c r="B312" s="1049"/>
      <c r="C312" s="1418"/>
      <c r="D312" s="1299"/>
      <c r="G312" s="519"/>
      <c r="H312" s="1421"/>
      <c r="I312" s="1421"/>
      <c r="J312" s="1421"/>
      <c r="K312" s="1421"/>
      <c r="L312" s="1421"/>
      <c r="M312" s="1421"/>
      <c r="N312" s="1421"/>
      <c r="O312" s="1421"/>
    </row>
    <row r="313">
      <c r="B313" s="1049"/>
      <c r="C313" s="1418"/>
      <c r="D313" s="1299"/>
      <c r="G313" s="519"/>
      <c r="H313" s="1421"/>
      <c r="I313" s="1421"/>
      <c r="J313" s="1421"/>
      <c r="K313" s="1421"/>
      <c r="L313" s="1421"/>
      <c r="M313" s="1421"/>
      <c r="N313" s="1421"/>
      <c r="O313" s="1421"/>
    </row>
    <row r="314">
      <c r="B314" s="1049"/>
      <c r="C314" s="1418"/>
      <c r="D314" s="1299"/>
      <c r="G314" s="519"/>
      <c r="H314" s="1421"/>
      <c r="I314" s="1421"/>
      <c r="J314" s="1421"/>
      <c r="K314" s="1421"/>
      <c r="L314" s="1421"/>
      <c r="M314" s="1421"/>
      <c r="N314" s="1421"/>
      <c r="O314" s="1421"/>
    </row>
    <row r="315">
      <c r="B315" s="1049"/>
      <c r="C315" s="1418"/>
      <c r="D315" s="1299"/>
      <c r="G315" s="519"/>
      <c r="H315" s="1421"/>
      <c r="I315" s="1421"/>
      <c r="J315" s="1421"/>
      <c r="K315" s="1421"/>
      <c r="L315" s="1421"/>
      <c r="M315" s="1421"/>
      <c r="N315" s="1421"/>
      <c r="O315" s="1421"/>
    </row>
    <row r="316">
      <c r="B316" s="1049"/>
      <c r="C316" s="1418"/>
      <c r="D316" s="1299"/>
      <c r="G316" s="519"/>
      <c r="H316" s="1421"/>
      <c r="I316" s="1421"/>
      <c r="J316" s="1421"/>
      <c r="K316" s="1421"/>
      <c r="L316" s="1421"/>
      <c r="M316" s="1421"/>
      <c r="N316" s="1421"/>
      <c r="O316" s="1421"/>
    </row>
    <row r="317">
      <c r="B317" s="1049"/>
      <c r="C317" s="1418"/>
      <c r="D317" s="1299"/>
      <c r="G317" s="519"/>
      <c r="H317" s="1421"/>
      <c r="I317" s="1421"/>
      <c r="J317" s="1421"/>
      <c r="K317" s="1421"/>
      <c r="L317" s="1421"/>
      <c r="M317" s="1421"/>
      <c r="N317" s="1421"/>
      <c r="O317" s="1421"/>
    </row>
    <row r="318">
      <c r="B318" s="1049"/>
      <c r="C318" s="1418"/>
      <c r="D318" s="1299"/>
      <c r="G318" s="519"/>
      <c r="H318" s="1421"/>
      <c r="I318" s="1421"/>
      <c r="J318" s="1421"/>
      <c r="K318" s="1421"/>
      <c r="L318" s="1421"/>
      <c r="M318" s="1421"/>
      <c r="N318" s="1421"/>
      <c r="O318" s="1421"/>
    </row>
    <row r="319">
      <c r="B319" s="1049"/>
      <c r="C319" s="1418"/>
      <c r="D319" s="1299"/>
      <c r="G319" s="519"/>
      <c r="H319" s="1421"/>
      <c r="I319" s="1421"/>
      <c r="J319" s="1421"/>
      <c r="K319" s="1421"/>
      <c r="L319" s="1421"/>
      <c r="M319" s="1421"/>
      <c r="N319" s="1421"/>
      <c r="O319" s="1421"/>
    </row>
    <row r="320">
      <c r="B320" s="1049"/>
      <c r="C320" s="1418"/>
      <c r="D320" s="1299"/>
      <c r="G320" s="519"/>
      <c r="H320" s="1421"/>
      <c r="I320" s="1421"/>
      <c r="J320" s="1421"/>
      <c r="K320" s="1421"/>
      <c r="L320" s="1421"/>
      <c r="M320" s="1421"/>
      <c r="N320" s="1421"/>
      <c r="O320" s="1421"/>
    </row>
    <row r="321">
      <c r="B321" s="1049"/>
      <c r="C321" s="1418"/>
      <c r="D321" s="1299"/>
      <c r="G321" s="519"/>
      <c r="H321" s="1421"/>
      <c r="I321" s="1421"/>
      <c r="J321" s="1421"/>
      <c r="K321" s="1421"/>
      <c r="L321" s="1421"/>
      <c r="M321" s="1421"/>
      <c r="N321" s="1421"/>
      <c r="O321" s="1421"/>
    </row>
    <row r="322">
      <c r="B322" s="1049"/>
      <c r="C322" s="1418"/>
      <c r="D322" s="1299"/>
      <c r="G322" s="519"/>
      <c r="H322" s="1421"/>
      <c r="I322" s="1421"/>
      <c r="J322" s="1421"/>
      <c r="K322" s="1421"/>
      <c r="L322" s="1421"/>
      <c r="M322" s="1421"/>
      <c r="N322" s="1421"/>
      <c r="O322" s="1421"/>
    </row>
    <row r="323">
      <c r="B323" s="1049"/>
      <c r="C323" s="1418"/>
      <c r="D323" s="1299"/>
      <c r="G323" s="519"/>
      <c r="H323" s="1421"/>
      <c r="I323" s="1421"/>
      <c r="J323" s="1421"/>
      <c r="K323" s="1421"/>
      <c r="L323" s="1421"/>
      <c r="M323" s="1421"/>
      <c r="N323" s="1421"/>
      <c r="O323" s="1421"/>
    </row>
    <row r="324">
      <c r="B324" s="1049"/>
      <c r="C324" s="1418"/>
      <c r="D324" s="1299"/>
      <c r="G324" s="519"/>
      <c r="H324" s="1421"/>
      <c r="I324" s="1421"/>
      <c r="J324" s="1421"/>
      <c r="K324" s="1421"/>
      <c r="L324" s="1421"/>
      <c r="M324" s="1421"/>
      <c r="N324" s="1421"/>
      <c r="O324" s="1421"/>
    </row>
    <row r="325">
      <c r="B325" s="1049"/>
      <c r="C325" s="1418"/>
      <c r="D325" s="1299"/>
      <c r="G325" s="519"/>
      <c r="H325" s="1421"/>
      <c r="I325" s="1421"/>
      <c r="J325" s="1421"/>
      <c r="K325" s="1421"/>
      <c r="L325" s="1421"/>
      <c r="M325" s="1421"/>
      <c r="N325" s="1421"/>
      <c r="O325" s="1421"/>
    </row>
    <row r="326">
      <c r="B326" s="1049"/>
      <c r="C326" s="1418"/>
      <c r="D326" s="1299"/>
      <c r="G326" s="519"/>
      <c r="H326" s="1421"/>
      <c r="I326" s="1421"/>
      <c r="J326" s="1421"/>
      <c r="K326" s="1421"/>
      <c r="L326" s="1421"/>
      <c r="M326" s="1421"/>
      <c r="N326" s="1421"/>
      <c r="O326" s="1421"/>
    </row>
    <row r="327">
      <c r="B327" s="1049"/>
      <c r="C327" s="1418"/>
      <c r="D327" s="1299"/>
      <c r="G327" s="519"/>
      <c r="H327" s="1421"/>
      <c r="I327" s="1421"/>
      <c r="J327" s="1421"/>
      <c r="K327" s="1421"/>
      <c r="L327" s="1421"/>
      <c r="M327" s="1421"/>
      <c r="N327" s="1421"/>
      <c r="O327" s="1421"/>
    </row>
    <row r="328">
      <c r="B328" s="1049"/>
      <c r="C328" s="1418"/>
      <c r="D328" s="1299"/>
      <c r="G328" s="519"/>
      <c r="H328" s="1421"/>
      <c r="I328" s="1421"/>
      <c r="J328" s="1421"/>
      <c r="K328" s="1421"/>
      <c r="L328" s="1421"/>
      <c r="M328" s="1421"/>
      <c r="N328" s="1421"/>
      <c r="O328" s="1421"/>
    </row>
    <row r="329">
      <c r="B329" s="1049"/>
      <c r="C329" s="1418"/>
      <c r="D329" s="1299"/>
      <c r="G329" s="519"/>
      <c r="H329" s="1421"/>
      <c r="I329" s="1421"/>
      <c r="J329" s="1421"/>
      <c r="K329" s="1421"/>
      <c r="L329" s="1421"/>
      <c r="M329" s="1421"/>
      <c r="N329" s="1421"/>
      <c r="O329" s="1421"/>
    </row>
    <row r="330">
      <c r="B330" s="1049"/>
      <c r="C330" s="1418"/>
      <c r="D330" s="1299"/>
      <c r="G330" s="519"/>
      <c r="H330" s="1421"/>
      <c r="I330" s="1421"/>
      <c r="J330" s="1421"/>
      <c r="K330" s="1421"/>
      <c r="L330" s="1421"/>
      <c r="M330" s="1421"/>
      <c r="N330" s="1421"/>
      <c r="O330" s="1421"/>
    </row>
    <row r="331">
      <c r="B331" s="1049"/>
      <c r="C331" s="1418"/>
      <c r="D331" s="1299"/>
      <c r="G331" s="519"/>
      <c r="H331" s="1421"/>
      <c r="I331" s="1421"/>
      <c r="J331" s="1421"/>
      <c r="K331" s="1421"/>
      <c r="L331" s="1421"/>
      <c r="M331" s="1421"/>
      <c r="N331" s="1421"/>
      <c r="O331" s="1421"/>
    </row>
    <row r="332">
      <c r="B332" s="1049"/>
      <c r="C332" s="1418"/>
      <c r="D332" s="1299"/>
      <c r="G332" s="519"/>
      <c r="H332" s="1421"/>
      <c r="I332" s="1421"/>
      <c r="J332" s="1421"/>
      <c r="K332" s="1421"/>
      <c r="L332" s="1421"/>
      <c r="M332" s="1421"/>
      <c r="N332" s="1421"/>
      <c r="O332" s="1421"/>
    </row>
    <row r="333">
      <c r="B333" s="1049"/>
      <c r="C333" s="1418"/>
      <c r="D333" s="1299"/>
      <c r="G333" s="519"/>
      <c r="H333" s="1421"/>
      <c r="I333" s="1421"/>
      <c r="J333" s="1421"/>
      <c r="K333" s="1421"/>
      <c r="L333" s="1421"/>
      <c r="M333" s="1421"/>
      <c r="N333" s="1421"/>
      <c r="O333" s="1421"/>
    </row>
    <row r="334">
      <c r="B334" s="1049"/>
      <c r="C334" s="1418"/>
      <c r="D334" s="1299"/>
      <c r="G334" s="519"/>
      <c r="H334" s="1421"/>
      <c r="I334" s="1421"/>
      <c r="J334" s="1421"/>
      <c r="K334" s="1421"/>
      <c r="L334" s="1421"/>
      <c r="M334" s="1421"/>
      <c r="N334" s="1421"/>
      <c r="O334" s="1421"/>
    </row>
    <row r="335">
      <c r="B335" s="1049"/>
      <c r="C335" s="1418"/>
      <c r="D335" s="1299"/>
      <c r="G335" s="519"/>
      <c r="H335" s="1421"/>
      <c r="I335" s="1421"/>
      <c r="J335" s="1421"/>
      <c r="K335" s="1421"/>
      <c r="L335" s="1421"/>
      <c r="M335" s="1421"/>
      <c r="N335" s="1421"/>
      <c r="O335" s="1421"/>
    </row>
    <row r="336">
      <c r="B336" s="1049"/>
      <c r="C336" s="1418"/>
      <c r="D336" s="1299"/>
      <c r="G336" s="519"/>
      <c r="H336" s="1421"/>
      <c r="I336" s="1421"/>
      <c r="J336" s="1421"/>
      <c r="K336" s="1421"/>
      <c r="L336" s="1421"/>
      <c r="M336" s="1421"/>
      <c r="N336" s="1421"/>
      <c r="O336" s="1421"/>
    </row>
    <row r="337">
      <c r="B337" s="1049"/>
      <c r="C337" s="1418"/>
      <c r="D337" s="1299"/>
      <c r="G337" s="519"/>
      <c r="H337" s="1421"/>
      <c r="I337" s="1421"/>
      <c r="J337" s="1421"/>
      <c r="K337" s="1421"/>
      <c r="L337" s="1421"/>
      <c r="M337" s="1421"/>
      <c r="N337" s="1421"/>
      <c r="O337" s="1421"/>
    </row>
    <row r="338">
      <c r="B338" s="1049"/>
      <c r="C338" s="1418"/>
      <c r="D338" s="1299"/>
      <c r="G338" s="519"/>
      <c r="H338" s="1421"/>
      <c r="I338" s="1421"/>
      <c r="J338" s="1421"/>
      <c r="K338" s="1421"/>
      <c r="L338" s="1421"/>
      <c r="M338" s="1421"/>
      <c r="N338" s="1421"/>
      <c r="O338" s="1421"/>
    </row>
    <row r="339">
      <c r="B339" s="1049"/>
      <c r="C339" s="1418"/>
      <c r="D339" s="1299"/>
      <c r="G339" s="519"/>
      <c r="H339" s="1421"/>
      <c r="I339" s="1421"/>
      <c r="J339" s="1421"/>
      <c r="K339" s="1421"/>
      <c r="L339" s="1421"/>
      <c r="M339" s="1421"/>
      <c r="N339" s="1421"/>
      <c r="O339" s="1421"/>
    </row>
    <row r="340">
      <c r="B340" s="1049"/>
      <c r="C340" s="1418"/>
      <c r="D340" s="1299"/>
      <c r="G340" s="519"/>
      <c r="H340" s="1421"/>
      <c r="I340" s="1421"/>
      <c r="J340" s="1421"/>
      <c r="K340" s="1421"/>
      <c r="L340" s="1421"/>
      <c r="M340" s="1421"/>
      <c r="N340" s="1421"/>
      <c r="O340" s="1421"/>
    </row>
    <row r="341">
      <c r="B341" s="1049"/>
      <c r="C341" s="1418"/>
      <c r="D341" s="1299"/>
      <c r="G341" s="519"/>
      <c r="H341" s="1421"/>
      <c r="I341" s="1421"/>
      <c r="J341" s="1421"/>
      <c r="K341" s="1421"/>
      <c r="L341" s="1421"/>
      <c r="M341" s="1421"/>
      <c r="N341" s="1421"/>
      <c r="O341" s="1421"/>
    </row>
    <row r="342">
      <c r="B342" s="1049"/>
      <c r="C342" s="1418"/>
      <c r="D342" s="1299"/>
      <c r="G342" s="519"/>
      <c r="H342" s="1421"/>
      <c r="I342" s="1421"/>
      <c r="J342" s="1421"/>
      <c r="K342" s="1421"/>
      <c r="L342" s="1421"/>
      <c r="M342" s="1421"/>
      <c r="N342" s="1421"/>
      <c r="O342" s="1421"/>
    </row>
    <row r="343">
      <c r="B343" s="1049"/>
      <c r="C343" s="1418"/>
      <c r="D343" s="1299"/>
      <c r="G343" s="519"/>
      <c r="H343" s="1421"/>
      <c r="I343" s="1421"/>
      <c r="J343" s="1421"/>
      <c r="K343" s="1421"/>
      <c r="L343" s="1421"/>
      <c r="M343" s="1421"/>
      <c r="N343" s="1421"/>
      <c r="O343" s="1421"/>
    </row>
    <row r="344">
      <c r="B344" s="1049"/>
      <c r="C344" s="1418"/>
      <c r="D344" s="1299"/>
      <c r="G344" s="519"/>
      <c r="H344" s="1421"/>
      <c r="I344" s="1421"/>
      <c r="J344" s="1421"/>
      <c r="K344" s="1421"/>
      <c r="L344" s="1421"/>
      <c r="M344" s="1421"/>
      <c r="N344" s="1421"/>
      <c r="O344" s="1421"/>
    </row>
    <row r="345">
      <c r="B345" s="1049"/>
      <c r="C345" s="1418"/>
      <c r="D345" s="1299"/>
      <c r="G345" s="519"/>
      <c r="H345" s="1421"/>
      <c r="I345" s="1421"/>
      <c r="J345" s="1421"/>
      <c r="K345" s="1421"/>
      <c r="L345" s="1421"/>
      <c r="M345" s="1421"/>
      <c r="N345" s="1421"/>
      <c r="O345" s="1421"/>
    </row>
    <row r="346">
      <c r="B346" s="1049"/>
      <c r="C346" s="1418"/>
      <c r="D346" s="1299"/>
      <c r="G346" s="519"/>
      <c r="H346" s="1421"/>
      <c r="I346" s="1421"/>
      <c r="J346" s="1421"/>
      <c r="K346" s="1421"/>
      <c r="L346" s="1421"/>
      <c r="M346" s="1421"/>
      <c r="N346" s="1421"/>
      <c r="O346" s="1421"/>
    </row>
    <row r="347">
      <c r="B347" s="1049"/>
      <c r="C347" s="1418"/>
      <c r="D347" s="1299"/>
      <c r="G347" s="519"/>
      <c r="H347" s="1421"/>
      <c r="I347" s="1421"/>
      <c r="J347" s="1421"/>
      <c r="K347" s="1421"/>
      <c r="L347" s="1421"/>
      <c r="M347" s="1421"/>
      <c r="N347" s="1421"/>
      <c r="O347" s="1421"/>
    </row>
    <row r="348">
      <c r="B348" s="1049"/>
      <c r="C348" s="1418"/>
      <c r="D348" s="1299"/>
      <c r="G348" s="519"/>
      <c r="H348" s="1421"/>
      <c r="I348" s="1421"/>
      <c r="J348" s="1421"/>
      <c r="K348" s="1421"/>
      <c r="L348" s="1421"/>
      <c r="M348" s="1421"/>
      <c r="N348" s="1421"/>
      <c r="O348" s="1421"/>
    </row>
    <row r="349">
      <c r="B349" s="1049"/>
      <c r="C349" s="1418"/>
      <c r="D349" s="1299"/>
      <c r="G349" s="519"/>
      <c r="H349" s="1421"/>
      <c r="I349" s="1421"/>
      <c r="J349" s="1421"/>
      <c r="K349" s="1421"/>
      <c r="L349" s="1421"/>
      <c r="M349" s="1421"/>
      <c r="N349" s="1421"/>
      <c r="O349" s="1421"/>
    </row>
    <row r="350">
      <c r="B350" s="1049"/>
      <c r="C350" s="1418"/>
      <c r="D350" s="1299"/>
      <c r="G350" s="519"/>
      <c r="H350" s="1421"/>
      <c r="I350" s="1421"/>
      <c r="J350" s="1421"/>
      <c r="K350" s="1421"/>
      <c r="L350" s="1421"/>
      <c r="M350" s="1421"/>
      <c r="N350" s="1421"/>
      <c r="O350" s="1421"/>
    </row>
    <row r="351">
      <c r="B351" s="1049"/>
      <c r="C351" s="1418"/>
      <c r="D351" s="1299"/>
      <c r="G351" s="519"/>
      <c r="H351" s="1421"/>
      <c r="I351" s="1421"/>
      <c r="J351" s="1421"/>
      <c r="K351" s="1421"/>
      <c r="L351" s="1421"/>
      <c r="M351" s="1421"/>
      <c r="N351" s="1421"/>
      <c r="O351" s="1421"/>
    </row>
    <row r="352">
      <c r="B352" s="1049"/>
      <c r="C352" s="1418"/>
      <c r="D352" s="1299"/>
      <c r="G352" s="519"/>
      <c r="H352" s="1421"/>
      <c r="I352" s="1421"/>
      <c r="J352" s="1421"/>
      <c r="K352" s="1421"/>
      <c r="L352" s="1421"/>
      <c r="M352" s="1421"/>
      <c r="N352" s="1421"/>
      <c r="O352" s="1421"/>
    </row>
    <row r="353">
      <c r="B353" s="1049"/>
      <c r="C353" s="1418"/>
      <c r="D353" s="1299"/>
      <c r="G353" s="519"/>
      <c r="H353" s="1421"/>
      <c r="I353" s="1421"/>
      <c r="J353" s="1421"/>
      <c r="K353" s="1421"/>
      <c r="L353" s="1421"/>
      <c r="M353" s="1421"/>
      <c r="N353" s="1421"/>
      <c r="O353" s="1421"/>
    </row>
    <row r="354">
      <c r="B354" s="1049"/>
      <c r="C354" s="1418"/>
      <c r="D354" s="1299"/>
      <c r="G354" s="519"/>
      <c r="H354" s="1421"/>
      <c r="I354" s="1421"/>
      <c r="J354" s="1421"/>
      <c r="K354" s="1421"/>
      <c r="L354" s="1421"/>
      <c r="M354" s="1421"/>
      <c r="N354" s="1421"/>
      <c r="O354" s="1421"/>
    </row>
    <row r="355">
      <c r="B355" s="1049"/>
      <c r="C355" s="1418"/>
      <c r="D355" s="1299"/>
      <c r="G355" s="519"/>
      <c r="H355" s="1421"/>
      <c r="I355" s="1421"/>
      <c r="J355" s="1421"/>
      <c r="K355" s="1421"/>
      <c r="L355" s="1421"/>
      <c r="M355" s="1421"/>
      <c r="N355" s="1421"/>
      <c r="O355" s="1421"/>
    </row>
    <row r="356">
      <c r="B356" s="1049"/>
      <c r="C356" s="1418"/>
      <c r="D356" s="1299"/>
      <c r="G356" s="519"/>
      <c r="H356" s="1421"/>
      <c r="I356" s="1421"/>
      <c r="J356" s="1421"/>
      <c r="K356" s="1421"/>
      <c r="L356" s="1421"/>
      <c r="M356" s="1421"/>
      <c r="N356" s="1421"/>
      <c r="O356" s="1421"/>
    </row>
    <row r="357">
      <c r="B357" s="1049"/>
      <c r="C357" s="1418"/>
      <c r="D357" s="1299"/>
      <c r="G357" s="519"/>
      <c r="H357" s="1421"/>
      <c r="I357" s="1421"/>
      <c r="J357" s="1421"/>
      <c r="K357" s="1421"/>
      <c r="L357" s="1421"/>
      <c r="M357" s="1421"/>
      <c r="N357" s="1421"/>
      <c r="O357" s="1421"/>
    </row>
    <row r="358">
      <c r="B358" s="1049"/>
      <c r="C358" s="1418"/>
      <c r="D358" s="1299"/>
      <c r="G358" s="519"/>
      <c r="H358" s="1421"/>
      <c r="I358" s="1421"/>
      <c r="J358" s="1421"/>
      <c r="K358" s="1421"/>
      <c r="L358" s="1421"/>
      <c r="M358" s="1421"/>
      <c r="N358" s="1421"/>
      <c r="O358" s="1421"/>
    </row>
    <row r="359">
      <c r="B359" s="1049"/>
      <c r="C359" s="1418"/>
      <c r="D359" s="1299"/>
      <c r="G359" s="519"/>
      <c r="H359" s="1421"/>
      <c r="I359" s="1421"/>
      <c r="J359" s="1421"/>
      <c r="K359" s="1421"/>
      <c r="L359" s="1421"/>
      <c r="M359" s="1421"/>
      <c r="N359" s="1421"/>
      <c r="O359" s="1421"/>
    </row>
    <row r="360">
      <c r="B360" s="1049"/>
      <c r="C360" s="1418"/>
      <c r="D360" s="1299"/>
      <c r="G360" s="519"/>
      <c r="H360" s="1421"/>
      <c r="I360" s="1421"/>
      <c r="J360" s="1421"/>
      <c r="K360" s="1421"/>
      <c r="L360" s="1421"/>
      <c r="M360" s="1421"/>
      <c r="N360" s="1421"/>
      <c r="O360" s="1421"/>
    </row>
    <row r="361">
      <c r="B361" s="1049"/>
      <c r="C361" s="1418"/>
      <c r="D361" s="1299"/>
      <c r="G361" s="519"/>
      <c r="H361" s="1421"/>
      <c r="I361" s="1421"/>
      <c r="J361" s="1421"/>
      <c r="K361" s="1421"/>
      <c r="L361" s="1421"/>
      <c r="M361" s="1421"/>
      <c r="N361" s="1421"/>
      <c r="O361" s="1421"/>
    </row>
    <row r="362">
      <c r="B362" s="1049"/>
      <c r="C362" s="1418"/>
      <c r="D362" s="1299"/>
      <c r="G362" s="519"/>
      <c r="H362" s="1421"/>
      <c r="I362" s="1421"/>
      <c r="J362" s="1421"/>
      <c r="K362" s="1421"/>
      <c r="L362" s="1421"/>
      <c r="M362" s="1421"/>
      <c r="N362" s="1421"/>
      <c r="O362" s="1421"/>
    </row>
    <row r="363">
      <c r="B363" s="1049"/>
      <c r="C363" s="1418"/>
      <c r="D363" s="1299"/>
      <c r="G363" s="519"/>
      <c r="H363" s="1421"/>
      <c r="I363" s="1421"/>
      <c r="J363" s="1421"/>
      <c r="K363" s="1421"/>
      <c r="L363" s="1421"/>
      <c r="M363" s="1421"/>
      <c r="N363" s="1421"/>
      <c r="O363" s="1421"/>
    </row>
    <row r="364">
      <c r="B364" s="1049"/>
      <c r="C364" s="1418"/>
      <c r="D364" s="1299"/>
      <c r="G364" s="519"/>
      <c r="H364" s="1421"/>
      <c r="I364" s="1421"/>
      <c r="J364" s="1421"/>
      <c r="K364" s="1421"/>
      <c r="L364" s="1421"/>
      <c r="M364" s="1421"/>
      <c r="N364" s="1421"/>
      <c r="O364" s="1421"/>
    </row>
    <row r="365">
      <c r="B365" s="1049"/>
      <c r="C365" s="1418"/>
      <c r="D365" s="1299"/>
      <c r="G365" s="519"/>
      <c r="H365" s="1421"/>
      <c r="I365" s="1421"/>
      <c r="J365" s="1421"/>
      <c r="K365" s="1421"/>
      <c r="L365" s="1421"/>
      <c r="M365" s="1421"/>
      <c r="N365" s="1421"/>
      <c r="O365" s="1421"/>
    </row>
    <row r="366">
      <c r="B366" s="1049"/>
      <c r="C366" s="1418"/>
      <c r="D366" s="1299"/>
      <c r="G366" s="519"/>
      <c r="H366" s="1421"/>
      <c r="I366" s="1421"/>
      <c r="J366" s="1421"/>
      <c r="K366" s="1421"/>
      <c r="L366" s="1421"/>
      <c r="M366" s="1421"/>
      <c r="N366" s="1421"/>
      <c r="O366" s="1421"/>
    </row>
    <row r="367">
      <c r="B367" s="1049"/>
      <c r="C367" s="1418"/>
      <c r="D367" s="1299"/>
      <c r="G367" s="519"/>
      <c r="H367" s="1421"/>
      <c r="I367" s="1421"/>
      <c r="J367" s="1421"/>
      <c r="K367" s="1421"/>
      <c r="L367" s="1421"/>
      <c r="M367" s="1421"/>
      <c r="N367" s="1421"/>
      <c r="O367" s="1421"/>
    </row>
    <row r="368">
      <c r="B368" s="1049"/>
      <c r="C368" s="1418"/>
      <c r="D368" s="1299"/>
      <c r="G368" s="519"/>
      <c r="H368" s="1421"/>
      <c r="I368" s="1421"/>
      <c r="J368" s="1421"/>
      <c r="K368" s="1421"/>
      <c r="L368" s="1421"/>
      <c r="M368" s="1421"/>
      <c r="N368" s="1421"/>
      <c r="O368" s="1421"/>
    </row>
    <row r="369">
      <c r="B369" s="1049"/>
      <c r="C369" s="1418"/>
      <c r="D369" s="1299"/>
      <c r="G369" s="519"/>
      <c r="H369" s="1421"/>
      <c r="I369" s="1421"/>
      <c r="J369" s="1421"/>
      <c r="K369" s="1421"/>
      <c r="L369" s="1421"/>
      <c r="M369" s="1421"/>
      <c r="N369" s="1421"/>
      <c r="O369" s="1421"/>
    </row>
    <row r="370">
      <c r="B370" s="1049"/>
      <c r="C370" s="1418"/>
      <c r="D370" s="1299"/>
      <c r="G370" s="519"/>
      <c r="H370" s="1421"/>
      <c r="I370" s="1421"/>
      <c r="J370" s="1421"/>
      <c r="K370" s="1421"/>
      <c r="L370" s="1421"/>
      <c r="M370" s="1421"/>
      <c r="N370" s="1421"/>
      <c r="O370" s="1421"/>
    </row>
    <row r="371">
      <c r="B371" s="1049"/>
      <c r="C371" s="1418"/>
      <c r="D371" s="1299"/>
      <c r="G371" s="519"/>
      <c r="H371" s="1421"/>
      <c r="I371" s="1421"/>
      <c r="J371" s="1421"/>
      <c r="K371" s="1421"/>
      <c r="L371" s="1421"/>
      <c r="M371" s="1421"/>
      <c r="N371" s="1421"/>
      <c r="O371" s="1421"/>
    </row>
    <row r="372">
      <c r="B372" s="1049"/>
      <c r="C372" s="1418"/>
      <c r="D372" s="1299"/>
      <c r="G372" s="519"/>
      <c r="H372" s="1421"/>
      <c r="I372" s="1421"/>
      <c r="J372" s="1421"/>
      <c r="K372" s="1421"/>
      <c r="L372" s="1421"/>
      <c r="M372" s="1421"/>
      <c r="N372" s="1421"/>
      <c r="O372" s="1421"/>
    </row>
    <row r="373">
      <c r="B373" s="1049"/>
      <c r="C373" s="1418"/>
      <c r="D373" s="1299"/>
      <c r="G373" s="519"/>
      <c r="H373" s="1421"/>
      <c r="I373" s="1421"/>
      <c r="J373" s="1421"/>
      <c r="K373" s="1421"/>
      <c r="L373" s="1421"/>
      <c r="M373" s="1421"/>
      <c r="N373" s="1421"/>
      <c r="O373" s="1421"/>
    </row>
    <row r="374">
      <c r="B374" s="1049"/>
      <c r="C374" s="1418"/>
      <c r="D374" s="1299"/>
      <c r="G374" s="519"/>
      <c r="H374" s="1421"/>
      <c r="I374" s="1421"/>
      <c r="J374" s="1421"/>
      <c r="K374" s="1421"/>
      <c r="L374" s="1421"/>
      <c r="M374" s="1421"/>
      <c r="N374" s="1421"/>
      <c r="O374" s="1421"/>
    </row>
    <row r="375">
      <c r="B375" s="1049"/>
      <c r="C375" s="1418"/>
      <c r="D375" s="1299"/>
      <c r="G375" s="519"/>
      <c r="H375" s="1421"/>
      <c r="I375" s="1421"/>
      <c r="J375" s="1421"/>
      <c r="K375" s="1421"/>
      <c r="L375" s="1421"/>
      <c r="M375" s="1421"/>
      <c r="N375" s="1421"/>
      <c r="O375" s="1421"/>
    </row>
    <row r="376">
      <c r="B376" s="1049"/>
      <c r="C376" s="1418"/>
      <c r="D376" s="1299"/>
      <c r="G376" s="519"/>
      <c r="H376" s="1421"/>
      <c r="I376" s="1421"/>
      <c r="J376" s="1421"/>
      <c r="K376" s="1421"/>
      <c r="L376" s="1421"/>
      <c r="M376" s="1421"/>
      <c r="N376" s="1421"/>
      <c r="O376" s="1421"/>
    </row>
    <row r="377">
      <c r="B377" s="1049"/>
      <c r="C377" s="1418"/>
      <c r="D377" s="1299"/>
      <c r="G377" s="519"/>
      <c r="H377" s="1421"/>
      <c r="I377" s="1421"/>
      <c r="J377" s="1421"/>
      <c r="K377" s="1421"/>
      <c r="L377" s="1421"/>
      <c r="M377" s="1421"/>
      <c r="N377" s="1421"/>
      <c r="O377" s="1421"/>
    </row>
    <row r="378">
      <c r="B378" s="1049"/>
      <c r="C378" s="1418"/>
      <c r="D378" s="1299"/>
      <c r="G378" s="519"/>
      <c r="H378" s="1421"/>
      <c r="I378" s="1421"/>
      <c r="J378" s="1421"/>
      <c r="K378" s="1421"/>
      <c r="L378" s="1421"/>
      <c r="M378" s="1421"/>
      <c r="N378" s="1421"/>
      <c r="O378" s="1421"/>
    </row>
    <row r="379">
      <c r="B379" s="1049"/>
      <c r="C379" s="1418"/>
      <c r="D379" s="1299"/>
      <c r="G379" s="519"/>
      <c r="H379" s="1421"/>
      <c r="I379" s="1421"/>
      <c r="J379" s="1421"/>
      <c r="K379" s="1421"/>
      <c r="L379" s="1421"/>
      <c r="M379" s="1421"/>
      <c r="N379" s="1421"/>
      <c r="O379" s="1421"/>
    </row>
    <row r="380">
      <c r="B380" s="1049"/>
      <c r="C380" s="1418"/>
      <c r="D380" s="1299"/>
      <c r="G380" s="519"/>
      <c r="H380" s="1421"/>
      <c r="I380" s="1421"/>
      <c r="J380" s="1421"/>
      <c r="K380" s="1421"/>
      <c r="L380" s="1421"/>
      <c r="M380" s="1421"/>
      <c r="N380" s="1421"/>
      <c r="O380" s="1421"/>
    </row>
    <row r="381">
      <c r="B381" s="1049"/>
      <c r="C381" s="1418"/>
      <c r="D381" s="1299"/>
      <c r="G381" s="519"/>
      <c r="H381" s="1421"/>
      <c r="I381" s="1421"/>
      <c r="J381" s="1421"/>
      <c r="K381" s="1421"/>
      <c r="L381" s="1421"/>
      <c r="M381" s="1421"/>
      <c r="N381" s="1421"/>
      <c r="O381" s="1421"/>
    </row>
    <row r="382">
      <c r="B382" s="1049"/>
      <c r="C382" s="1418"/>
      <c r="D382" s="1299"/>
      <c r="G382" s="519"/>
      <c r="H382" s="1421"/>
      <c r="I382" s="1421"/>
      <c r="J382" s="1421"/>
      <c r="K382" s="1421"/>
      <c r="L382" s="1421"/>
      <c r="M382" s="1421"/>
      <c r="N382" s="1421"/>
      <c r="O382" s="1421"/>
    </row>
    <row r="383">
      <c r="B383" s="1049"/>
      <c r="C383" s="1418"/>
      <c r="D383" s="1299"/>
      <c r="G383" s="519"/>
      <c r="H383" s="1421"/>
      <c r="I383" s="1421"/>
      <c r="J383" s="1421"/>
      <c r="K383" s="1421"/>
      <c r="L383" s="1421"/>
      <c r="M383" s="1421"/>
      <c r="N383" s="1421"/>
      <c r="O383" s="1421"/>
    </row>
    <row r="384">
      <c r="B384" s="1049"/>
      <c r="C384" s="1418"/>
      <c r="D384" s="1299"/>
      <c r="G384" s="519"/>
      <c r="H384" s="1421"/>
      <c r="I384" s="1421"/>
      <c r="J384" s="1421"/>
      <c r="K384" s="1421"/>
      <c r="L384" s="1421"/>
      <c r="M384" s="1421"/>
      <c r="N384" s="1421"/>
      <c r="O384" s="1421"/>
    </row>
    <row r="385">
      <c r="B385" s="1049"/>
      <c r="C385" s="1418"/>
      <c r="D385" s="1299"/>
      <c r="G385" s="519"/>
      <c r="H385" s="1421"/>
      <c r="I385" s="1421"/>
      <c r="J385" s="1421"/>
      <c r="K385" s="1421"/>
      <c r="L385" s="1421"/>
      <c r="M385" s="1421"/>
      <c r="N385" s="1421"/>
      <c r="O385" s="1421"/>
    </row>
    <row r="386">
      <c r="B386" s="1049"/>
      <c r="C386" s="1418"/>
      <c r="D386" s="1299"/>
      <c r="G386" s="519"/>
      <c r="H386" s="1421"/>
      <c r="I386" s="1421"/>
      <c r="J386" s="1421"/>
      <c r="K386" s="1421"/>
      <c r="L386" s="1421"/>
      <c r="M386" s="1421"/>
      <c r="N386" s="1421"/>
      <c r="O386" s="1421"/>
    </row>
    <row r="387">
      <c r="B387" s="1049"/>
      <c r="C387" s="1418"/>
      <c r="D387" s="1299"/>
      <c r="G387" s="519"/>
      <c r="H387" s="1421"/>
      <c r="I387" s="1421"/>
      <c r="J387" s="1421"/>
      <c r="K387" s="1421"/>
      <c r="L387" s="1421"/>
      <c r="M387" s="1421"/>
      <c r="N387" s="1421"/>
      <c r="O387" s="1421"/>
    </row>
    <row r="388">
      <c r="B388" s="1049"/>
      <c r="C388" s="1418"/>
      <c r="D388" s="1299"/>
      <c r="G388" s="519"/>
      <c r="H388" s="1421"/>
      <c r="I388" s="1421"/>
      <c r="J388" s="1421"/>
      <c r="K388" s="1421"/>
      <c r="L388" s="1421"/>
      <c r="M388" s="1421"/>
      <c r="N388" s="1421"/>
      <c r="O388" s="1421"/>
    </row>
    <row r="389">
      <c r="B389" s="1049"/>
      <c r="C389" s="1418"/>
      <c r="D389" s="1299"/>
      <c r="G389" s="519"/>
      <c r="H389" s="1421"/>
      <c r="I389" s="1421"/>
      <c r="J389" s="1421"/>
      <c r="K389" s="1421"/>
      <c r="L389" s="1421"/>
      <c r="M389" s="1421"/>
      <c r="N389" s="1421"/>
      <c r="O389" s="1421"/>
    </row>
    <row r="390">
      <c r="B390" s="1049"/>
      <c r="C390" s="1418"/>
      <c r="D390" s="1299"/>
      <c r="G390" s="519"/>
      <c r="H390" s="1421"/>
      <c r="I390" s="1421"/>
      <c r="J390" s="1421"/>
      <c r="K390" s="1421"/>
      <c r="L390" s="1421"/>
      <c r="M390" s="1421"/>
      <c r="N390" s="1421"/>
      <c r="O390" s="1421"/>
    </row>
    <row r="391">
      <c r="B391" s="1049"/>
      <c r="C391" s="1418"/>
      <c r="D391" s="1299"/>
      <c r="G391" s="519"/>
      <c r="H391" s="1421"/>
      <c r="I391" s="1421"/>
      <c r="J391" s="1421"/>
      <c r="K391" s="1421"/>
      <c r="L391" s="1421"/>
      <c r="M391" s="1421"/>
      <c r="N391" s="1421"/>
      <c r="O391" s="1421"/>
    </row>
    <row r="392">
      <c r="B392" s="1049"/>
      <c r="C392" s="1418"/>
      <c r="D392" s="1299"/>
      <c r="G392" s="519"/>
      <c r="H392" s="1421"/>
      <c r="I392" s="1421"/>
      <c r="J392" s="1421"/>
      <c r="K392" s="1421"/>
      <c r="L392" s="1421"/>
      <c r="M392" s="1421"/>
      <c r="N392" s="1421"/>
      <c r="O392" s="1421"/>
    </row>
    <row r="393">
      <c r="B393" s="1049"/>
      <c r="C393" s="1418"/>
      <c r="D393" s="1299"/>
      <c r="G393" s="519"/>
      <c r="H393" s="1421"/>
      <c r="I393" s="1421"/>
      <c r="J393" s="1421"/>
      <c r="K393" s="1421"/>
      <c r="L393" s="1421"/>
      <c r="M393" s="1421"/>
      <c r="N393" s="1421"/>
      <c r="O393" s="1421"/>
    </row>
    <row r="394">
      <c r="B394" s="1049"/>
      <c r="C394" s="1418"/>
      <c r="D394" s="1299"/>
      <c r="G394" s="519"/>
      <c r="H394" s="1421"/>
      <c r="I394" s="1421"/>
      <c r="J394" s="1421"/>
      <c r="K394" s="1421"/>
      <c r="L394" s="1421"/>
      <c r="M394" s="1421"/>
      <c r="N394" s="1421"/>
      <c r="O394" s="1421"/>
    </row>
    <row r="395">
      <c r="B395" s="1049"/>
      <c r="C395" s="1418"/>
      <c r="D395" s="1299"/>
      <c r="G395" s="519"/>
      <c r="H395" s="1421"/>
      <c r="I395" s="1421"/>
      <c r="J395" s="1421"/>
      <c r="K395" s="1421"/>
      <c r="L395" s="1421"/>
      <c r="M395" s="1421"/>
      <c r="N395" s="1421"/>
      <c r="O395" s="1421"/>
    </row>
    <row r="396">
      <c r="B396" s="1049"/>
      <c r="C396" s="1418"/>
      <c r="D396" s="1299"/>
      <c r="G396" s="519"/>
      <c r="H396" s="1421"/>
      <c r="I396" s="1421"/>
      <c r="J396" s="1421"/>
      <c r="K396" s="1421"/>
      <c r="L396" s="1421"/>
      <c r="M396" s="1421"/>
      <c r="N396" s="1421"/>
      <c r="O396" s="1421"/>
    </row>
    <row r="397">
      <c r="B397" s="1049"/>
      <c r="C397" s="1418"/>
      <c r="D397" s="1299"/>
      <c r="G397" s="519"/>
      <c r="H397" s="1421"/>
      <c r="I397" s="1421"/>
      <c r="J397" s="1421"/>
      <c r="K397" s="1421"/>
      <c r="L397" s="1421"/>
      <c r="M397" s="1421"/>
      <c r="N397" s="1421"/>
      <c r="O397" s="1421"/>
    </row>
    <row r="398">
      <c r="B398" s="1049"/>
      <c r="C398" s="1418"/>
      <c r="D398" s="1299"/>
      <c r="G398" s="519"/>
      <c r="H398" s="1421"/>
      <c r="I398" s="1421"/>
      <c r="J398" s="1421"/>
      <c r="K398" s="1421"/>
      <c r="L398" s="1421"/>
      <c r="M398" s="1421"/>
      <c r="N398" s="1421"/>
      <c r="O398" s="1421"/>
    </row>
    <row r="399">
      <c r="B399" s="1049"/>
      <c r="C399" s="1418"/>
      <c r="D399" s="1299"/>
      <c r="G399" s="519"/>
      <c r="H399" s="1421"/>
      <c r="I399" s="1421"/>
      <c r="J399" s="1421"/>
      <c r="K399" s="1421"/>
      <c r="L399" s="1421"/>
      <c r="M399" s="1421"/>
      <c r="N399" s="1421"/>
      <c r="O399" s="1421"/>
    </row>
    <row r="400">
      <c r="B400" s="1049"/>
      <c r="C400" s="1418"/>
      <c r="D400" s="1299"/>
      <c r="G400" s="519"/>
      <c r="H400" s="1421"/>
      <c r="I400" s="1421"/>
      <c r="J400" s="1421"/>
      <c r="K400" s="1421"/>
      <c r="L400" s="1421"/>
      <c r="M400" s="1421"/>
      <c r="N400" s="1421"/>
      <c r="O400" s="1421"/>
    </row>
    <row r="401">
      <c r="B401" s="1049"/>
      <c r="C401" s="1418"/>
      <c r="D401" s="1299"/>
      <c r="G401" s="519"/>
      <c r="H401" s="1421"/>
      <c r="I401" s="1421"/>
      <c r="J401" s="1421"/>
      <c r="K401" s="1421"/>
      <c r="L401" s="1421"/>
      <c r="M401" s="1421"/>
      <c r="N401" s="1421"/>
      <c r="O401" s="1421"/>
    </row>
    <row r="402">
      <c r="B402" s="1049"/>
      <c r="C402" s="1418"/>
      <c r="D402" s="1299"/>
      <c r="G402" s="519"/>
      <c r="H402" s="1421"/>
      <c r="I402" s="1421"/>
      <c r="J402" s="1421"/>
      <c r="K402" s="1421"/>
      <c r="L402" s="1421"/>
      <c r="M402" s="1421"/>
      <c r="N402" s="1421"/>
      <c r="O402" s="1421"/>
    </row>
    <row r="403">
      <c r="B403" s="1049"/>
      <c r="C403" s="1418"/>
      <c r="D403" s="1299"/>
      <c r="G403" s="519"/>
      <c r="H403" s="1421"/>
      <c r="I403" s="1421"/>
      <c r="J403" s="1421"/>
      <c r="K403" s="1421"/>
      <c r="L403" s="1421"/>
      <c r="M403" s="1421"/>
      <c r="N403" s="1421"/>
      <c r="O403" s="1421"/>
    </row>
    <row r="404">
      <c r="B404" s="1049"/>
      <c r="C404" s="1418"/>
      <c r="D404" s="1299"/>
      <c r="G404" s="519"/>
      <c r="H404" s="1421"/>
      <c r="I404" s="1421"/>
      <c r="J404" s="1421"/>
      <c r="K404" s="1421"/>
      <c r="L404" s="1421"/>
      <c r="M404" s="1421"/>
      <c r="N404" s="1421"/>
      <c r="O404" s="1421"/>
    </row>
    <row r="405">
      <c r="B405" s="1049"/>
      <c r="C405" s="1418"/>
      <c r="D405" s="1299"/>
      <c r="G405" s="519"/>
      <c r="H405" s="1421"/>
      <c r="I405" s="1421"/>
      <c r="J405" s="1421"/>
      <c r="K405" s="1421"/>
      <c r="L405" s="1421"/>
      <c r="M405" s="1421"/>
      <c r="N405" s="1421"/>
      <c r="O405" s="1421"/>
    </row>
    <row r="406">
      <c r="B406" s="1049"/>
      <c r="C406" s="1418"/>
      <c r="D406" s="1299"/>
      <c r="G406" s="519"/>
      <c r="H406" s="1421"/>
      <c r="I406" s="1421"/>
      <c r="J406" s="1421"/>
      <c r="K406" s="1421"/>
      <c r="L406" s="1421"/>
      <c r="M406" s="1421"/>
      <c r="N406" s="1421"/>
      <c r="O406" s="1421"/>
    </row>
    <row r="407">
      <c r="B407" s="1049"/>
      <c r="C407" s="1418"/>
      <c r="D407" s="1299"/>
      <c r="G407" s="519"/>
      <c r="H407" s="1421"/>
      <c r="I407" s="1421"/>
      <c r="J407" s="1421"/>
      <c r="K407" s="1421"/>
      <c r="L407" s="1421"/>
      <c r="M407" s="1421"/>
      <c r="N407" s="1421"/>
      <c r="O407" s="1421"/>
    </row>
    <row r="408">
      <c r="B408" s="1049"/>
      <c r="C408" s="1418"/>
      <c r="D408" s="1299"/>
      <c r="G408" s="519"/>
      <c r="H408" s="1421"/>
      <c r="I408" s="1421"/>
      <c r="J408" s="1421"/>
      <c r="K408" s="1421"/>
      <c r="L408" s="1421"/>
      <c r="M408" s="1421"/>
      <c r="N408" s="1421"/>
      <c r="O408" s="1421"/>
    </row>
    <row r="409">
      <c r="B409" s="1049"/>
      <c r="C409" s="1418"/>
      <c r="D409" s="1299"/>
      <c r="G409" s="519"/>
      <c r="H409" s="1421"/>
      <c r="I409" s="1421"/>
      <c r="J409" s="1421"/>
      <c r="K409" s="1421"/>
      <c r="L409" s="1421"/>
      <c r="M409" s="1421"/>
      <c r="N409" s="1421"/>
      <c r="O409" s="1421"/>
    </row>
    <row r="410">
      <c r="B410" s="1049"/>
      <c r="C410" s="1418"/>
      <c r="D410" s="1299"/>
      <c r="G410" s="519"/>
      <c r="H410" s="1421"/>
      <c r="I410" s="1421"/>
      <c r="J410" s="1421"/>
      <c r="K410" s="1421"/>
      <c r="L410" s="1421"/>
      <c r="M410" s="1421"/>
      <c r="N410" s="1421"/>
      <c r="O410" s="1421"/>
    </row>
    <row r="411">
      <c r="B411" s="1049"/>
      <c r="C411" s="1418"/>
      <c r="D411" s="1299"/>
      <c r="G411" s="519"/>
      <c r="H411" s="1421"/>
      <c r="I411" s="1421"/>
      <c r="J411" s="1421"/>
      <c r="K411" s="1421"/>
      <c r="L411" s="1421"/>
      <c r="M411" s="1421"/>
      <c r="N411" s="1421"/>
      <c r="O411" s="1421"/>
    </row>
    <row r="412">
      <c r="B412" s="1049"/>
      <c r="C412" s="1418"/>
      <c r="D412" s="1299"/>
      <c r="G412" s="519"/>
      <c r="H412" s="1421"/>
      <c r="I412" s="1421"/>
      <c r="J412" s="1421"/>
      <c r="K412" s="1421"/>
      <c r="L412" s="1421"/>
      <c r="M412" s="1421"/>
      <c r="N412" s="1421"/>
      <c r="O412" s="1421"/>
    </row>
    <row r="413">
      <c r="B413" s="1049"/>
      <c r="C413" s="1418"/>
      <c r="D413" s="1299"/>
      <c r="G413" s="519"/>
      <c r="H413" s="1421"/>
      <c r="I413" s="1421"/>
      <c r="J413" s="1421"/>
      <c r="K413" s="1421"/>
      <c r="L413" s="1421"/>
      <c r="M413" s="1421"/>
      <c r="N413" s="1421"/>
      <c r="O413" s="1421"/>
    </row>
    <row r="414">
      <c r="B414" s="1049"/>
      <c r="C414" s="1418"/>
      <c r="D414" s="1299"/>
      <c r="G414" s="519"/>
      <c r="H414" s="1421"/>
      <c r="I414" s="1421"/>
      <c r="J414" s="1421"/>
      <c r="K414" s="1421"/>
      <c r="L414" s="1421"/>
      <c r="M414" s="1421"/>
      <c r="N414" s="1421"/>
      <c r="O414" s="1421"/>
    </row>
    <row r="415">
      <c r="B415" s="1049"/>
      <c r="C415" s="1418"/>
      <c r="D415" s="1299"/>
      <c r="G415" s="519"/>
      <c r="H415" s="1421"/>
      <c r="I415" s="1421"/>
      <c r="J415" s="1421"/>
      <c r="K415" s="1421"/>
      <c r="L415" s="1421"/>
      <c r="M415" s="1421"/>
      <c r="N415" s="1421"/>
      <c r="O415" s="1421"/>
    </row>
    <row r="416">
      <c r="B416" s="1049"/>
      <c r="C416" s="1418"/>
      <c r="D416" s="1299"/>
      <c r="G416" s="519"/>
      <c r="H416" s="1421"/>
      <c r="I416" s="1421"/>
      <c r="J416" s="1421"/>
      <c r="K416" s="1421"/>
      <c r="L416" s="1421"/>
      <c r="M416" s="1421"/>
      <c r="N416" s="1421"/>
      <c r="O416" s="1421"/>
    </row>
    <row r="417">
      <c r="B417" s="1049"/>
      <c r="C417" s="1418"/>
      <c r="D417" s="1299"/>
      <c r="G417" s="519"/>
      <c r="H417" s="1421"/>
      <c r="I417" s="1421"/>
      <c r="J417" s="1421"/>
      <c r="K417" s="1421"/>
      <c r="L417" s="1421"/>
      <c r="M417" s="1421"/>
      <c r="N417" s="1421"/>
      <c r="O417" s="1421"/>
    </row>
    <row r="418">
      <c r="B418" s="1049"/>
      <c r="C418" s="1418"/>
      <c r="D418" s="1299"/>
      <c r="G418" s="519"/>
      <c r="H418" s="1421"/>
      <c r="I418" s="1421"/>
      <c r="J418" s="1421"/>
      <c r="K418" s="1421"/>
      <c r="L418" s="1421"/>
      <c r="M418" s="1421"/>
      <c r="N418" s="1421"/>
      <c r="O418" s="1421"/>
    </row>
    <row r="419">
      <c r="B419" s="1049"/>
      <c r="C419" s="1418"/>
      <c r="D419" s="1299"/>
      <c r="G419" s="519"/>
      <c r="H419" s="1421"/>
      <c r="I419" s="1421"/>
      <c r="J419" s="1421"/>
      <c r="K419" s="1421"/>
      <c r="L419" s="1421"/>
      <c r="M419" s="1421"/>
      <c r="N419" s="1421"/>
      <c r="O419" s="1421"/>
    </row>
    <row r="420">
      <c r="B420" s="1049"/>
      <c r="C420" s="1418"/>
      <c r="D420" s="1299"/>
      <c r="G420" s="519"/>
      <c r="H420" s="1421"/>
      <c r="I420" s="1421"/>
      <c r="J420" s="1421"/>
      <c r="K420" s="1421"/>
      <c r="L420" s="1421"/>
      <c r="M420" s="1421"/>
      <c r="N420" s="1421"/>
      <c r="O420" s="1421"/>
    </row>
    <row r="421">
      <c r="B421" s="1049"/>
      <c r="C421" s="1418"/>
      <c r="D421" s="1299"/>
      <c r="G421" s="519"/>
      <c r="H421" s="1421"/>
      <c r="I421" s="1421"/>
      <c r="J421" s="1421"/>
      <c r="K421" s="1421"/>
      <c r="L421" s="1421"/>
      <c r="M421" s="1421"/>
      <c r="N421" s="1421"/>
      <c r="O421" s="1421"/>
    </row>
    <row r="422">
      <c r="B422" s="1049"/>
      <c r="C422" s="1418"/>
      <c r="D422" s="1299"/>
      <c r="G422" s="519"/>
      <c r="H422" s="1421"/>
      <c r="I422" s="1421"/>
      <c r="J422" s="1421"/>
      <c r="K422" s="1421"/>
      <c r="L422" s="1421"/>
      <c r="M422" s="1421"/>
      <c r="N422" s="1421"/>
      <c r="O422" s="1421"/>
    </row>
    <row r="423">
      <c r="B423" s="1049"/>
      <c r="C423" s="1418"/>
      <c r="D423" s="1299"/>
      <c r="G423" s="519"/>
      <c r="H423" s="1421"/>
      <c r="I423" s="1421"/>
      <c r="J423" s="1421"/>
      <c r="K423" s="1421"/>
      <c r="L423" s="1421"/>
      <c r="M423" s="1421"/>
      <c r="N423" s="1421"/>
      <c r="O423" s="1421"/>
    </row>
    <row r="424">
      <c r="B424" s="1049"/>
      <c r="C424" s="1418"/>
      <c r="D424" s="1299"/>
      <c r="G424" s="519"/>
      <c r="H424" s="1421"/>
      <c r="I424" s="1421"/>
      <c r="J424" s="1421"/>
      <c r="K424" s="1421"/>
      <c r="L424" s="1421"/>
      <c r="M424" s="1421"/>
      <c r="N424" s="1421"/>
      <c r="O424" s="1421"/>
    </row>
    <row r="425">
      <c r="B425" s="1049"/>
      <c r="C425" s="1418"/>
      <c r="D425" s="1299"/>
      <c r="G425" s="519"/>
      <c r="H425" s="1421"/>
      <c r="I425" s="1421"/>
      <c r="J425" s="1421"/>
      <c r="K425" s="1421"/>
      <c r="L425" s="1421"/>
      <c r="M425" s="1421"/>
      <c r="N425" s="1421"/>
      <c r="O425" s="1421"/>
    </row>
    <row r="426">
      <c r="B426" s="1049"/>
      <c r="C426" s="1418"/>
      <c r="D426" s="1299"/>
      <c r="G426" s="519"/>
      <c r="H426" s="1421"/>
      <c r="I426" s="1421"/>
      <c r="J426" s="1421"/>
      <c r="K426" s="1421"/>
      <c r="L426" s="1421"/>
      <c r="M426" s="1421"/>
      <c r="N426" s="1421"/>
      <c r="O426" s="1421"/>
    </row>
    <row r="427">
      <c r="B427" s="1049"/>
      <c r="C427" s="1418"/>
      <c r="D427" s="1299"/>
      <c r="G427" s="519"/>
      <c r="H427" s="1421"/>
      <c r="I427" s="1421"/>
      <c r="J427" s="1421"/>
      <c r="K427" s="1421"/>
      <c r="L427" s="1421"/>
      <c r="M427" s="1421"/>
      <c r="N427" s="1421"/>
      <c r="O427" s="1421"/>
    </row>
    <row r="428">
      <c r="B428" s="1049"/>
      <c r="C428" s="1418"/>
      <c r="D428" s="1299"/>
      <c r="G428" s="519"/>
      <c r="H428" s="1421"/>
      <c r="I428" s="1421"/>
      <c r="J428" s="1421"/>
      <c r="K428" s="1421"/>
      <c r="L428" s="1421"/>
      <c r="M428" s="1421"/>
      <c r="N428" s="1421"/>
      <c r="O428" s="1421"/>
    </row>
    <row r="429">
      <c r="B429" s="1049"/>
      <c r="C429" s="1418"/>
      <c r="D429" s="1299"/>
      <c r="G429" s="519"/>
      <c r="H429" s="1421"/>
      <c r="I429" s="1421"/>
      <c r="J429" s="1421"/>
      <c r="K429" s="1421"/>
      <c r="L429" s="1421"/>
      <c r="M429" s="1421"/>
      <c r="N429" s="1421"/>
      <c r="O429" s="1421"/>
    </row>
    <row r="430">
      <c r="B430" s="1049"/>
      <c r="C430" s="1418"/>
      <c r="D430" s="1299"/>
      <c r="G430" s="519"/>
      <c r="H430" s="1421"/>
      <c r="I430" s="1421"/>
      <c r="J430" s="1421"/>
      <c r="K430" s="1421"/>
      <c r="L430" s="1421"/>
      <c r="M430" s="1421"/>
      <c r="N430" s="1421"/>
      <c r="O430" s="1421"/>
    </row>
    <row r="431">
      <c r="B431" s="1049"/>
      <c r="C431" s="1418"/>
      <c r="D431" s="1299"/>
      <c r="G431" s="519"/>
      <c r="H431" s="1421"/>
      <c r="I431" s="1421"/>
      <c r="J431" s="1421"/>
      <c r="K431" s="1421"/>
      <c r="L431" s="1421"/>
      <c r="M431" s="1421"/>
      <c r="N431" s="1421"/>
      <c r="O431" s="1421"/>
    </row>
    <row r="432">
      <c r="B432" s="1049"/>
      <c r="C432" s="1418"/>
      <c r="D432" s="1299"/>
      <c r="G432" s="519"/>
      <c r="H432" s="1421"/>
      <c r="I432" s="1421"/>
      <c r="J432" s="1421"/>
      <c r="K432" s="1421"/>
      <c r="L432" s="1421"/>
      <c r="M432" s="1421"/>
      <c r="N432" s="1421"/>
      <c r="O432" s="1421"/>
    </row>
    <row r="433">
      <c r="B433" s="1049"/>
      <c r="C433" s="1418"/>
      <c r="D433" s="1299"/>
      <c r="G433" s="519"/>
      <c r="H433" s="1421"/>
      <c r="I433" s="1421"/>
      <c r="J433" s="1421"/>
      <c r="K433" s="1421"/>
      <c r="L433" s="1421"/>
      <c r="M433" s="1421"/>
      <c r="N433" s="1421"/>
      <c r="O433" s="1421"/>
    </row>
    <row r="434">
      <c r="B434" s="1049"/>
      <c r="C434" s="1418"/>
      <c r="D434" s="1299"/>
      <c r="G434" s="519"/>
      <c r="H434" s="1421"/>
      <c r="I434" s="1421"/>
      <c r="J434" s="1421"/>
      <c r="K434" s="1421"/>
      <c r="L434" s="1421"/>
      <c r="M434" s="1421"/>
      <c r="N434" s="1421"/>
      <c r="O434" s="1421"/>
    </row>
    <row r="435">
      <c r="B435" s="1049"/>
      <c r="C435" s="1418"/>
      <c r="D435" s="1299"/>
      <c r="G435" s="519"/>
      <c r="H435" s="1421"/>
      <c r="I435" s="1421"/>
      <c r="J435" s="1421"/>
      <c r="K435" s="1421"/>
      <c r="L435" s="1421"/>
      <c r="M435" s="1421"/>
      <c r="N435" s="1421"/>
      <c r="O435" s="1421"/>
    </row>
    <row r="436">
      <c r="B436" s="1049"/>
      <c r="C436" s="1418"/>
      <c r="D436" s="1299"/>
      <c r="G436" s="519"/>
      <c r="H436" s="1421"/>
      <c r="I436" s="1421"/>
      <c r="J436" s="1421"/>
      <c r="K436" s="1421"/>
      <c r="L436" s="1421"/>
      <c r="M436" s="1421"/>
      <c r="N436" s="1421"/>
      <c r="O436" s="1421"/>
    </row>
    <row r="437">
      <c r="B437" s="1049"/>
      <c r="C437" s="1418"/>
      <c r="D437" s="1299"/>
      <c r="G437" s="519"/>
      <c r="H437" s="1421"/>
      <c r="I437" s="1421"/>
      <c r="J437" s="1421"/>
      <c r="K437" s="1421"/>
      <c r="L437" s="1421"/>
      <c r="M437" s="1421"/>
      <c r="N437" s="1421"/>
      <c r="O437" s="1421"/>
    </row>
    <row r="438">
      <c r="B438" s="1049"/>
      <c r="C438" s="1418"/>
      <c r="D438" s="1299"/>
      <c r="G438" s="519"/>
      <c r="H438" s="1421"/>
      <c r="I438" s="1421"/>
      <c r="J438" s="1421"/>
      <c r="K438" s="1421"/>
      <c r="L438" s="1421"/>
      <c r="M438" s="1421"/>
      <c r="N438" s="1421"/>
      <c r="O438" s="1421"/>
    </row>
    <row r="439">
      <c r="B439" s="1049"/>
      <c r="C439" s="1418"/>
      <c r="D439" s="1299"/>
      <c r="G439" s="519"/>
      <c r="H439" s="1421"/>
      <c r="I439" s="1421"/>
      <c r="J439" s="1421"/>
      <c r="K439" s="1421"/>
      <c r="L439" s="1421"/>
      <c r="M439" s="1421"/>
      <c r="N439" s="1421"/>
      <c r="O439" s="1421"/>
    </row>
    <row r="440">
      <c r="B440" s="1049"/>
      <c r="C440" s="1418"/>
      <c r="D440" s="1299"/>
      <c r="G440" s="519"/>
      <c r="H440" s="1421"/>
      <c r="I440" s="1421"/>
      <c r="J440" s="1421"/>
      <c r="K440" s="1421"/>
      <c r="L440" s="1421"/>
      <c r="M440" s="1421"/>
      <c r="N440" s="1421"/>
      <c r="O440" s="1421"/>
    </row>
    <row r="441">
      <c r="B441" s="1049"/>
      <c r="C441" s="1418"/>
      <c r="D441" s="1299"/>
      <c r="G441" s="519"/>
      <c r="H441" s="1421"/>
      <c r="I441" s="1421"/>
      <c r="J441" s="1421"/>
      <c r="K441" s="1421"/>
      <c r="L441" s="1421"/>
      <c r="M441" s="1421"/>
      <c r="N441" s="1421"/>
      <c r="O441" s="1421"/>
    </row>
    <row r="442">
      <c r="B442" s="1049"/>
      <c r="C442" s="1418"/>
      <c r="D442" s="1299"/>
      <c r="G442" s="519"/>
      <c r="H442" s="1421"/>
      <c r="I442" s="1421"/>
      <c r="J442" s="1421"/>
      <c r="K442" s="1421"/>
      <c r="L442" s="1421"/>
      <c r="M442" s="1421"/>
      <c r="N442" s="1421"/>
      <c r="O442" s="1421"/>
    </row>
    <row r="443">
      <c r="B443" s="1049"/>
      <c r="C443" s="1418"/>
      <c r="D443" s="1299"/>
      <c r="G443" s="519"/>
      <c r="H443" s="1421"/>
      <c r="I443" s="1421"/>
      <c r="J443" s="1421"/>
      <c r="K443" s="1421"/>
      <c r="L443" s="1421"/>
      <c r="M443" s="1421"/>
      <c r="N443" s="1421"/>
      <c r="O443" s="1421"/>
    </row>
    <row r="444">
      <c r="B444" s="1049"/>
      <c r="C444" s="1418"/>
      <c r="D444" s="1299"/>
      <c r="G444" s="519"/>
      <c r="H444" s="1421"/>
      <c r="I444" s="1421"/>
      <c r="J444" s="1421"/>
      <c r="K444" s="1421"/>
      <c r="L444" s="1421"/>
      <c r="M444" s="1421"/>
      <c r="N444" s="1421"/>
      <c r="O444" s="1421"/>
    </row>
    <row r="445">
      <c r="B445" s="1049"/>
      <c r="C445" s="1418"/>
      <c r="D445" s="1299"/>
      <c r="G445" s="519"/>
      <c r="H445" s="1421"/>
      <c r="I445" s="1421"/>
      <c r="J445" s="1421"/>
      <c r="K445" s="1421"/>
      <c r="L445" s="1421"/>
      <c r="M445" s="1421"/>
      <c r="N445" s="1421"/>
      <c r="O445" s="1421"/>
    </row>
    <row r="446">
      <c r="B446" s="1049"/>
      <c r="C446" s="1418"/>
      <c r="D446" s="1299"/>
      <c r="G446" s="519"/>
      <c r="H446" s="1421"/>
      <c r="I446" s="1421"/>
      <c r="J446" s="1421"/>
      <c r="K446" s="1421"/>
      <c r="L446" s="1421"/>
      <c r="M446" s="1421"/>
      <c r="N446" s="1421"/>
      <c r="O446" s="1421"/>
    </row>
    <row r="447">
      <c r="B447" s="1049"/>
      <c r="C447" s="1418"/>
      <c r="D447" s="1299"/>
      <c r="G447" s="519"/>
      <c r="H447" s="1421"/>
      <c r="I447" s="1421"/>
      <c r="J447" s="1421"/>
      <c r="K447" s="1421"/>
      <c r="L447" s="1421"/>
      <c r="M447" s="1421"/>
      <c r="N447" s="1421"/>
      <c r="O447" s="1421"/>
    </row>
    <row r="448">
      <c r="B448" s="1049"/>
      <c r="C448" s="1418"/>
      <c r="D448" s="1299"/>
      <c r="G448" s="519"/>
      <c r="H448" s="1421"/>
      <c r="I448" s="1421"/>
      <c r="J448" s="1421"/>
      <c r="K448" s="1421"/>
      <c r="L448" s="1421"/>
      <c r="M448" s="1421"/>
      <c r="N448" s="1421"/>
      <c r="O448" s="1421"/>
    </row>
    <row r="449">
      <c r="B449" s="1049"/>
      <c r="C449" s="1418"/>
      <c r="D449" s="1299"/>
      <c r="G449" s="519"/>
      <c r="H449" s="1421"/>
      <c r="I449" s="1421"/>
      <c r="J449" s="1421"/>
      <c r="K449" s="1421"/>
      <c r="L449" s="1421"/>
      <c r="M449" s="1421"/>
      <c r="N449" s="1421"/>
      <c r="O449" s="1421"/>
    </row>
    <row r="450">
      <c r="B450" s="1049"/>
      <c r="C450" s="1418"/>
      <c r="D450" s="1299"/>
      <c r="G450" s="519"/>
      <c r="H450" s="1421"/>
      <c r="I450" s="1421"/>
      <c r="J450" s="1421"/>
      <c r="K450" s="1421"/>
      <c r="L450" s="1421"/>
      <c r="M450" s="1421"/>
      <c r="N450" s="1421"/>
      <c r="O450" s="1421"/>
    </row>
    <row r="451">
      <c r="B451" s="1049"/>
      <c r="C451" s="1418"/>
      <c r="D451" s="1299"/>
      <c r="G451" s="519"/>
      <c r="H451" s="1421"/>
      <c r="I451" s="1421"/>
      <c r="J451" s="1421"/>
      <c r="K451" s="1421"/>
      <c r="L451" s="1421"/>
      <c r="M451" s="1421"/>
      <c r="N451" s="1421"/>
      <c r="O451" s="1421"/>
    </row>
    <row r="452">
      <c r="B452" s="1049"/>
      <c r="C452" s="1418"/>
      <c r="D452" s="1299"/>
      <c r="G452" s="519"/>
      <c r="H452" s="1421"/>
      <c r="I452" s="1421"/>
      <c r="J452" s="1421"/>
      <c r="K452" s="1421"/>
      <c r="L452" s="1421"/>
      <c r="M452" s="1421"/>
      <c r="N452" s="1421"/>
      <c r="O452" s="1421"/>
    </row>
    <row r="453">
      <c r="B453" s="1049"/>
      <c r="C453" s="1418"/>
      <c r="D453" s="1299"/>
      <c r="G453" s="519"/>
      <c r="H453" s="1421"/>
      <c r="I453" s="1421"/>
      <c r="J453" s="1421"/>
      <c r="K453" s="1421"/>
      <c r="L453" s="1421"/>
      <c r="M453" s="1421"/>
      <c r="N453" s="1421"/>
      <c r="O453" s="1421"/>
    </row>
    <row r="454">
      <c r="B454" s="1049"/>
      <c r="C454" s="1418"/>
      <c r="D454" s="1299"/>
      <c r="G454" s="519"/>
      <c r="H454" s="1421"/>
      <c r="I454" s="1421"/>
      <c r="J454" s="1421"/>
      <c r="K454" s="1421"/>
      <c r="L454" s="1421"/>
      <c r="M454" s="1421"/>
      <c r="N454" s="1421"/>
      <c r="O454" s="1421"/>
    </row>
    <row r="455">
      <c r="B455" s="1049"/>
      <c r="C455" s="1418"/>
      <c r="D455" s="1299"/>
      <c r="G455" s="519"/>
      <c r="H455" s="1421"/>
      <c r="I455" s="1421"/>
      <c r="J455" s="1421"/>
      <c r="K455" s="1421"/>
      <c r="L455" s="1421"/>
      <c r="M455" s="1421"/>
      <c r="N455" s="1421"/>
      <c r="O455" s="1421"/>
    </row>
    <row r="456">
      <c r="B456" s="1049"/>
      <c r="C456" s="1418"/>
      <c r="D456" s="1299"/>
      <c r="G456" s="519"/>
      <c r="H456" s="1421"/>
      <c r="I456" s="1421"/>
      <c r="J456" s="1421"/>
      <c r="K456" s="1421"/>
      <c r="L456" s="1421"/>
      <c r="M456" s="1421"/>
      <c r="N456" s="1421"/>
      <c r="O456" s="1421"/>
    </row>
    <row r="457">
      <c r="B457" s="1049"/>
      <c r="C457" s="1418"/>
      <c r="D457" s="1299"/>
      <c r="G457" s="519"/>
      <c r="H457" s="1421"/>
      <c r="I457" s="1421"/>
      <c r="J457" s="1421"/>
      <c r="K457" s="1421"/>
      <c r="L457" s="1421"/>
      <c r="M457" s="1421"/>
      <c r="N457" s="1421"/>
      <c r="O457" s="1421"/>
    </row>
    <row r="458">
      <c r="B458" s="1049"/>
      <c r="C458" s="1418"/>
      <c r="D458" s="1299"/>
      <c r="G458" s="519"/>
      <c r="H458" s="1421"/>
      <c r="I458" s="1421"/>
      <c r="J458" s="1421"/>
      <c r="K458" s="1421"/>
      <c r="L458" s="1421"/>
      <c r="M458" s="1421"/>
      <c r="N458" s="1421"/>
      <c r="O458" s="1421"/>
    </row>
    <row r="459">
      <c r="B459" s="1049"/>
      <c r="C459" s="1418"/>
      <c r="D459" s="1299"/>
      <c r="G459" s="519"/>
      <c r="H459" s="1421"/>
      <c r="I459" s="1421"/>
      <c r="J459" s="1421"/>
      <c r="K459" s="1421"/>
      <c r="L459" s="1421"/>
      <c r="M459" s="1421"/>
      <c r="N459" s="1421"/>
      <c r="O459" s="1421"/>
    </row>
    <row r="460">
      <c r="B460" s="1049"/>
      <c r="C460" s="1418"/>
      <c r="D460" s="1299"/>
      <c r="G460" s="519"/>
      <c r="H460" s="1421"/>
      <c r="I460" s="1421"/>
      <c r="J460" s="1421"/>
      <c r="K460" s="1421"/>
      <c r="L460" s="1421"/>
      <c r="M460" s="1421"/>
      <c r="N460" s="1421"/>
      <c r="O460" s="1421"/>
    </row>
    <row r="461">
      <c r="B461" s="1049"/>
      <c r="C461" s="1418"/>
      <c r="D461" s="1299"/>
      <c r="G461" s="519"/>
      <c r="H461" s="1421"/>
      <c r="I461" s="1421"/>
      <c r="J461" s="1421"/>
      <c r="K461" s="1421"/>
      <c r="L461" s="1421"/>
      <c r="M461" s="1421"/>
      <c r="N461" s="1421"/>
      <c r="O461" s="1421"/>
    </row>
    <row r="462">
      <c r="B462" s="1049"/>
      <c r="C462" s="1418"/>
      <c r="D462" s="1299"/>
      <c r="G462" s="519"/>
      <c r="H462" s="1421"/>
      <c r="I462" s="1421"/>
      <c r="J462" s="1421"/>
      <c r="K462" s="1421"/>
      <c r="L462" s="1421"/>
      <c r="M462" s="1421"/>
      <c r="N462" s="1421"/>
      <c r="O462" s="1421"/>
    </row>
    <row r="463">
      <c r="B463" s="1049"/>
      <c r="C463" s="1418"/>
      <c r="D463" s="1299"/>
      <c r="G463" s="519"/>
      <c r="H463" s="1421"/>
      <c r="I463" s="1421"/>
      <c r="J463" s="1421"/>
      <c r="K463" s="1421"/>
      <c r="L463" s="1421"/>
      <c r="M463" s="1421"/>
      <c r="N463" s="1421"/>
      <c r="O463" s="1421"/>
    </row>
    <row r="464">
      <c r="B464" s="1049"/>
      <c r="C464" s="1418"/>
      <c r="D464" s="1299"/>
      <c r="G464" s="519"/>
      <c r="H464" s="1421"/>
      <c r="I464" s="1421"/>
      <c r="J464" s="1421"/>
      <c r="K464" s="1421"/>
      <c r="L464" s="1421"/>
      <c r="M464" s="1421"/>
      <c r="N464" s="1421"/>
      <c r="O464" s="1421"/>
    </row>
    <row r="465">
      <c r="B465" s="1049"/>
      <c r="C465" s="1418"/>
      <c r="D465" s="1299"/>
      <c r="G465" s="519"/>
      <c r="H465" s="1421"/>
      <c r="I465" s="1421"/>
      <c r="J465" s="1421"/>
      <c r="K465" s="1421"/>
      <c r="L465" s="1421"/>
      <c r="M465" s="1421"/>
      <c r="N465" s="1421"/>
      <c r="O465" s="1421"/>
    </row>
    <row r="466">
      <c r="B466" s="1049"/>
      <c r="C466" s="1418"/>
      <c r="D466" s="1299"/>
      <c r="G466" s="519"/>
      <c r="H466" s="1421"/>
      <c r="I466" s="1421"/>
      <c r="J466" s="1421"/>
      <c r="K466" s="1421"/>
      <c r="L466" s="1421"/>
      <c r="M466" s="1421"/>
      <c r="N466" s="1421"/>
      <c r="O466" s="1421"/>
    </row>
    <row r="467">
      <c r="B467" s="1049"/>
      <c r="C467" s="1418"/>
      <c r="D467" s="1299"/>
      <c r="G467" s="519"/>
      <c r="H467" s="1421"/>
      <c r="I467" s="1421"/>
      <c r="J467" s="1421"/>
      <c r="K467" s="1421"/>
      <c r="L467" s="1421"/>
      <c r="M467" s="1421"/>
      <c r="N467" s="1421"/>
      <c r="O467" s="1421"/>
    </row>
    <row r="468">
      <c r="B468" s="1049"/>
      <c r="C468" s="1418"/>
      <c r="D468" s="1299"/>
      <c r="G468" s="519"/>
      <c r="H468" s="1421"/>
      <c r="I468" s="1421"/>
      <c r="J468" s="1421"/>
      <c r="K468" s="1421"/>
      <c r="L468" s="1421"/>
      <c r="M468" s="1421"/>
      <c r="N468" s="1421"/>
      <c r="O468" s="1421"/>
    </row>
    <row r="469">
      <c r="B469" s="1049"/>
      <c r="C469" s="1418"/>
      <c r="D469" s="1299"/>
      <c r="G469" s="519"/>
      <c r="H469" s="1421"/>
      <c r="I469" s="1421"/>
      <c r="J469" s="1421"/>
      <c r="K469" s="1421"/>
      <c r="L469" s="1421"/>
      <c r="M469" s="1421"/>
      <c r="N469" s="1421"/>
      <c r="O469" s="1421"/>
    </row>
    <row r="470">
      <c r="B470" s="1049"/>
      <c r="C470" s="1418"/>
      <c r="D470" s="1299"/>
      <c r="G470" s="519"/>
      <c r="H470" s="1421"/>
      <c r="I470" s="1421"/>
      <c r="J470" s="1421"/>
      <c r="K470" s="1421"/>
      <c r="L470" s="1421"/>
      <c r="M470" s="1421"/>
      <c r="N470" s="1421"/>
      <c r="O470" s="1421"/>
    </row>
    <row r="471">
      <c r="B471" s="1049"/>
      <c r="C471" s="1418"/>
      <c r="D471" s="1299"/>
      <c r="G471" s="519"/>
      <c r="H471" s="1421"/>
      <c r="I471" s="1421"/>
      <c r="J471" s="1421"/>
      <c r="K471" s="1421"/>
      <c r="L471" s="1421"/>
      <c r="M471" s="1421"/>
      <c r="N471" s="1421"/>
      <c r="O471" s="1421"/>
    </row>
    <row r="472">
      <c r="B472" s="1049"/>
      <c r="C472" s="1418"/>
      <c r="D472" s="1299"/>
      <c r="G472" s="519"/>
      <c r="H472" s="1421"/>
      <c r="I472" s="1421"/>
      <c r="J472" s="1421"/>
      <c r="K472" s="1421"/>
      <c r="L472" s="1421"/>
      <c r="M472" s="1421"/>
      <c r="N472" s="1421"/>
      <c r="O472" s="1421"/>
    </row>
    <row r="473">
      <c r="B473" s="1049"/>
      <c r="C473" s="1418"/>
      <c r="D473" s="1299"/>
      <c r="G473" s="519"/>
      <c r="H473" s="1421"/>
      <c r="I473" s="1421"/>
      <c r="J473" s="1421"/>
      <c r="K473" s="1421"/>
      <c r="L473" s="1421"/>
      <c r="M473" s="1421"/>
      <c r="N473" s="1421"/>
      <c r="O473" s="1421"/>
    </row>
    <row r="474">
      <c r="B474" s="1049"/>
      <c r="C474" s="1418"/>
      <c r="D474" s="1299"/>
      <c r="G474" s="519"/>
      <c r="H474" s="1421"/>
      <c r="I474" s="1421"/>
      <c r="J474" s="1421"/>
      <c r="K474" s="1421"/>
      <c r="L474" s="1421"/>
      <c r="M474" s="1421"/>
      <c r="N474" s="1421"/>
      <c r="O474" s="1421"/>
    </row>
    <row r="475">
      <c r="B475" s="1049"/>
      <c r="C475" s="1418"/>
      <c r="D475" s="1299"/>
      <c r="G475" s="519"/>
      <c r="H475" s="1421"/>
      <c r="I475" s="1421"/>
      <c r="J475" s="1421"/>
      <c r="K475" s="1421"/>
      <c r="L475" s="1421"/>
      <c r="M475" s="1421"/>
      <c r="N475" s="1421"/>
      <c r="O475" s="1421"/>
    </row>
    <row r="476">
      <c r="B476" s="1049"/>
      <c r="C476" s="1418"/>
      <c r="D476" s="1299"/>
      <c r="G476" s="519"/>
      <c r="H476" s="1421"/>
      <c r="I476" s="1421"/>
      <c r="J476" s="1421"/>
      <c r="K476" s="1421"/>
      <c r="L476" s="1421"/>
      <c r="M476" s="1421"/>
      <c r="N476" s="1421"/>
      <c r="O476" s="1421"/>
    </row>
    <row r="477">
      <c r="B477" s="1049"/>
      <c r="C477" s="1418"/>
      <c r="D477" s="1299"/>
      <c r="G477" s="519"/>
      <c r="H477" s="1421"/>
      <c r="I477" s="1421"/>
      <c r="J477" s="1421"/>
      <c r="K477" s="1421"/>
      <c r="L477" s="1421"/>
      <c r="M477" s="1421"/>
      <c r="N477" s="1421"/>
      <c r="O477" s="1421"/>
    </row>
    <row r="478">
      <c r="B478" s="1049"/>
      <c r="C478" s="1418"/>
      <c r="D478" s="1299"/>
      <c r="G478" s="519"/>
      <c r="H478" s="1421"/>
      <c r="I478" s="1421"/>
      <c r="J478" s="1421"/>
      <c r="K478" s="1421"/>
      <c r="L478" s="1421"/>
      <c r="M478" s="1421"/>
      <c r="N478" s="1421"/>
      <c r="O478" s="1421"/>
    </row>
    <row r="479">
      <c r="B479" s="1049"/>
      <c r="C479" s="1418"/>
      <c r="D479" s="1299"/>
      <c r="G479" s="519"/>
      <c r="H479" s="1421"/>
      <c r="I479" s="1421"/>
      <c r="J479" s="1421"/>
      <c r="K479" s="1421"/>
      <c r="L479" s="1421"/>
      <c r="M479" s="1421"/>
      <c r="N479" s="1421"/>
      <c r="O479" s="1421"/>
    </row>
    <row r="480">
      <c r="B480" s="1049"/>
      <c r="C480" s="1418"/>
      <c r="D480" s="1299"/>
      <c r="G480" s="519"/>
      <c r="H480" s="1421"/>
      <c r="I480" s="1421"/>
      <c r="J480" s="1421"/>
      <c r="K480" s="1421"/>
      <c r="L480" s="1421"/>
      <c r="M480" s="1421"/>
      <c r="N480" s="1421"/>
      <c r="O480" s="1421"/>
    </row>
    <row r="481">
      <c r="B481" s="1049"/>
      <c r="C481" s="1418"/>
      <c r="D481" s="1299"/>
      <c r="G481" s="519"/>
      <c r="H481" s="1421"/>
      <c r="I481" s="1421"/>
      <c r="J481" s="1421"/>
      <c r="K481" s="1421"/>
      <c r="L481" s="1421"/>
      <c r="M481" s="1421"/>
      <c r="N481" s="1421"/>
      <c r="O481" s="1421"/>
    </row>
    <row r="482">
      <c r="B482" s="1049"/>
      <c r="C482" s="1418"/>
      <c r="D482" s="1299"/>
      <c r="G482" s="519"/>
      <c r="H482" s="1421"/>
      <c r="I482" s="1421"/>
      <c r="J482" s="1421"/>
      <c r="K482" s="1421"/>
      <c r="L482" s="1421"/>
      <c r="M482" s="1421"/>
      <c r="N482" s="1421"/>
      <c r="O482" s="1421"/>
    </row>
    <row r="483">
      <c r="B483" s="1049"/>
      <c r="C483" s="1418"/>
      <c r="D483" s="1299"/>
      <c r="G483" s="519"/>
      <c r="H483" s="1421"/>
      <c r="I483" s="1421"/>
      <c r="J483" s="1421"/>
      <c r="K483" s="1421"/>
      <c r="L483" s="1421"/>
      <c r="M483" s="1421"/>
      <c r="N483" s="1421"/>
      <c r="O483" s="1421"/>
    </row>
    <row r="484">
      <c r="B484" s="1049"/>
      <c r="C484" s="1418"/>
      <c r="D484" s="1299"/>
      <c r="G484" s="519"/>
      <c r="H484" s="1421"/>
      <c r="I484" s="1421"/>
      <c r="J484" s="1421"/>
      <c r="K484" s="1421"/>
      <c r="L484" s="1421"/>
      <c r="M484" s="1421"/>
      <c r="N484" s="1421"/>
      <c r="O484" s="1421"/>
    </row>
    <row r="485">
      <c r="B485" s="1049"/>
      <c r="C485" s="1418"/>
      <c r="D485" s="1299"/>
      <c r="G485" s="519"/>
      <c r="H485" s="1421"/>
      <c r="I485" s="1421"/>
      <c r="J485" s="1421"/>
      <c r="K485" s="1421"/>
      <c r="L485" s="1421"/>
      <c r="M485" s="1421"/>
      <c r="N485" s="1421"/>
      <c r="O485" s="1421"/>
    </row>
    <row r="486">
      <c r="B486" s="1049"/>
      <c r="C486" s="1418"/>
      <c r="D486" s="1299"/>
      <c r="G486" s="519"/>
      <c r="H486" s="1421"/>
      <c r="I486" s="1421"/>
      <c r="J486" s="1421"/>
      <c r="K486" s="1421"/>
      <c r="L486" s="1421"/>
      <c r="M486" s="1421"/>
      <c r="N486" s="1421"/>
      <c r="O486" s="1421"/>
    </row>
    <row r="487">
      <c r="B487" s="1049"/>
      <c r="C487" s="1418"/>
      <c r="D487" s="1299"/>
      <c r="G487" s="519"/>
      <c r="H487" s="1421"/>
      <c r="I487" s="1421"/>
      <c r="J487" s="1421"/>
      <c r="K487" s="1421"/>
      <c r="L487" s="1421"/>
      <c r="M487" s="1421"/>
      <c r="N487" s="1421"/>
      <c r="O487" s="1421"/>
    </row>
    <row r="488">
      <c r="B488" s="1049"/>
      <c r="C488" s="1418"/>
      <c r="D488" s="1299"/>
      <c r="G488" s="519"/>
      <c r="H488" s="1421"/>
      <c r="I488" s="1421"/>
      <c r="J488" s="1421"/>
      <c r="K488" s="1421"/>
      <c r="L488" s="1421"/>
      <c r="M488" s="1421"/>
      <c r="N488" s="1421"/>
      <c r="O488" s="1421"/>
    </row>
    <row r="489">
      <c r="B489" s="1049"/>
      <c r="C489" s="1418"/>
      <c r="D489" s="1299"/>
      <c r="G489" s="519"/>
      <c r="H489" s="1421"/>
      <c r="I489" s="1421"/>
      <c r="J489" s="1421"/>
      <c r="K489" s="1421"/>
      <c r="L489" s="1421"/>
      <c r="M489" s="1421"/>
      <c r="N489" s="1421"/>
      <c r="O489" s="1421"/>
    </row>
    <row r="490">
      <c r="B490" s="1049"/>
      <c r="C490" s="1418"/>
      <c r="D490" s="1299"/>
      <c r="G490" s="519"/>
      <c r="H490" s="1421"/>
      <c r="I490" s="1421"/>
      <c r="J490" s="1421"/>
      <c r="K490" s="1421"/>
      <c r="L490" s="1421"/>
      <c r="M490" s="1421"/>
      <c r="N490" s="1421"/>
      <c r="O490" s="1421"/>
    </row>
    <row r="491">
      <c r="B491" s="1049"/>
      <c r="C491" s="1418"/>
      <c r="D491" s="1299"/>
      <c r="G491" s="519"/>
      <c r="H491" s="1421"/>
      <c r="I491" s="1421"/>
      <c r="J491" s="1421"/>
      <c r="K491" s="1421"/>
      <c r="L491" s="1421"/>
      <c r="M491" s="1421"/>
      <c r="N491" s="1421"/>
      <c r="O491" s="1421"/>
    </row>
    <row r="492">
      <c r="B492" s="1049"/>
      <c r="C492" s="1418"/>
      <c r="D492" s="1299"/>
      <c r="G492" s="519"/>
      <c r="H492" s="1421"/>
      <c r="I492" s="1421"/>
      <c r="J492" s="1421"/>
      <c r="K492" s="1421"/>
      <c r="L492" s="1421"/>
      <c r="M492" s="1421"/>
      <c r="N492" s="1421"/>
      <c r="O492" s="1421"/>
    </row>
    <row r="493">
      <c r="B493" s="1049"/>
      <c r="C493" s="1418"/>
      <c r="D493" s="1299"/>
      <c r="G493" s="519"/>
      <c r="H493" s="1421"/>
      <c r="I493" s="1421"/>
      <c r="J493" s="1421"/>
      <c r="K493" s="1421"/>
      <c r="L493" s="1421"/>
      <c r="M493" s="1421"/>
      <c r="N493" s="1421"/>
      <c r="O493" s="1421"/>
    </row>
    <row r="494">
      <c r="B494" s="1049"/>
      <c r="C494" s="1418"/>
      <c r="D494" s="1299"/>
      <c r="G494" s="519"/>
      <c r="H494" s="1421"/>
      <c r="I494" s="1421"/>
      <c r="J494" s="1421"/>
      <c r="K494" s="1421"/>
      <c r="L494" s="1421"/>
      <c r="M494" s="1421"/>
      <c r="N494" s="1421"/>
      <c r="O494" s="1421"/>
    </row>
    <row r="495">
      <c r="B495" s="1049"/>
      <c r="C495" s="1418"/>
      <c r="D495" s="1299"/>
      <c r="G495" s="519"/>
      <c r="H495" s="1421"/>
      <c r="I495" s="1421"/>
      <c r="J495" s="1421"/>
      <c r="K495" s="1421"/>
      <c r="L495" s="1421"/>
      <c r="M495" s="1421"/>
      <c r="N495" s="1421"/>
      <c r="O495" s="1421"/>
    </row>
    <row r="496">
      <c r="B496" s="1049"/>
      <c r="C496" s="1418"/>
      <c r="D496" s="1299"/>
      <c r="G496" s="519"/>
      <c r="H496" s="1421"/>
      <c r="I496" s="1421"/>
      <c r="J496" s="1421"/>
      <c r="K496" s="1421"/>
      <c r="L496" s="1421"/>
      <c r="M496" s="1421"/>
      <c r="N496" s="1421"/>
      <c r="O496" s="1421"/>
    </row>
    <row r="497">
      <c r="B497" s="1049"/>
      <c r="C497" s="1418"/>
      <c r="D497" s="1299"/>
      <c r="G497" s="519"/>
      <c r="H497" s="1421"/>
      <c r="I497" s="1421"/>
      <c r="J497" s="1421"/>
      <c r="K497" s="1421"/>
      <c r="L497" s="1421"/>
      <c r="M497" s="1421"/>
      <c r="N497" s="1421"/>
      <c r="O497" s="1421"/>
    </row>
    <row r="498">
      <c r="B498" s="1049"/>
      <c r="C498" s="1418"/>
      <c r="D498" s="1299"/>
      <c r="G498" s="519"/>
      <c r="H498" s="1421"/>
      <c r="I498" s="1421"/>
      <c r="J498" s="1421"/>
      <c r="K498" s="1421"/>
      <c r="L498" s="1421"/>
      <c r="M498" s="1421"/>
      <c r="N498" s="1421"/>
      <c r="O498" s="1421"/>
    </row>
    <row r="499">
      <c r="B499" s="1049"/>
      <c r="C499" s="1418"/>
      <c r="D499" s="1299"/>
      <c r="G499" s="519"/>
      <c r="H499" s="1421"/>
      <c r="I499" s="1421"/>
      <c r="J499" s="1421"/>
      <c r="K499" s="1421"/>
      <c r="L499" s="1421"/>
      <c r="M499" s="1421"/>
      <c r="N499" s="1421"/>
      <c r="O499" s="1421"/>
    </row>
    <row r="500">
      <c r="B500" s="1049"/>
      <c r="C500" s="1418"/>
      <c r="D500" s="1299"/>
      <c r="G500" s="519"/>
      <c r="H500" s="1421"/>
      <c r="I500" s="1421"/>
      <c r="J500" s="1421"/>
      <c r="K500" s="1421"/>
      <c r="L500" s="1421"/>
      <c r="M500" s="1421"/>
      <c r="N500" s="1421"/>
      <c r="O500" s="1421"/>
    </row>
    <row r="501">
      <c r="B501" s="1049"/>
      <c r="C501" s="1418"/>
      <c r="D501" s="1299"/>
      <c r="G501" s="519"/>
      <c r="H501" s="1421"/>
      <c r="I501" s="1421"/>
      <c r="J501" s="1421"/>
      <c r="K501" s="1421"/>
      <c r="L501" s="1421"/>
      <c r="M501" s="1421"/>
      <c r="N501" s="1421"/>
      <c r="O501" s="1421"/>
    </row>
    <row r="502">
      <c r="B502" s="1049"/>
      <c r="C502" s="1418"/>
      <c r="D502" s="1299"/>
      <c r="G502" s="519"/>
      <c r="H502" s="1421"/>
      <c r="I502" s="1421"/>
      <c r="J502" s="1421"/>
      <c r="K502" s="1421"/>
      <c r="L502" s="1421"/>
      <c r="M502" s="1421"/>
      <c r="N502" s="1421"/>
      <c r="O502" s="1421"/>
    </row>
    <row r="503">
      <c r="B503" s="1049"/>
      <c r="C503" s="1418"/>
      <c r="D503" s="1299"/>
      <c r="G503" s="519"/>
      <c r="H503" s="1421"/>
      <c r="I503" s="1421"/>
      <c r="J503" s="1421"/>
      <c r="K503" s="1421"/>
      <c r="L503" s="1421"/>
      <c r="M503" s="1421"/>
      <c r="N503" s="1421"/>
      <c r="O503" s="1421"/>
    </row>
    <row r="504">
      <c r="B504" s="1049"/>
      <c r="C504" s="1418"/>
      <c r="D504" s="1299"/>
      <c r="G504" s="519"/>
      <c r="H504" s="1421"/>
      <c r="I504" s="1421"/>
      <c r="J504" s="1421"/>
      <c r="K504" s="1421"/>
      <c r="L504" s="1421"/>
      <c r="M504" s="1421"/>
      <c r="N504" s="1421"/>
      <c r="O504" s="1421"/>
    </row>
    <row r="505">
      <c r="B505" s="1049"/>
      <c r="C505" s="1418"/>
      <c r="D505" s="1299"/>
      <c r="G505" s="519"/>
      <c r="H505" s="1421"/>
      <c r="I505" s="1421"/>
      <c r="J505" s="1421"/>
      <c r="K505" s="1421"/>
      <c r="L505" s="1421"/>
      <c r="M505" s="1421"/>
      <c r="N505" s="1421"/>
      <c r="O505" s="1421"/>
    </row>
    <row r="506">
      <c r="B506" s="1049"/>
      <c r="C506" s="1418"/>
      <c r="D506" s="1299"/>
      <c r="G506" s="519"/>
      <c r="H506" s="1421"/>
      <c r="I506" s="1421"/>
      <c r="J506" s="1421"/>
      <c r="K506" s="1421"/>
      <c r="L506" s="1421"/>
      <c r="M506" s="1421"/>
      <c r="N506" s="1421"/>
      <c r="O506" s="1421"/>
    </row>
    <row r="507">
      <c r="B507" s="1049"/>
      <c r="C507" s="1418"/>
      <c r="D507" s="1299"/>
      <c r="G507" s="519"/>
      <c r="H507" s="1421"/>
      <c r="I507" s="1421"/>
      <c r="J507" s="1421"/>
      <c r="K507" s="1421"/>
      <c r="L507" s="1421"/>
      <c r="M507" s="1421"/>
      <c r="N507" s="1421"/>
      <c r="O507" s="1421"/>
    </row>
    <row r="508">
      <c r="B508" s="1049"/>
      <c r="C508" s="1418"/>
      <c r="D508" s="1299"/>
      <c r="G508" s="519"/>
      <c r="H508" s="1421"/>
      <c r="I508" s="1421"/>
      <c r="J508" s="1421"/>
      <c r="K508" s="1421"/>
      <c r="L508" s="1421"/>
      <c r="M508" s="1421"/>
      <c r="N508" s="1421"/>
      <c r="O508" s="1421"/>
    </row>
    <row r="509">
      <c r="B509" s="1049"/>
      <c r="C509" s="1418"/>
      <c r="D509" s="1299"/>
      <c r="G509" s="519"/>
      <c r="H509" s="1421"/>
      <c r="I509" s="1421"/>
      <c r="J509" s="1421"/>
      <c r="K509" s="1421"/>
      <c r="L509" s="1421"/>
      <c r="M509" s="1421"/>
      <c r="N509" s="1421"/>
      <c r="O509" s="1421"/>
    </row>
    <row r="510">
      <c r="B510" s="1049"/>
      <c r="C510" s="1418"/>
      <c r="D510" s="1299"/>
      <c r="G510" s="519"/>
      <c r="H510" s="1421"/>
      <c r="I510" s="1421"/>
      <c r="J510" s="1421"/>
      <c r="K510" s="1421"/>
      <c r="L510" s="1421"/>
      <c r="M510" s="1421"/>
      <c r="N510" s="1421"/>
      <c r="O510" s="1421"/>
    </row>
    <row r="511">
      <c r="B511" s="1049"/>
      <c r="C511" s="1418"/>
      <c r="D511" s="1299"/>
      <c r="G511" s="519"/>
      <c r="H511" s="1421"/>
      <c r="I511" s="1421"/>
      <c r="J511" s="1421"/>
      <c r="K511" s="1421"/>
      <c r="L511" s="1421"/>
      <c r="M511" s="1421"/>
      <c r="N511" s="1421"/>
      <c r="O511" s="1421"/>
    </row>
    <row r="512">
      <c r="B512" s="1049"/>
      <c r="C512" s="1418"/>
      <c r="D512" s="1299"/>
      <c r="G512" s="519"/>
      <c r="H512" s="1421"/>
      <c r="I512" s="1421"/>
      <c r="J512" s="1421"/>
      <c r="K512" s="1421"/>
      <c r="L512" s="1421"/>
      <c r="M512" s="1421"/>
      <c r="N512" s="1421"/>
      <c r="O512" s="1421"/>
    </row>
    <row r="513">
      <c r="B513" s="1049"/>
      <c r="C513" s="1418"/>
      <c r="D513" s="1299"/>
      <c r="G513" s="519"/>
      <c r="H513" s="1421"/>
      <c r="I513" s="1421"/>
      <c r="J513" s="1421"/>
      <c r="K513" s="1421"/>
      <c r="L513" s="1421"/>
      <c r="M513" s="1421"/>
      <c r="N513" s="1421"/>
      <c r="O513" s="1421"/>
    </row>
    <row r="514">
      <c r="B514" s="1049"/>
      <c r="C514" s="1418"/>
      <c r="D514" s="1299"/>
      <c r="G514" s="519"/>
      <c r="H514" s="1421"/>
      <c r="I514" s="1421"/>
      <c r="J514" s="1421"/>
      <c r="K514" s="1421"/>
      <c r="L514" s="1421"/>
      <c r="M514" s="1421"/>
      <c r="N514" s="1421"/>
      <c r="O514" s="1421"/>
    </row>
    <row r="515">
      <c r="B515" s="1049"/>
      <c r="C515" s="1418"/>
      <c r="D515" s="1299"/>
      <c r="G515" s="519"/>
      <c r="H515" s="1421"/>
      <c r="I515" s="1421"/>
      <c r="J515" s="1421"/>
      <c r="K515" s="1421"/>
      <c r="L515" s="1421"/>
      <c r="M515" s="1421"/>
      <c r="N515" s="1421"/>
      <c r="O515" s="1421"/>
    </row>
    <row r="516">
      <c r="B516" s="1049"/>
      <c r="C516" s="1418"/>
      <c r="D516" s="1299"/>
      <c r="G516" s="519"/>
      <c r="H516" s="1421"/>
      <c r="I516" s="1421"/>
      <c r="J516" s="1421"/>
      <c r="K516" s="1421"/>
      <c r="L516" s="1421"/>
      <c r="M516" s="1421"/>
      <c r="N516" s="1421"/>
      <c r="O516" s="1421"/>
    </row>
    <row r="517">
      <c r="B517" s="1049"/>
      <c r="C517" s="1418"/>
      <c r="D517" s="1299"/>
      <c r="G517" s="519"/>
      <c r="H517" s="1421"/>
      <c r="I517" s="1421"/>
      <c r="J517" s="1421"/>
      <c r="K517" s="1421"/>
      <c r="L517" s="1421"/>
      <c r="M517" s="1421"/>
      <c r="N517" s="1421"/>
      <c r="O517" s="1421"/>
    </row>
    <row r="518">
      <c r="B518" s="1049"/>
      <c r="C518" s="1418"/>
      <c r="D518" s="1299"/>
      <c r="G518" s="519"/>
      <c r="H518" s="1421"/>
      <c r="I518" s="1421"/>
      <c r="J518" s="1421"/>
      <c r="K518" s="1421"/>
      <c r="L518" s="1421"/>
      <c r="M518" s="1421"/>
      <c r="N518" s="1421"/>
      <c r="O518" s="1421"/>
    </row>
    <row r="519">
      <c r="B519" s="1049"/>
      <c r="C519" s="1418"/>
      <c r="D519" s="1299"/>
      <c r="G519" s="519"/>
      <c r="H519" s="1421"/>
      <c r="I519" s="1421"/>
      <c r="J519" s="1421"/>
      <c r="K519" s="1421"/>
      <c r="L519" s="1421"/>
      <c r="M519" s="1421"/>
      <c r="N519" s="1421"/>
      <c r="O519" s="1421"/>
    </row>
    <row r="520">
      <c r="B520" s="1049"/>
      <c r="C520" s="1418"/>
      <c r="D520" s="1299"/>
      <c r="G520" s="519"/>
      <c r="H520" s="1421"/>
      <c r="I520" s="1421"/>
      <c r="J520" s="1421"/>
      <c r="K520" s="1421"/>
      <c r="L520" s="1421"/>
      <c r="M520" s="1421"/>
      <c r="N520" s="1421"/>
      <c r="O520" s="1421"/>
    </row>
    <row r="521">
      <c r="B521" s="1049"/>
      <c r="C521" s="1418"/>
      <c r="D521" s="1299"/>
      <c r="G521" s="519"/>
      <c r="H521" s="1421"/>
      <c r="I521" s="1421"/>
      <c r="J521" s="1421"/>
      <c r="K521" s="1421"/>
      <c r="L521" s="1421"/>
      <c r="M521" s="1421"/>
      <c r="N521" s="1421"/>
      <c r="O521" s="1421"/>
    </row>
    <row r="522">
      <c r="B522" s="1049"/>
      <c r="C522" s="1418"/>
      <c r="D522" s="1299"/>
      <c r="G522" s="519"/>
      <c r="H522" s="1421"/>
      <c r="I522" s="1421"/>
      <c r="J522" s="1421"/>
      <c r="K522" s="1421"/>
      <c r="L522" s="1421"/>
      <c r="M522" s="1421"/>
      <c r="N522" s="1421"/>
      <c r="O522" s="1421"/>
    </row>
    <row r="523">
      <c r="B523" s="1049"/>
      <c r="C523" s="1418"/>
      <c r="D523" s="1299"/>
      <c r="G523" s="519"/>
      <c r="H523" s="1421"/>
      <c r="I523" s="1421"/>
      <c r="J523" s="1421"/>
      <c r="K523" s="1421"/>
      <c r="L523" s="1421"/>
      <c r="M523" s="1421"/>
      <c r="N523" s="1421"/>
      <c r="O523" s="1421"/>
    </row>
    <row r="524">
      <c r="B524" s="1049"/>
      <c r="C524" s="1418"/>
      <c r="D524" s="1299"/>
      <c r="G524" s="519"/>
      <c r="H524" s="1421"/>
      <c r="I524" s="1421"/>
      <c r="J524" s="1421"/>
      <c r="K524" s="1421"/>
      <c r="L524" s="1421"/>
      <c r="M524" s="1421"/>
      <c r="N524" s="1421"/>
      <c r="O524" s="1421"/>
    </row>
    <row r="525">
      <c r="B525" s="1049"/>
      <c r="C525" s="1418"/>
      <c r="D525" s="1299"/>
      <c r="G525" s="519"/>
      <c r="H525" s="1421"/>
      <c r="I525" s="1421"/>
      <c r="J525" s="1421"/>
      <c r="K525" s="1421"/>
      <c r="L525" s="1421"/>
      <c r="M525" s="1421"/>
      <c r="N525" s="1421"/>
      <c r="O525" s="1421"/>
    </row>
    <row r="526">
      <c r="B526" s="1049"/>
      <c r="C526" s="1418"/>
      <c r="D526" s="1299"/>
      <c r="G526" s="519"/>
      <c r="H526" s="1421"/>
      <c r="I526" s="1421"/>
      <c r="J526" s="1421"/>
      <c r="K526" s="1421"/>
      <c r="L526" s="1421"/>
      <c r="M526" s="1421"/>
      <c r="N526" s="1421"/>
      <c r="O526" s="1421"/>
    </row>
    <row r="527">
      <c r="B527" s="1049"/>
      <c r="C527" s="1418"/>
      <c r="D527" s="1299"/>
      <c r="G527" s="519"/>
      <c r="H527" s="1421"/>
      <c r="I527" s="1421"/>
      <c r="J527" s="1421"/>
      <c r="K527" s="1421"/>
      <c r="L527" s="1421"/>
      <c r="M527" s="1421"/>
      <c r="N527" s="1421"/>
      <c r="O527" s="1421"/>
    </row>
    <row r="528">
      <c r="B528" s="1049"/>
      <c r="C528" s="1418"/>
      <c r="D528" s="1299"/>
      <c r="G528" s="519"/>
      <c r="H528" s="1421"/>
      <c r="I528" s="1421"/>
      <c r="J528" s="1421"/>
      <c r="K528" s="1421"/>
      <c r="L528" s="1421"/>
      <c r="M528" s="1421"/>
      <c r="N528" s="1421"/>
      <c r="O528" s="1421"/>
    </row>
    <row r="529">
      <c r="B529" s="1049"/>
      <c r="C529" s="1418"/>
      <c r="D529" s="1299"/>
      <c r="G529" s="519"/>
      <c r="H529" s="1421"/>
      <c r="I529" s="1421"/>
      <c r="J529" s="1421"/>
      <c r="K529" s="1421"/>
      <c r="L529" s="1421"/>
      <c r="M529" s="1421"/>
      <c r="N529" s="1421"/>
      <c r="O529" s="1421"/>
    </row>
    <row r="530">
      <c r="B530" s="1049"/>
      <c r="C530" s="1418"/>
      <c r="D530" s="1299"/>
      <c r="G530" s="519"/>
      <c r="H530" s="1421"/>
      <c r="I530" s="1421"/>
      <c r="J530" s="1421"/>
      <c r="K530" s="1421"/>
      <c r="L530" s="1421"/>
      <c r="M530" s="1421"/>
      <c r="N530" s="1421"/>
      <c r="O530" s="1421"/>
    </row>
    <row r="531">
      <c r="B531" s="1049"/>
      <c r="C531" s="1418"/>
      <c r="D531" s="1299"/>
      <c r="G531" s="519"/>
      <c r="H531" s="1421"/>
      <c r="I531" s="1421"/>
      <c r="J531" s="1421"/>
      <c r="K531" s="1421"/>
      <c r="L531" s="1421"/>
      <c r="M531" s="1421"/>
      <c r="N531" s="1421"/>
      <c r="O531" s="1421"/>
    </row>
    <row r="532">
      <c r="B532" s="1049"/>
      <c r="C532" s="1418"/>
      <c r="D532" s="1299"/>
      <c r="G532" s="519"/>
      <c r="H532" s="1421"/>
      <c r="I532" s="1421"/>
      <c r="J532" s="1421"/>
      <c r="K532" s="1421"/>
      <c r="L532" s="1421"/>
      <c r="M532" s="1421"/>
      <c r="N532" s="1421"/>
      <c r="O532" s="1421"/>
    </row>
    <row r="533">
      <c r="B533" s="1049"/>
      <c r="C533" s="1418"/>
      <c r="D533" s="1299"/>
      <c r="G533" s="519"/>
      <c r="H533" s="1421"/>
      <c r="I533" s="1421"/>
      <c r="J533" s="1421"/>
      <c r="K533" s="1421"/>
      <c r="L533" s="1421"/>
      <c r="M533" s="1421"/>
      <c r="N533" s="1421"/>
      <c r="O533" s="1421"/>
    </row>
    <row r="534">
      <c r="B534" s="1049"/>
      <c r="C534" s="1418"/>
      <c r="D534" s="1299"/>
      <c r="G534" s="519"/>
      <c r="H534" s="1421"/>
      <c r="I534" s="1421"/>
      <c r="J534" s="1421"/>
      <c r="K534" s="1421"/>
      <c r="L534" s="1421"/>
      <c r="M534" s="1421"/>
      <c r="N534" s="1421"/>
      <c r="O534" s="1421"/>
    </row>
    <row r="535">
      <c r="B535" s="1049"/>
      <c r="C535" s="1418"/>
      <c r="D535" s="1299"/>
      <c r="G535" s="519"/>
      <c r="H535" s="1421"/>
      <c r="I535" s="1421"/>
      <c r="J535" s="1421"/>
      <c r="K535" s="1421"/>
      <c r="L535" s="1421"/>
      <c r="M535" s="1421"/>
      <c r="N535" s="1421"/>
      <c r="O535" s="1421"/>
    </row>
    <row r="536">
      <c r="B536" s="1049"/>
      <c r="C536" s="1418"/>
      <c r="D536" s="1299"/>
      <c r="G536" s="519"/>
      <c r="H536" s="1421"/>
      <c r="I536" s="1421"/>
      <c r="J536" s="1421"/>
      <c r="K536" s="1421"/>
      <c r="L536" s="1421"/>
      <c r="M536" s="1421"/>
      <c r="N536" s="1421"/>
      <c r="O536" s="1421"/>
    </row>
    <row r="537">
      <c r="B537" s="1049"/>
      <c r="C537" s="1418"/>
      <c r="D537" s="1299"/>
      <c r="G537" s="519"/>
      <c r="H537" s="1421"/>
      <c r="I537" s="1421"/>
      <c r="J537" s="1421"/>
      <c r="K537" s="1421"/>
      <c r="L537" s="1421"/>
      <c r="M537" s="1421"/>
      <c r="N537" s="1421"/>
      <c r="O537" s="1421"/>
    </row>
    <row r="538">
      <c r="B538" s="1049"/>
      <c r="C538" s="1418"/>
      <c r="D538" s="1299"/>
      <c r="G538" s="519"/>
      <c r="H538" s="1421"/>
      <c r="I538" s="1421"/>
      <c r="J538" s="1421"/>
      <c r="K538" s="1421"/>
      <c r="L538" s="1421"/>
      <c r="M538" s="1421"/>
      <c r="N538" s="1421"/>
      <c r="O538" s="1421"/>
    </row>
    <row r="539">
      <c r="B539" s="1049"/>
      <c r="C539" s="1418"/>
      <c r="D539" s="1299"/>
      <c r="G539" s="519"/>
      <c r="H539" s="1421"/>
      <c r="I539" s="1421"/>
      <c r="J539" s="1421"/>
      <c r="K539" s="1421"/>
      <c r="L539" s="1421"/>
      <c r="M539" s="1421"/>
      <c r="N539" s="1421"/>
      <c r="O539" s="1421"/>
    </row>
    <row r="540">
      <c r="B540" s="1049"/>
      <c r="C540" s="1418"/>
      <c r="D540" s="1299"/>
      <c r="G540" s="519"/>
      <c r="H540" s="1421"/>
      <c r="I540" s="1421"/>
      <c r="J540" s="1421"/>
      <c r="K540" s="1421"/>
      <c r="L540" s="1421"/>
      <c r="M540" s="1421"/>
      <c r="N540" s="1421"/>
      <c r="O540" s="1421"/>
    </row>
    <row r="541">
      <c r="B541" s="1049"/>
      <c r="C541" s="1418"/>
      <c r="D541" s="1299"/>
      <c r="G541" s="519"/>
      <c r="H541" s="1421"/>
      <c r="I541" s="1421"/>
      <c r="J541" s="1421"/>
      <c r="K541" s="1421"/>
      <c r="L541" s="1421"/>
      <c r="M541" s="1421"/>
      <c r="N541" s="1421"/>
      <c r="O541" s="1421"/>
    </row>
    <row r="542">
      <c r="B542" s="1049"/>
      <c r="C542" s="1418"/>
      <c r="D542" s="1299"/>
      <c r="G542" s="519"/>
      <c r="H542" s="1421"/>
      <c r="I542" s="1421"/>
      <c r="J542" s="1421"/>
      <c r="K542" s="1421"/>
      <c r="L542" s="1421"/>
      <c r="M542" s="1421"/>
      <c r="N542" s="1421"/>
      <c r="O542" s="1421"/>
    </row>
    <row r="543">
      <c r="B543" s="1049"/>
      <c r="C543" s="1418"/>
      <c r="D543" s="1299"/>
      <c r="G543" s="519"/>
      <c r="H543" s="1421"/>
      <c r="I543" s="1421"/>
      <c r="J543" s="1421"/>
      <c r="K543" s="1421"/>
      <c r="L543" s="1421"/>
      <c r="M543" s="1421"/>
      <c r="N543" s="1421"/>
      <c r="O543" s="1421"/>
    </row>
    <row r="544">
      <c r="B544" s="1049"/>
      <c r="C544" s="1418"/>
      <c r="D544" s="1299"/>
      <c r="G544" s="519"/>
      <c r="H544" s="1421"/>
      <c r="I544" s="1421"/>
      <c r="J544" s="1421"/>
      <c r="K544" s="1421"/>
      <c r="L544" s="1421"/>
      <c r="M544" s="1421"/>
      <c r="N544" s="1421"/>
      <c r="O544" s="1421"/>
    </row>
    <row r="545">
      <c r="B545" s="1049"/>
      <c r="C545" s="1418"/>
      <c r="D545" s="1299"/>
      <c r="G545" s="519"/>
      <c r="H545" s="1421"/>
      <c r="I545" s="1421"/>
      <c r="J545" s="1421"/>
      <c r="K545" s="1421"/>
      <c r="L545" s="1421"/>
      <c r="M545" s="1421"/>
      <c r="N545" s="1421"/>
      <c r="O545" s="1421"/>
    </row>
    <row r="546">
      <c r="B546" s="1049"/>
      <c r="C546" s="1418"/>
      <c r="D546" s="1299"/>
      <c r="G546" s="519"/>
      <c r="H546" s="1421"/>
      <c r="I546" s="1421"/>
      <c r="J546" s="1421"/>
      <c r="K546" s="1421"/>
      <c r="L546" s="1421"/>
      <c r="M546" s="1421"/>
      <c r="N546" s="1421"/>
      <c r="O546" s="1421"/>
    </row>
    <row r="547">
      <c r="B547" s="1049"/>
      <c r="C547" s="1418"/>
      <c r="D547" s="1299"/>
      <c r="G547" s="519"/>
      <c r="H547" s="1421"/>
      <c r="I547" s="1421"/>
      <c r="J547" s="1421"/>
      <c r="K547" s="1421"/>
      <c r="L547" s="1421"/>
      <c r="M547" s="1421"/>
      <c r="N547" s="1421"/>
      <c r="O547" s="1421"/>
    </row>
    <row r="548">
      <c r="B548" s="1049"/>
      <c r="C548" s="1418"/>
      <c r="D548" s="1299"/>
      <c r="G548" s="519"/>
      <c r="H548" s="1421"/>
      <c r="I548" s="1421"/>
      <c r="J548" s="1421"/>
      <c r="K548" s="1421"/>
      <c r="L548" s="1421"/>
      <c r="M548" s="1421"/>
      <c r="N548" s="1421"/>
      <c r="O548" s="1421"/>
    </row>
    <row r="549">
      <c r="B549" s="1049"/>
      <c r="C549" s="1418"/>
      <c r="D549" s="1299"/>
      <c r="G549" s="519"/>
      <c r="H549" s="1421"/>
      <c r="I549" s="1421"/>
      <c r="J549" s="1421"/>
      <c r="K549" s="1421"/>
      <c r="L549" s="1421"/>
      <c r="M549" s="1421"/>
      <c r="N549" s="1421"/>
      <c r="O549" s="1421"/>
    </row>
    <row r="550">
      <c r="B550" s="1049"/>
      <c r="C550" s="1418"/>
      <c r="D550" s="1299"/>
      <c r="G550" s="519"/>
      <c r="H550" s="1421"/>
      <c r="I550" s="1421"/>
      <c r="J550" s="1421"/>
      <c r="K550" s="1421"/>
      <c r="L550" s="1421"/>
      <c r="M550" s="1421"/>
      <c r="N550" s="1421"/>
      <c r="O550" s="1421"/>
    </row>
    <row r="551">
      <c r="B551" s="1049"/>
      <c r="C551" s="1418"/>
      <c r="D551" s="1299"/>
      <c r="G551" s="519"/>
      <c r="H551" s="1421"/>
      <c r="I551" s="1421"/>
      <c r="J551" s="1421"/>
      <c r="K551" s="1421"/>
      <c r="L551" s="1421"/>
      <c r="M551" s="1421"/>
      <c r="N551" s="1421"/>
      <c r="O551" s="1421"/>
    </row>
    <row r="552">
      <c r="B552" s="1049"/>
      <c r="C552" s="1418"/>
      <c r="D552" s="1299"/>
      <c r="G552" s="519"/>
      <c r="H552" s="1421"/>
      <c r="I552" s="1421"/>
      <c r="J552" s="1421"/>
      <c r="K552" s="1421"/>
      <c r="L552" s="1421"/>
      <c r="M552" s="1421"/>
      <c r="N552" s="1421"/>
      <c r="O552" s="1421"/>
    </row>
    <row r="553">
      <c r="B553" s="1049"/>
      <c r="C553" s="1418"/>
      <c r="D553" s="1299"/>
      <c r="G553" s="519"/>
      <c r="H553" s="1421"/>
      <c r="I553" s="1421"/>
      <c r="J553" s="1421"/>
      <c r="K553" s="1421"/>
      <c r="L553" s="1421"/>
      <c r="M553" s="1421"/>
      <c r="N553" s="1421"/>
      <c r="O553" s="1421"/>
    </row>
    <row r="554">
      <c r="B554" s="1049"/>
      <c r="C554" s="1418"/>
      <c r="D554" s="1299"/>
      <c r="G554" s="519"/>
      <c r="H554" s="1421"/>
      <c r="I554" s="1421"/>
      <c r="J554" s="1421"/>
      <c r="K554" s="1421"/>
      <c r="L554" s="1421"/>
      <c r="M554" s="1421"/>
      <c r="N554" s="1421"/>
      <c r="O554" s="1421"/>
    </row>
    <row r="555">
      <c r="B555" s="1049"/>
      <c r="C555" s="1418"/>
      <c r="D555" s="1299"/>
      <c r="G555" s="519"/>
      <c r="H555" s="1421"/>
      <c r="I555" s="1421"/>
      <c r="J555" s="1421"/>
      <c r="K555" s="1421"/>
      <c r="L555" s="1421"/>
      <c r="M555" s="1421"/>
      <c r="N555" s="1421"/>
      <c r="O555" s="1421"/>
    </row>
    <row r="556">
      <c r="B556" s="1049"/>
      <c r="C556" s="1418"/>
      <c r="D556" s="1299"/>
      <c r="G556" s="519"/>
      <c r="H556" s="1421"/>
      <c r="I556" s="1421"/>
      <c r="J556" s="1421"/>
      <c r="K556" s="1421"/>
      <c r="L556" s="1421"/>
      <c r="M556" s="1421"/>
      <c r="N556" s="1421"/>
      <c r="O556" s="1421"/>
    </row>
    <row r="557">
      <c r="B557" s="1049"/>
      <c r="C557" s="1418"/>
      <c r="D557" s="1299"/>
      <c r="G557" s="519"/>
      <c r="H557" s="1421"/>
      <c r="I557" s="1421"/>
      <c r="J557" s="1421"/>
      <c r="K557" s="1421"/>
      <c r="L557" s="1421"/>
      <c r="M557" s="1421"/>
      <c r="N557" s="1421"/>
      <c r="O557" s="1421"/>
    </row>
    <row r="558">
      <c r="B558" s="1049"/>
      <c r="C558" s="1418"/>
      <c r="D558" s="1299"/>
      <c r="G558" s="519"/>
      <c r="H558" s="1421"/>
      <c r="I558" s="1421"/>
      <c r="J558" s="1421"/>
      <c r="K558" s="1421"/>
      <c r="L558" s="1421"/>
      <c r="M558" s="1421"/>
      <c r="N558" s="1421"/>
      <c r="O558" s="1421"/>
    </row>
    <row r="559">
      <c r="B559" s="1049"/>
      <c r="C559" s="1418"/>
      <c r="D559" s="1299"/>
      <c r="G559" s="519"/>
      <c r="H559" s="1421"/>
      <c r="I559" s="1421"/>
      <c r="J559" s="1421"/>
      <c r="K559" s="1421"/>
      <c r="L559" s="1421"/>
      <c r="M559" s="1421"/>
      <c r="N559" s="1421"/>
      <c r="O559" s="1421"/>
    </row>
    <row r="560">
      <c r="B560" s="1049"/>
      <c r="C560" s="1418"/>
      <c r="D560" s="1299"/>
      <c r="G560" s="519"/>
      <c r="H560" s="1421"/>
      <c r="I560" s="1421"/>
      <c r="J560" s="1421"/>
      <c r="K560" s="1421"/>
      <c r="L560" s="1421"/>
      <c r="M560" s="1421"/>
      <c r="N560" s="1421"/>
      <c r="O560" s="1421"/>
    </row>
    <row r="561">
      <c r="B561" s="1049"/>
      <c r="C561" s="1418"/>
      <c r="D561" s="1299"/>
      <c r="G561" s="519"/>
      <c r="H561" s="1421"/>
      <c r="I561" s="1421"/>
      <c r="J561" s="1421"/>
      <c r="K561" s="1421"/>
      <c r="L561" s="1421"/>
      <c r="M561" s="1421"/>
      <c r="N561" s="1421"/>
      <c r="O561" s="1421"/>
    </row>
    <row r="562">
      <c r="B562" s="1049"/>
      <c r="C562" s="1418"/>
      <c r="D562" s="1299"/>
      <c r="G562" s="519"/>
      <c r="H562" s="1421"/>
      <c r="I562" s="1421"/>
      <c r="J562" s="1421"/>
      <c r="K562" s="1421"/>
      <c r="L562" s="1421"/>
      <c r="M562" s="1421"/>
      <c r="N562" s="1421"/>
      <c r="O562" s="1421"/>
    </row>
    <row r="563">
      <c r="B563" s="1049"/>
      <c r="C563" s="1418"/>
      <c r="D563" s="1299"/>
      <c r="G563" s="519"/>
      <c r="H563" s="1421"/>
      <c r="I563" s="1421"/>
      <c r="J563" s="1421"/>
      <c r="K563" s="1421"/>
      <c r="L563" s="1421"/>
      <c r="M563" s="1421"/>
      <c r="N563" s="1421"/>
      <c r="O563" s="1421"/>
    </row>
    <row r="564">
      <c r="B564" s="1049"/>
      <c r="C564" s="1418"/>
      <c r="D564" s="1299"/>
      <c r="G564" s="519"/>
      <c r="H564" s="1421"/>
      <c r="I564" s="1421"/>
      <c r="J564" s="1421"/>
      <c r="K564" s="1421"/>
      <c r="L564" s="1421"/>
      <c r="M564" s="1421"/>
      <c r="N564" s="1421"/>
      <c r="O564" s="1421"/>
    </row>
    <row r="565">
      <c r="B565" s="1049"/>
      <c r="C565" s="1418"/>
      <c r="D565" s="1299"/>
      <c r="G565" s="519"/>
      <c r="H565" s="1421"/>
      <c r="I565" s="1421"/>
      <c r="J565" s="1421"/>
      <c r="K565" s="1421"/>
      <c r="L565" s="1421"/>
      <c r="M565" s="1421"/>
      <c r="N565" s="1421"/>
      <c r="O565" s="1421"/>
    </row>
    <row r="566">
      <c r="B566" s="1049"/>
      <c r="C566" s="1418"/>
      <c r="D566" s="1299"/>
      <c r="G566" s="519"/>
      <c r="H566" s="1421"/>
      <c r="I566" s="1421"/>
      <c r="J566" s="1421"/>
      <c r="K566" s="1421"/>
      <c r="L566" s="1421"/>
      <c r="M566" s="1421"/>
      <c r="N566" s="1421"/>
      <c r="O566" s="1421"/>
    </row>
    <row r="567">
      <c r="B567" s="1049"/>
      <c r="C567" s="1418"/>
      <c r="D567" s="1299"/>
      <c r="G567" s="519"/>
      <c r="H567" s="1421"/>
      <c r="I567" s="1421"/>
      <c r="J567" s="1421"/>
      <c r="K567" s="1421"/>
      <c r="L567" s="1421"/>
      <c r="M567" s="1421"/>
      <c r="N567" s="1421"/>
      <c r="O567" s="1421"/>
    </row>
    <row r="568">
      <c r="B568" s="1049"/>
      <c r="C568" s="1418"/>
      <c r="D568" s="1299"/>
      <c r="G568" s="519"/>
      <c r="H568" s="1421"/>
      <c r="I568" s="1421"/>
      <c r="J568" s="1421"/>
      <c r="K568" s="1421"/>
      <c r="L568" s="1421"/>
      <c r="M568" s="1421"/>
      <c r="N568" s="1421"/>
      <c r="O568" s="1421"/>
    </row>
    <row r="569">
      <c r="B569" s="1049"/>
      <c r="C569" s="1418"/>
      <c r="D569" s="1299"/>
      <c r="G569" s="519"/>
      <c r="H569" s="1421"/>
      <c r="I569" s="1421"/>
      <c r="J569" s="1421"/>
      <c r="K569" s="1421"/>
      <c r="L569" s="1421"/>
      <c r="M569" s="1421"/>
      <c r="N569" s="1421"/>
      <c r="O569" s="1421"/>
    </row>
    <row r="570">
      <c r="B570" s="1049"/>
      <c r="C570" s="1418"/>
      <c r="D570" s="1299"/>
      <c r="G570" s="519"/>
      <c r="H570" s="1421"/>
      <c r="I570" s="1421"/>
      <c r="J570" s="1421"/>
      <c r="K570" s="1421"/>
      <c r="L570" s="1421"/>
      <c r="M570" s="1421"/>
      <c r="N570" s="1421"/>
      <c r="O570" s="1421"/>
    </row>
    <row r="571">
      <c r="B571" s="1049"/>
      <c r="C571" s="1418"/>
      <c r="D571" s="1299"/>
      <c r="G571" s="519"/>
      <c r="H571" s="1421"/>
      <c r="I571" s="1421"/>
      <c r="J571" s="1421"/>
      <c r="K571" s="1421"/>
      <c r="L571" s="1421"/>
      <c r="M571" s="1421"/>
      <c r="N571" s="1421"/>
      <c r="O571" s="1421"/>
    </row>
    <row r="572">
      <c r="B572" s="1049"/>
      <c r="C572" s="1418"/>
      <c r="D572" s="1299"/>
      <c r="G572" s="519"/>
      <c r="H572" s="1421"/>
      <c r="I572" s="1421"/>
      <c r="J572" s="1421"/>
      <c r="K572" s="1421"/>
      <c r="L572" s="1421"/>
      <c r="M572" s="1421"/>
      <c r="N572" s="1421"/>
      <c r="O572" s="1421"/>
    </row>
    <row r="573">
      <c r="B573" s="1049"/>
      <c r="C573" s="1418"/>
      <c r="D573" s="1299"/>
      <c r="G573" s="519"/>
      <c r="H573" s="1421"/>
      <c r="I573" s="1421"/>
      <c r="J573" s="1421"/>
      <c r="K573" s="1421"/>
      <c r="L573" s="1421"/>
      <c r="M573" s="1421"/>
      <c r="N573" s="1421"/>
      <c r="O573" s="1421"/>
    </row>
    <row r="574">
      <c r="B574" s="1049"/>
      <c r="C574" s="1418"/>
      <c r="D574" s="1299"/>
      <c r="G574" s="519"/>
      <c r="H574" s="1421"/>
      <c r="I574" s="1421"/>
      <c r="J574" s="1421"/>
      <c r="K574" s="1421"/>
      <c r="L574" s="1421"/>
      <c r="M574" s="1421"/>
      <c r="N574" s="1421"/>
      <c r="O574" s="1421"/>
    </row>
    <row r="575">
      <c r="B575" s="1049"/>
      <c r="C575" s="1418"/>
      <c r="D575" s="1299"/>
      <c r="G575" s="519"/>
      <c r="H575" s="1421"/>
      <c r="I575" s="1421"/>
      <c r="J575" s="1421"/>
      <c r="K575" s="1421"/>
      <c r="L575" s="1421"/>
      <c r="M575" s="1421"/>
      <c r="N575" s="1421"/>
      <c r="O575" s="1421"/>
    </row>
    <row r="576">
      <c r="B576" s="1049"/>
      <c r="C576" s="1418"/>
      <c r="D576" s="1299"/>
      <c r="G576" s="519"/>
      <c r="H576" s="1421"/>
      <c r="I576" s="1421"/>
      <c r="J576" s="1421"/>
      <c r="K576" s="1421"/>
      <c r="L576" s="1421"/>
      <c r="M576" s="1421"/>
      <c r="N576" s="1421"/>
      <c r="O576" s="1421"/>
    </row>
    <row r="577">
      <c r="B577" s="1049"/>
      <c r="C577" s="1418"/>
      <c r="D577" s="1299"/>
      <c r="G577" s="519"/>
      <c r="H577" s="1421"/>
      <c r="I577" s="1421"/>
      <c r="J577" s="1421"/>
      <c r="K577" s="1421"/>
      <c r="L577" s="1421"/>
      <c r="M577" s="1421"/>
      <c r="N577" s="1421"/>
      <c r="O577" s="1421"/>
    </row>
    <row r="578">
      <c r="B578" s="1049"/>
      <c r="C578" s="1418"/>
      <c r="D578" s="1299"/>
      <c r="G578" s="519"/>
      <c r="H578" s="1421"/>
      <c r="I578" s="1421"/>
      <c r="J578" s="1421"/>
      <c r="K578" s="1421"/>
      <c r="L578" s="1421"/>
      <c r="M578" s="1421"/>
      <c r="N578" s="1421"/>
      <c r="O578" s="1421"/>
    </row>
    <row r="579">
      <c r="B579" s="1049"/>
      <c r="C579" s="1418"/>
      <c r="D579" s="1299"/>
      <c r="G579" s="519"/>
      <c r="H579" s="1421"/>
      <c r="I579" s="1421"/>
      <c r="J579" s="1421"/>
      <c r="K579" s="1421"/>
      <c r="L579" s="1421"/>
      <c r="M579" s="1421"/>
      <c r="N579" s="1421"/>
      <c r="O579" s="1421"/>
    </row>
    <row r="580">
      <c r="B580" s="1049"/>
      <c r="C580" s="1418"/>
      <c r="D580" s="1299"/>
      <c r="G580" s="519"/>
      <c r="H580" s="1421"/>
      <c r="I580" s="1421"/>
      <c r="J580" s="1421"/>
      <c r="K580" s="1421"/>
      <c r="L580" s="1421"/>
      <c r="M580" s="1421"/>
      <c r="N580" s="1421"/>
      <c r="O580" s="1421"/>
    </row>
    <row r="581">
      <c r="B581" s="1049"/>
      <c r="C581" s="1418"/>
      <c r="D581" s="1299"/>
      <c r="G581" s="519"/>
      <c r="H581" s="1421"/>
      <c r="I581" s="1421"/>
      <c r="J581" s="1421"/>
      <c r="K581" s="1421"/>
      <c r="L581" s="1421"/>
      <c r="M581" s="1421"/>
      <c r="N581" s="1421"/>
      <c r="O581" s="1421"/>
    </row>
    <row r="582">
      <c r="B582" s="1049"/>
      <c r="C582" s="1418"/>
      <c r="D582" s="1299"/>
      <c r="G582" s="519"/>
      <c r="H582" s="1421"/>
      <c r="I582" s="1421"/>
      <c r="J582" s="1421"/>
      <c r="K582" s="1421"/>
      <c r="L582" s="1421"/>
      <c r="M582" s="1421"/>
      <c r="N582" s="1421"/>
      <c r="O582" s="1421"/>
    </row>
    <row r="583">
      <c r="B583" s="1049"/>
      <c r="C583" s="1418"/>
      <c r="D583" s="1299"/>
      <c r="G583" s="519"/>
      <c r="H583" s="1421"/>
      <c r="I583" s="1421"/>
      <c r="J583" s="1421"/>
      <c r="K583" s="1421"/>
      <c r="L583" s="1421"/>
      <c r="M583" s="1421"/>
      <c r="N583" s="1421"/>
      <c r="O583" s="1421"/>
    </row>
    <row r="584">
      <c r="B584" s="1049"/>
      <c r="C584" s="1418"/>
      <c r="D584" s="1299"/>
      <c r="G584" s="519"/>
      <c r="H584" s="1421"/>
      <c r="I584" s="1421"/>
      <c r="J584" s="1421"/>
      <c r="K584" s="1421"/>
      <c r="L584" s="1421"/>
      <c r="M584" s="1421"/>
      <c r="N584" s="1421"/>
      <c r="O584" s="1421"/>
    </row>
    <row r="585">
      <c r="B585" s="1049"/>
      <c r="C585" s="1418"/>
      <c r="D585" s="1299"/>
      <c r="G585" s="519"/>
      <c r="H585" s="1421"/>
      <c r="I585" s="1421"/>
      <c r="J585" s="1421"/>
      <c r="K585" s="1421"/>
      <c r="L585" s="1421"/>
      <c r="M585" s="1421"/>
      <c r="N585" s="1421"/>
      <c r="O585" s="1421"/>
    </row>
    <row r="586">
      <c r="B586" s="1049"/>
      <c r="C586" s="1418"/>
      <c r="D586" s="1299"/>
      <c r="G586" s="519"/>
      <c r="H586" s="1421"/>
      <c r="I586" s="1421"/>
      <c r="J586" s="1421"/>
      <c r="K586" s="1421"/>
      <c r="L586" s="1421"/>
      <c r="M586" s="1421"/>
      <c r="N586" s="1421"/>
      <c r="O586" s="1421"/>
    </row>
    <row r="587">
      <c r="B587" s="1049"/>
      <c r="C587" s="1418"/>
      <c r="D587" s="1299"/>
      <c r="G587" s="519"/>
      <c r="H587" s="1421"/>
      <c r="I587" s="1421"/>
      <c r="J587" s="1421"/>
      <c r="K587" s="1421"/>
      <c r="L587" s="1421"/>
      <c r="M587" s="1421"/>
      <c r="N587" s="1421"/>
      <c r="O587" s="1421"/>
    </row>
    <row r="588">
      <c r="B588" s="1049"/>
      <c r="C588" s="1418"/>
      <c r="D588" s="1299"/>
      <c r="G588" s="519"/>
      <c r="H588" s="1421"/>
      <c r="I588" s="1421"/>
      <c r="J588" s="1421"/>
      <c r="K588" s="1421"/>
      <c r="L588" s="1421"/>
      <c r="M588" s="1421"/>
      <c r="N588" s="1421"/>
      <c r="O588" s="1421"/>
    </row>
    <row r="589">
      <c r="B589" s="1049"/>
      <c r="C589" s="1418"/>
      <c r="D589" s="1299"/>
      <c r="G589" s="519"/>
      <c r="H589" s="1421"/>
      <c r="I589" s="1421"/>
      <c r="J589" s="1421"/>
      <c r="K589" s="1421"/>
      <c r="L589" s="1421"/>
      <c r="M589" s="1421"/>
      <c r="N589" s="1421"/>
      <c r="O589" s="1421"/>
    </row>
    <row r="590">
      <c r="B590" s="1049"/>
      <c r="C590" s="1418"/>
      <c r="D590" s="1299"/>
      <c r="G590" s="519"/>
      <c r="H590" s="1421"/>
      <c r="I590" s="1421"/>
      <c r="J590" s="1421"/>
      <c r="K590" s="1421"/>
      <c r="L590" s="1421"/>
      <c r="M590" s="1421"/>
      <c r="N590" s="1421"/>
      <c r="O590" s="1421"/>
    </row>
    <row r="591">
      <c r="B591" s="1049"/>
      <c r="C591" s="1418"/>
      <c r="D591" s="1299"/>
      <c r="G591" s="519"/>
      <c r="H591" s="1421"/>
      <c r="I591" s="1421"/>
      <c r="J591" s="1421"/>
      <c r="K591" s="1421"/>
      <c r="L591" s="1421"/>
      <c r="M591" s="1421"/>
      <c r="N591" s="1421"/>
      <c r="O591" s="1421"/>
    </row>
    <row r="592">
      <c r="B592" s="1049"/>
      <c r="C592" s="1418"/>
      <c r="D592" s="1299"/>
      <c r="G592" s="519"/>
      <c r="H592" s="1421"/>
      <c r="I592" s="1421"/>
      <c r="J592" s="1421"/>
      <c r="K592" s="1421"/>
      <c r="L592" s="1421"/>
      <c r="M592" s="1421"/>
      <c r="N592" s="1421"/>
      <c r="O592" s="1421"/>
    </row>
    <row r="593">
      <c r="B593" s="1049"/>
      <c r="C593" s="1418"/>
      <c r="D593" s="1299"/>
      <c r="G593" s="519"/>
      <c r="H593" s="1421"/>
      <c r="I593" s="1421"/>
      <c r="J593" s="1421"/>
      <c r="K593" s="1421"/>
      <c r="L593" s="1421"/>
      <c r="M593" s="1421"/>
      <c r="N593" s="1421"/>
      <c r="O593" s="1421"/>
    </row>
    <row r="594">
      <c r="B594" s="1049"/>
      <c r="C594" s="1418"/>
      <c r="D594" s="1299"/>
      <c r="G594" s="519"/>
      <c r="H594" s="1421"/>
      <c r="I594" s="1421"/>
      <c r="J594" s="1421"/>
      <c r="K594" s="1421"/>
      <c r="L594" s="1421"/>
      <c r="M594" s="1421"/>
      <c r="N594" s="1421"/>
      <c r="O594" s="1421"/>
    </row>
    <row r="595">
      <c r="B595" s="1049"/>
      <c r="C595" s="1418"/>
      <c r="D595" s="1299"/>
      <c r="G595" s="519"/>
      <c r="H595" s="1421"/>
      <c r="I595" s="1421"/>
      <c r="J595" s="1421"/>
      <c r="K595" s="1421"/>
      <c r="L595" s="1421"/>
      <c r="M595" s="1421"/>
      <c r="N595" s="1421"/>
      <c r="O595" s="1421"/>
    </row>
    <row r="596">
      <c r="B596" s="1049"/>
      <c r="C596" s="1418"/>
      <c r="D596" s="1299"/>
      <c r="G596" s="519"/>
      <c r="H596" s="1421"/>
      <c r="I596" s="1421"/>
      <c r="J596" s="1421"/>
      <c r="K596" s="1421"/>
      <c r="L596" s="1421"/>
      <c r="M596" s="1421"/>
      <c r="N596" s="1421"/>
      <c r="O596" s="1421"/>
    </row>
    <row r="597">
      <c r="B597" s="1049"/>
      <c r="C597" s="1418"/>
      <c r="D597" s="1299"/>
      <c r="G597" s="519"/>
      <c r="H597" s="1421"/>
      <c r="I597" s="1421"/>
      <c r="J597" s="1421"/>
      <c r="K597" s="1421"/>
      <c r="L597" s="1421"/>
      <c r="M597" s="1421"/>
      <c r="N597" s="1421"/>
      <c r="O597" s="1421"/>
    </row>
    <row r="598">
      <c r="B598" s="1049"/>
      <c r="C598" s="1418"/>
      <c r="D598" s="1299"/>
      <c r="G598" s="519"/>
      <c r="H598" s="1421"/>
      <c r="I598" s="1421"/>
      <c r="J598" s="1421"/>
      <c r="K598" s="1421"/>
      <c r="L598" s="1421"/>
      <c r="M598" s="1421"/>
      <c r="N598" s="1421"/>
      <c r="O598" s="1421"/>
    </row>
    <row r="599">
      <c r="B599" s="1049"/>
      <c r="C599" s="1418"/>
      <c r="D599" s="1299"/>
      <c r="G599" s="519"/>
      <c r="H599" s="1421"/>
      <c r="I599" s="1421"/>
      <c r="J599" s="1421"/>
      <c r="K599" s="1421"/>
      <c r="L599" s="1421"/>
      <c r="M599" s="1421"/>
      <c r="N599" s="1421"/>
      <c r="O599" s="1421"/>
    </row>
    <row r="600">
      <c r="B600" s="1049"/>
      <c r="C600" s="1418"/>
      <c r="D600" s="1299"/>
      <c r="G600" s="519"/>
      <c r="H600" s="1421"/>
      <c r="I600" s="1421"/>
      <c r="J600" s="1421"/>
      <c r="K600" s="1421"/>
      <c r="L600" s="1421"/>
      <c r="M600" s="1421"/>
      <c r="N600" s="1421"/>
      <c r="O600" s="1421"/>
    </row>
    <row r="601">
      <c r="B601" s="1049"/>
      <c r="C601" s="1418"/>
      <c r="D601" s="1299"/>
      <c r="G601" s="519"/>
      <c r="H601" s="1421"/>
      <c r="I601" s="1421"/>
      <c r="J601" s="1421"/>
      <c r="K601" s="1421"/>
      <c r="L601" s="1421"/>
      <c r="M601" s="1421"/>
      <c r="N601" s="1421"/>
      <c r="O601" s="1421"/>
    </row>
    <row r="602">
      <c r="B602" s="1049"/>
      <c r="C602" s="1418"/>
      <c r="D602" s="1299"/>
      <c r="G602" s="519"/>
      <c r="H602" s="1421"/>
      <c r="I602" s="1421"/>
      <c r="J602" s="1421"/>
      <c r="K602" s="1421"/>
      <c r="L602" s="1421"/>
      <c r="M602" s="1421"/>
      <c r="N602" s="1421"/>
      <c r="O602" s="1421"/>
    </row>
    <row r="603">
      <c r="B603" s="1049"/>
      <c r="C603" s="1418"/>
      <c r="D603" s="1299"/>
      <c r="G603" s="519"/>
      <c r="H603" s="1421"/>
      <c r="I603" s="1421"/>
      <c r="J603" s="1421"/>
      <c r="K603" s="1421"/>
      <c r="L603" s="1421"/>
      <c r="M603" s="1421"/>
      <c r="N603" s="1421"/>
      <c r="O603" s="1421"/>
    </row>
    <row r="604">
      <c r="B604" s="1049"/>
      <c r="C604" s="1418"/>
      <c r="D604" s="1299"/>
      <c r="G604" s="519"/>
      <c r="H604" s="1421"/>
      <c r="I604" s="1421"/>
      <c r="J604" s="1421"/>
      <c r="K604" s="1421"/>
      <c r="L604" s="1421"/>
      <c r="M604" s="1421"/>
      <c r="N604" s="1421"/>
      <c r="O604" s="1421"/>
    </row>
    <row r="605">
      <c r="B605" s="1049"/>
      <c r="C605" s="1418"/>
      <c r="D605" s="1299"/>
      <c r="G605" s="519"/>
      <c r="H605" s="1421"/>
      <c r="I605" s="1421"/>
      <c r="J605" s="1421"/>
      <c r="K605" s="1421"/>
      <c r="L605" s="1421"/>
      <c r="M605" s="1421"/>
      <c r="N605" s="1421"/>
      <c r="O605" s="1421"/>
    </row>
    <row r="606">
      <c r="B606" s="1049"/>
      <c r="C606" s="1418"/>
      <c r="D606" s="1299"/>
      <c r="G606" s="519"/>
      <c r="H606" s="1421"/>
      <c r="I606" s="1421"/>
      <c r="J606" s="1421"/>
      <c r="K606" s="1421"/>
      <c r="L606" s="1421"/>
      <c r="M606" s="1421"/>
      <c r="N606" s="1421"/>
      <c r="O606" s="1421"/>
    </row>
    <row r="607">
      <c r="B607" s="1049"/>
      <c r="C607" s="1418"/>
      <c r="D607" s="1299"/>
      <c r="G607" s="519"/>
      <c r="H607" s="1421"/>
      <c r="I607" s="1421"/>
      <c r="J607" s="1421"/>
      <c r="K607" s="1421"/>
      <c r="L607" s="1421"/>
      <c r="M607" s="1421"/>
      <c r="N607" s="1421"/>
      <c r="O607" s="1421"/>
    </row>
    <row r="608">
      <c r="B608" s="1049"/>
      <c r="C608" s="1418"/>
      <c r="D608" s="1299"/>
      <c r="G608" s="519"/>
      <c r="H608" s="1421"/>
      <c r="I608" s="1421"/>
      <c r="J608" s="1421"/>
      <c r="K608" s="1421"/>
      <c r="L608" s="1421"/>
      <c r="M608" s="1421"/>
      <c r="N608" s="1421"/>
      <c r="O608" s="1421"/>
    </row>
    <row r="609">
      <c r="B609" s="1049"/>
      <c r="C609" s="1418"/>
      <c r="D609" s="1299"/>
      <c r="G609" s="519"/>
      <c r="H609" s="1421"/>
      <c r="I609" s="1421"/>
      <c r="J609" s="1421"/>
      <c r="K609" s="1421"/>
      <c r="L609" s="1421"/>
      <c r="M609" s="1421"/>
      <c r="N609" s="1421"/>
      <c r="O609" s="1421"/>
    </row>
    <row r="610">
      <c r="B610" s="1049"/>
      <c r="C610" s="1418"/>
      <c r="D610" s="1299"/>
      <c r="G610" s="519"/>
      <c r="H610" s="1421"/>
      <c r="I610" s="1421"/>
      <c r="J610" s="1421"/>
      <c r="K610" s="1421"/>
      <c r="L610" s="1421"/>
      <c r="M610" s="1421"/>
      <c r="N610" s="1421"/>
      <c r="O610" s="1421"/>
    </row>
    <row r="611">
      <c r="B611" s="1049"/>
      <c r="C611" s="1418"/>
      <c r="D611" s="1299"/>
      <c r="G611" s="519"/>
      <c r="H611" s="1421"/>
      <c r="I611" s="1421"/>
      <c r="J611" s="1421"/>
      <c r="K611" s="1421"/>
      <c r="L611" s="1421"/>
      <c r="M611" s="1421"/>
      <c r="N611" s="1421"/>
      <c r="O611" s="1421"/>
    </row>
    <row r="612">
      <c r="B612" s="1049"/>
      <c r="C612" s="1418"/>
      <c r="D612" s="1299"/>
      <c r="G612" s="519"/>
      <c r="H612" s="1421"/>
      <c r="I612" s="1421"/>
      <c r="J612" s="1421"/>
      <c r="K612" s="1421"/>
      <c r="L612" s="1421"/>
      <c r="M612" s="1421"/>
      <c r="N612" s="1421"/>
      <c r="O612" s="1421"/>
    </row>
    <row r="613">
      <c r="B613" s="1049"/>
      <c r="C613" s="1418"/>
      <c r="D613" s="1299"/>
      <c r="G613" s="519"/>
      <c r="H613" s="1421"/>
      <c r="I613" s="1421"/>
      <c r="J613" s="1421"/>
      <c r="K613" s="1421"/>
      <c r="L613" s="1421"/>
      <c r="M613" s="1421"/>
      <c r="N613" s="1421"/>
      <c r="O613" s="1421"/>
    </row>
    <row r="614">
      <c r="B614" s="1049"/>
      <c r="C614" s="1418"/>
      <c r="D614" s="1299"/>
      <c r="G614" s="519"/>
      <c r="H614" s="1421"/>
      <c r="I614" s="1421"/>
      <c r="J614" s="1421"/>
      <c r="K614" s="1421"/>
      <c r="L614" s="1421"/>
      <c r="M614" s="1421"/>
      <c r="N614" s="1421"/>
      <c r="O614" s="1421"/>
    </row>
    <row r="615">
      <c r="B615" s="1049"/>
      <c r="C615" s="1418"/>
      <c r="D615" s="1299"/>
      <c r="G615" s="519"/>
      <c r="H615" s="1421"/>
      <c r="I615" s="1421"/>
      <c r="J615" s="1421"/>
      <c r="K615" s="1421"/>
      <c r="L615" s="1421"/>
      <c r="M615" s="1421"/>
      <c r="N615" s="1421"/>
      <c r="O615" s="1421"/>
    </row>
    <row r="616">
      <c r="B616" s="1049"/>
      <c r="C616" s="1418"/>
      <c r="D616" s="1299"/>
      <c r="G616" s="519"/>
      <c r="H616" s="1421"/>
      <c r="I616" s="1421"/>
      <c r="J616" s="1421"/>
      <c r="K616" s="1421"/>
      <c r="L616" s="1421"/>
      <c r="M616" s="1421"/>
      <c r="N616" s="1421"/>
      <c r="O616" s="1421"/>
    </row>
    <row r="617">
      <c r="B617" s="1049"/>
      <c r="C617" s="1418"/>
      <c r="D617" s="1299"/>
      <c r="G617" s="519"/>
      <c r="H617" s="1421"/>
      <c r="I617" s="1421"/>
      <c r="J617" s="1421"/>
      <c r="K617" s="1421"/>
      <c r="L617" s="1421"/>
      <c r="M617" s="1421"/>
      <c r="N617" s="1421"/>
      <c r="O617" s="1421"/>
    </row>
    <row r="618">
      <c r="B618" s="1049"/>
      <c r="C618" s="1418"/>
      <c r="D618" s="1299"/>
      <c r="G618" s="519"/>
      <c r="H618" s="1421"/>
      <c r="I618" s="1421"/>
      <c r="J618" s="1421"/>
      <c r="K618" s="1421"/>
      <c r="L618" s="1421"/>
      <c r="M618" s="1421"/>
      <c r="N618" s="1421"/>
      <c r="O618" s="1421"/>
    </row>
    <row r="619">
      <c r="B619" s="1049"/>
      <c r="C619" s="1418"/>
      <c r="D619" s="1299"/>
      <c r="G619" s="519"/>
      <c r="H619" s="1421"/>
      <c r="I619" s="1421"/>
      <c r="J619" s="1421"/>
      <c r="K619" s="1421"/>
      <c r="L619" s="1421"/>
      <c r="M619" s="1421"/>
      <c r="N619" s="1421"/>
      <c r="O619" s="1421"/>
    </row>
    <row r="620">
      <c r="B620" s="1049"/>
      <c r="C620" s="1418"/>
      <c r="D620" s="1299"/>
      <c r="G620" s="519"/>
      <c r="H620" s="1421"/>
      <c r="I620" s="1421"/>
      <c r="J620" s="1421"/>
      <c r="K620" s="1421"/>
      <c r="L620" s="1421"/>
      <c r="M620" s="1421"/>
      <c r="N620" s="1421"/>
      <c r="O620" s="1421"/>
    </row>
    <row r="621">
      <c r="B621" s="1049"/>
      <c r="C621" s="1418"/>
      <c r="D621" s="1299"/>
      <c r="G621" s="519"/>
      <c r="H621" s="1421"/>
      <c r="I621" s="1421"/>
      <c r="J621" s="1421"/>
      <c r="K621" s="1421"/>
      <c r="L621" s="1421"/>
      <c r="M621" s="1421"/>
      <c r="N621" s="1421"/>
      <c r="O621" s="1421"/>
    </row>
    <row r="622">
      <c r="B622" s="1049"/>
      <c r="C622" s="1418"/>
      <c r="D622" s="1299"/>
      <c r="G622" s="519"/>
      <c r="H622" s="1421"/>
      <c r="I622" s="1421"/>
      <c r="J622" s="1421"/>
      <c r="K622" s="1421"/>
      <c r="L622" s="1421"/>
      <c r="M622" s="1421"/>
      <c r="N622" s="1421"/>
      <c r="O622" s="1421"/>
    </row>
    <row r="623">
      <c r="B623" s="1049"/>
      <c r="C623" s="1418"/>
      <c r="D623" s="1299"/>
      <c r="G623" s="519"/>
      <c r="H623" s="1421"/>
      <c r="I623" s="1421"/>
      <c r="J623" s="1421"/>
      <c r="K623" s="1421"/>
      <c r="L623" s="1421"/>
      <c r="M623" s="1421"/>
      <c r="N623" s="1421"/>
      <c r="O623" s="1421"/>
    </row>
    <row r="624">
      <c r="B624" s="1049"/>
      <c r="C624" s="1418"/>
      <c r="D624" s="1299"/>
      <c r="G624" s="519"/>
      <c r="H624" s="1421"/>
      <c r="I624" s="1421"/>
      <c r="J624" s="1421"/>
      <c r="K624" s="1421"/>
      <c r="L624" s="1421"/>
      <c r="M624" s="1421"/>
      <c r="N624" s="1421"/>
      <c r="O624" s="1421"/>
    </row>
    <row r="625">
      <c r="B625" s="1049"/>
      <c r="C625" s="1418"/>
      <c r="D625" s="1299"/>
      <c r="G625" s="519"/>
      <c r="H625" s="1421"/>
      <c r="I625" s="1421"/>
      <c r="J625" s="1421"/>
      <c r="K625" s="1421"/>
      <c r="L625" s="1421"/>
      <c r="M625" s="1421"/>
      <c r="N625" s="1421"/>
      <c r="O625" s="1421"/>
    </row>
    <row r="626">
      <c r="B626" s="1049"/>
      <c r="C626" s="1418"/>
      <c r="D626" s="1299"/>
      <c r="G626" s="519"/>
      <c r="H626" s="1421"/>
      <c r="I626" s="1421"/>
      <c r="J626" s="1421"/>
      <c r="K626" s="1421"/>
      <c r="L626" s="1421"/>
      <c r="M626" s="1421"/>
      <c r="N626" s="1421"/>
      <c r="O626" s="1421"/>
    </row>
    <row r="627">
      <c r="B627" s="1049"/>
      <c r="C627" s="1418"/>
      <c r="D627" s="1299"/>
      <c r="G627" s="519"/>
      <c r="H627" s="1421"/>
      <c r="I627" s="1421"/>
      <c r="J627" s="1421"/>
      <c r="K627" s="1421"/>
      <c r="L627" s="1421"/>
      <c r="M627" s="1421"/>
      <c r="N627" s="1421"/>
      <c r="O627" s="1421"/>
    </row>
    <row r="628">
      <c r="B628" s="1049"/>
      <c r="C628" s="1418"/>
      <c r="D628" s="1299"/>
      <c r="G628" s="519"/>
      <c r="H628" s="1421"/>
      <c r="I628" s="1421"/>
      <c r="J628" s="1421"/>
      <c r="K628" s="1421"/>
      <c r="L628" s="1421"/>
      <c r="M628" s="1421"/>
      <c r="N628" s="1421"/>
      <c r="O628" s="1421"/>
    </row>
    <row r="629">
      <c r="B629" s="1049"/>
      <c r="C629" s="1418"/>
      <c r="D629" s="1299"/>
      <c r="G629" s="519"/>
      <c r="H629" s="1421"/>
      <c r="I629" s="1421"/>
      <c r="J629" s="1421"/>
      <c r="K629" s="1421"/>
      <c r="L629" s="1421"/>
      <c r="M629" s="1421"/>
      <c r="N629" s="1421"/>
      <c r="O629" s="1421"/>
    </row>
    <row r="630">
      <c r="B630" s="1049"/>
      <c r="C630" s="1418"/>
      <c r="D630" s="1299"/>
      <c r="G630" s="519"/>
      <c r="H630" s="1421"/>
      <c r="I630" s="1421"/>
      <c r="J630" s="1421"/>
      <c r="K630" s="1421"/>
      <c r="L630" s="1421"/>
      <c r="M630" s="1421"/>
      <c r="N630" s="1421"/>
      <c r="O630" s="1421"/>
    </row>
    <row r="631">
      <c r="B631" s="1049"/>
      <c r="C631" s="1418"/>
      <c r="D631" s="1299"/>
      <c r="G631" s="519"/>
      <c r="H631" s="1421"/>
      <c r="I631" s="1421"/>
      <c r="J631" s="1421"/>
      <c r="K631" s="1421"/>
      <c r="L631" s="1421"/>
      <c r="M631" s="1421"/>
      <c r="N631" s="1421"/>
      <c r="O631" s="1421"/>
    </row>
    <row r="632">
      <c r="B632" s="1049"/>
      <c r="C632" s="1418"/>
      <c r="D632" s="1299"/>
      <c r="G632" s="519"/>
      <c r="H632" s="1421"/>
      <c r="I632" s="1421"/>
      <c r="J632" s="1421"/>
      <c r="K632" s="1421"/>
      <c r="L632" s="1421"/>
      <c r="M632" s="1421"/>
      <c r="N632" s="1421"/>
      <c r="O632" s="1421"/>
    </row>
    <row r="633">
      <c r="B633" s="1049"/>
      <c r="C633" s="1418"/>
      <c r="D633" s="1299"/>
      <c r="G633" s="519"/>
      <c r="H633" s="1421"/>
      <c r="I633" s="1421"/>
      <c r="J633" s="1421"/>
      <c r="K633" s="1421"/>
      <c r="L633" s="1421"/>
      <c r="M633" s="1421"/>
      <c r="N633" s="1421"/>
      <c r="O633" s="1421"/>
    </row>
    <row r="634">
      <c r="B634" s="1049"/>
      <c r="C634" s="1418"/>
      <c r="D634" s="1299"/>
      <c r="G634" s="519"/>
      <c r="H634" s="1421"/>
      <c r="I634" s="1421"/>
      <c r="J634" s="1421"/>
      <c r="K634" s="1421"/>
      <c r="L634" s="1421"/>
      <c r="M634" s="1421"/>
      <c r="N634" s="1421"/>
      <c r="O634" s="1421"/>
    </row>
    <row r="635">
      <c r="B635" s="1049"/>
      <c r="C635" s="1418"/>
      <c r="D635" s="1299"/>
      <c r="G635" s="519"/>
      <c r="H635" s="1421"/>
      <c r="I635" s="1421"/>
      <c r="J635" s="1421"/>
      <c r="K635" s="1421"/>
      <c r="L635" s="1421"/>
      <c r="M635" s="1421"/>
      <c r="N635" s="1421"/>
      <c r="O635" s="1421"/>
    </row>
    <row r="636">
      <c r="B636" s="1049"/>
      <c r="C636" s="1418"/>
      <c r="D636" s="1299"/>
      <c r="G636" s="519"/>
      <c r="H636" s="1421"/>
      <c r="I636" s="1421"/>
      <c r="J636" s="1421"/>
      <c r="K636" s="1421"/>
      <c r="L636" s="1421"/>
      <c r="M636" s="1421"/>
      <c r="N636" s="1421"/>
      <c r="O636" s="1421"/>
    </row>
    <row r="637">
      <c r="B637" s="1049"/>
      <c r="C637" s="1418"/>
      <c r="D637" s="1299"/>
      <c r="G637" s="519"/>
      <c r="H637" s="1421"/>
      <c r="I637" s="1421"/>
      <c r="J637" s="1421"/>
      <c r="K637" s="1421"/>
      <c r="L637" s="1421"/>
      <c r="M637" s="1421"/>
      <c r="N637" s="1421"/>
      <c r="O637" s="1421"/>
    </row>
    <row r="638">
      <c r="B638" s="1049"/>
      <c r="C638" s="1418"/>
      <c r="D638" s="1299"/>
      <c r="G638" s="519"/>
      <c r="H638" s="1421"/>
      <c r="I638" s="1421"/>
      <c r="J638" s="1421"/>
      <c r="K638" s="1421"/>
      <c r="L638" s="1421"/>
      <c r="M638" s="1421"/>
      <c r="N638" s="1421"/>
      <c r="O638" s="1421"/>
    </row>
    <row r="639">
      <c r="B639" s="1049"/>
      <c r="C639" s="1418"/>
      <c r="D639" s="1299"/>
      <c r="G639" s="519"/>
      <c r="H639" s="1421"/>
      <c r="I639" s="1421"/>
      <c r="J639" s="1421"/>
      <c r="K639" s="1421"/>
      <c r="L639" s="1421"/>
      <c r="M639" s="1421"/>
      <c r="N639" s="1421"/>
      <c r="O639" s="1421"/>
    </row>
    <row r="640">
      <c r="B640" s="1049"/>
      <c r="C640" s="1418"/>
      <c r="D640" s="1299"/>
      <c r="G640" s="519"/>
      <c r="H640" s="1421"/>
      <c r="I640" s="1421"/>
      <c r="J640" s="1421"/>
      <c r="K640" s="1421"/>
      <c r="L640" s="1421"/>
      <c r="M640" s="1421"/>
      <c r="N640" s="1421"/>
      <c r="O640" s="1421"/>
    </row>
    <row r="641">
      <c r="B641" s="1049"/>
      <c r="C641" s="1418"/>
      <c r="D641" s="1299"/>
      <c r="G641" s="519"/>
      <c r="H641" s="1421"/>
      <c r="I641" s="1421"/>
      <c r="J641" s="1421"/>
      <c r="K641" s="1421"/>
      <c r="L641" s="1421"/>
      <c r="M641" s="1421"/>
      <c r="N641" s="1421"/>
      <c r="O641" s="1421"/>
    </row>
    <row r="642">
      <c r="B642" s="1049"/>
      <c r="C642" s="1418"/>
      <c r="D642" s="1299"/>
      <c r="G642" s="519"/>
      <c r="H642" s="1421"/>
      <c r="I642" s="1421"/>
      <c r="J642" s="1421"/>
      <c r="K642" s="1421"/>
      <c r="L642" s="1421"/>
      <c r="M642" s="1421"/>
      <c r="N642" s="1421"/>
      <c r="O642" s="1421"/>
    </row>
    <row r="643">
      <c r="B643" s="1049"/>
      <c r="C643" s="1418"/>
      <c r="D643" s="1299"/>
      <c r="G643" s="519"/>
      <c r="H643" s="1421"/>
      <c r="I643" s="1421"/>
      <c r="J643" s="1421"/>
      <c r="K643" s="1421"/>
      <c r="L643" s="1421"/>
      <c r="M643" s="1421"/>
      <c r="N643" s="1421"/>
      <c r="O643" s="1421"/>
    </row>
    <row r="644">
      <c r="B644" s="1049"/>
      <c r="C644" s="1418"/>
      <c r="D644" s="1299"/>
      <c r="G644" s="519"/>
      <c r="H644" s="1421"/>
      <c r="I644" s="1421"/>
      <c r="J644" s="1421"/>
      <c r="K644" s="1421"/>
      <c r="L644" s="1421"/>
      <c r="M644" s="1421"/>
      <c r="N644" s="1421"/>
      <c r="O644" s="1421"/>
    </row>
    <row r="645">
      <c r="B645" s="1049"/>
      <c r="C645" s="1418"/>
      <c r="D645" s="1299"/>
      <c r="G645" s="519"/>
      <c r="H645" s="1421"/>
      <c r="I645" s="1421"/>
      <c r="J645" s="1421"/>
      <c r="K645" s="1421"/>
      <c r="L645" s="1421"/>
      <c r="M645" s="1421"/>
      <c r="N645" s="1421"/>
      <c r="O645" s="1421"/>
    </row>
    <row r="646">
      <c r="B646" s="1049"/>
      <c r="C646" s="1418"/>
      <c r="D646" s="1299"/>
      <c r="G646" s="519"/>
      <c r="H646" s="1421"/>
      <c r="I646" s="1421"/>
      <c r="J646" s="1421"/>
      <c r="K646" s="1421"/>
      <c r="L646" s="1421"/>
      <c r="M646" s="1421"/>
      <c r="N646" s="1421"/>
      <c r="O646" s="1421"/>
    </row>
    <row r="647">
      <c r="B647" s="1049"/>
      <c r="C647" s="1418"/>
      <c r="D647" s="1299"/>
      <c r="G647" s="519"/>
      <c r="H647" s="1421"/>
      <c r="I647" s="1421"/>
      <c r="J647" s="1421"/>
      <c r="K647" s="1421"/>
      <c r="L647" s="1421"/>
      <c r="M647" s="1421"/>
      <c r="N647" s="1421"/>
      <c r="O647" s="1421"/>
    </row>
    <row r="648">
      <c r="B648" s="1049"/>
      <c r="C648" s="1418"/>
      <c r="D648" s="1299"/>
      <c r="G648" s="519"/>
      <c r="H648" s="1421"/>
      <c r="I648" s="1421"/>
      <c r="J648" s="1421"/>
      <c r="K648" s="1421"/>
      <c r="L648" s="1421"/>
      <c r="M648" s="1421"/>
      <c r="N648" s="1421"/>
      <c r="O648" s="1421"/>
    </row>
    <row r="649">
      <c r="B649" s="1049"/>
      <c r="C649" s="1418"/>
      <c r="D649" s="1299"/>
      <c r="G649" s="519"/>
      <c r="H649" s="1421"/>
      <c r="I649" s="1421"/>
      <c r="J649" s="1421"/>
      <c r="K649" s="1421"/>
      <c r="L649" s="1421"/>
      <c r="M649" s="1421"/>
      <c r="N649" s="1421"/>
      <c r="O649" s="1421"/>
    </row>
    <row r="650">
      <c r="B650" s="1049"/>
      <c r="C650" s="1418"/>
      <c r="D650" s="1299"/>
      <c r="G650" s="519"/>
      <c r="H650" s="1421"/>
      <c r="I650" s="1421"/>
      <c r="J650" s="1421"/>
      <c r="K650" s="1421"/>
      <c r="L650" s="1421"/>
      <c r="M650" s="1421"/>
      <c r="N650" s="1421"/>
      <c r="O650" s="1421"/>
    </row>
    <row r="651">
      <c r="B651" s="1049"/>
      <c r="C651" s="1418"/>
      <c r="D651" s="1299"/>
      <c r="G651" s="519"/>
      <c r="H651" s="1421"/>
      <c r="I651" s="1421"/>
      <c r="J651" s="1421"/>
      <c r="K651" s="1421"/>
      <c r="L651" s="1421"/>
      <c r="M651" s="1421"/>
      <c r="N651" s="1421"/>
      <c r="O651" s="1421"/>
    </row>
    <row r="652">
      <c r="B652" s="1049"/>
      <c r="C652" s="1418"/>
      <c r="D652" s="1299"/>
      <c r="G652" s="519"/>
      <c r="H652" s="1421"/>
      <c r="I652" s="1421"/>
      <c r="J652" s="1421"/>
      <c r="K652" s="1421"/>
      <c r="L652" s="1421"/>
      <c r="M652" s="1421"/>
      <c r="N652" s="1421"/>
      <c r="O652" s="1421"/>
    </row>
    <row r="653">
      <c r="B653" s="1049"/>
      <c r="C653" s="1418"/>
      <c r="D653" s="1299"/>
      <c r="G653" s="519"/>
      <c r="H653" s="1421"/>
      <c r="I653" s="1421"/>
      <c r="J653" s="1421"/>
      <c r="K653" s="1421"/>
      <c r="L653" s="1421"/>
      <c r="M653" s="1421"/>
      <c r="N653" s="1421"/>
      <c r="O653" s="1421"/>
    </row>
    <row r="654">
      <c r="B654" s="1049"/>
      <c r="C654" s="1418"/>
      <c r="D654" s="1299"/>
      <c r="G654" s="519"/>
      <c r="H654" s="1421"/>
      <c r="I654" s="1421"/>
      <c r="J654" s="1421"/>
      <c r="K654" s="1421"/>
      <c r="L654" s="1421"/>
      <c r="M654" s="1421"/>
      <c r="N654" s="1421"/>
      <c r="O654" s="1421"/>
    </row>
    <row r="655">
      <c r="B655" s="1049"/>
      <c r="C655" s="1418"/>
      <c r="D655" s="1299"/>
      <c r="G655" s="519"/>
      <c r="H655" s="1421"/>
      <c r="I655" s="1421"/>
      <c r="J655" s="1421"/>
      <c r="K655" s="1421"/>
      <c r="L655" s="1421"/>
      <c r="M655" s="1421"/>
      <c r="N655" s="1421"/>
      <c r="O655" s="1421"/>
    </row>
    <row r="656">
      <c r="B656" s="1049"/>
      <c r="C656" s="1418"/>
      <c r="D656" s="1299"/>
      <c r="G656" s="519"/>
      <c r="H656" s="1421"/>
      <c r="I656" s="1421"/>
      <c r="J656" s="1421"/>
      <c r="K656" s="1421"/>
      <c r="L656" s="1421"/>
      <c r="M656" s="1421"/>
      <c r="N656" s="1421"/>
      <c r="O656" s="1421"/>
    </row>
    <row r="657">
      <c r="B657" s="1049"/>
      <c r="C657" s="1418"/>
      <c r="D657" s="1299"/>
      <c r="G657" s="519"/>
      <c r="H657" s="1421"/>
      <c r="I657" s="1421"/>
      <c r="J657" s="1421"/>
      <c r="K657" s="1421"/>
      <c r="L657" s="1421"/>
      <c r="M657" s="1421"/>
      <c r="N657" s="1421"/>
      <c r="O657" s="1421"/>
    </row>
    <row r="658">
      <c r="B658" s="1049"/>
      <c r="C658" s="1418"/>
      <c r="D658" s="1299"/>
      <c r="G658" s="519"/>
      <c r="H658" s="1421"/>
      <c r="I658" s="1421"/>
      <c r="J658" s="1421"/>
      <c r="K658" s="1421"/>
      <c r="L658" s="1421"/>
      <c r="M658" s="1421"/>
      <c r="N658" s="1421"/>
      <c r="O658" s="1421"/>
    </row>
    <row r="659">
      <c r="B659" s="1049"/>
      <c r="C659" s="1418"/>
      <c r="D659" s="1299"/>
      <c r="G659" s="519"/>
      <c r="H659" s="1421"/>
      <c r="I659" s="1421"/>
      <c r="J659" s="1421"/>
      <c r="K659" s="1421"/>
      <c r="L659" s="1421"/>
      <c r="M659" s="1421"/>
      <c r="N659" s="1421"/>
      <c r="O659" s="1421"/>
    </row>
    <row r="660">
      <c r="B660" s="1049"/>
      <c r="C660" s="1418"/>
      <c r="D660" s="1299"/>
      <c r="G660" s="519"/>
      <c r="H660" s="1421"/>
      <c r="I660" s="1421"/>
      <c r="J660" s="1421"/>
      <c r="K660" s="1421"/>
      <c r="L660" s="1421"/>
      <c r="M660" s="1421"/>
      <c r="N660" s="1421"/>
      <c r="O660" s="1421"/>
    </row>
    <row r="661">
      <c r="B661" s="1049"/>
      <c r="C661" s="1418"/>
      <c r="D661" s="1299"/>
      <c r="G661" s="519"/>
      <c r="H661" s="1421"/>
      <c r="I661" s="1421"/>
      <c r="J661" s="1421"/>
      <c r="K661" s="1421"/>
      <c r="L661" s="1421"/>
      <c r="M661" s="1421"/>
      <c r="N661" s="1421"/>
      <c r="O661" s="1421"/>
    </row>
    <row r="662">
      <c r="B662" s="1049"/>
      <c r="C662" s="1418"/>
      <c r="D662" s="1299"/>
      <c r="G662" s="519"/>
      <c r="H662" s="1421"/>
      <c r="I662" s="1421"/>
      <c r="J662" s="1421"/>
      <c r="K662" s="1421"/>
      <c r="L662" s="1421"/>
      <c r="M662" s="1421"/>
      <c r="N662" s="1421"/>
      <c r="O662" s="1421"/>
    </row>
    <row r="663">
      <c r="B663" s="1049"/>
      <c r="C663" s="1418"/>
      <c r="D663" s="1299"/>
      <c r="G663" s="519"/>
      <c r="H663" s="1421"/>
      <c r="I663" s="1421"/>
      <c r="J663" s="1421"/>
      <c r="K663" s="1421"/>
      <c r="L663" s="1421"/>
      <c r="M663" s="1421"/>
      <c r="N663" s="1421"/>
      <c r="O663" s="1421"/>
    </row>
    <row r="664">
      <c r="B664" s="1049"/>
      <c r="C664" s="1418"/>
      <c r="D664" s="1299"/>
      <c r="G664" s="519"/>
      <c r="H664" s="1421"/>
      <c r="I664" s="1421"/>
      <c r="J664" s="1421"/>
      <c r="K664" s="1421"/>
      <c r="L664" s="1421"/>
      <c r="M664" s="1421"/>
      <c r="N664" s="1421"/>
      <c r="O664" s="1421"/>
    </row>
    <row r="665">
      <c r="B665" s="1049"/>
      <c r="C665" s="1418"/>
      <c r="D665" s="1299"/>
      <c r="G665" s="519"/>
      <c r="H665" s="1421"/>
      <c r="I665" s="1421"/>
      <c r="J665" s="1421"/>
      <c r="K665" s="1421"/>
      <c r="L665" s="1421"/>
      <c r="M665" s="1421"/>
      <c r="N665" s="1421"/>
      <c r="O665" s="1421"/>
    </row>
    <row r="666">
      <c r="B666" s="1049"/>
      <c r="C666" s="1418"/>
      <c r="D666" s="1299"/>
      <c r="G666" s="519"/>
      <c r="H666" s="1421"/>
      <c r="I666" s="1421"/>
      <c r="J666" s="1421"/>
      <c r="K666" s="1421"/>
      <c r="L666" s="1421"/>
      <c r="M666" s="1421"/>
      <c r="N666" s="1421"/>
      <c r="O666" s="1421"/>
    </row>
    <row r="667">
      <c r="B667" s="1049"/>
      <c r="C667" s="1418"/>
      <c r="D667" s="1299"/>
      <c r="G667" s="519"/>
      <c r="H667" s="1421"/>
      <c r="I667" s="1421"/>
      <c r="J667" s="1421"/>
      <c r="K667" s="1421"/>
      <c r="L667" s="1421"/>
      <c r="M667" s="1421"/>
      <c r="N667" s="1421"/>
      <c r="O667" s="1421"/>
    </row>
    <row r="668">
      <c r="B668" s="1049"/>
      <c r="C668" s="1418"/>
      <c r="D668" s="1299"/>
      <c r="G668" s="519"/>
      <c r="H668" s="1421"/>
      <c r="I668" s="1421"/>
      <c r="J668" s="1421"/>
      <c r="K668" s="1421"/>
      <c r="L668" s="1421"/>
      <c r="M668" s="1421"/>
      <c r="N668" s="1421"/>
      <c r="O668" s="1421"/>
    </row>
    <row r="669">
      <c r="B669" s="1049"/>
      <c r="C669" s="1418"/>
      <c r="D669" s="1299"/>
      <c r="G669" s="519"/>
      <c r="H669" s="1421"/>
      <c r="I669" s="1421"/>
      <c r="J669" s="1421"/>
      <c r="K669" s="1421"/>
      <c r="L669" s="1421"/>
      <c r="M669" s="1421"/>
      <c r="N669" s="1421"/>
      <c r="O669" s="1421"/>
    </row>
    <row r="670">
      <c r="B670" s="1049"/>
      <c r="C670" s="1418"/>
      <c r="D670" s="1299"/>
      <c r="G670" s="519"/>
      <c r="H670" s="1421"/>
      <c r="I670" s="1421"/>
      <c r="J670" s="1421"/>
      <c r="K670" s="1421"/>
      <c r="L670" s="1421"/>
      <c r="M670" s="1421"/>
      <c r="N670" s="1421"/>
      <c r="O670" s="1421"/>
    </row>
    <row r="671">
      <c r="B671" s="1049"/>
      <c r="C671" s="1418"/>
      <c r="D671" s="1299"/>
      <c r="G671" s="519"/>
      <c r="H671" s="1421"/>
      <c r="I671" s="1421"/>
      <c r="J671" s="1421"/>
      <c r="K671" s="1421"/>
      <c r="L671" s="1421"/>
      <c r="M671" s="1421"/>
      <c r="N671" s="1421"/>
      <c r="O671" s="1421"/>
    </row>
    <row r="672">
      <c r="B672" s="1049"/>
      <c r="C672" s="1418"/>
      <c r="D672" s="1299"/>
      <c r="G672" s="519"/>
      <c r="H672" s="1421"/>
      <c r="I672" s="1421"/>
      <c r="J672" s="1421"/>
      <c r="K672" s="1421"/>
      <c r="L672" s="1421"/>
      <c r="M672" s="1421"/>
      <c r="N672" s="1421"/>
      <c r="O672" s="1421"/>
    </row>
    <row r="673">
      <c r="B673" s="1049"/>
      <c r="C673" s="1418"/>
      <c r="D673" s="1299"/>
      <c r="G673" s="519"/>
      <c r="H673" s="1421"/>
      <c r="I673" s="1421"/>
      <c r="J673" s="1421"/>
      <c r="K673" s="1421"/>
      <c r="L673" s="1421"/>
      <c r="M673" s="1421"/>
      <c r="N673" s="1421"/>
      <c r="O673" s="1421"/>
    </row>
    <row r="674">
      <c r="B674" s="1049"/>
      <c r="C674" s="1418"/>
      <c r="D674" s="1299"/>
      <c r="G674" s="519"/>
      <c r="H674" s="1421"/>
      <c r="I674" s="1421"/>
      <c r="J674" s="1421"/>
      <c r="K674" s="1421"/>
      <c r="L674" s="1421"/>
      <c r="M674" s="1421"/>
      <c r="N674" s="1421"/>
      <c r="O674" s="1421"/>
    </row>
    <row r="675">
      <c r="B675" s="1049"/>
      <c r="C675" s="1418"/>
      <c r="D675" s="1299"/>
      <c r="G675" s="519"/>
      <c r="H675" s="1421"/>
      <c r="I675" s="1421"/>
      <c r="J675" s="1421"/>
      <c r="K675" s="1421"/>
      <c r="L675" s="1421"/>
      <c r="M675" s="1421"/>
      <c r="N675" s="1421"/>
      <c r="O675" s="1421"/>
    </row>
    <row r="676">
      <c r="B676" s="1049"/>
      <c r="C676" s="1418"/>
      <c r="D676" s="1299"/>
      <c r="G676" s="519"/>
      <c r="H676" s="1421"/>
      <c r="I676" s="1421"/>
      <c r="J676" s="1421"/>
      <c r="K676" s="1421"/>
      <c r="L676" s="1421"/>
      <c r="M676" s="1421"/>
      <c r="N676" s="1421"/>
      <c r="O676" s="1421"/>
    </row>
    <row r="677">
      <c r="B677" s="1049"/>
      <c r="C677" s="1418"/>
      <c r="D677" s="1299"/>
      <c r="G677" s="519"/>
      <c r="H677" s="1421"/>
      <c r="I677" s="1421"/>
      <c r="J677" s="1421"/>
      <c r="K677" s="1421"/>
      <c r="L677" s="1421"/>
      <c r="M677" s="1421"/>
      <c r="N677" s="1421"/>
      <c r="O677" s="1421"/>
    </row>
    <row r="678">
      <c r="B678" s="1049"/>
      <c r="C678" s="1418"/>
      <c r="D678" s="1299"/>
      <c r="G678" s="519"/>
      <c r="H678" s="1421"/>
      <c r="I678" s="1421"/>
      <c r="J678" s="1421"/>
      <c r="K678" s="1421"/>
      <c r="L678" s="1421"/>
      <c r="M678" s="1421"/>
      <c r="N678" s="1421"/>
      <c r="O678" s="1421"/>
    </row>
    <row r="679">
      <c r="B679" s="1049"/>
      <c r="C679" s="1418"/>
      <c r="D679" s="1299"/>
      <c r="G679" s="519"/>
      <c r="H679" s="1421"/>
      <c r="I679" s="1421"/>
      <c r="J679" s="1421"/>
      <c r="K679" s="1421"/>
      <c r="L679" s="1421"/>
      <c r="M679" s="1421"/>
      <c r="N679" s="1421"/>
      <c r="O679" s="1421"/>
    </row>
    <row r="680">
      <c r="B680" s="1049"/>
      <c r="C680" s="1418"/>
      <c r="D680" s="1299"/>
      <c r="G680" s="519"/>
      <c r="H680" s="1421"/>
      <c r="I680" s="1421"/>
      <c r="J680" s="1421"/>
      <c r="K680" s="1421"/>
      <c r="L680" s="1421"/>
      <c r="M680" s="1421"/>
      <c r="N680" s="1421"/>
      <c r="O680" s="1421"/>
    </row>
    <row r="681">
      <c r="B681" s="1049"/>
      <c r="C681" s="1418"/>
      <c r="D681" s="1299"/>
      <c r="G681" s="519"/>
      <c r="H681" s="1421"/>
      <c r="I681" s="1421"/>
      <c r="J681" s="1421"/>
      <c r="K681" s="1421"/>
      <c r="L681" s="1421"/>
      <c r="M681" s="1421"/>
      <c r="N681" s="1421"/>
      <c r="O681" s="1421"/>
    </row>
    <row r="682">
      <c r="B682" s="1049"/>
      <c r="C682" s="1418"/>
      <c r="D682" s="1299"/>
      <c r="G682" s="519"/>
      <c r="H682" s="1421"/>
      <c r="I682" s="1421"/>
      <c r="J682" s="1421"/>
      <c r="K682" s="1421"/>
      <c r="L682" s="1421"/>
      <c r="M682" s="1421"/>
      <c r="N682" s="1421"/>
      <c r="O682" s="1421"/>
    </row>
    <row r="683">
      <c r="B683" s="1049"/>
      <c r="C683" s="1418"/>
      <c r="D683" s="1299"/>
      <c r="G683" s="519"/>
      <c r="H683" s="1421"/>
      <c r="I683" s="1421"/>
      <c r="J683" s="1421"/>
      <c r="K683" s="1421"/>
      <c r="L683" s="1421"/>
      <c r="M683" s="1421"/>
      <c r="N683" s="1421"/>
      <c r="O683" s="1421"/>
    </row>
    <row r="684">
      <c r="B684" s="1049"/>
      <c r="C684" s="1418"/>
      <c r="D684" s="1299"/>
      <c r="G684" s="519"/>
      <c r="H684" s="1421"/>
      <c r="I684" s="1421"/>
      <c r="J684" s="1421"/>
      <c r="K684" s="1421"/>
      <c r="L684" s="1421"/>
      <c r="M684" s="1421"/>
      <c r="N684" s="1421"/>
      <c r="O684" s="1421"/>
    </row>
    <row r="685">
      <c r="B685" s="1049"/>
      <c r="C685" s="1418"/>
      <c r="D685" s="1299"/>
      <c r="G685" s="519"/>
      <c r="H685" s="1421"/>
      <c r="I685" s="1421"/>
      <c r="J685" s="1421"/>
      <c r="K685" s="1421"/>
      <c r="L685" s="1421"/>
      <c r="M685" s="1421"/>
      <c r="N685" s="1421"/>
      <c r="O685" s="1421"/>
    </row>
    <row r="686">
      <c r="B686" s="1049"/>
      <c r="C686" s="1418"/>
      <c r="D686" s="1299"/>
      <c r="G686" s="519"/>
      <c r="H686" s="1421"/>
      <c r="I686" s="1421"/>
      <c r="J686" s="1421"/>
      <c r="K686" s="1421"/>
      <c r="L686" s="1421"/>
      <c r="M686" s="1421"/>
      <c r="N686" s="1421"/>
      <c r="O686" s="1421"/>
    </row>
    <row r="687">
      <c r="B687" s="1049"/>
      <c r="C687" s="1418"/>
      <c r="D687" s="1299"/>
      <c r="G687" s="519"/>
      <c r="H687" s="1421"/>
      <c r="I687" s="1421"/>
      <c r="J687" s="1421"/>
      <c r="K687" s="1421"/>
      <c r="L687" s="1421"/>
      <c r="M687" s="1421"/>
      <c r="N687" s="1421"/>
      <c r="O687" s="1421"/>
    </row>
    <row r="688">
      <c r="B688" s="1049"/>
      <c r="C688" s="1418"/>
      <c r="D688" s="1299"/>
      <c r="G688" s="519"/>
      <c r="H688" s="1421"/>
      <c r="I688" s="1421"/>
      <c r="J688" s="1421"/>
      <c r="K688" s="1421"/>
      <c r="L688" s="1421"/>
      <c r="M688" s="1421"/>
      <c r="N688" s="1421"/>
      <c r="O688" s="1421"/>
    </row>
    <row r="689">
      <c r="B689" s="1049"/>
      <c r="C689" s="1418"/>
      <c r="D689" s="1299"/>
      <c r="G689" s="519"/>
      <c r="H689" s="1421"/>
      <c r="I689" s="1421"/>
      <c r="J689" s="1421"/>
      <c r="K689" s="1421"/>
      <c r="L689" s="1421"/>
      <c r="M689" s="1421"/>
      <c r="N689" s="1421"/>
      <c r="O689" s="1421"/>
    </row>
    <row r="690">
      <c r="B690" s="1049"/>
      <c r="C690" s="1418"/>
      <c r="D690" s="1299"/>
      <c r="G690" s="519"/>
      <c r="H690" s="1421"/>
      <c r="I690" s="1421"/>
      <c r="J690" s="1421"/>
      <c r="K690" s="1421"/>
      <c r="L690" s="1421"/>
      <c r="M690" s="1421"/>
      <c r="N690" s="1421"/>
      <c r="O690" s="1421"/>
    </row>
    <row r="691">
      <c r="B691" s="1049"/>
      <c r="C691" s="1418"/>
      <c r="D691" s="1299"/>
      <c r="G691" s="519"/>
      <c r="H691" s="1421"/>
      <c r="I691" s="1421"/>
      <c r="J691" s="1421"/>
      <c r="K691" s="1421"/>
      <c r="L691" s="1421"/>
      <c r="M691" s="1421"/>
      <c r="N691" s="1421"/>
      <c r="O691" s="1421"/>
    </row>
    <row r="692">
      <c r="B692" s="1049"/>
      <c r="C692" s="1418"/>
      <c r="D692" s="1299"/>
      <c r="G692" s="519"/>
      <c r="H692" s="1421"/>
      <c r="I692" s="1421"/>
      <c r="J692" s="1421"/>
      <c r="K692" s="1421"/>
      <c r="L692" s="1421"/>
      <c r="M692" s="1421"/>
      <c r="N692" s="1421"/>
      <c r="O692" s="1421"/>
    </row>
    <row r="693">
      <c r="B693" s="1049"/>
      <c r="C693" s="1418"/>
      <c r="D693" s="1299"/>
      <c r="G693" s="519"/>
      <c r="H693" s="1421"/>
      <c r="I693" s="1421"/>
      <c r="J693" s="1421"/>
      <c r="K693" s="1421"/>
      <c r="L693" s="1421"/>
      <c r="M693" s="1421"/>
      <c r="N693" s="1421"/>
      <c r="O693" s="1421"/>
    </row>
    <row r="694">
      <c r="B694" s="1049"/>
      <c r="C694" s="1418"/>
      <c r="D694" s="1299"/>
      <c r="G694" s="519"/>
      <c r="H694" s="1421"/>
      <c r="I694" s="1421"/>
      <c r="J694" s="1421"/>
      <c r="K694" s="1421"/>
      <c r="L694" s="1421"/>
      <c r="M694" s="1421"/>
      <c r="N694" s="1421"/>
      <c r="O694" s="1421"/>
    </row>
    <row r="695">
      <c r="B695" s="1049"/>
      <c r="C695" s="1418"/>
      <c r="D695" s="1299"/>
      <c r="G695" s="519"/>
      <c r="H695" s="1421"/>
      <c r="I695" s="1421"/>
      <c r="J695" s="1421"/>
      <c r="K695" s="1421"/>
      <c r="L695" s="1421"/>
      <c r="M695" s="1421"/>
      <c r="N695" s="1421"/>
      <c r="O695" s="1421"/>
    </row>
    <row r="696">
      <c r="B696" s="1049"/>
      <c r="C696" s="1418"/>
      <c r="D696" s="1299"/>
      <c r="G696" s="519"/>
      <c r="H696" s="1421"/>
      <c r="I696" s="1421"/>
      <c r="J696" s="1421"/>
      <c r="K696" s="1421"/>
      <c r="L696" s="1421"/>
      <c r="M696" s="1421"/>
      <c r="N696" s="1421"/>
      <c r="O696" s="1421"/>
    </row>
    <row r="697">
      <c r="B697" s="1049"/>
      <c r="C697" s="1418"/>
      <c r="D697" s="1299"/>
      <c r="G697" s="519"/>
      <c r="H697" s="1421"/>
      <c r="I697" s="1421"/>
      <c r="J697" s="1421"/>
      <c r="K697" s="1421"/>
      <c r="L697" s="1421"/>
      <c r="M697" s="1421"/>
      <c r="N697" s="1421"/>
      <c r="O697" s="1421"/>
    </row>
    <row r="698">
      <c r="B698" s="1049"/>
      <c r="C698" s="1418"/>
      <c r="D698" s="1299"/>
      <c r="G698" s="519"/>
      <c r="H698" s="1421"/>
      <c r="I698" s="1421"/>
      <c r="J698" s="1421"/>
      <c r="K698" s="1421"/>
      <c r="L698" s="1421"/>
      <c r="M698" s="1421"/>
      <c r="N698" s="1421"/>
      <c r="O698" s="1421"/>
    </row>
    <row r="699">
      <c r="B699" s="1049"/>
      <c r="C699" s="1418"/>
      <c r="D699" s="1299"/>
      <c r="G699" s="519"/>
      <c r="H699" s="1421"/>
      <c r="I699" s="1421"/>
      <c r="J699" s="1421"/>
      <c r="K699" s="1421"/>
      <c r="L699" s="1421"/>
      <c r="M699" s="1421"/>
      <c r="N699" s="1421"/>
      <c r="O699" s="1421"/>
    </row>
    <row r="700">
      <c r="B700" s="1049"/>
      <c r="C700" s="1418"/>
      <c r="D700" s="1299"/>
      <c r="G700" s="519"/>
      <c r="H700" s="1421"/>
      <c r="I700" s="1421"/>
      <c r="J700" s="1421"/>
      <c r="K700" s="1421"/>
      <c r="L700" s="1421"/>
      <c r="M700" s="1421"/>
      <c r="N700" s="1421"/>
      <c r="O700" s="1421"/>
    </row>
    <row r="701">
      <c r="B701" s="1049"/>
      <c r="C701" s="1418"/>
      <c r="D701" s="1299"/>
      <c r="G701" s="519"/>
      <c r="H701" s="1421"/>
      <c r="I701" s="1421"/>
      <c r="J701" s="1421"/>
      <c r="K701" s="1421"/>
      <c r="L701" s="1421"/>
      <c r="M701" s="1421"/>
      <c r="N701" s="1421"/>
      <c r="O701" s="1421"/>
    </row>
    <row r="702">
      <c r="B702" s="1049"/>
      <c r="C702" s="1418"/>
      <c r="D702" s="1299"/>
      <c r="G702" s="519"/>
      <c r="H702" s="1421"/>
      <c r="I702" s="1421"/>
      <c r="J702" s="1421"/>
      <c r="K702" s="1421"/>
      <c r="L702" s="1421"/>
      <c r="M702" s="1421"/>
      <c r="N702" s="1421"/>
      <c r="O702" s="1421"/>
    </row>
    <row r="703">
      <c r="B703" s="1049"/>
      <c r="C703" s="1418"/>
      <c r="D703" s="1299"/>
      <c r="G703" s="519"/>
      <c r="H703" s="1421"/>
      <c r="I703" s="1421"/>
      <c r="J703" s="1421"/>
      <c r="K703" s="1421"/>
      <c r="L703" s="1421"/>
      <c r="M703" s="1421"/>
      <c r="N703" s="1421"/>
      <c r="O703" s="1421"/>
    </row>
    <row r="704">
      <c r="B704" s="1049"/>
      <c r="C704" s="1418"/>
      <c r="D704" s="1299"/>
      <c r="G704" s="519"/>
      <c r="H704" s="1421"/>
      <c r="I704" s="1421"/>
      <c r="J704" s="1421"/>
      <c r="K704" s="1421"/>
      <c r="L704" s="1421"/>
      <c r="M704" s="1421"/>
      <c r="N704" s="1421"/>
      <c r="O704" s="1421"/>
    </row>
    <row r="705">
      <c r="B705" s="1049"/>
      <c r="C705" s="1418"/>
      <c r="D705" s="1299"/>
      <c r="G705" s="519"/>
      <c r="H705" s="1421"/>
      <c r="I705" s="1421"/>
      <c r="J705" s="1421"/>
      <c r="K705" s="1421"/>
      <c r="L705" s="1421"/>
      <c r="M705" s="1421"/>
      <c r="N705" s="1421"/>
      <c r="O705" s="1421"/>
    </row>
    <row r="706">
      <c r="B706" s="1049"/>
      <c r="C706" s="1418"/>
      <c r="D706" s="1299"/>
      <c r="G706" s="519"/>
      <c r="H706" s="1421"/>
      <c r="I706" s="1421"/>
      <c r="J706" s="1421"/>
      <c r="K706" s="1421"/>
      <c r="L706" s="1421"/>
      <c r="M706" s="1421"/>
      <c r="N706" s="1421"/>
      <c r="O706" s="1421"/>
    </row>
    <row r="707">
      <c r="B707" s="1049"/>
      <c r="C707" s="1418"/>
      <c r="D707" s="1299"/>
      <c r="G707" s="519"/>
      <c r="H707" s="1421"/>
      <c r="I707" s="1421"/>
      <c r="J707" s="1421"/>
      <c r="K707" s="1421"/>
      <c r="L707" s="1421"/>
      <c r="M707" s="1421"/>
      <c r="N707" s="1421"/>
      <c r="O707" s="1421"/>
    </row>
    <row r="708">
      <c r="B708" s="1049"/>
      <c r="C708" s="1418"/>
      <c r="D708" s="1299"/>
      <c r="G708" s="519"/>
      <c r="H708" s="1421"/>
      <c r="I708" s="1421"/>
      <c r="J708" s="1421"/>
      <c r="K708" s="1421"/>
      <c r="L708" s="1421"/>
      <c r="M708" s="1421"/>
      <c r="N708" s="1421"/>
      <c r="O708" s="1421"/>
    </row>
    <row r="709">
      <c r="B709" s="1049"/>
      <c r="C709" s="1418"/>
      <c r="D709" s="1299"/>
      <c r="G709" s="519"/>
      <c r="H709" s="1421"/>
      <c r="I709" s="1421"/>
      <c r="J709" s="1421"/>
      <c r="K709" s="1421"/>
      <c r="L709" s="1421"/>
      <c r="M709" s="1421"/>
      <c r="N709" s="1421"/>
      <c r="O709" s="1421"/>
    </row>
    <row r="710">
      <c r="B710" s="1049"/>
      <c r="C710" s="1418"/>
      <c r="D710" s="1299"/>
      <c r="G710" s="519"/>
      <c r="H710" s="1421"/>
      <c r="I710" s="1421"/>
      <c r="J710" s="1421"/>
      <c r="K710" s="1421"/>
      <c r="L710" s="1421"/>
      <c r="M710" s="1421"/>
      <c r="N710" s="1421"/>
      <c r="O710" s="1421"/>
    </row>
    <row r="711">
      <c r="B711" s="1049"/>
      <c r="C711" s="1418"/>
      <c r="D711" s="1299"/>
      <c r="G711" s="519"/>
      <c r="H711" s="1421"/>
      <c r="I711" s="1421"/>
      <c r="J711" s="1421"/>
      <c r="K711" s="1421"/>
      <c r="L711" s="1421"/>
      <c r="M711" s="1421"/>
      <c r="N711" s="1421"/>
      <c r="O711" s="1421"/>
    </row>
    <row r="712">
      <c r="B712" s="1049"/>
      <c r="C712" s="1418"/>
      <c r="D712" s="1299"/>
      <c r="G712" s="519"/>
      <c r="H712" s="1421"/>
      <c r="I712" s="1421"/>
      <c r="J712" s="1421"/>
      <c r="K712" s="1421"/>
      <c r="L712" s="1421"/>
      <c r="M712" s="1421"/>
      <c r="N712" s="1421"/>
      <c r="O712" s="1421"/>
    </row>
    <row r="713">
      <c r="B713" s="1049"/>
      <c r="C713" s="1418"/>
      <c r="D713" s="1299"/>
      <c r="G713" s="519"/>
      <c r="H713" s="1421"/>
      <c r="I713" s="1421"/>
      <c r="J713" s="1421"/>
      <c r="K713" s="1421"/>
      <c r="L713" s="1421"/>
      <c r="M713" s="1421"/>
      <c r="N713" s="1421"/>
      <c r="O713" s="1421"/>
    </row>
    <row r="714">
      <c r="B714" s="1049"/>
      <c r="C714" s="1418"/>
      <c r="D714" s="1299"/>
      <c r="G714" s="519"/>
      <c r="H714" s="1421"/>
      <c r="I714" s="1421"/>
      <c r="J714" s="1421"/>
      <c r="K714" s="1421"/>
      <c r="L714" s="1421"/>
      <c r="M714" s="1421"/>
      <c r="N714" s="1421"/>
      <c r="O714" s="1421"/>
    </row>
    <row r="715">
      <c r="B715" s="1049"/>
      <c r="C715" s="1418"/>
      <c r="D715" s="1299"/>
      <c r="G715" s="519"/>
      <c r="H715" s="1421"/>
      <c r="I715" s="1421"/>
      <c r="J715" s="1421"/>
      <c r="K715" s="1421"/>
      <c r="L715" s="1421"/>
      <c r="M715" s="1421"/>
      <c r="N715" s="1421"/>
      <c r="O715" s="1421"/>
    </row>
    <row r="716">
      <c r="B716" s="1049"/>
      <c r="C716" s="1418"/>
      <c r="D716" s="1299"/>
      <c r="G716" s="519"/>
      <c r="H716" s="1421"/>
      <c r="I716" s="1421"/>
      <c r="J716" s="1421"/>
      <c r="K716" s="1421"/>
      <c r="L716" s="1421"/>
      <c r="M716" s="1421"/>
      <c r="N716" s="1421"/>
      <c r="O716" s="1421"/>
    </row>
    <row r="717">
      <c r="B717" s="1049"/>
      <c r="C717" s="1418"/>
      <c r="D717" s="1299"/>
      <c r="G717" s="519"/>
      <c r="H717" s="1421"/>
      <c r="I717" s="1421"/>
      <c r="J717" s="1421"/>
      <c r="K717" s="1421"/>
      <c r="L717" s="1421"/>
      <c r="M717" s="1421"/>
      <c r="N717" s="1421"/>
      <c r="O717" s="1421"/>
    </row>
    <row r="718">
      <c r="B718" s="1049"/>
      <c r="C718" s="1418"/>
      <c r="D718" s="1299"/>
      <c r="G718" s="519"/>
      <c r="H718" s="1421"/>
      <c r="I718" s="1421"/>
      <c r="J718" s="1421"/>
      <c r="K718" s="1421"/>
      <c r="L718" s="1421"/>
      <c r="M718" s="1421"/>
      <c r="N718" s="1421"/>
      <c r="O718" s="1421"/>
    </row>
    <row r="719">
      <c r="B719" s="1049"/>
      <c r="C719" s="1418"/>
      <c r="D719" s="1299"/>
      <c r="G719" s="519"/>
      <c r="H719" s="1421"/>
      <c r="I719" s="1421"/>
      <c r="J719" s="1421"/>
      <c r="K719" s="1421"/>
      <c r="L719" s="1421"/>
      <c r="M719" s="1421"/>
      <c r="N719" s="1421"/>
      <c r="O719" s="1421"/>
    </row>
    <row r="720">
      <c r="B720" s="1049"/>
      <c r="C720" s="1418"/>
      <c r="D720" s="1299"/>
      <c r="G720" s="519"/>
      <c r="H720" s="1421"/>
      <c r="I720" s="1421"/>
      <c r="J720" s="1421"/>
      <c r="K720" s="1421"/>
      <c r="L720" s="1421"/>
      <c r="M720" s="1421"/>
      <c r="N720" s="1421"/>
      <c r="O720" s="1421"/>
    </row>
    <row r="721">
      <c r="B721" s="1049"/>
      <c r="C721" s="1418"/>
      <c r="D721" s="1299"/>
      <c r="G721" s="519"/>
      <c r="H721" s="1421"/>
      <c r="I721" s="1421"/>
      <c r="J721" s="1421"/>
      <c r="K721" s="1421"/>
      <c r="L721" s="1421"/>
      <c r="M721" s="1421"/>
      <c r="N721" s="1421"/>
      <c r="O721" s="1421"/>
    </row>
    <row r="722">
      <c r="B722" s="1049"/>
      <c r="C722" s="1418"/>
      <c r="D722" s="1299"/>
      <c r="G722" s="519"/>
      <c r="H722" s="1421"/>
      <c r="I722" s="1421"/>
      <c r="J722" s="1421"/>
      <c r="K722" s="1421"/>
      <c r="L722" s="1421"/>
      <c r="M722" s="1421"/>
      <c r="N722" s="1421"/>
      <c r="O722" s="1421"/>
    </row>
    <row r="723">
      <c r="B723" s="1049"/>
      <c r="C723" s="1418"/>
      <c r="D723" s="1299"/>
      <c r="G723" s="519"/>
      <c r="H723" s="1421"/>
      <c r="I723" s="1421"/>
      <c r="J723" s="1421"/>
      <c r="K723" s="1421"/>
      <c r="L723" s="1421"/>
      <c r="M723" s="1421"/>
      <c r="N723" s="1421"/>
      <c r="O723" s="1421"/>
    </row>
    <row r="724">
      <c r="B724" s="1049"/>
      <c r="C724" s="1418"/>
      <c r="D724" s="1299"/>
      <c r="G724" s="519"/>
      <c r="H724" s="1421"/>
      <c r="I724" s="1421"/>
      <c r="J724" s="1421"/>
      <c r="K724" s="1421"/>
      <c r="L724" s="1421"/>
      <c r="M724" s="1421"/>
      <c r="N724" s="1421"/>
      <c r="O724" s="1421"/>
    </row>
    <row r="725">
      <c r="B725" s="1049"/>
      <c r="C725" s="1418"/>
      <c r="D725" s="1299"/>
      <c r="G725" s="519"/>
      <c r="H725" s="1421"/>
      <c r="I725" s="1421"/>
      <c r="J725" s="1421"/>
      <c r="K725" s="1421"/>
      <c r="L725" s="1421"/>
      <c r="M725" s="1421"/>
      <c r="N725" s="1421"/>
      <c r="O725" s="1421"/>
    </row>
    <row r="726">
      <c r="B726" s="1049"/>
      <c r="C726" s="1418"/>
      <c r="D726" s="1299"/>
      <c r="G726" s="519"/>
      <c r="H726" s="1421"/>
      <c r="I726" s="1421"/>
      <c r="J726" s="1421"/>
      <c r="K726" s="1421"/>
      <c r="L726" s="1421"/>
      <c r="M726" s="1421"/>
      <c r="N726" s="1421"/>
      <c r="O726" s="1421"/>
    </row>
    <row r="727">
      <c r="B727" s="1049"/>
      <c r="C727" s="1418"/>
      <c r="D727" s="1299"/>
      <c r="G727" s="519"/>
      <c r="H727" s="1421"/>
      <c r="I727" s="1421"/>
      <c r="J727" s="1421"/>
      <c r="K727" s="1421"/>
      <c r="L727" s="1421"/>
      <c r="M727" s="1421"/>
      <c r="N727" s="1421"/>
      <c r="O727" s="1421"/>
    </row>
    <row r="728">
      <c r="B728" s="1049"/>
      <c r="C728" s="1418"/>
      <c r="D728" s="1299"/>
      <c r="G728" s="519"/>
      <c r="H728" s="1421"/>
      <c r="I728" s="1421"/>
      <c r="J728" s="1421"/>
      <c r="K728" s="1421"/>
      <c r="L728" s="1421"/>
      <c r="M728" s="1421"/>
      <c r="N728" s="1421"/>
      <c r="O728" s="1421"/>
    </row>
    <row r="729">
      <c r="B729" s="1049"/>
      <c r="C729" s="1418"/>
      <c r="D729" s="1299"/>
      <c r="G729" s="519"/>
      <c r="H729" s="1421"/>
      <c r="I729" s="1421"/>
      <c r="J729" s="1421"/>
      <c r="K729" s="1421"/>
      <c r="L729" s="1421"/>
      <c r="M729" s="1421"/>
      <c r="N729" s="1421"/>
      <c r="O729" s="1421"/>
    </row>
    <row r="730">
      <c r="B730" s="1049"/>
      <c r="C730" s="1418"/>
      <c r="D730" s="1299"/>
      <c r="G730" s="519"/>
      <c r="H730" s="1421"/>
      <c r="I730" s="1421"/>
      <c r="J730" s="1421"/>
      <c r="K730" s="1421"/>
      <c r="L730" s="1421"/>
      <c r="M730" s="1421"/>
      <c r="N730" s="1421"/>
      <c r="O730" s="1421"/>
    </row>
    <row r="731">
      <c r="B731" s="1049"/>
      <c r="C731" s="1418"/>
      <c r="D731" s="1299"/>
      <c r="G731" s="519"/>
      <c r="H731" s="1421"/>
      <c r="I731" s="1421"/>
      <c r="J731" s="1421"/>
      <c r="K731" s="1421"/>
      <c r="L731" s="1421"/>
      <c r="M731" s="1421"/>
      <c r="N731" s="1421"/>
      <c r="O731" s="1421"/>
    </row>
    <row r="732">
      <c r="B732" s="1049"/>
      <c r="C732" s="1418"/>
      <c r="D732" s="1299"/>
      <c r="G732" s="519"/>
      <c r="H732" s="1421"/>
      <c r="I732" s="1421"/>
      <c r="J732" s="1421"/>
      <c r="K732" s="1421"/>
      <c r="L732" s="1421"/>
      <c r="M732" s="1421"/>
      <c r="N732" s="1421"/>
      <c r="O732" s="1421"/>
    </row>
    <row r="733">
      <c r="B733" s="1049"/>
      <c r="C733" s="1418"/>
      <c r="D733" s="1299"/>
      <c r="G733" s="519"/>
      <c r="H733" s="1421"/>
      <c r="I733" s="1421"/>
      <c r="J733" s="1421"/>
      <c r="K733" s="1421"/>
      <c r="L733" s="1421"/>
      <c r="M733" s="1421"/>
      <c r="N733" s="1421"/>
      <c r="O733" s="1421"/>
    </row>
    <row r="734">
      <c r="B734" s="1049"/>
      <c r="C734" s="1418"/>
      <c r="D734" s="1299"/>
      <c r="G734" s="519"/>
      <c r="H734" s="1421"/>
      <c r="I734" s="1421"/>
      <c r="J734" s="1421"/>
      <c r="K734" s="1421"/>
      <c r="L734" s="1421"/>
      <c r="M734" s="1421"/>
      <c r="N734" s="1421"/>
      <c r="O734" s="1421"/>
    </row>
    <row r="735">
      <c r="B735" s="1049"/>
      <c r="C735" s="1418"/>
      <c r="D735" s="1299"/>
      <c r="G735" s="519"/>
      <c r="H735" s="1421"/>
      <c r="I735" s="1421"/>
      <c r="J735" s="1421"/>
      <c r="K735" s="1421"/>
      <c r="L735" s="1421"/>
      <c r="M735" s="1421"/>
      <c r="N735" s="1421"/>
      <c r="O735" s="1421"/>
    </row>
    <row r="736">
      <c r="B736" s="1049"/>
      <c r="C736" s="1418"/>
      <c r="D736" s="1299"/>
      <c r="G736" s="519"/>
      <c r="H736" s="1421"/>
      <c r="I736" s="1421"/>
      <c r="J736" s="1421"/>
      <c r="K736" s="1421"/>
      <c r="L736" s="1421"/>
      <c r="M736" s="1421"/>
      <c r="N736" s="1421"/>
      <c r="O736" s="1421"/>
    </row>
    <row r="737">
      <c r="B737" s="1049"/>
      <c r="C737" s="1418"/>
      <c r="D737" s="1299"/>
      <c r="G737" s="519"/>
      <c r="H737" s="1421"/>
      <c r="I737" s="1421"/>
      <c r="J737" s="1421"/>
      <c r="K737" s="1421"/>
      <c r="L737" s="1421"/>
      <c r="M737" s="1421"/>
      <c r="N737" s="1421"/>
      <c r="O737" s="1421"/>
    </row>
    <row r="738">
      <c r="B738" s="1049"/>
      <c r="C738" s="1418"/>
      <c r="D738" s="1299"/>
      <c r="G738" s="519"/>
      <c r="H738" s="1421"/>
      <c r="I738" s="1421"/>
      <c r="J738" s="1421"/>
      <c r="K738" s="1421"/>
      <c r="L738" s="1421"/>
      <c r="M738" s="1421"/>
      <c r="N738" s="1421"/>
      <c r="O738" s="1421"/>
    </row>
    <row r="739">
      <c r="B739" s="1049"/>
      <c r="C739" s="1418"/>
      <c r="D739" s="1299"/>
      <c r="G739" s="519"/>
      <c r="H739" s="1421"/>
      <c r="I739" s="1421"/>
      <c r="J739" s="1421"/>
      <c r="K739" s="1421"/>
      <c r="L739" s="1421"/>
      <c r="M739" s="1421"/>
      <c r="N739" s="1421"/>
      <c r="O739" s="1421"/>
    </row>
    <row r="740">
      <c r="B740" s="1049"/>
      <c r="C740" s="1418"/>
      <c r="D740" s="1299"/>
      <c r="G740" s="519"/>
      <c r="H740" s="1421"/>
      <c r="I740" s="1421"/>
      <c r="J740" s="1421"/>
      <c r="K740" s="1421"/>
      <c r="L740" s="1421"/>
      <c r="M740" s="1421"/>
      <c r="N740" s="1421"/>
      <c r="O740" s="1421"/>
    </row>
    <row r="741">
      <c r="B741" s="1049"/>
      <c r="C741" s="1418"/>
      <c r="D741" s="1299"/>
      <c r="G741" s="519"/>
      <c r="H741" s="1421"/>
      <c r="I741" s="1421"/>
      <c r="J741" s="1421"/>
      <c r="K741" s="1421"/>
      <c r="L741" s="1421"/>
      <c r="M741" s="1421"/>
      <c r="N741" s="1421"/>
      <c r="O741" s="1421"/>
    </row>
    <row r="742">
      <c r="B742" s="1049"/>
      <c r="C742" s="1418"/>
      <c r="D742" s="1299"/>
      <c r="G742" s="519"/>
      <c r="H742" s="1421"/>
      <c r="I742" s="1421"/>
      <c r="J742" s="1421"/>
      <c r="K742" s="1421"/>
      <c r="L742" s="1421"/>
      <c r="M742" s="1421"/>
      <c r="N742" s="1421"/>
      <c r="O742" s="1421"/>
    </row>
    <row r="743">
      <c r="B743" s="1049"/>
      <c r="C743" s="1418"/>
      <c r="D743" s="1299"/>
      <c r="G743" s="519"/>
      <c r="H743" s="1421"/>
      <c r="I743" s="1421"/>
      <c r="J743" s="1421"/>
      <c r="K743" s="1421"/>
      <c r="L743" s="1421"/>
      <c r="M743" s="1421"/>
      <c r="N743" s="1421"/>
      <c r="O743" s="1421"/>
    </row>
    <row r="744">
      <c r="B744" s="1049"/>
      <c r="C744" s="1418"/>
      <c r="D744" s="1299"/>
      <c r="G744" s="519"/>
      <c r="H744" s="1421"/>
      <c r="I744" s="1421"/>
      <c r="J744" s="1421"/>
      <c r="K744" s="1421"/>
      <c r="L744" s="1421"/>
      <c r="M744" s="1421"/>
      <c r="N744" s="1421"/>
      <c r="O744" s="1421"/>
    </row>
    <row r="745">
      <c r="B745" s="1049"/>
      <c r="C745" s="1418"/>
      <c r="D745" s="1299"/>
      <c r="G745" s="519"/>
      <c r="H745" s="1421"/>
      <c r="I745" s="1421"/>
      <c r="J745" s="1421"/>
      <c r="K745" s="1421"/>
      <c r="L745" s="1421"/>
      <c r="M745" s="1421"/>
      <c r="N745" s="1421"/>
      <c r="O745" s="1421"/>
    </row>
    <row r="746">
      <c r="B746" s="1049"/>
      <c r="C746" s="1418"/>
      <c r="D746" s="1299"/>
      <c r="G746" s="519"/>
      <c r="H746" s="1421"/>
      <c r="I746" s="1421"/>
      <c r="J746" s="1421"/>
      <c r="K746" s="1421"/>
      <c r="L746" s="1421"/>
      <c r="M746" s="1421"/>
      <c r="N746" s="1421"/>
      <c r="O746" s="1421"/>
    </row>
    <row r="747">
      <c r="B747" s="1049"/>
      <c r="C747" s="1418"/>
      <c r="D747" s="1299"/>
      <c r="G747" s="519"/>
      <c r="H747" s="1421"/>
      <c r="I747" s="1421"/>
      <c r="J747" s="1421"/>
      <c r="K747" s="1421"/>
      <c r="L747" s="1421"/>
      <c r="M747" s="1421"/>
      <c r="N747" s="1421"/>
      <c r="O747" s="1421"/>
    </row>
    <row r="748">
      <c r="B748" s="1049"/>
      <c r="C748" s="1418"/>
      <c r="D748" s="1299"/>
      <c r="G748" s="519"/>
      <c r="H748" s="1421"/>
      <c r="I748" s="1421"/>
      <c r="J748" s="1421"/>
      <c r="K748" s="1421"/>
      <c r="L748" s="1421"/>
      <c r="M748" s="1421"/>
      <c r="N748" s="1421"/>
      <c r="O748" s="1421"/>
    </row>
    <row r="749">
      <c r="B749" s="1049"/>
      <c r="C749" s="1418"/>
      <c r="D749" s="1299"/>
      <c r="G749" s="519"/>
      <c r="H749" s="1421"/>
      <c r="I749" s="1421"/>
      <c r="J749" s="1421"/>
      <c r="K749" s="1421"/>
      <c r="L749" s="1421"/>
      <c r="M749" s="1421"/>
      <c r="N749" s="1421"/>
      <c r="O749" s="1421"/>
    </row>
    <row r="750">
      <c r="B750" s="1049"/>
      <c r="C750" s="1418"/>
      <c r="D750" s="1299"/>
      <c r="G750" s="519"/>
      <c r="H750" s="1421"/>
      <c r="I750" s="1421"/>
      <c r="J750" s="1421"/>
      <c r="K750" s="1421"/>
      <c r="L750" s="1421"/>
      <c r="M750" s="1421"/>
      <c r="N750" s="1421"/>
      <c r="O750" s="1421"/>
    </row>
    <row r="751">
      <c r="B751" s="1049"/>
      <c r="C751" s="1418"/>
      <c r="D751" s="1299"/>
      <c r="G751" s="519"/>
      <c r="H751" s="1421"/>
      <c r="I751" s="1421"/>
      <c r="J751" s="1421"/>
      <c r="K751" s="1421"/>
      <c r="L751" s="1421"/>
      <c r="M751" s="1421"/>
      <c r="N751" s="1421"/>
      <c r="O751" s="1421"/>
    </row>
    <row r="752">
      <c r="B752" s="1049"/>
      <c r="C752" s="1418"/>
      <c r="D752" s="1299"/>
      <c r="G752" s="519"/>
      <c r="H752" s="1421"/>
      <c r="I752" s="1421"/>
      <c r="J752" s="1421"/>
      <c r="K752" s="1421"/>
      <c r="L752" s="1421"/>
      <c r="M752" s="1421"/>
      <c r="N752" s="1421"/>
      <c r="O752" s="1421"/>
    </row>
    <row r="753">
      <c r="B753" s="1049"/>
      <c r="C753" s="1418"/>
      <c r="D753" s="1299"/>
      <c r="G753" s="519"/>
      <c r="H753" s="1421"/>
      <c r="I753" s="1421"/>
      <c r="J753" s="1421"/>
      <c r="K753" s="1421"/>
      <c r="L753" s="1421"/>
      <c r="M753" s="1421"/>
      <c r="N753" s="1421"/>
      <c r="O753" s="1421"/>
    </row>
    <row r="754">
      <c r="B754" s="1049"/>
      <c r="C754" s="1418"/>
      <c r="D754" s="1299"/>
      <c r="G754" s="519"/>
      <c r="H754" s="1421"/>
      <c r="I754" s="1421"/>
      <c r="J754" s="1421"/>
      <c r="K754" s="1421"/>
      <c r="L754" s="1421"/>
      <c r="M754" s="1421"/>
      <c r="N754" s="1421"/>
      <c r="O754" s="1421"/>
    </row>
    <row r="755">
      <c r="B755" s="1049"/>
      <c r="C755" s="1418"/>
      <c r="D755" s="1299"/>
      <c r="G755" s="519"/>
      <c r="H755" s="1421"/>
      <c r="I755" s="1421"/>
      <c r="J755" s="1421"/>
      <c r="K755" s="1421"/>
      <c r="L755" s="1421"/>
      <c r="M755" s="1421"/>
      <c r="N755" s="1421"/>
      <c r="O755" s="1421"/>
    </row>
    <row r="756">
      <c r="B756" s="1049"/>
      <c r="C756" s="1418"/>
      <c r="D756" s="1299"/>
      <c r="G756" s="519"/>
      <c r="H756" s="1421"/>
      <c r="I756" s="1421"/>
      <c r="J756" s="1421"/>
      <c r="K756" s="1421"/>
      <c r="L756" s="1421"/>
      <c r="M756" s="1421"/>
      <c r="N756" s="1421"/>
      <c r="O756" s="1421"/>
    </row>
    <row r="757">
      <c r="B757" s="1049"/>
      <c r="C757" s="1418"/>
      <c r="D757" s="1299"/>
      <c r="G757" s="519"/>
      <c r="H757" s="1421"/>
      <c r="I757" s="1421"/>
      <c r="J757" s="1421"/>
      <c r="K757" s="1421"/>
      <c r="L757" s="1421"/>
      <c r="M757" s="1421"/>
      <c r="N757" s="1421"/>
      <c r="O757" s="1421"/>
    </row>
    <row r="758">
      <c r="B758" s="1049"/>
      <c r="C758" s="1418"/>
      <c r="D758" s="1299"/>
      <c r="G758" s="519"/>
      <c r="H758" s="1421"/>
      <c r="I758" s="1421"/>
      <c r="J758" s="1421"/>
      <c r="K758" s="1421"/>
      <c r="L758" s="1421"/>
      <c r="M758" s="1421"/>
      <c r="N758" s="1421"/>
      <c r="O758" s="1421"/>
    </row>
    <row r="759">
      <c r="B759" s="1049"/>
      <c r="C759" s="1418"/>
      <c r="D759" s="1299"/>
      <c r="G759" s="519"/>
      <c r="H759" s="1421"/>
      <c r="I759" s="1421"/>
      <c r="J759" s="1421"/>
      <c r="K759" s="1421"/>
      <c r="L759" s="1421"/>
      <c r="M759" s="1421"/>
      <c r="N759" s="1421"/>
      <c r="O759" s="1421"/>
    </row>
    <row r="760">
      <c r="B760" s="1049"/>
      <c r="C760" s="1418"/>
      <c r="D760" s="1299"/>
      <c r="G760" s="519"/>
      <c r="H760" s="1421"/>
      <c r="I760" s="1421"/>
      <c r="J760" s="1421"/>
      <c r="K760" s="1421"/>
      <c r="L760" s="1421"/>
      <c r="M760" s="1421"/>
      <c r="N760" s="1421"/>
      <c r="O760" s="1421"/>
    </row>
    <row r="761">
      <c r="B761" s="1049"/>
      <c r="C761" s="1418"/>
      <c r="D761" s="1299"/>
      <c r="G761" s="519"/>
      <c r="H761" s="1421"/>
      <c r="I761" s="1421"/>
      <c r="J761" s="1421"/>
      <c r="K761" s="1421"/>
      <c r="L761" s="1421"/>
      <c r="M761" s="1421"/>
      <c r="N761" s="1421"/>
      <c r="O761" s="1421"/>
    </row>
    <row r="762">
      <c r="B762" s="1049"/>
      <c r="C762" s="1418"/>
      <c r="D762" s="1299"/>
      <c r="G762" s="519"/>
      <c r="H762" s="1421"/>
      <c r="I762" s="1421"/>
      <c r="J762" s="1421"/>
      <c r="K762" s="1421"/>
      <c r="L762" s="1421"/>
      <c r="M762" s="1421"/>
      <c r="N762" s="1421"/>
      <c r="O762" s="1421"/>
    </row>
    <row r="763">
      <c r="B763" s="1049"/>
      <c r="C763" s="1418"/>
      <c r="D763" s="1299"/>
      <c r="G763" s="519"/>
      <c r="H763" s="1421"/>
      <c r="I763" s="1421"/>
      <c r="J763" s="1421"/>
      <c r="K763" s="1421"/>
      <c r="L763" s="1421"/>
      <c r="M763" s="1421"/>
      <c r="N763" s="1421"/>
      <c r="O763" s="1421"/>
    </row>
    <row r="764">
      <c r="B764" s="1049"/>
      <c r="C764" s="1418"/>
      <c r="D764" s="1299"/>
      <c r="G764" s="519"/>
      <c r="H764" s="1421"/>
      <c r="I764" s="1421"/>
      <c r="J764" s="1421"/>
      <c r="K764" s="1421"/>
      <c r="L764" s="1421"/>
      <c r="M764" s="1421"/>
      <c r="N764" s="1421"/>
      <c r="O764" s="1421"/>
    </row>
    <row r="765">
      <c r="B765" s="1049"/>
      <c r="C765" s="1418"/>
      <c r="D765" s="1299"/>
      <c r="G765" s="519"/>
      <c r="H765" s="1421"/>
      <c r="I765" s="1421"/>
      <c r="J765" s="1421"/>
      <c r="K765" s="1421"/>
      <c r="L765" s="1421"/>
      <c r="M765" s="1421"/>
      <c r="N765" s="1421"/>
      <c r="O765" s="1421"/>
    </row>
    <row r="766">
      <c r="B766" s="1049"/>
      <c r="C766" s="1418"/>
      <c r="D766" s="1299"/>
      <c r="G766" s="519"/>
      <c r="H766" s="1421"/>
      <c r="I766" s="1421"/>
      <c r="J766" s="1421"/>
      <c r="K766" s="1421"/>
      <c r="L766" s="1421"/>
      <c r="M766" s="1421"/>
      <c r="N766" s="1421"/>
      <c r="O766" s="1421"/>
    </row>
    <row r="767">
      <c r="B767" s="1049"/>
      <c r="C767" s="1418"/>
      <c r="D767" s="1299"/>
      <c r="G767" s="519"/>
      <c r="H767" s="1421"/>
      <c r="I767" s="1421"/>
      <c r="J767" s="1421"/>
      <c r="K767" s="1421"/>
      <c r="L767" s="1421"/>
      <c r="M767" s="1421"/>
      <c r="N767" s="1421"/>
      <c r="O767" s="1421"/>
    </row>
    <row r="768">
      <c r="B768" s="1049"/>
      <c r="C768" s="1418"/>
      <c r="D768" s="1299"/>
      <c r="G768" s="519"/>
      <c r="H768" s="1421"/>
      <c r="I768" s="1421"/>
      <c r="J768" s="1421"/>
      <c r="K768" s="1421"/>
      <c r="L768" s="1421"/>
      <c r="M768" s="1421"/>
      <c r="N768" s="1421"/>
      <c r="O768" s="1421"/>
    </row>
    <row r="769">
      <c r="B769" s="1049"/>
      <c r="C769" s="1418"/>
      <c r="D769" s="1299"/>
      <c r="G769" s="519"/>
      <c r="H769" s="1421"/>
      <c r="I769" s="1421"/>
      <c r="J769" s="1421"/>
      <c r="K769" s="1421"/>
      <c r="L769" s="1421"/>
      <c r="M769" s="1421"/>
      <c r="N769" s="1421"/>
      <c r="O769" s="1421"/>
    </row>
    <row r="770">
      <c r="B770" s="1049"/>
      <c r="C770" s="1418"/>
      <c r="D770" s="1299"/>
      <c r="G770" s="519"/>
      <c r="H770" s="1421"/>
      <c r="I770" s="1421"/>
      <c r="J770" s="1421"/>
      <c r="K770" s="1421"/>
      <c r="L770" s="1421"/>
      <c r="M770" s="1421"/>
      <c r="N770" s="1421"/>
      <c r="O770" s="1421"/>
    </row>
    <row r="771">
      <c r="B771" s="1049"/>
      <c r="C771" s="1418"/>
      <c r="D771" s="1299"/>
      <c r="G771" s="519"/>
      <c r="H771" s="1421"/>
      <c r="I771" s="1421"/>
      <c r="J771" s="1421"/>
      <c r="K771" s="1421"/>
      <c r="L771" s="1421"/>
      <c r="M771" s="1421"/>
      <c r="N771" s="1421"/>
      <c r="O771" s="1421"/>
    </row>
    <row r="772">
      <c r="B772" s="1049"/>
      <c r="C772" s="1418"/>
      <c r="D772" s="1299"/>
      <c r="G772" s="519"/>
      <c r="H772" s="1421"/>
      <c r="I772" s="1421"/>
      <c r="J772" s="1421"/>
      <c r="K772" s="1421"/>
      <c r="L772" s="1421"/>
      <c r="M772" s="1421"/>
      <c r="N772" s="1421"/>
      <c r="O772" s="1421"/>
    </row>
    <row r="773">
      <c r="B773" s="1049"/>
      <c r="C773" s="1418"/>
      <c r="D773" s="1299"/>
      <c r="G773" s="519"/>
      <c r="H773" s="1421"/>
      <c r="I773" s="1421"/>
      <c r="J773" s="1421"/>
      <c r="K773" s="1421"/>
      <c r="L773" s="1421"/>
      <c r="M773" s="1421"/>
      <c r="N773" s="1421"/>
      <c r="O773" s="1421"/>
    </row>
    <row r="774">
      <c r="B774" s="1049"/>
      <c r="C774" s="1418"/>
      <c r="D774" s="1299"/>
      <c r="G774" s="519"/>
      <c r="H774" s="1421"/>
      <c r="I774" s="1421"/>
      <c r="J774" s="1421"/>
      <c r="K774" s="1421"/>
      <c r="L774" s="1421"/>
      <c r="M774" s="1421"/>
      <c r="N774" s="1421"/>
      <c r="O774" s="1421"/>
    </row>
    <row r="775">
      <c r="B775" s="1049"/>
      <c r="C775" s="1418"/>
      <c r="D775" s="1299"/>
      <c r="G775" s="519"/>
      <c r="H775" s="1421"/>
      <c r="I775" s="1421"/>
      <c r="J775" s="1421"/>
      <c r="K775" s="1421"/>
      <c r="L775" s="1421"/>
      <c r="M775" s="1421"/>
      <c r="N775" s="1421"/>
      <c r="O775" s="1421"/>
    </row>
    <row r="776">
      <c r="B776" s="1049"/>
      <c r="C776" s="1418"/>
      <c r="D776" s="1299"/>
      <c r="G776" s="519"/>
      <c r="H776" s="1421"/>
      <c r="I776" s="1421"/>
      <c r="J776" s="1421"/>
      <c r="K776" s="1421"/>
      <c r="L776" s="1421"/>
      <c r="M776" s="1421"/>
      <c r="N776" s="1421"/>
      <c r="O776" s="1421"/>
    </row>
    <row r="777">
      <c r="B777" s="1049"/>
      <c r="C777" s="1418"/>
      <c r="D777" s="1299"/>
      <c r="G777" s="519"/>
      <c r="H777" s="1421"/>
      <c r="I777" s="1421"/>
      <c r="J777" s="1421"/>
      <c r="K777" s="1421"/>
      <c r="L777" s="1421"/>
      <c r="M777" s="1421"/>
      <c r="N777" s="1421"/>
      <c r="O777" s="1421"/>
    </row>
    <row r="778">
      <c r="B778" s="1049"/>
      <c r="C778" s="1418"/>
      <c r="D778" s="1299"/>
      <c r="G778" s="519"/>
      <c r="H778" s="1421"/>
      <c r="I778" s="1421"/>
      <c r="J778" s="1421"/>
      <c r="K778" s="1421"/>
      <c r="L778" s="1421"/>
      <c r="M778" s="1421"/>
      <c r="N778" s="1421"/>
      <c r="O778" s="1421"/>
    </row>
    <row r="779">
      <c r="B779" s="1049"/>
      <c r="C779" s="1418"/>
      <c r="D779" s="1299"/>
      <c r="G779" s="519"/>
      <c r="H779" s="1421"/>
      <c r="I779" s="1421"/>
      <c r="J779" s="1421"/>
      <c r="K779" s="1421"/>
      <c r="L779" s="1421"/>
      <c r="M779" s="1421"/>
      <c r="N779" s="1421"/>
      <c r="O779" s="1421"/>
    </row>
    <row r="780">
      <c r="B780" s="1049"/>
      <c r="C780" s="1418"/>
      <c r="D780" s="1299"/>
      <c r="G780" s="519"/>
      <c r="H780" s="1421"/>
      <c r="I780" s="1421"/>
      <c r="J780" s="1421"/>
      <c r="K780" s="1421"/>
      <c r="L780" s="1421"/>
      <c r="M780" s="1421"/>
      <c r="N780" s="1421"/>
      <c r="O780" s="1421"/>
    </row>
    <row r="781">
      <c r="B781" s="1049"/>
      <c r="C781" s="1418"/>
      <c r="D781" s="1299"/>
      <c r="G781" s="519"/>
      <c r="H781" s="1421"/>
      <c r="I781" s="1421"/>
      <c r="J781" s="1421"/>
      <c r="K781" s="1421"/>
      <c r="L781" s="1421"/>
      <c r="M781" s="1421"/>
      <c r="N781" s="1421"/>
      <c r="O781" s="1421"/>
    </row>
    <row r="782">
      <c r="B782" s="1049"/>
      <c r="C782" s="1418"/>
      <c r="D782" s="1299"/>
      <c r="G782" s="519"/>
      <c r="H782" s="1421"/>
      <c r="I782" s="1421"/>
      <c r="J782" s="1421"/>
      <c r="K782" s="1421"/>
      <c r="L782" s="1421"/>
      <c r="M782" s="1421"/>
      <c r="N782" s="1421"/>
      <c r="O782" s="1421"/>
    </row>
    <row r="783">
      <c r="B783" s="1049"/>
      <c r="C783" s="1418"/>
      <c r="D783" s="1299"/>
      <c r="G783" s="519"/>
      <c r="H783" s="1421"/>
      <c r="I783" s="1421"/>
      <c r="J783" s="1421"/>
      <c r="K783" s="1421"/>
      <c r="L783" s="1421"/>
      <c r="M783" s="1421"/>
      <c r="N783" s="1421"/>
      <c r="O783" s="1421"/>
    </row>
    <row r="784">
      <c r="B784" s="1049"/>
      <c r="C784" s="1418"/>
      <c r="D784" s="1299"/>
      <c r="G784" s="519"/>
      <c r="H784" s="1421"/>
      <c r="I784" s="1421"/>
      <c r="J784" s="1421"/>
      <c r="K784" s="1421"/>
      <c r="L784" s="1421"/>
      <c r="M784" s="1421"/>
      <c r="N784" s="1421"/>
      <c r="O784" s="1421"/>
    </row>
    <row r="785">
      <c r="B785" s="1049"/>
      <c r="C785" s="1418"/>
      <c r="D785" s="1299"/>
      <c r="G785" s="519"/>
      <c r="H785" s="1421"/>
      <c r="I785" s="1421"/>
      <c r="J785" s="1421"/>
      <c r="K785" s="1421"/>
      <c r="L785" s="1421"/>
      <c r="M785" s="1421"/>
      <c r="N785" s="1421"/>
      <c r="O785" s="1421"/>
    </row>
    <row r="786">
      <c r="B786" s="1049"/>
      <c r="C786" s="1418"/>
      <c r="D786" s="1299"/>
      <c r="G786" s="519"/>
      <c r="H786" s="1421"/>
      <c r="I786" s="1421"/>
      <c r="J786" s="1421"/>
      <c r="K786" s="1421"/>
      <c r="L786" s="1421"/>
      <c r="M786" s="1421"/>
      <c r="N786" s="1421"/>
      <c r="O786" s="1421"/>
    </row>
    <row r="787">
      <c r="B787" s="1049"/>
      <c r="C787" s="1418"/>
      <c r="D787" s="1299"/>
      <c r="G787" s="519"/>
      <c r="H787" s="1421"/>
      <c r="I787" s="1421"/>
      <c r="J787" s="1421"/>
      <c r="K787" s="1421"/>
      <c r="L787" s="1421"/>
      <c r="M787" s="1421"/>
      <c r="N787" s="1421"/>
      <c r="O787" s="1421"/>
    </row>
    <row r="788">
      <c r="B788" s="1049"/>
      <c r="C788" s="1418"/>
      <c r="D788" s="1299"/>
      <c r="G788" s="519"/>
      <c r="H788" s="1421"/>
      <c r="I788" s="1421"/>
      <c r="J788" s="1421"/>
      <c r="K788" s="1421"/>
      <c r="L788" s="1421"/>
      <c r="M788" s="1421"/>
      <c r="N788" s="1421"/>
      <c r="O788" s="1421"/>
    </row>
    <row r="789">
      <c r="B789" s="1049"/>
      <c r="C789" s="1418"/>
      <c r="D789" s="1299"/>
      <c r="G789" s="519"/>
      <c r="H789" s="1421"/>
      <c r="I789" s="1421"/>
      <c r="J789" s="1421"/>
      <c r="K789" s="1421"/>
      <c r="L789" s="1421"/>
      <c r="M789" s="1421"/>
      <c r="N789" s="1421"/>
      <c r="O789" s="1421"/>
    </row>
    <row r="790">
      <c r="B790" s="1049"/>
      <c r="C790" s="1418"/>
      <c r="D790" s="1299"/>
      <c r="G790" s="519"/>
      <c r="H790" s="1421"/>
      <c r="I790" s="1421"/>
      <c r="J790" s="1421"/>
      <c r="K790" s="1421"/>
      <c r="L790" s="1421"/>
      <c r="M790" s="1421"/>
      <c r="N790" s="1421"/>
      <c r="O790" s="1421"/>
    </row>
    <row r="791">
      <c r="B791" s="1049"/>
      <c r="C791" s="1418"/>
      <c r="D791" s="1299"/>
      <c r="G791" s="519"/>
      <c r="H791" s="1421"/>
      <c r="I791" s="1421"/>
      <c r="J791" s="1421"/>
      <c r="K791" s="1421"/>
      <c r="L791" s="1421"/>
      <c r="M791" s="1421"/>
      <c r="N791" s="1421"/>
      <c r="O791" s="1421"/>
    </row>
    <row r="792">
      <c r="B792" s="1049"/>
      <c r="C792" s="1418"/>
      <c r="D792" s="1299"/>
      <c r="G792" s="519"/>
      <c r="H792" s="1421"/>
      <c r="I792" s="1421"/>
      <c r="J792" s="1421"/>
      <c r="K792" s="1421"/>
      <c r="L792" s="1421"/>
      <c r="M792" s="1421"/>
      <c r="N792" s="1421"/>
      <c r="O792" s="1421"/>
    </row>
    <row r="793">
      <c r="B793" s="1049"/>
      <c r="C793" s="1418"/>
      <c r="D793" s="1299"/>
      <c r="G793" s="519"/>
      <c r="H793" s="1421"/>
      <c r="I793" s="1421"/>
      <c r="J793" s="1421"/>
      <c r="K793" s="1421"/>
      <c r="L793" s="1421"/>
      <c r="M793" s="1421"/>
      <c r="N793" s="1421"/>
      <c r="O793" s="1421"/>
    </row>
    <row r="794">
      <c r="B794" s="1049"/>
      <c r="C794" s="1418"/>
      <c r="D794" s="1299"/>
      <c r="G794" s="519"/>
      <c r="H794" s="1421"/>
      <c r="I794" s="1421"/>
      <c r="J794" s="1421"/>
      <c r="K794" s="1421"/>
      <c r="L794" s="1421"/>
      <c r="M794" s="1421"/>
      <c r="N794" s="1421"/>
      <c r="O794" s="1421"/>
    </row>
    <row r="795">
      <c r="B795" s="1049"/>
      <c r="C795" s="1418"/>
      <c r="D795" s="1299"/>
      <c r="G795" s="519"/>
      <c r="H795" s="1421"/>
      <c r="I795" s="1421"/>
      <c r="J795" s="1421"/>
      <c r="K795" s="1421"/>
      <c r="L795" s="1421"/>
      <c r="M795" s="1421"/>
      <c r="N795" s="1421"/>
      <c r="O795" s="1421"/>
    </row>
    <row r="796">
      <c r="B796" s="1049"/>
      <c r="C796" s="1418"/>
      <c r="D796" s="1299"/>
      <c r="G796" s="519"/>
      <c r="H796" s="1421"/>
      <c r="I796" s="1421"/>
      <c r="J796" s="1421"/>
      <c r="K796" s="1421"/>
      <c r="L796" s="1421"/>
      <c r="M796" s="1421"/>
      <c r="N796" s="1421"/>
      <c r="O796" s="1421"/>
    </row>
    <row r="797">
      <c r="B797" s="1049"/>
      <c r="C797" s="1418"/>
      <c r="D797" s="1299"/>
      <c r="G797" s="519"/>
      <c r="H797" s="1421"/>
      <c r="I797" s="1421"/>
      <c r="J797" s="1421"/>
      <c r="K797" s="1421"/>
      <c r="L797" s="1421"/>
      <c r="M797" s="1421"/>
      <c r="N797" s="1421"/>
      <c r="O797" s="1421"/>
    </row>
    <row r="798">
      <c r="B798" s="1049"/>
      <c r="C798" s="1418"/>
      <c r="D798" s="1299"/>
      <c r="G798" s="519"/>
      <c r="H798" s="1421"/>
      <c r="I798" s="1421"/>
      <c r="J798" s="1421"/>
      <c r="K798" s="1421"/>
      <c r="L798" s="1421"/>
      <c r="M798" s="1421"/>
      <c r="N798" s="1421"/>
      <c r="O798" s="1421"/>
    </row>
    <row r="799">
      <c r="B799" s="1049"/>
      <c r="C799" s="1418"/>
      <c r="D799" s="1299"/>
      <c r="G799" s="519"/>
      <c r="H799" s="1421"/>
      <c r="I799" s="1421"/>
      <c r="J799" s="1421"/>
      <c r="K799" s="1421"/>
      <c r="L799" s="1421"/>
      <c r="M799" s="1421"/>
      <c r="N799" s="1421"/>
      <c r="O799" s="1421"/>
    </row>
    <row r="800">
      <c r="B800" s="1049"/>
      <c r="C800" s="1418"/>
      <c r="D800" s="1299"/>
      <c r="G800" s="519"/>
      <c r="H800" s="1421"/>
      <c r="I800" s="1421"/>
      <c r="J800" s="1421"/>
      <c r="K800" s="1421"/>
      <c r="L800" s="1421"/>
      <c r="M800" s="1421"/>
      <c r="N800" s="1421"/>
      <c r="O800" s="1421"/>
    </row>
    <row r="801">
      <c r="B801" s="1049"/>
      <c r="C801" s="1418"/>
      <c r="D801" s="1299"/>
      <c r="G801" s="519"/>
      <c r="H801" s="1421"/>
      <c r="I801" s="1421"/>
      <c r="J801" s="1421"/>
      <c r="K801" s="1421"/>
      <c r="L801" s="1421"/>
      <c r="M801" s="1421"/>
      <c r="N801" s="1421"/>
      <c r="O801" s="1421"/>
    </row>
    <row r="802">
      <c r="B802" s="1049"/>
      <c r="C802" s="1418"/>
      <c r="D802" s="1299"/>
      <c r="G802" s="519"/>
      <c r="H802" s="1421"/>
      <c r="I802" s="1421"/>
      <c r="J802" s="1421"/>
      <c r="K802" s="1421"/>
      <c r="L802" s="1421"/>
      <c r="M802" s="1421"/>
      <c r="N802" s="1421"/>
      <c r="O802" s="1421"/>
    </row>
    <row r="803">
      <c r="B803" s="1049"/>
      <c r="C803" s="1418"/>
      <c r="D803" s="1299"/>
      <c r="G803" s="519"/>
      <c r="H803" s="1421"/>
      <c r="I803" s="1421"/>
      <c r="J803" s="1421"/>
      <c r="K803" s="1421"/>
      <c r="L803" s="1421"/>
      <c r="M803" s="1421"/>
      <c r="N803" s="1421"/>
      <c r="O803" s="1421"/>
    </row>
    <row r="804">
      <c r="B804" s="1049"/>
      <c r="C804" s="1418"/>
      <c r="D804" s="1299"/>
      <c r="G804" s="519"/>
      <c r="H804" s="1421"/>
      <c r="I804" s="1421"/>
      <c r="J804" s="1421"/>
      <c r="K804" s="1421"/>
      <c r="L804" s="1421"/>
      <c r="M804" s="1421"/>
      <c r="N804" s="1421"/>
      <c r="O804" s="1421"/>
    </row>
    <row r="805">
      <c r="B805" s="1049"/>
      <c r="C805" s="1418"/>
      <c r="D805" s="1299"/>
      <c r="G805" s="519"/>
      <c r="H805" s="1421"/>
      <c r="I805" s="1421"/>
      <c r="J805" s="1421"/>
      <c r="K805" s="1421"/>
      <c r="L805" s="1421"/>
      <c r="M805" s="1421"/>
      <c r="N805" s="1421"/>
      <c r="O805" s="1421"/>
    </row>
    <row r="806">
      <c r="B806" s="1049"/>
      <c r="C806" s="1418"/>
      <c r="D806" s="1299"/>
      <c r="G806" s="519"/>
      <c r="H806" s="1421"/>
      <c r="I806" s="1421"/>
      <c r="J806" s="1421"/>
      <c r="K806" s="1421"/>
      <c r="L806" s="1421"/>
      <c r="M806" s="1421"/>
      <c r="N806" s="1421"/>
      <c r="O806" s="1421"/>
    </row>
    <row r="807">
      <c r="B807" s="1049"/>
      <c r="C807" s="1418"/>
      <c r="D807" s="1299"/>
      <c r="G807" s="519"/>
      <c r="H807" s="1421"/>
      <c r="I807" s="1421"/>
      <c r="J807" s="1421"/>
      <c r="K807" s="1421"/>
      <c r="L807" s="1421"/>
      <c r="M807" s="1421"/>
      <c r="N807" s="1421"/>
      <c r="O807" s="1421"/>
    </row>
    <row r="808">
      <c r="B808" s="1049"/>
      <c r="C808" s="1418"/>
      <c r="D808" s="1299"/>
      <c r="G808" s="519"/>
      <c r="H808" s="1421"/>
      <c r="I808" s="1421"/>
      <c r="J808" s="1421"/>
      <c r="K808" s="1421"/>
      <c r="L808" s="1421"/>
      <c r="M808" s="1421"/>
      <c r="N808" s="1421"/>
      <c r="O808" s="1421"/>
    </row>
    <row r="809">
      <c r="B809" s="1049"/>
      <c r="C809" s="1418"/>
      <c r="D809" s="1299"/>
      <c r="G809" s="519"/>
      <c r="H809" s="1421"/>
      <c r="I809" s="1421"/>
      <c r="J809" s="1421"/>
      <c r="K809" s="1421"/>
      <c r="L809" s="1421"/>
      <c r="M809" s="1421"/>
      <c r="N809" s="1421"/>
      <c r="O809" s="1421"/>
    </row>
    <row r="810">
      <c r="B810" s="1049"/>
      <c r="C810" s="1418"/>
      <c r="D810" s="1299"/>
      <c r="G810" s="519"/>
      <c r="H810" s="1421"/>
      <c r="I810" s="1421"/>
      <c r="J810" s="1421"/>
      <c r="K810" s="1421"/>
      <c r="L810" s="1421"/>
      <c r="M810" s="1421"/>
      <c r="N810" s="1421"/>
      <c r="O810" s="1421"/>
    </row>
    <row r="811">
      <c r="B811" s="1049"/>
      <c r="C811" s="1418"/>
      <c r="D811" s="1299"/>
      <c r="G811" s="519"/>
      <c r="H811" s="1421"/>
      <c r="I811" s="1421"/>
      <c r="J811" s="1421"/>
      <c r="K811" s="1421"/>
      <c r="L811" s="1421"/>
      <c r="M811" s="1421"/>
      <c r="N811" s="1421"/>
      <c r="O811" s="1421"/>
    </row>
    <row r="812">
      <c r="B812" s="1049"/>
      <c r="C812" s="1418"/>
      <c r="D812" s="1299"/>
      <c r="G812" s="519"/>
      <c r="H812" s="1421"/>
      <c r="I812" s="1421"/>
      <c r="J812" s="1421"/>
      <c r="K812" s="1421"/>
      <c r="L812" s="1421"/>
      <c r="M812" s="1421"/>
      <c r="N812" s="1421"/>
      <c r="O812" s="1421"/>
    </row>
    <row r="813">
      <c r="B813" s="1049"/>
      <c r="C813" s="1418"/>
      <c r="D813" s="1299"/>
      <c r="G813" s="519"/>
      <c r="H813" s="1421"/>
      <c r="I813" s="1421"/>
      <c r="J813" s="1421"/>
      <c r="K813" s="1421"/>
      <c r="L813" s="1421"/>
      <c r="M813" s="1421"/>
      <c r="N813" s="1421"/>
      <c r="O813" s="1421"/>
    </row>
    <row r="814">
      <c r="B814" s="1049"/>
      <c r="C814" s="1418"/>
      <c r="D814" s="1299"/>
      <c r="G814" s="519"/>
      <c r="H814" s="1421"/>
      <c r="I814" s="1421"/>
      <c r="J814" s="1421"/>
      <c r="K814" s="1421"/>
      <c r="L814" s="1421"/>
      <c r="M814" s="1421"/>
      <c r="N814" s="1421"/>
      <c r="O814" s="1421"/>
    </row>
    <row r="815">
      <c r="B815" s="1049"/>
      <c r="C815" s="1418"/>
      <c r="D815" s="1299"/>
      <c r="G815" s="519"/>
      <c r="H815" s="1421"/>
      <c r="I815" s="1421"/>
      <c r="J815" s="1421"/>
      <c r="K815" s="1421"/>
      <c r="L815" s="1421"/>
      <c r="M815" s="1421"/>
      <c r="N815" s="1421"/>
      <c r="O815" s="1421"/>
    </row>
    <row r="816">
      <c r="B816" s="1049"/>
      <c r="C816" s="1418"/>
      <c r="D816" s="1299"/>
      <c r="G816" s="519"/>
      <c r="H816" s="1421"/>
      <c r="I816" s="1421"/>
      <c r="J816" s="1421"/>
      <c r="K816" s="1421"/>
      <c r="L816" s="1421"/>
      <c r="M816" s="1421"/>
      <c r="N816" s="1421"/>
      <c r="O816" s="1421"/>
    </row>
    <row r="817">
      <c r="B817" s="1049"/>
      <c r="C817" s="1418"/>
      <c r="D817" s="1299"/>
      <c r="G817" s="519"/>
      <c r="H817" s="1421"/>
      <c r="I817" s="1421"/>
      <c r="J817" s="1421"/>
      <c r="K817" s="1421"/>
      <c r="L817" s="1421"/>
      <c r="M817" s="1421"/>
      <c r="N817" s="1421"/>
      <c r="O817" s="1421"/>
    </row>
    <row r="818">
      <c r="B818" s="1049"/>
      <c r="C818" s="1418"/>
      <c r="D818" s="1299"/>
      <c r="G818" s="519"/>
      <c r="H818" s="1421"/>
      <c r="I818" s="1421"/>
      <c r="J818" s="1421"/>
      <c r="K818" s="1421"/>
      <c r="L818" s="1421"/>
      <c r="M818" s="1421"/>
      <c r="N818" s="1421"/>
      <c r="O818" s="1421"/>
    </row>
    <row r="819">
      <c r="B819" s="1049"/>
      <c r="C819" s="1418"/>
      <c r="D819" s="1299"/>
      <c r="G819" s="519"/>
      <c r="H819" s="1421"/>
      <c r="I819" s="1421"/>
      <c r="J819" s="1421"/>
      <c r="K819" s="1421"/>
      <c r="L819" s="1421"/>
      <c r="M819" s="1421"/>
      <c r="N819" s="1421"/>
      <c r="O819" s="1421"/>
    </row>
    <row r="820">
      <c r="B820" s="1049"/>
      <c r="C820" s="1418"/>
      <c r="D820" s="1299"/>
      <c r="G820" s="519"/>
      <c r="H820" s="1421"/>
      <c r="I820" s="1421"/>
      <c r="J820" s="1421"/>
      <c r="K820" s="1421"/>
      <c r="L820" s="1421"/>
      <c r="M820" s="1421"/>
      <c r="N820" s="1421"/>
      <c r="O820" s="1421"/>
    </row>
    <row r="821">
      <c r="B821" s="1049"/>
      <c r="C821" s="1418"/>
      <c r="D821" s="1299"/>
      <c r="G821" s="519"/>
      <c r="H821" s="1421"/>
      <c r="I821" s="1421"/>
      <c r="J821" s="1421"/>
      <c r="K821" s="1421"/>
      <c r="L821" s="1421"/>
      <c r="M821" s="1421"/>
      <c r="N821" s="1421"/>
      <c r="O821" s="1421"/>
    </row>
    <row r="822">
      <c r="B822" s="1049"/>
      <c r="C822" s="1418"/>
      <c r="D822" s="1299"/>
      <c r="G822" s="519"/>
      <c r="H822" s="1421"/>
      <c r="I822" s="1421"/>
      <c r="J822" s="1421"/>
      <c r="K822" s="1421"/>
      <c r="L822" s="1421"/>
      <c r="M822" s="1421"/>
      <c r="N822" s="1421"/>
      <c r="O822" s="1421"/>
    </row>
    <row r="823">
      <c r="B823" s="1049"/>
      <c r="C823" s="1418"/>
      <c r="D823" s="1299"/>
      <c r="G823" s="519"/>
      <c r="H823" s="1421"/>
      <c r="I823" s="1421"/>
      <c r="J823" s="1421"/>
      <c r="K823" s="1421"/>
      <c r="L823" s="1421"/>
      <c r="M823" s="1421"/>
      <c r="N823" s="1421"/>
      <c r="O823" s="1421"/>
    </row>
    <row r="824">
      <c r="B824" s="1049"/>
      <c r="C824" s="1418"/>
      <c r="D824" s="1299"/>
      <c r="G824" s="519"/>
      <c r="H824" s="1421"/>
      <c r="I824" s="1421"/>
      <c r="J824" s="1421"/>
      <c r="K824" s="1421"/>
      <c r="L824" s="1421"/>
      <c r="M824" s="1421"/>
      <c r="N824" s="1421"/>
      <c r="O824" s="1421"/>
    </row>
    <row r="825">
      <c r="B825" s="1049"/>
      <c r="C825" s="1418"/>
      <c r="D825" s="1299"/>
      <c r="G825" s="519"/>
      <c r="H825" s="1421"/>
      <c r="I825" s="1421"/>
      <c r="J825" s="1421"/>
      <c r="K825" s="1421"/>
      <c r="L825" s="1421"/>
      <c r="M825" s="1421"/>
      <c r="N825" s="1421"/>
      <c r="O825" s="1421"/>
    </row>
    <row r="826">
      <c r="B826" s="1049"/>
      <c r="C826" s="1418"/>
      <c r="D826" s="1299"/>
      <c r="G826" s="519"/>
      <c r="H826" s="1421"/>
      <c r="I826" s="1421"/>
      <c r="J826" s="1421"/>
      <c r="K826" s="1421"/>
      <c r="L826" s="1421"/>
      <c r="M826" s="1421"/>
      <c r="N826" s="1421"/>
      <c r="O826" s="1421"/>
    </row>
    <row r="827">
      <c r="B827" s="1049"/>
      <c r="C827" s="1418"/>
      <c r="D827" s="1299"/>
      <c r="G827" s="519"/>
      <c r="H827" s="1421"/>
      <c r="I827" s="1421"/>
      <c r="J827" s="1421"/>
      <c r="K827" s="1421"/>
      <c r="L827" s="1421"/>
      <c r="M827" s="1421"/>
      <c r="N827" s="1421"/>
      <c r="O827" s="1421"/>
    </row>
    <row r="828">
      <c r="B828" s="1049"/>
      <c r="C828" s="1418"/>
      <c r="D828" s="1299"/>
      <c r="G828" s="519"/>
      <c r="H828" s="1421"/>
      <c r="I828" s="1421"/>
      <c r="J828" s="1421"/>
      <c r="K828" s="1421"/>
      <c r="L828" s="1421"/>
      <c r="M828" s="1421"/>
      <c r="N828" s="1421"/>
      <c r="O828" s="1421"/>
    </row>
    <row r="829">
      <c r="B829" s="1049"/>
      <c r="C829" s="1418"/>
      <c r="D829" s="1299"/>
      <c r="G829" s="519"/>
      <c r="H829" s="1421"/>
      <c r="I829" s="1421"/>
      <c r="J829" s="1421"/>
      <c r="K829" s="1421"/>
      <c r="L829" s="1421"/>
      <c r="M829" s="1421"/>
      <c r="N829" s="1421"/>
      <c r="O829" s="1421"/>
    </row>
    <row r="830">
      <c r="B830" s="1049"/>
      <c r="C830" s="1418"/>
      <c r="D830" s="1299"/>
      <c r="G830" s="519"/>
      <c r="H830" s="1421"/>
      <c r="I830" s="1421"/>
      <c r="J830" s="1421"/>
      <c r="K830" s="1421"/>
      <c r="L830" s="1421"/>
      <c r="M830" s="1421"/>
      <c r="N830" s="1421"/>
      <c r="O830" s="1421"/>
    </row>
    <row r="831">
      <c r="B831" s="1049"/>
      <c r="C831" s="1418"/>
      <c r="D831" s="1299"/>
      <c r="G831" s="519"/>
      <c r="H831" s="1421"/>
      <c r="I831" s="1421"/>
      <c r="J831" s="1421"/>
      <c r="K831" s="1421"/>
      <c r="L831" s="1421"/>
      <c r="M831" s="1421"/>
      <c r="N831" s="1421"/>
      <c r="O831" s="1421"/>
    </row>
    <row r="832">
      <c r="B832" s="1049"/>
      <c r="C832" s="1418"/>
      <c r="D832" s="1299"/>
      <c r="G832" s="519"/>
      <c r="H832" s="1421"/>
      <c r="I832" s="1421"/>
      <c r="J832" s="1421"/>
      <c r="K832" s="1421"/>
      <c r="L832" s="1421"/>
      <c r="M832" s="1421"/>
      <c r="N832" s="1421"/>
      <c r="O832" s="1421"/>
    </row>
    <row r="833">
      <c r="B833" s="1049"/>
      <c r="C833" s="1418"/>
      <c r="D833" s="1299"/>
      <c r="G833" s="519"/>
      <c r="H833" s="1421"/>
      <c r="I833" s="1421"/>
      <c r="J833" s="1421"/>
      <c r="K833" s="1421"/>
      <c r="L833" s="1421"/>
      <c r="M833" s="1421"/>
      <c r="N833" s="1421"/>
      <c r="O833" s="1421"/>
    </row>
    <row r="834">
      <c r="B834" s="1049"/>
      <c r="C834" s="1418"/>
      <c r="D834" s="1299"/>
      <c r="G834" s="519"/>
      <c r="H834" s="1421"/>
      <c r="I834" s="1421"/>
      <c r="J834" s="1421"/>
      <c r="K834" s="1421"/>
      <c r="L834" s="1421"/>
      <c r="M834" s="1421"/>
      <c r="N834" s="1421"/>
      <c r="O834" s="1421"/>
    </row>
    <row r="835">
      <c r="B835" s="1049"/>
      <c r="C835" s="1418"/>
      <c r="D835" s="1299"/>
      <c r="G835" s="519"/>
      <c r="H835" s="1421"/>
      <c r="I835" s="1421"/>
      <c r="J835" s="1421"/>
      <c r="K835" s="1421"/>
      <c r="L835" s="1421"/>
      <c r="M835" s="1421"/>
      <c r="N835" s="1421"/>
      <c r="O835" s="1421"/>
    </row>
    <row r="836">
      <c r="B836" s="1049"/>
      <c r="C836" s="1418"/>
      <c r="D836" s="1299"/>
      <c r="G836" s="519"/>
      <c r="H836" s="1421"/>
      <c r="I836" s="1421"/>
      <c r="J836" s="1421"/>
      <c r="K836" s="1421"/>
      <c r="L836" s="1421"/>
      <c r="M836" s="1421"/>
      <c r="N836" s="1421"/>
      <c r="O836" s="1421"/>
    </row>
    <row r="837">
      <c r="B837" s="1049"/>
      <c r="C837" s="1418"/>
      <c r="D837" s="1299"/>
      <c r="G837" s="519"/>
      <c r="H837" s="1421"/>
      <c r="I837" s="1421"/>
      <c r="J837" s="1421"/>
      <c r="K837" s="1421"/>
      <c r="L837" s="1421"/>
      <c r="M837" s="1421"/>
      <c r="N837" s="1421"/>
      <c r="O837" s="1421"/>
    </row>
    <row r="838">
      <c r="B838" s="1049"/>
      <c r="C838" s="1418"/>
      <c r="D838" s="1299"/>
      <c r="G838" s="519"/>
      <c r="H838" s="1421"/>
      <c r="I838" s="1421"/>
      <c r="J838" s="1421"/>
      <c r="K838" s="1421"/>
      <c r="L838" s="1421"/>
      <c r="M838" s="1421"/>
      <c r="N838" s="1421"/>
      <c r="O838" s="1421"/>
    </row>
    <row r="839">
      <c r="B839" s="1049"/>
      <c r="C839" s="1418"/>
      <c r="D839" s="1299"/>
      <c r="G839" s="519"/>
      <c r="H839" s="1421"/>
      <c r="I839" s="1421"/>
      <c r="J839" s="1421"/>
      <c r="K839" s="1421"/>
      <c r="L839" s="1421"/>
      <c r="M839" s="1421"/>
      <c r="N839" s="1421"/>
      <c r="O839" s="1421"/>
    </row>
    <row r="840">
      <c r="B840" s="1049"/>
      <c r="C840" s="1418"/>
      <c r="D840" s="1299"/>
      <c r="G840" s="519"/>
      <c r="H840" s="1421"/>
      <c r="I840" s="1421"/>
      <c r="J840" s="1421"/>
      <c r="K840" s="1421"/>
      <c r="L840" s="1421"/>
      <c r="M840" s="1421"/>
      <c r="N840" s="1421"/>
      <c r="O840" s="1421"/>
    </row>
    <row r="841">
      <c r="B841" s="1049"/>
      <c r="C841" s="1418"/>
      <c r="D841" s="1299"/>
      <c r="G841" s="519"/>
      <c r="H841" s="1421"/>
      <c r="I841" s="1421"/>
      <c r="J841" s="1421"/>
      <c r="K841" s="1421"/>
      <c r="L841" s="1421"/>
      <c r="M841" s="1421"/>
      <c r="N841" s="1421"/>
      <c r="O841" s="1421"/>
    </row>
    <row r="842">
      <c r="B842" s="1049"/>
      <c r="C842" s="1418"/>
      <c r="D842" s="1299"/>
      <c r="G842" s="519"/>
      <c r="H842" s="1421"/>
      <c r="I842" s="1421"/>
      <c r="J842" s="1421"/>
      <c r="K842" s="1421"/>
      <c r="L842" s="1421"/>
      <c r="M842" s="1421"/>
      <c r="N842" s="1421"/>
      <c r="O842" s="1421"/>
    </row>
    <row r="843">
      <c r="B843" s="1049"/>
      <c r="C843" s="1418"/>
      <c r="D843" s="1299"/>
      <c r="G843" s="519"/>
      <c r="H843" s="1421"/>
      <c r="I843" s="1421"/>
      <c r="J843" s="1421"/>
      <c r="K843" s="1421"/>
      <c r="L843" s="1421"/>
      <c r="M843" s="1421"/>
      <c r="N843" s="1421"/>
      <c r="O843" s="1421"/>
    </row>
    <row r="844">
      <c r="B844" s="1049"/>
      <c r="C844" s="1418"/>
      <c r="D844" s="1299"/>
      <c r="G844" s="519"/>
      <c r="H844" s="1421"/>
      <c r="I844" s="1421"/>
      <c r="J844" s="1421"/>
      <c r="K844" s="1421"/>
      <c r="L844" s="1421"/>
      <c r="M844" s="1421"/>
      <c r="N844" s="1421"/>
      <c r="O844" s="1421"/>
    </row>
    <row r="845">
      <c r="B845" s="1049"/>
      <c r="C845" s="1418"/>
      <c r="D845" s="1299"/>
      <c r="G845" s="519"/>
      <c r="H845" s="1421"/>
      <c r="I845" s="1421"/>
      <c r="J845" s="1421"/>
      <c r="K845" s="1421"/>
      <c r="L845" s="1421"/>
      <c r="M845" s="1421"/>
      <c r="N845" s="1421"/>
      <c r="O845" s="1421"/>
    </row>
    <row r="846">
      <c r="B846" s="1049"/>
      <c r="C846" s="1418"/>
      <c r="D846" s="1299"/>
      <c r="G846" s="519"/>
      <c r="H846" s="1421"/>
      <c r="I846" s="1421"/>
      <c r="J846" s="1421"/>
      <c r="K846" s="1421"/>
      <c r="L846" s="1421"/>
      <c r="M846" s="1421"/>
      <c r="N846" s="1421"/>
      <c r="O846" s="1421"/>
    </row>
    <row r="847">
      <c r="B847" s="1049"/>
      <c r="C847" s="1418"/>
      <c r="D847" s="1299"/>
      <c r="G847" s="519"/>
      <c r="H847" s="1421"/>
      <c r="I847" s="1421"/>
      <c r="J847" s="1421"/>
      <c r="K847" s="1421"/>
      <c r="L847" s="1421"/>
      <c r="M847" s="1421"/>
      <c r="N847" s="1421"/>
      <c r="O847" s="1421"/>
    </row>
    <row r="848">
      <c r="B848" s="1049"/>
      <c r="C848" s="1418"/>
      <c r="D848" s="1299"/>
      <c r="G848" s="519"/>
      <c r="H848" s="1421"/>
      <c r="I848" s="1421"/>
      <c r="J848" s="1421"/>
      <c r="K848" s="1421"/>
      <c r="L848" s="1421"/>
      <c r="M848" s="1421"/>
      <c r="N848" s="1421"/>
      <c r="O848" s="1421"/>
    </row>
    <row r="849">
      <c r="B849" s="1049"/>
      <c r="C849" s="1418"/>
      <c r="D849" s="1299"/>
      <c r="G849" s="519"/>
      <c r="H849" s="1421"/>
      <c r="I849" s="1421"/>
      <c r="J849" s="1421"/>
      <c r="K849" s="1421"/>
      <c r="L849" s="1421"/>
      <c r="M849" s="1421"/>
      <c r="N849" s="1421"/>
      <c r="O849" s="1421"/>
    </row>
    <row r="850">
      <c r="B850" s="1049"/>
      <c r="C850" s="1418"/>
      <c r="D850" s="1299"/>
      <c r="G850" s="519"/>
      <c r="H850" s="1421"/>
      <c r="I850" s="1421"/>
      <c r="J850" s="1421"/>
      <c r="K850" s="1421"/>
      <c r="L850" s="1421"/>
      <c r="M850" s="1421"/>
      <c r="N850" s="1421"/>
      <c r="O850" s="1421"/>
    </row>
    <row r="851">
      <c r="B851" s="1049"/>
      <c r="C851" s="1418"/>
      <c r="D851" s="1299"/>
      <c r="G851" s="519"/>
      <c r="H851" s="1421"/>
      <c r="I851" s="1421"/>
      <c r="J851" s="1421"/>
      <c r="K851" s="1421"/>
      <c r="L851" s="1421"/>
      <c r="M851" s="1421"/>
      <c r="N851" s="1421"/>
      <c r="O851" s="1421"/>
    </row>
    <row r="852">
      <c r="B852" s="1049"/>
      <c r="C852" s="1418"/>
      <c r="D852" s="1299"/>
      <c r="G852" s="519"/>
      <c r="H852" s="1421"/>
      <c r="I852" s="1421"/>
      <c r="J852" s="1421"/>
      <c r="K852" s="1421"/>
      <c r="L852" s="1421"/>
      <c r="M852" s="1421"/>
      <c r="N852" s="1421"/>
      <c r="O852" s="1421"/>
    </row>
    <row r="853">
      <c r="B853" s="1049"/>
      <c r="C853" s="1418"/>
      <c r="D853" s="1299"/>
      <c r="G853" s="519"/>
      <c r="H853" s="1421"/>
      <c r="I853" s="1421"/>
      <c r="J853" s="1421"/>
      <c r="K853" s="1421"/>
      <c r="L853" s="1421"/>
      <c r="M853" s="1421"/>
      <c r="N853" s="1421"/>
      <c r="O853" s="1421"/>
    </row>
    <row r="854">
      <c r="B854" s="1049"/>
      <c r="C854" s="1418"/>
      <c r="D854" s="1299"/>
      <c r="G854" s="519"/>
      <c r="H854" s="1421"/>
      <c r="I854" s="1421"/>
      <c r="J854" s="1421"/>
      <c r="K854" s="1421"/>
      <c r="L854" s="1421"/>
      <c r="M854" s="1421"/>
      <c r="N854" s="1421"/>
      <c r="O854" s="1421"/>
    </row>
    <row r="855">
      <c r="B855" s="1049"/>
      <c r="C855" s="1418"/>
      <c r="D855" s="1299"/>
      <c r="G855" s="519"/>
      <c r="H855" s="1421"/>
      <c r="I855" s="1421"/>
      <c r="J855" s="1421"/>
      <c r="K855" s="1421"/>
      <c r="L855" s="1421"/>
      <c r="M855" s="1421"/>
      <c r="N855" s="1421"/>
      <c r="O855" s="1421"/>
    </row>
    <row r="856">
      <c r="B856" s="1049"/>
      <c r="C856" s="1418"/>
      <c r="D856" s="1299"/>
      <c r="G856" s="519"/>
      <c r="H856" s="1421"/>
      <c r="I856" s="1421"/>
      <c r="J856" s="1421"/>
      <c r="K856" s="1421"/>
      <c r="L856" s="1421"/>
      <c r="M856" s="1421"/>
      <c r="N856" s="1421"/>
      <c r="O856" s="1421"/>
    </row>
    <row r="857">
      <c r="B857" s="1049"/>
      <c r="C857" s="1418"/>
      <c r="D857" s="1299"/>
      <c r="G857" s="519"/>
      <c r="H857" s="1421"/>
      <c r="I857" s="1421"/>
      <c r="J857" s="1421"/>
      <c r="K857" s="1421"/>
      <c r="L857" s="1421"/>
      <c r="M857" s="1421"/>
      <c r="N857" s="1421"/>
      <c r="O857" s="1421"/>
    </row>
    <row r="858">
      <c r="B858" s="1049"/>
      <c r="C858" s="1418"/>
      <c r="D858" s="1299"/>
      <c r="G858" s="519"/>
      <c r="H858" s="1421"/>
      <c r="I858" s="1421"/>
      <c r="J858" s="1421"/>
      <c r="K858" s="1421"/>
      <c r="L858" s="1421"/>
      <c r="M858" s="1421"/>
      <c r="N858" s="1421"/>
      <c r="O858" s="1421"/>
    </row>
    <row r="859">
      <c r="B859" s="1049"/>
      <c r="C859" s="1418"/>
      <c r="D859" s="1299"/>
      <c r="G859" s="519"/>
      <c r="H859" s="1421"/>
      <c r="I859" s="1421"/>
      <c r="J859" s="1421"/>
      <c r="K859" s="1421"/>
      <c r="L859" s="1421"/>
      <c r="M859" s="1421"/>
      <c r="N859" s="1421"/>
      <c r="O859" s="1421"/>
    </row>
    <row r="860">
      <c r="B860" s="1049"/>
      <c r="C860" s="1418"/>
      <c r="D860" s="1299"/>
      <c r="G860" s="519"/>
      <c r="H860" s="1421"/>
      <c r="I860" s="1421"/>
      <c r="J860" s="1421"/>
      <c r="K860" s="1421"/>
      <c r="L860" s="1421"/>
      <c r="M860" s="1421"/>
      <c r="N860" s="1421"/>
      <c r="O860" s="1421"/>
    </row>
    <row r="861">
      <c r="B861" s="1049"/>
      <c r="C861" s="1418"/>
      <c r="D861" s="1299"/>
      <c r="G861" s="519"/>
      <c r="H861" s="1421"/>
      <c r="I861" s="1421"/>
      <c r="J861" s="1421"/>
      <c r="K861" s="1421"/>
      <c r="L861" s="1421"/>
      <c r="M861" s="1421"/>
      <c r="N861" s="1421"/>
      <c r="O861" s="1421"/>
    </row>
    <row r="862">
      <c r="B862" s="1049"/>
      <c r="C862" s="1418"/>
      <c r="D862" s="1299"/>
      <c r="G862" s="519"/>
      <c r="H862" s="1421"/>
      <c r="I862" s="1421"/>
      <c r="J862" s="1421"/>
      <c r="K862" s="1421"/>
      <c r="L862" s="1421"/>
      <c r="M862" s="1421"/>
      <c r="N862" s="1421"/>
      <c r="O862" s="1421"/>
    </row>
    <row r="863">
      <c r="B863" s="1049"/>
      <c r="C863" s="1418"/>
      <c r="D863" s="1299"/>
      <c r="G863" s="519"/>
      <c r="H863" s="1421"/>
      <c r="I863" s="1421"/>
      <c r="J863" s="1421"/>
      <c r="K863" s="1421"/>
      <c r="L863" s="1421"/>
      <c r="M863" s="1421"/>
      <c r="N863" s="1421"/>
      <c r="O863" s="1421"/>
    </row>
    <row r="864">
      <c r="B864" s="1049"/>
      <c r="C864" s="1418"/>
      <c r="D864" s="1299"/>
      <c r="G864" s="519"/>
      <c r="H864" s="1421"/>
      <c r="I864" s="1421"/>
      <c r="J864" s="1421"/>
      <c r="K864" s="1421"/>
      <c r="L864" s="1421"/>
      <c r="M864" s="1421"/>
      <c r="N864" s="1421"/>
      <c r="O864" s="1421"/>
    </row>
    <row r="865">
      <c r="B865" s="1049"/>
      <c r="C865" s="1418"/>
      <c r="D865" s="1299"/>
      <c r="G865" s="519"/>
      <c r="H865" s="1421"/>
      <c r="I865" s="1421"/>
      <c r="J865" s="1421"/>
      <c r="K865" s="1421"/>
      <c r="L865" s="1421"/>
      <c r="M865" s="1421"/>
      <c r="N865" s="1421"/>
      <c r="O865" s="1421"/>
    </row>
    <row r="866">
      <c r="B866" s="1049"/>
      <c r="C866" s="1418"/>
      <c r="D866" s="1299"/>
      <c r="G866" s="519"/>
      <c r="H866" s="1421"/>
      <c r="I866" s="1421"/>
      <c r="J866" s="1421"/>
      <c r="K866" s="1421"/>
      <c r="L866" s="1421"/>
      <c r="M866" s="1421"/>
      <c r="N866" s="1421"/>
      <c r="O866" s="1421"/>
    </row>
    <row r="867">
      <c r="B867" s="1049"/>
      <c r="C867" s="1418"/>
      <c r="D867" s="1299"/>
      <c r="G867" s="519"/>
      <c r="H867" s="1421"/>
      <c r="I867" s="1421"/>
      <c r="J867" s="1421"/>
      <c r="K867" s="1421"/>
      <c r="L867" s="1421"/>
      <c r="M867" s="1421"/>
      <c r="N867" s="1421"/>
      <c r="O867" s="1421"/>
    </row>
    <row r="868">
      <c r="B868" s="1049"/>
      <c r="C868" s="1418"/>
      <c r="D868" s="1299"/>
      <c r="G868" s="519"/>
      <c r="H868" s="1421"/>
      <c r="I868" s="1421"/>
      <c r="J868" s="1421"/>
      <c r="K868" s="1421"/>
      <c r="L868" s="1421"/>
      <c r="M868" s="1421"/>
      <c r="N868" s="1421"/>
      <c r="O868" s="1421"/>
    </row>
    <row r="869">
      <c r="B869" s="1049"/>
      <c r="C869" s="1418"/>
      <c r="D869" s="1299"/>
      <c r="G869" s="519"/>
      <c r="H869" s="1421"/>
      <c r="I869" s="1421"/>
      <c r="J869" s="1421"/>
      <c r="K869" s="1421"/>
      <c r="L869" s="1421"/>
      <c r="M869" s="1421"/>
      <c r="N869" s="1421"/>
      <c r="O869" s="1421"/>
    </row>
    <row r="870">
      <c r="B870" s="1049"/>
      <c r="C870" s="1418"/>
      <c r="D870" s="1299"/>
      <c r="G870" s="519"/>
      <c r="H870" s="1421"/>
      <c r="I870" s="1421"/>
      <c r="J870" s="1421"/>
      <c r="K870" s="1421"/>
      <c r="L870" s="1421"/>
      <c r="M870" s="1421"/>
      <c r="N870" s="1421"/>
      <c r="O870" s="1421"/>
    </row>
    <row r="871">
      <c r="B871" s="1049"/>
      <c r="C871" s="1418"/>
      <c r="D871" s="1299"/>
      <c r="G871" s="519"/>
      <c r="H871" s="1421"/>
      <c r="I871" s="1421"/>
      <c r="J871" s="1421"/>
      <c r="K871" s="1421"/>
      <c r="L871" s="1421"/>
      <c r="M871" s="1421"/>
      <c r="N871" s="1421"/>
      <c r="O871" s="1421"/>
    </row>
    <row r="872">
      <c r="B872" s="1049"/>
      <c r="C872" s="1418"/>
      <c r="D872" s="1299"/>
      <c r="G872" s="519"/>
      <c r="H872" s="1421"/>
      <c r="I872" s="1421"/>
      <c r="J872" s="1421"/>
      <c r="K872" s="1421"/>
      <c r="L872" s="1421"/>
      <c r="M872" s="1421"/>
      <c r="N872" s="1421"/>
      <c r="O872" s="1421"/>
    </row>
    <row r="873">
      <c r="B873" s="1049"/>
      <c r="C873" s="1418"/>
      <c r="D873" s="1299"/>
      <c r="G873" s="519"/>
      <c r="H873" s="1421"/>
      <c r="I873" s="1421"/>
      <c r="J873" s="1421"/>
      <c r="K873" s="1421"/>
      <c r="L873" s="1421"/>
      <c r="M873" s="1421"/>
      <c r="N873" s="1421"/>
      <c r="O873" s="1421"/>
    </row>
    <row r="874">
      <c r="B874" s="1049"/>
      <c r="C874" s="1418"/>
      <c r="D874" s="1299"/>
      <c r="G874" s="519"/>
      <c r="H874" s="1421"/>
      <c r="I874" s="1421"/>
      <c r="J874" s="1421"/>
      <c r="K874" s="1421"/>
      <c r="L874" s="1421"/>
      <c r="M874" s="1421"/>
      <c r="N874" s="1421"/>
      <c r="O874" s="1421"/>
    </row>
    <row r="875">
      <c r="B875" s="1049"/>
      <c r="C875" s="1418"/>
      <c r="D875" s="1299"/>
      <c r="G875" s="519"/>
      <c r="H875" s="1421"/>
      <c r="I875" s="1421"/>
      <c r="J875" s="1421"/>
      <c r="K875" s="1421"/>
      <c r="L875" s="1421"/>
      <c r="M875" s="1421"/>
      <c r="N875" s="1421"/>
      <c r="O875" s="1421"/>
    </row>
    <row r="876">
      <c r="B876" s="1049"/>
      <c r="C876" s="1418"/>
      <c r="D876" s="1299"/>
      <c r="G876" s="519"/>
      <c r="H876" s="1421"/>
      <c r="I876" s="1421"/>
      <c r="J876" s="1421"/>
      <c r="K876" s="1421"/>
      <c r="L876" s="1421"/>
      <c r="M876" s="1421"/>
      <c r="N876" s="1421"/>
      <c r="O876" s="1421"/>
    </row>
    <row r="877">
      <c r="B877" s="1049"/>
      <c r="C877" s="1418"/>
      <c r="D877" s="1299"/>
      <c r="G877" s="519"/>
      <c r="H877" s="1421"/>
      <c r="I877" s="1421"/>
      <c r="J877" s="1421"/>
      <c r="K877" s="1421"/>
      <c r="L877" s="1421"/>
      <c r="M877" s="1421"/>
      <c r="N877" s="1421"/>
      <c r="O877" s="1421"/>
    </row>
    <row r="878">
      <c r="B878" s="1049"/>
      <c r="C878" s="1418"/>
      <c r="D878" s="1299"/>
      <c r="G878" s="519"/>
      <c r="H878" s="1421"/>
      <c r="I878" s="1421"/>
      <c r="J878" s="1421"/>
      <c r="K878" s="1421"/>
      <c r="L878" s="1421"/>
      <c r="M878" s="1421"/>
      <c r="N878" s="1421"/>
      <c r="O878" s="1421"/>
    </row>
    <row r="879">
      <c r="B879" s="1049"/>
      <c r="C879" s="1418"/>
      <c r="D879" s="1299"/>
      <c r="G879" s="519"/>
      <c r="H879" s="1421"/>
      <c r="I879" s="1421"/>
      <c r="J879" s="1421"/>
      <c r="K879" s="1421"/>
      <c r="L879" s="1421"/>
      <c r="M879" s="1421"/>
      <c r="N879" s="1421"/>
      <c r="O879" s="1421"/>
    </row>
    <row r="880">
      <c r="B880" s="1049"/>
      <c r="C880" s="1418"/>
      <c r="D880" s="1299"/>
      <c r="G880" s="519"/>
      <c r="H880" s="1421"/>
      <c r="I880" s="1421"/>
      <c r="J880" s="1421"/>
      <c r="K880" s="1421"/>
      <c r="L880" s="1421"/>
      <c r="M880" s="1421"/>
      <c r="N880" s="1421"/>
      <c r="O880" s="1421"/>
    </row>
    <row r="881">
      <c r="B881" s="1049"/>
      <c r="C881" s="1418"/>
      <c r="D881" s="1299"/>
      <c r="G881" s="519"/>
      <c r="H881" s="1421"/>
      <c r="I881" s="1421"/>
      <c r="J881" s="1421"/>
      <c r="K881" s="1421"/>
      <c r="L881" s="1421"/>
      <c r="M881" s="1421"/>
      <c r="N881" s="1421"/>
      <c r="O881" s="1421"/>
    </row>
    <row r="882">
      <c r="B882" s="1049"/>
      <c r="C882" s="1418"/>
      <c r="D882" s="1299"/>
      <c r="G882" s="519"/>
      <c r="H882" s="1421"/>
      <c r="I882" s="1421"/>
      <c r="J882" s="1421"/>
      <c r="K882" s="1421"/>
      <c r="L882" s="1421"/>
      <c r="M882" s="1421"/>
      <c r="N882" s="1421"/>
      <c r="O882" s="1421"/>
    </row>
    <row r="883">
      <c r="B883" s="1049"/>
      <c r="C883" s="1418"/>
      <c r="D883" s="1299"/>
      <c r="G883" s="519"/>
      <c r="H883" s="1421"/>
      <c r="I883" s="1421"/>
      <c r="J883" s="1421"/>
      <c r="K883" s="1421"/>
      <c r="L883" s="1421"/>
      <c r="M883" s="1421"/>
      <c r="N883" s="1421"/>
      <c r="O883" s="1421"/>
    </row>
    <row r="884">
      <c r="B884" s="1049"/>
      <c r="C884" s="1418"/>
      <c r="D884" s="1299"/>
      <c r="G884" s="519"/>
      <c r="H884" s="1421"/>
      <c r="I884" s="1421"/>
      <c r="J884" s="1421"/>
      <c r="K884" s="1421"/>
      <c r="L884" s="1421"/>
      <c r="M884" s="1421"/>
      <c r="N884" s="1421"/>
      <c r="O884" s="1421"/>
    </row>
    <row r="885">
      <c r="B885" s="1049"/>
      <c r="C885" s="1418"/>
      <c r="D885" s="1299"/>
      <c r="G885" s="519"/>
      <c r="H885" s="1421"/>
      <c r="I885" s="1421"/>
      <c r="J885" s="1421"/>
      <c r="K885" s="1421"/>
      <c r="L885" s="1421"/>
      <c r="M885" s="1421"/>
      <c r="N885" s="1421"/>
      <c r="O885" s="1421"/>
    </row>
    <row r="886">
      <c r="B886" s="1049"/>
      <c r="C886" s="1418"/>
      <c r="D886" s="1299"/>
      <c r="G886" s="519"/>
      <c r="H886" s="1421"/>
      <c r="I886" s="1421"/>
      <c r="J886" s="1421"/>
      <c r="K886" s="1421"/>
      <c r="L886" s="1421"/>
      <c r="M886" s="1421"/>
      <c r="N886" s="1421"/>
      <c r="O886" s="1421"/>
    </row>
    <row r="887">
      <c r="B887" s="1049"/>
      <c r="C887" s="1418"/>
      <c r="D887" s="1299"/>
      <c r="G887" s="519"/>
      <c r="H887" s="1421"/>
      <c r="I887" s="1421"/>
      <c r="J887" s="1421"/>
      <c r="K887" s="1421"/>
      <c r="L887" s="1421"/>
      <c r="M887" s="1421"/>
      <c r="N887" s="1421"/>
      <c r="O887" s="1421"/>
    </row>
    <row r="888">
      <c r="B888" s="1049"/>
      <c r="C888" s="1418"/>
      <c r="D888" s="1299"/>
      <c r="G888" s="519"/>
      <c r="H888" s="1421"/>
      <c r="I888" s="1421"/>
      <c r="J888" s="1421"/>
      <c r="K888" s="1421"/>
      <c r="L888" s="1421"/>
      <c r="M888" s="1421"/>
      <c r="N888" s="1421"/>
      <c r="O888" s="1421"/>
    </row>
    <row r="889">
      <c r="B889" s="1049"/>
      <c r="C889" s="1418"/>
      <c r="D889" s="1299"/>
      <c r="G889" s="519"/>
      <c r="H889" s="1421"/>
      <c r="I889" s="1421"/>
      <c r="J889" s="1421"/>
      <c r="K889" s="1421"/>
      <c r="L889" s="1421"/>
      <c r="M889" s="1421"/>
      <c r="N889" s="1421"/>
      <c r="O889" s="1421"/>
    </row>
    <row r="890">
      <c r="B890" s="1049"/>
      <c r="C890" s="1418"/>
      <c r="D890" s="1299"/>
      <c r="G890" s="519"/>
      <c r="H890" s="1421"/>
      <c r="I890" s="1421"/>
      <c r="J890" s="1421"/>
      <c r="K890" s="1421"/>
      <c r="L890" s="1421"/>
      <c r="M890" s="1421"/>
      <c r="N890" s="1421"/>
      <c r="O890" s="1421"/>
    </row>
    <row r="891">
      <c r="B891" s="1049"/>
      <c r="C891" s="1418"/>
      <c r="D891" s="1299"/>
      <c r="G891" s="519"/>
      <c r="H891" s="1421"/>
      <c r="I891" s="1421"/>
      <c r="J891" s="1421"/>
      <c r="K891" s="1421"/>
      <c r="L891" s="1421"/>
      <c r="M891" s="1421"/>
      <c r="N891" s="1421"/>
      <c r="O891" s="1421"/>
    </row>
    <row r="892">
      <c r="B892" s="1049"/>
      <c r="C892" s="1418"/>
      <c r="D892" s="1299"/>
      <c r="G892" s="519"/>
      <c r="H892" s="1421"/>
      <c r="I892" s="1421"/>
      <c r="J892" s="1421"/>
      <c r="K892" s="1421"/>
      <c r="L892" s="1421"/>
      <c r="M892" s="1421"/>
      <c r="N892" s="1421"/>
      <c r="O892" s="1421"/>
    </row>
    <row r="893">
      <c r="B893" s="1049"/>
      <c r="C893" s="1418"/>
      <c r="D893" s="1299"/>
      <c r="G893" s="519"/>
      <c r="H893" s="1421"/>
      <c r="I893" s="1421"/>
      <c r="J893" s="1421"/>
      <c r="K893" s="1421"/>
      <c r="L893" s="1421"/>
      <c r="M893" s="1421"/>
      <c r="N893" s="1421"/>
      <c r="O893" s="1421"/>
    </row>
    <row r="894">
      <c r="B894" s="1049"/>
      <c r="C894" s="1418"/>
      <c r="D894" s="1299"/>
      <c r="G894" s="519"/>
      <c r="H894" s="1421"/>
      <c r="I894" s="1421"/>
      <c r="J894" s="1421"/>
      <c r="K894" s="1421"/>
      <c r="L894" s="1421"/>
      <c r="M894" s="1421"/>
      <c r="N894" s="1421"/>
      <c r="O894" s="1421"/>
    </row>
    <row r="895">
      <c r="B895" s="1049"/>
      <c r="C895" s="1418"/>
      <c r="D895" s="1299"/>
      <c r="G895" s="519"/>
      <c r="H895" s="1421"/>
      <c r="I895" s="1421"/>
      <c r="J895" s="1421"/>
      <c r="K895" s="1421"/>
      <c r="L895" s="1421"/>
      <c r="M895" s="1421"/>
      <c r="N895" s="1421"/>
      <c r="O895" s="1421"/>
    </row>
    <row r="896">
      <c r="B896" s="1049"/>
      <c r="C896" s="1418"/>
      <c r="D896" s="1299"/>
      <c r="G896" s="519"/>
      <c r="H896" s="1421"/>
      <c r="I896" s="1421"/>
      <c r="J896" s="1421"/>
      <c r="K896" s="1421"/>
      <c r="L896" s="1421"/>
      <c r="M896" s="1421"/>
      <c r="N896" s="1421"/>
      <c r="O896" s="1421"/>
    </row>
    <row r="897">
      <c r="B897" s="1049"/>
      <c r="C897" s="1418"/>
      <c r="D897" s="1299"/>
      <c r="G897" s="519"/>
      <c r="H897" s="1421"/>
      <c r="I897" s="1421"/>
      <c r="J897" s="1421"/>
      <c r="K897" s="1421"/>
      <c r="L897" s="1421"/>
      <c r="M897" s="1421"/>
      <c r="N897" s="1421"/>
      <c r="O897" s="1421"/>
    </row>
    <row r="898">
      <c r="B898" s="1049"/>
      <c r="C898" s="1418"/>
      <c r="D898" s="1299"/>
      <c r="G898" s="519"/>
      <c r="H898" s="1421"/>
      <c r="I898" s="1421"/>
      <c r="J898" s="1421"/>
      <c r="K898" s="1421"/>
      <c r="L898" s="1421"/>
      <c r="M898" s="1421"/>
      <c r="N898" s="1421"/>
      <c r="O898" s="1421"/>
    </row>
    <row r="899">
      <c r="B899" s="1049"/>
      <c r="C899" s="1418"/>
      <c r="D899" s="1299"/>
      <c r="G899" s="519"/>
      <c r="H899" s="1421"/>
      <c r="I899" s="1421"/>
      <c r="J899" s="1421"/>
      <c r="K899" s="1421"/>
      <c r="L899" s="1421"/>
      <c r="M899" s="1421"/>
      <c r="N899" s="1421"/>
      <c r="O899" s="1421"/>
    </row>
    <row r="900">
      <c r="B900" s="1049"/>
      <c r="C900" s="1418"/>
      <c r="D900" s="1299"/>
      <c r="G900" s="519"/>
      <c r="H900" s="1421"/>
      <c r="I900" s="1421"/>
      <c r="J900" s="1421"/>
      <c r="K900" s="1421"/>
      <c r="L900" s="1421"/>
      <c r="M900" s="1421"/>
      <c r="N900" s="1421"/>
      <c r="O900" s="1421"/>
    </row>
    <row r="901">
      <c r="B901" s="1049"/>
      <c r="C901" s="1418"/>
      <c r="D901" s="1299"/>
      <c r="G901" s="519"/>
      <c r="H901" s="1421"/>
      <c r="I901" s="1421"/>
      <c r="J901" s="1421"/>
      <c r="K901" s="1421"/>
      <c r="L901" s="1421"/>
      <c r="M901" s="1421"/>
      <c r="N901" s="1421"/>
      <c r="O901" s="1421"/>
    </row>
    <row r="902">
      <c r="B902" s="1049"/>
      <c r="C902" s="1418"/>
      <c r="D902" s="1299"/>
      <c r="G902" s="519"/>
      <c r="H902" s="1421"/>
      <c r="I902" s="1421"/>
      <c r="J902" s="1421"/>
      <c r="K902" s="1421"/>
      <c r="L902" s="1421"/>
      <c r="M902" s="1421"/>
      <c r="N902" s="1421"/>
      <c r="O902" s="1421"/>
    </row>
    <row r="903">
      <c r="B903" s="1049"/>
      <c r="C903" s="1418"/>
      <c r="D903" s="1299"/>
      <c r="G903" s="519"/>
      <c r="H903" s="1421"/>
      <c r="I903" s="1421"/>
      <c r="J903" s="1421"/>
      <c r="K903" s="1421"/>
      <c r="L903" s="1421"/>
      <c r="M903" s="1421"/>
      <c r="N903" s="1421"/>
      <c r="O903" s="1421"/>
    </row>
    <row r="904">
      <c r="B904" s="1049"/>
      <c r="C904" s="1418"/>
      <c r="D904" s="1299"/>
      <c r="G904" s="519"/>
      <c r="H904" s="1421"/>
      <c r="I904" s="1421"/>
      <c r="J904" s="1421"/>
      <c r="K904" s="1421"/>
      <c r="L904" s="1421"/>
      <c r="M904" s="1421"/>
      <c r="N904" s="1421"/>
      <c r="O904" s="1421"/>
    </row>
    <row r="905">
      <c r="B905" s="1049"/>
      <c r="C905" s="1418"/>
      <c r="D905" s="1299"/>
      <c r="G905" s="519"/>
      <c r="H905" s="1421"/>
      <c r="I905" s="1421"/>
      <c r="J905" s="1421"/>
      <c r="K905" s="1421"/>
      <c r="L905" s="1421"/>
      <c r="M905" s="1421"/>
      <c r="N905" s="1421"/>
      <c r="O905" s="1421"/>
    </row>
    <row r="906">
      <c r="B906" s="1049"/>
      <c r="C906" s="1418"/>
      <c r="D906" s="1299"/>
      <c r="G906" s="519"/>
      <c r="H906" s="1421"/>
      <c r="I906" s="1421"/>
      <c r="J906" s="1421"/>
      <c r="K906" s="1421"/>
      <c r="L906" s="1421"/>
      <c r="M906" s="1421"/>
      <c r="N906" s="1421"/>
      <c r="O906" s="1421"/>
    </row>
    <row r="907">
      <c r="B907" s="1049"/>
      <c r="C907" s="1418"/>
      <c r="D907" s="1299"/>
      <c r="G907" s="519"/>
      <c r="H907" s="1421"/>
      <c r="I907" s="1421"/>
      <c r="J907" s="1421"/>
      <c r="K907" s="1421"/>
      <c r="L907" s="1421"/>
      <c r="M907" s="1421"/>
      <c r="N907" s="1421"/>
      <c r="O907" s="1421"/>
    </row>
    <row r="908">
      <c r="B908" s="1049"/>
      <c r="C908" s="1418"/>
      <c r="D908" s="1299"/>
      <c r="G908" s="519"/>
      <c r="H908" s="1421"/>
      <c r="I908" s="1421"/>
      <c r="J908" s="1421"/>
      <c r="K908" s="1421"/>
      <c r="L908" s="1421"/>
      <c r="M908" s="1421"/>
      <c r="N908" s="1421"/>
      <c r="O908" s="1421"/>
    </row>
    <row r="909">
      <c r="B909" s="1049"/>
      <c r="C909" s="1418"/>
      <c r="D909" s="1299"/>
      <c r="G909" s="519"/>
      <c r="H909" s="1421"/>
      <c r="I909" s="1421"/>
      <c r="J909" s="1421"/>
      <c r="K909" s="1421"/>
      <c r="L909" s="1421"/>
      <c r="M909" s="1421"/>
      <c r="N909" s="1421"/>
      <c r="O909" s="1421"/>
    </row>
    <row r="910">
      <c r="B910" s="1049"/>
      <c r="C910" s="1418"/>
      <c r="D910" s="1299"/>
      <c r="G910" s="519"/>
      <c r="H910" s="1421"/>
      <c r="I910" s="1421"/>
      <c r="J910" s="1421"/>
      <c r="K910" s="1421"/>
      <c r="L910" s="1421"/>
      <c r="M910" s="1421"/>
      <c r="N910" s="1421"/>
      <c r="O910" s="1421"/>
    </row>
    <row r="911">
      <c r="B911" s="1049"/>
      <c r="C911" s="1418"/>
      <c r="D911" s="1299"/>
      <c r="G911" s="519"/>
      <c r="H911" s="1421"/>
      <c r="I911" s="1421"/>
      <c r="J911" s="1421"/>
      <c r="K911" s="1421"/>
      <c r="L911" s="1421"/>
      <c r="M911" s="1421"/>
      <c r="N911" s="1421"/>
      <c r="O911" s="1421"/>
    </row>
    <row r="912">
      <c r="B912" s="1049"/>
      <c r="C912" s="1418"/>
      <c r="D912" s="1299"/>
      <c r="G912" s="519"/>
      <c r="H912" s="1421"/>
      <c r="I912" s="1421"/>
      <c r="J912" s="1421"/>
      <c r="K912" s="1421"/>
      <c r="L912" s="1421"/>
      <c r="M912" s="1421"/>
      <c r="N912" s="1421"/>
      <c r="O912" s="1421"/>
    </row>
    <row r="913">
      <c r="B913" s="1049"/>
      <c r="C913" s="1418"/>
      <c r="D913" s="1299"/>
      <c r="G913" s="519"/>
      <c r="H913" s="1421"/>
      <c r="I913" s="1421"/>
      <c r="J913" s="1421"/>
      <c r="K913" s="1421"/>
      <c r="L913" s="1421"/>
      <c r="M913" s="1421"/>
      <c r="N913" s="1421"/>
      <c r="O913" s="1421"/>
    </row>
    <row r="914">
      <c r="B914" s="1049"/>
      <c r="C914" s="1418"/>
      <c r="D914" s="1299"/>
      <c r="G914" s="519"/>
      <c r="H914" s="1421"/>
      <c r="I914" s="1421"/>
      <c r="J914" s="1421"/>
      <c r="K914" s="1421"/>
      <c r="L914" s="1421"/>
      <c r="M914" s="1421"/>
      <c r="N914" s="1421"/>
      <c r="O914" s="1421"/>
    </row>
    <row r="915">
      <c r="B915" s="1049"/>
      <c r="C915" s="1418"/>
      <c r="D915" s="1299"/>
      <c r="G915" s="519"/>
      <c r="H915" s="1421"/>
      <c r="I915" s="1421"/>
      <c r="J915" s="1421"/>
      <c r="K915" s="1421"/>
      <c r="L915" s="1421"/>
      <c r="M915" s="1421"/>
      <c r="N915" s="1421"/>
      <c r="O915" s="1421"/>
    </row>
    <row r="916">
      <c r="B916" s="1049"/>
      <c r="C916" s="1418"/>
      <c r="D916" s="1299"/>
      <c r="G916" s="519"/>
      <c r="H916" s="1421"/>
      <c r="I916" s="1421"/>
      <c r="J916" s="1421"/>
      <c r="K916" s="1421"/>
      <c r="L916" s="1421"/>
      <c r="M916" s="1421"/>
      <c r="N916" s="1421"/>
      <c r="O916" s="1421"/>
    </row>
    <row r="917">
      <c r="B917" s="1049"/>
      <c r="C917" s="1418"/>
      <c r="D917" s="1299"/>
      <c r="G917" s="519"/>
      <c r="H917" s="1421"/>
      <c r="I917" s="1421"/>
      <c r="J917" s="1421"/>
      <c r="K917" s="1421"/>
      <c r="L917" s="1421"/>
      <c r="M917" s="1421"/>
      <c r="N917" s="1421"/>
      <c r="O917" s="1421"/>
    </row>
    <row r="918">
      <c r="B918" s="1049"/>
      <c r="C918" s="1418"/>
      <c r="D918" s="1299"/>
      <c r="G918" s="519"/>
      <c r="H918" s="1421"/>
      <c r="I918" s="1421"/>
      <c r="J918" s="1421"/>
      <c r="K918" s="1421"/>
      <c r="L918" s="1421"/>
      <c r="M918" s="1421"/>
      <c r="N918" s="1421"/>
      <c r="O918" s="1421"/>
    </row>
    <row r="919">
      <c r="B919" s="1049"/>
      <c r="C919" s="1418"/>
      <c r="D919" s="1299"/>
      <c r="G919" s="519"/>
      <c r="H919" s="1421"/>
      <c r="I919" s="1421"/>
      <c r="J919" s="1421"/>
      <c r="K919" s="1421"/>
      <c r="L919" s="1421"/>
      <c r="M919" s="1421"/>
      <c r="N919" s="1421"/>
      <c r="O919" s="1421"/>
    </row>
    <row r="920">
      <c r="B920" s="1049"/>
      <c r="C920" s="1418"/>
      <c r="D920" s="1299"/>
      <c r="G920" s="519"/>
      <c r="H920" s="1421"/>
      <c r="I920" s="1421"/>
      <c r="J920" s="1421"/>
      <c r="K920" s="1421"/>
      <c r="L920" s="1421"/>
      <c r="M920" s="1421"/>
      <c r="N920" s="1421"/>
      <c r="O920" s="1421"/>
    </row>
    <row r="921">
      <c r="B921" s="1049"/>
      <c r="C921" s="1418"/>
      <c r="D921" s="1299"/>
      <c r="G921" s="519"/>
      <c r="H921" s="1421"/>
      <c r="I921" s="1421"/>
      <c r="J921" s="1421"/>
      <c r="K921" s="1421"/>
      <c r="L921" s="1421"/>
      <c r="M921" s="1421"/>
      <c r="N921" s="1421"/>
      <c r="O921" s="1421"/>
    </row>
    <row r="922">
      <c r="B922" s="1049"/>
      <c r="C922" s="1418"/>
      <c r="D922" s="1299"/>
      <c r="G922" s="519"/>
      <c r="H922" s="1421"/>
      <c r="I922" s="1421"/>
      <c r="J922" s="1421"/>
      <c r="K922" s="1421"/>
      <c r="L922" s="1421"/>
      <c r="M922" s="1421"/>
      <c r="N922" s="1421"/>
      <c r="O922" s="1421"/>
    </row>
    <row r="923">
      <c r="B923" s="1049"/>
      <c r="C923" s="1418"/>
      <c r="D923" s="1299"/>
      <c r="G923" s="519"/>
      <c r="H923" s="1421"/>
      <c r="I923" s="1421"/>
      <c r="J923" s="1421"/>
      <c r="K923" s="1421"/>
      <c r="L923" s="1421"/>
      <c r="M923" s="1421"/>
      <c r="N923" s="1421"/>
      <c r="O923" s="1421"/>
    </row>
    <row r="924">
      <c r="B924" s="1049"/>
      <c r="C924" s="1418"/>
      <c r="D924" s="1299"/>
      <c r="G924" s="519"/>
      <c r="H924" s="1421"/>
      <c r="I924" s="1421"/>
      <c r="J924" s="1421"/>
      <c r="K924" s="1421"/>
      <c r="L924" s="1421"/>
      <c r="M924" s="1421"/>
      <c r="N924" s="1421"/>
      <c r="O924" s="1421"/>
    </row>
    <row r="925">
      <c r="B925" s="1049"/>
      <c r="C925" s="1418"/>
      <c r="D925" s="1299"/>
      <c r="G925" s="519"/>
      <c r="H925" s="1421"/>
      <c r="I925" s="1421"/>
      <c r="J925" s="1421"/>
      <c r="K925" s="1421"/>
      <c r="L925" s="1421"/>
      <c r="M925" s="1421"/>
      <c r="N925" s="1421"/>
      <c r="O925" s="1421"/>
    </row>
    <row r="926">
      <c r="B926" s="1049"/>
      <c r="C926" s="1418"/>
      <c r="D926" s="1299"/>
      <c r="G926" s="519"/>
      <c r="H926" s="1421"/>
      <c r="I926" s="1421"/>
      <c r="J926" s="1421"/>
      <c r="K926" s="1421"/>
      <c r="L926" s="1421"/>
      <c r="M926" s="1421"/>
      <c r="N926" s="1421"/>
      <c r="O926" s="1421"/>
    </row>
    <row r="927">
      <c r="B927" s="1049"/>
      <c r="C927" s="1418"/>
      <c r="D927" s="1299"/>
      <c r="G927" s="519"/>
      <c r="H927" s="1421"/>
      <c r="I927" s="1421"/>
      <c r="J927" s="1421"/>
      <c r="K927" s="1421"/>
      <c r="L927" s="1421"/>
      <c r="M927" s="1421"/>
      <c r="N927" s="1421"/>
      <c r="O927" s="1421"/>
    </row>
    <row r="928">
      <c r="B928" s="1049"/>
      <c r="C928" s="1418"/>
      <c r="D928" s="1299"/>
      <c r="G928" s="519"/>
      <c r="H928" s="1421"/>
      <c r="I928" s="1421"/>
      <c r="J928" s="1421"/>
      <c r="K928" s="1421"/>
      <c r="L928" s="1421"/>
      <c r="M928" s="1421"/>
      <c r="N928" s="1421"/>
      <c r="O928" s="1421"/>
    </row>
    <row r="929">
      <c r="B929" s="1049"/>
      <c r="C929" s="1418"/>
      <c r="D929" s="1299"/>
      <c r="G929" s="519"/>
      <c r="H929" s="1421"/>
      <c r="I929" s="1421"/>
      <c r="J929" s="1421"/>
      <c r="K929" s="1421"/>
      <c r="L929" s="1421"/>
      <c r="M929" s="1421"/>
      <c r="N929" s="1421"/>
      <c r="O929" s="1421"/>
    </row>
    <row r="930">
      <c r="B930" s="1049"/>
      <c r="C930" s="1418"/>
      <c r="D930" s="1299"/>
      <c r="G930" s="519"/>
      <c r="H930" s="1421"/>
      <c r="I930" s="1421"/>
      <c r="J930" s="1421"/>
      <c r="K930" s="1421"/>
      <c r="L930" s="1421"/>
      <c r="M930" s="1421"/>
      <c r="N930" s="1421"/>
      <c r="O930" s="1421"/>
    </row>
    <row r="931">
      <c r="B931" s="1049"/>
      <c r="C931" s="1418"/>
      <c r="D931" s="1299"/>
      <c r="G931" s="519"/>
      <c r="H931" s="1421"/>
      <c r="I931" s="1421"/>
      <c r="J931" s="1421"/>
      <c r="K931" s="1421"/>
      <c r="L931" s="1421"/>
      <c r="M931" s="1421"/>
      <c r="N931" s="1421"/>
      <c r="O931" s="1421"/>
    </row>
    <row r="932">
      <c r="B932" s="1049"/>
      <c r="C932" s="1418"/>
      <c r="D932" s="1299"/>
      <c r="G932" s="519"/>
      <c r="H932" s="1421"/>
      <c r="I932" s="1421"/>
      <c r="J932" s="1421"/>
      <c r="K932" s="1421"/>
      <c r="L932" s="1421"/>
      <c r="M932" s="1421"/>
      <c r="N932" s="1421"/>
      <c r="O932" s="1421"/>
    </row>
    <row r="933">
      <c r="B933" s="1049"/>
      <c r="C933" s="1418"/>
      <c r="D933" s="1299"/>
      <c r="G933" s="519"/>
      <c r="H933" s="1421"/>
      <c r="I933" s="1421"/>
      <c r="J933" s="1421"/>
      <c r="K933" s="1421"/>
      <c r="L933" s="1421"/>
      <c r="M933" s="1421"/>
      <c r="N933" s="1421"/>
      <c r="O933" s="1421"/>
    </row>
    <row r="934">
      <c r="B934" s="1049"/>
      <c r="C934" s="1418"/>
      <c r="D934" s="1299"/>
      <c r="G934" s="519"/>
      <c r="H934" s="1421"/>
      <c r="I934" s="1421"/>
      <c r="J934" s="1421"/>
      <c r="K934" s="1421"/>
      <c r="L934" s="1421"/>
      <c r="M934" s="1421"/>
      <c r="N934" s="1421"/>
      <c r="O934" s="1421"/>
    </row>
    <row r="935">
      <c r="B935" s="1049"/>
      <c r="C935" s="1418"/>
      <c r="D935" s="1299"/>
      <c r="G935" s="519"/>
      <c r="H935" s="1421"/>
      <c r="I935" s="1421"/>
      <c r="J935" s="1421"/>
      <c r="K935" s="1421"/>
      <c r="L935" s="1421"/>
      <c r="M935" s="1421"/>
      <c r="N935" s="1421"/>
      <c r="O935" s="1421"/>
    </row>
    <row r="936">
      <c r="B936" s="1049"/>
      <c r="C936" s="1418"/>
      <c r="D936" s="1299"/>
      <c r="G936" s="519"/>
      <c r="H936" s="1421"/>
      <c r="I936" s="1421"/>
      <c r="J936" s="1421"/>
      <c r="K936" s="1421"/>
      <c r="L936" s="1421"/>
      <c r="M936" s="1421"/>
      <c r="N936" s="1421"/>
      <c r="O936" s="1421"/>
    </row>
    <row r="937">
      <c r="B937" s="1049"/>
      <c r="C937" s="1418"/>
      <c r="D937" s="1299"/>
      <c r="G937" s="519"/>
      <c r="H937" s="1421"/>
      <c r="I937" s="1421"/>
      <c r="J937" s="1421"/>
      <c r="K937" s="1421"/>
      <c r="L937" s="1421"/>
      <c r="M937" s="1421"/>
      <c r="N937" s="1421"/>
      <c r="O937" s="1421"/>
    </row>
    <row r="938">
      <c r="B938" s="1049"/>
      <c r="C938" s="1418"/>
      <c r="D938" s="1299"/>
      <c r="G938" s="519"/>
      <c r="H938" s="1421"/>
      <c r="I938" s="1421"/>
      <c r="J938" s="1421"/>
      <c r="K938" s="1421"/>
      <c r="L938" s="1421"/>
      <c r="M938" s="1421"/>
      <c r="N938" s="1421"/>
      <c r="O938" s="1421"/>
    </row>
    <row r="939">
      <c r="B939" s="1049"/>
      <c r="C939" s="1418"/>
      <c r="D939" s="1299"/>
      <c r="G939" s="519"/>
      <c r="H939" s="1421"/>
      <c r="I939" s="1421"/>
      <c r="J939" s="1421"/>
      <c r="K939" s="1421"/>
      <c r="L939" s="1421"/>
      <c r="M939" s="1421"/>
      <c r="N939" s="1421"/>
      <c r="O939" s="1421"/>
    </row>
    <row r="940">
      <c r="B940" s="1049"/>
      <c r="C940" s="1418"/>
      <c r="D940" s="1299"/>
      <c r="G940" s="519"/>
      <c r="H940" s="1421"/>
      <c r="I940" s="1421"/>
      <c r="J940" s="1421"/>
      <c r="K940" s="1421"/>
      <c r="L940" s="1421"/>
      <c r="M940" s="1421"/>
      <c r="N940" s="1421"/>
      <c r="O940" s="1421"/>
    </row>
    <row r="941">
      <c r="B941" s="1049"/>
      <c r="C941" s="1418"/>
      <c r="D941" s="1299"/>
      <c r="G941" s="519"/>
      <c r="H941" s="1421"/>
      <c r="I941" s="1421"/>
      <c r="J941" s="1421"/>
      <c r="K941" s="1421"/>
      <c r="L941" s="1421"/>
      <c r="M941" s="1421"/>
      <c r="N941" s="1421"/>
      <c r="O941" s="1421"/>
    </row>
    <row r="942">
      <c r="B942" s="1049"/>
      <c r="C942" s="1418"/>
      <c r="D942" s="1299"/>
      <c r="G942" s="519"/>
      <c r="H942" s="1421"/>
      <c r="I942" s="1421"/>
      <c r="J942" s="1421"/>
      <c r="K942" s="1421"/>
      <c r="L942" s="1421"/>
      <c r="M942" s="1421"/>
      <c r="N942" s="1421"/>
      <c r="O942" s="1421"/>
    </row>
    <row r="943">
      <c r="B943" s="1049"/>
      <c r="C943" s="1418"/>
      <c r="D943" s="1299"/>
      <c r="G943" s="519"/>
      <c r="H943" s="1421"/>
      <c r="I943" s="1421"/>
      <c r="J943" s="1421"/>
      <c r="K943" s="1421"/>
      <c r="L943" s="1421"/>
      <c r="M943" s="1421"/>
      <c r="N943" s="1421"/>
      <c r="O943" s="1421"/>
    </row>
    <row r="944">
      <c r="B944" s="1049"/>
      <c r="C944" s="1418"/>
      <c r="D944" s="1299"/>
      <c r="G944" s="519"/>
      <c r="H944" s="1421"/>
      <c r="I944" s="1421"/>
      <c r="J944" s="1421"/>
      <c r="K944" s="1421"/>
      <c r="L944" s="1421"/>
      <c r="M944" s="1421"/>
      <c r="N944" s="1421"/>
      <c r="O944" s="1421"/>
    </row>
    <row r="945">
      <c r="B945" s="1049"/>
      <c r="C945" s="1418"/>
      <c r="D945" s="1299"/>
      <c r="G945" s="519"/>
      <c r="H945" s="1421"/>
      <c r="I945" s="1421"/>
      <c r="J945" s="1421"/>
      <c r="K945" s="1421"/>
      <c r="L945" s="1421"/>
      <c r="M945" s="1421"/>
      <c r="N945" s="1421"/>
      <c r="O945" s="1421"/>
    </row>
    <row r="946">
      <c r="B946" s="1049"/>
      <c r="C946" s="1418"/>
      <c r="D946" s="1299"/>
      <c r="G946" s="519"/>
      <c r="H946" s="1421"/>
      <c r="I946" s="1421"/>
      <c r="J946" s="1421"/>
      <c r="K946" s="1421"/>
      <c r="L946" s="1421"/>
      <c r="M946" s="1421"/>
      <c r="N946" s="1421"/>
      <c r="O946" s="1421"/>
    </row>
    <row r="947">
      <c r="B947" s="1049"/>
      <c r="C947" s="1418"/>
      <c r="D947" s="1299"/>
      <c r="G947" s="519"/>
      <c r="H947" s="1421"/>
      <c r="I947" s="1421"/>
      <c r="J947" s="1421"/>
      <c r="K947" s="1421"/>
      <c r="L947" s="1421"/>
      <c r="M947" s="1421"/>
      <c r="N947" s="1421"/>
      <c r="O947" s="1421"/>
    </row>
    <row r="948">
      <c r="B948" s="1049"/>
      <c r="C948" s="1418"/>
      <c r="D948" s="1299"/>
      <c r="G948" s="519"/>
      <c r="H948" s="1421"/>
      <c r="I948" s="1421"/>
      <c r="J948" s="1421"/>
      <c r="K948" s="1421"/>
      <c r="L948" s="1421"/>
      <c r="M948" s="1421"/>
      <c r="N948" s="1421"/>
      <c r="O948" s="1421"/>
    </row>
    <row r="949">
      <c r="B949" s="1049"/>
      <c r="C949" s="1418"/>
      <c r="D949" s="1299"/>
      <c r="G949" s="519"/>
      <c r="H949" s="1421"/>
      <c r="I949" s="1421"/>
      <c r="J949" s="1421"/>
      <c r="K949" s="1421"/>
      <c r="L949" s="1421"/>
      <c r="M949" s="1421"/>
      <c r="N949" s="1421"/>
      <c r="O949" s="1421"/>
    </row>
    <row r="950">
      <c r="B950" s="1049"/>
      <c r="C950" s="1418"/>
      <c r="D950" s="1299"/>
      <c r="G950" s="519"/>
      <c r="H950" s="1421"/>
      <c r="I950" s="1421"/>
      <c r="J950" s="1421"/>
      <c r="K950" s="1421"/>
      <c r="L950" s="1421"/>
      <c r="M950" s="1421"/>
      <c r="N950" s="1421"/>
      <c r="O950" s="1421"/>
    </row>
    <row r="951">
      <c r="B951" s="1049"/>
      <c r="C951" s="1418"/>
      <c r="D951" s="1299"/>
      <c r="G951" s="519"/>
      <c r="H951" s="1421"/>
      <c r="I951" s="1421"/>
      <c r="J951" s="1421"/>
      <c r="K951" s="1421"/>
      <c r="L951" s="1421"/>
      <c r="M951" s="1421"/>
      <c r="N951" s="1421"/>
      <c r="O951" s="1421"/>
    </row>
    <row r="952">
      <c r="B952" s="1049"/>
      <c r="C952" s="1418"/>
      <c r="D952" s="1299"/>
      <c r="G952" s="519"/>
      <c r="H952" s="1421"/>
      <c r="I952" s="1421"/>
      <c r="J952" s="1421"/>
      <c r="K952" s="1421"/>
      <c r="L952" s="1421"/>
      <c r="M952" s="1421"/>
      <c r="N952" s="1421"/>
      <c r="O952" s="1421"/>
    </row>
    <row r="953">
      <c r="B953" s="1049"/>
      <c r="C953" s="1418"/>
      <c r="D953" s="1299"/>
      <c r="G953" s="519"/>
      <c r="H953" s="1421"/>
      <c r="I953" s="1421"/>
      <c r="J953" s="1421"/>
      <c r="K953" s="1421"/>
      <c r="L953" s="1421"/>
      <c r="M953" s="1421"/>
      <c r="N953" s="1421"/>
      <c r="O953" s="1421"/>
    </row>
    <row r="954">
      <c r="B954" s="1049"/>
      <c r="C954" s="1418"/>
      <c r="D954" s="1299"/>
      <c r="G954" s="519"/>
      <c r="H954" s="1421"/>
      <c r="I954" s="1421"/>
      <c r="J954" s="1421"/>
      <c r="K954" s="1421"/>
      <c r="L954" s="1421"/>
      <c r="M954" s="1421"/>
      <c r="N954" s="1421"/>
      <c r="O954" s="1421"/>
    </row>
    <row r="955">
      <c r="B955" s="1049"/>
      <c r="C955" s="1418"/>
      <c r="D955" s="1299"/>
      <c r="G955" s="519"/>
      <c r="H955" s="1421"/>
      <c r="I955" s="1421"/>
      <c r="J955" s="1421"/>
      <c r="K955" s="1421"/>
      <c r="L955" s="1421"/>
      <c r="M955" s="1421"/>
      <c r="N955" s="1421"/>
      <c r="O955" s="1421"/>
    </row>
    <row r="956">
      <c r="B956" s="1049"/>
      <c r="C956" s="1418"/>
      <c r="D956" s="1299"/>
      <c r="G956" s="519"/>
      <c r="H956" s="1421"/>
      <c r="I956" s="1421"/>
      <c r="J956" s="1421"/>
      <c r="K956" s="1421"/>
      <c r="L956" s="1421"/>
      <c r="M956" s="1421"/>
      <c r="N956" s="1421"/>
      <c r="O956" s="1421"/>
    </row>
    <row r="957">
      <c r="B957" s="1049"/>
      <c r="C957" s="1418"/>
      <c r="D957" s="1299"/>
      <c r="G957" s="519"/>
      <c r="H957" s="1421"/>
      <c r="I957" s="1421"/>
      <c r="J957" s="1421"/>
      <c r="K957" s="1421"/>
      <c r="L957" s="1421"/>
      <c r="M957" s="1421"/>
      <c r="N957" s="1421"/>
      <c r="O957" s="1421"/>
    </row>
    <row r="958">
      <c r="B958" s="1049"/>
      <c r="C958" s="1418"/>
      <c r="D958" s="1299"/>
      <c r="G958" s="519"/>
      <c r="H958" s="1421"/>
      <c r="I958" s="1421"/>
      <c r="J958" s="1421"/>
      <c r="K958" s="1421"/>
      <c r="L958" s="1421"/>
      <c r="M958" s="1421"/>
      <c r="N958" s="1421"/>
      <c r="O958" s="1421"/>
    </row>
    <row r="959">
      <c r="B959" s="1049"/>
      <c r="C959" s="1418"/>
      <c r="D959" s="1299"/>
      <c r="G959" s="519"/>
      <c r="H959" s="1421"/>
      <c r="I959" s="1421"/>
      <c r="J959" s="1421"/>
      <c r="K959" s="1421"/>
      <c r="L959" s="1421"/>
      <c r="M959" s="1421"/>
      <c r="N959" s="1421"/>
      <c r="O959" s="1421"/>
    </row>
    <row r="960">
      <c r="B960" s="1049"/>
      <c r="C960" s="1418"/>
      <c r="D960" s="1299"/>
      <c r="G960" s="519"/>
      <c r="H960" s="1421"/>
      <c r="I960" s="1421"/>
      <c r="J960" s="1421"/>
      <c r="K960" s="1421"/>
      <c r="L960" s="1421"/>
      <c r="M960" s="1421"/>
      <c r="N960" s="1421"/>
      <c r="O960" s="1421"/>
    </row>
    <row r="961">
      <c r="B961" s="1049"/>
      <c r="C961" s="1418"/>
      <c r="D961" s="1299"/>
      <c r="G961" s="519"/>
      <c r="H961" s="1421"/>
      <c r="I961" s="1421"/>
      <c r="J961" s="1421"/>
      <c r="K961" s="1421"/>
      <c r="L961" s="1421"/>
      <c r="M961" s="1421"/>
      <c r="N961" s="1421"/>
      <c r="O961" s="1421"/>
    </row>
    <row r="962">
      <c r="B962" s="1049"/>
      <c r="C962" s="1418"/>
      <c r="D962" s="1299"/>
      <c r="G962" s="519"/>
      <c r="H962" s="1421"/>
      <c r="I962" s="1421"/>
      <c r="J962" s="1421"/>
      <c r="K962" s="1421"/>
      <c r="L962" s="1421"/>
      <c r="M962" s="1421"/>
      <c r="N962" s="1421"/>
      <c r="O962" s="1421"/>
    </row>
    <row r="963">
      <c r="B963" s="1049"/>
      <c r="C963" s="1418"/>
      <c r="D963" s="1299"/>
      <c r="G963" s="519"/>
      <c r="H963" s="1421"/>
      <c r="I963" s="1421"/>
      <c r="J963" s="1421"/>
      <c r="K963" s="1421"/>
      <c r="L963" s="1421"/>
      <c r="M963" s="1421"/>
      <c r="N963" s="1421"/>
      <c r="O963" s="1421"/>
    </row>
    <row r="964">
      <c r="B964" s="1049"/>
      <c r="C964" s="1418"/>
      <c r="D964" s="1299"/>
      <c r="G964" s="519"/>
      <c r="H964" s="1421"/>
      <c r="I964" s="1421"/>
      <c r="J964" s="1421"/>
      <c r="K964" s="1421"/>
      <c r="L964" s="1421"/>
      <c r="M964" s="1421"/>
      <c r="N964" s="1421"/>
      <c r="O964" s="1421"/>
    </row>
    <row r="965">
      <c r="B965" s="1049"/>
      <c r="C965" s="1418"/>
      <c r="D965" s="1299"/>
      <c r="G965" s="519"/>
      <c r="H965" s="1421"/>
      <c r="I965" s="1421"/>
      <c r="J965" s="1421"/>
      <c r="K965" s="1421"/>
      <c r="L965" s="1421"/>
      <c r="M965" s="1421"/>
      <c r="N965" s="1421"/>
      <c r="O965" s="1421"/>
    </row>
    <row r="966">
      <c r="B966" s="1049"/>
      <c r="C966" s="1418"/>
      <c r="D966" s="1299"/>
      <c r="G966" s="519"/>
      <c r="H966" s="1421"/>
      <c r="I966" s="1421"/>
      <c r="J966" s="1421"/>
      <c r="K966" s="1421"/>
      <c r="L966" s="1421"/>
      <c r="M966" s="1421"/>
      <c r="N966" s="1421"/>
      <c r="O966" s="1421"/>
    </row>
    <row r="967">
      <c r="B967" s="1049"/>
      <c r="C967" s="1418"/>
      <c r="D967" s="1299"/>
      <c r="G967" s="519"/>
      <c r="H967" s="1421"/>
      <c r="I967" s="1421"/>
      <c r="J967" s="1421"/>
      <c r="K967" s="1421"/>
      <c r="L967" s="1421"/>
      <c r="M967" s="1421"/>
      <c r="N967" s="1421"/>
      <c r="O967" s="1421"/>
    </row>
    <row r="968">
      <c r="B968" s="1049"/>
      <c r="C968" s="1418"/>
      <c r="D968" s="1299"/>
      <c r="G968" s="519"/>
      <c r="H968" s="1421"/>
      <c r="I968" s="1421"/>
      <c r="J968" s="1421"/>
      <c r="K968" s="1421"/>
      <c r="L968" s="1421"/>
      <c r="M968" s="1421"/>
      <c r="N968" s="1421"/>
      <c r="O968" s="1421"/>
    </row>
    <row r="969">
      <c r="B969" s="1049"/>
      <c r="C969" s="1418"/>
      <c r="D969" s="1299"/>
      <c r="G969" s="519"/>
      <c r="H969" s="1421"/>
      <c r="I969" s="1421"/>
      <c r="J969" s="1421"/>
      <c r="K969" s="1421"/>
      <c r="L969" s="1421"/>
      <c r="M969" s="1421"/>
      <c r="N969" s="1421"/>
      <c r="O969" s="1421"/>
    </row>
    <row r="970">
      <c r="B970" s="1049"/>
      <c r="C970" s="1418"/>
      <c r="D970" s="1299"/>
      <c r="G970" s="519"/>
      <c r="H970" s="1421"/>
      <c r="I970" s="1421"/>
      <c r="J970" s="1421"/>
      <c r="K970" s="1421"/>
      <c r="L970" s="1421"/>
      <c r="M970" s="1421"/>
      <c r="N970" s="1421"/>
      <c r="O970" s="1421"/>
    </row>
    <row r="971">
      <c r="B971" s="1049"/>
      <c r="C971" s="1418"/>
      <c r="D971" s="1299"/>
      <c r="G971" s="519"/>
      <c r="H971" s="1421"/>
      <c r="I971" s="1421"/>
      <c r="J971" s="1421"/>
      <c r="K971" s="1421"/>
      <c r="L971" s="1421"/>
      <c r="M971" s="1421"/>
      <c r="N971" s="1421"/>
      <c r="O971" s="1421"/>
    </row>
    <row r="972">
      <c r="B972" s="1049"/>
      <c r="C972" s="1418"/>
      <c r="D972" s="1299"/>
      <c r="G972" s="519"/>
      <c r="H972" s="1421"/>
      <c r="I972" s="1421"/>
      <c r="J972" s="1421"/>
      <c r="K972" s="1421"/>
      <c r="L972" s="1421"/>
      <c r="M972" s="1421"/>
      <c r="N972" s="1421"/>
      <c r="O972" s="1421"/>
    </row>
    <row r="973">
      <c r="B973" s="1049"/>
      <c r="C973" s="1418"/>
      <c r="D973" s="1299"/>
      <c r="G973" s="519"/>
      <c r="H973" s="1421"/>
      <c r="I973" s="1421"/>
      <c r="J973" s="1421"/>
      <c r="K973" s="1421"/>
      <c r="L973" s="1421"/>
      <c r="M973" s="1421"/>
      <c r="N973" s="1421"/>
      <c r="O973" s="1421"/>
    </row>
    <row r="974">
      <c r="B974" s="1049"/>
      <c r="C974" s="1418"/>
      <c r="D974" s="1299"/>
      <c r="G974" s="519"/>
      <c r="H974" s="1421"/>
      <c r="I974" s="1421"/>
      <c r="J974" s="1421"/>
      <c r="K974" s="1421"/>
      <c r="L974" s="1421"/>
      <c r="M974" s="1421"/>
      <c r="N974" s="1421"/>
      <c r="O974" s="1421"/>
    </row>
    <row r="975">
      <c r="B975" s="1049"/>
      <c r="C975" s="1418"/>
      <c r="D975" s="1299"/>
      <c r="G975" s="519"/>
      <c r="H975" s="1421"/>
      <c r="I975" s="1421"/>
      <c r="J975" s="1421"/>
      <c r="K975" s="1421"/>
      <c r="L975" s="1421"/>
      <c r="M975" s="1421"/>
      <c r="N975" s="1421"/>
      <c r="O975" s="1421"/>
    </row>
    <row r="976">
      <c r="B976" s="1049"/>
      <c r="C976" s="1418"/>
      <c r="D976" s="1299"/>
      <c r="G976" s="519"/>
      <c r="H976" s="1421"/>
      <c r="I976" s="1421"/>
      <c r="J976" s="1421"/>
      <c r="K976" s="1421"/>
      <c r="L976" s="1421"/>
      <c r="M976" s="1421"/>
      <c r="N976" s="1421"/>
      <c r="O976" s="1421"/>
    </row>
    <row r="977">
      <c r="B977" s="1049"/>
      <c r="C977" s="1418"/>
      <c r="D977" s="1299"/>
      <c r="G977" s="519"/>
      <c r="H977" s="1421"/>
      <c r="I977" s="1421"/>
      <c r="J977" s="1421"/>
      <c r="K977" s="1421"/>
      <c r="L977" s="1421"/>
      <c r="M977" s="1421"/>
      <c r="N977" s="1421"/>
      <c r="O977" s="1421"/>
    </row>
    <row r="978">
      <c r="B978" s="1049"/>
      <c r="C978" s="1418"/>
      <c r="D978" s="1299"/>
      <c r="G978" s="519"/>
      <c r="H978" s="1421"/>
      <c r="I978" s="1421"/>
      <c r="J978" s="1421"/>
      <c r="K978" s="1421"/>
      <c r="L978" s="1421"/>
      <c r="M978" s="1421"/>
      <c r="N978" s="1421"/>
      <c r="O978" s="1421"/>
    </row>
    <row r="979">
      <c r="B979" s="1049"/>
      <c r="C979" s="1418"/>
      <c r="D979" s="1299"/>
      <c r="G979" s="519"/>
      <c r="H979" s="1421"/>
      <c r="I979" s="1421"/>
      <c r="J979" s="1421"/>
      <c r="K979" s="1421"/>
      <c r="L979" s="1421"/>
      <c r="M979" s="1421"/>
      <c r="N979" s="1421"/>
      <c r="O979" s="1421"/>
    </row>
    <row r="980">
      <c r="B980" s="1049"/>
      <c r="C980" s="1418"/>
      <c r="D980" s="1299"/>
      <c r="G980" s="519"/>
      <c r="H980" s="1421"/>
      <c r="I980" s="1421"/>
      <c r="J980" s="1421"/>
      <c r="K980" s="1421"/>
      <c r="L980" s="1421"/>
      <c r="M980" s="1421"/>
      <c r="N980" s="1421"/>
      <c r="O980" s="1421"/>
    </row>
    <row r="981">
      <c r="B981" s="1049"/>
      <c r="C981" s="1418"/>
      <c r="D981" s="1299"/>
      <c r="G981" s="519"/>
      <c r="H981" s="1421"/>
      <c r="I981" s="1421"/>
      <c r="J981" s="1421"/>
      <c r="K981" s="1421"/>
      <c r="L981" s="1421"/>
      <c r="M981" s="1421"/>
      <c r="N981" s="1421"/>
      <c r="O981" s="1421"/>
    </row>
    <row r="982">
      <c r="B982" s="1049"/>
      <c r="C982" s="1418"/>
      <c r="D982" s="1299"/>
      <c r="G982" s="519"/>
      <c r="H982" s="1421"/>
      <c r="I982" s="1421"/>
      <c r="J982" s="1421"/>
      <c r="K982" s="1421"/>
      <c r="L982" s="1421"/>
      <c r="M982" s="1421"/>
      <c r="N982" s="1421"/>
      <c r="O982" s="1421"/>
    </row>
    <row r="983">
      <c r="B983" s="1049"/>
      <c r="C983" s="1418"/>
      <c r="D983" s="1299"/>
      <c r="G983" s="519"/>
      <c r="H983" s="1421"/>
      <c r="I983" s="1421"/>
      <c r="J983" s="1421"/>
      <c r="K983" s="1421"/>
      <c r="L983" s="1421"/>
      <c r="M983" s="1421"/>
      <c r="N983" s="1421"/>
      <c r="O983" s="1421"/>
    </row>
    <row r="984">
      <c r="B984" s="1049"/>
      <c r="C984" s="1418"/>
      <c r="D984" s="1299"/>
      <c r="G984" s="519"/>
      <c r="H984" s="1421"/>
      <c r="I984" s="1421"/>
      <c r="J984" s="1421"/>
      <c r="K984" s="1421"/>
      <c r="L984" s="1421"/>
      <c r="M984" s="1421"/>
      <c r="N984" s="1421"/>
      <c r="O984" s="1421"/>
    </row>
    <row r="985">
      <c r="B985" s="1049"/>
      <c r="C985" s="1418"/>
      <c r="D985" s="1299"/>
      <c r="G985" s="519"/>
      <c r="H985" s="1421"/>
      <c r="I985" s="1421"/>
      <c r="J985" s="1421"/>
      <c r="K985" s="1421"/>
      <c r="L985" s="1421"/>
      <c r="M985" s="1421"/>
      <c r="N985" s="1421"/>
      <c r="O985" s="1421"/>
    </row>
    <row r="986">
      <c r="B986" s="1049"/>
      <c r="C986" s="1418"/>
      <c r="D986" s="1299"/>
      <c r="G986" s="519"/>
      <c r="H986" s="1421"/>
      <c r="I986" s="1421"/>
      <c r="J986" s="1421"/>
      <c r="K986" s="1421"/>
      <c r="L986" s="1421"/>
      <c r="M986" s="1421"/>
      <c r="N986" s="1421"/>
      <c r="O986" s="1421"/>
    </row>
    <row r="987">
      <c r="B987" s="1049"/>
      <c r="C987" s="1418"/>
      <c r="D987" s="1299"/>
      <c r="G987" s="519"/>
      <c r="H987" s="1421"/>
      <c r="I987" s="1421"/>
      <c r="J987" s="1421"/>
      <c r="K987" s="1421"/>
      <c r="L987" s="1421"/>
      <c r="M987" s="1421"/>
      <c r="N987" s="1421"/>
      <c r="O987" s="1421"/>
    </row>
    <row r="988">
      <c r="B988" s="1049"/>
      <c r="C988" s="1418"/>
      <c r="D988" s="1299"/>
      <c r="G988" s="519"/>
      <c r="H988" s="1421"/>
      <c r="I988" s="1421"/>
      <c r="J988" s="1421"/>
      <c r="K988" s="1421"/>
      <c r="L988" s="1421"/>
      <c r="M988" s="1421"/>
      <c r="N988" s="1421"/>
      <c r="O988" s="1421"/>
    </row>
    <row r="989">
      <c r="B989" s="1049"/>
      <c r="C989" s="1418"/>
      <c r="D989" s="1299"/>
      <c r="G989" s="519"/>
      <c r="H989" s="1421"/>
      <c r="I989" s="1421"/>
      <c r="J989" s="1421"/>
      <c r="K989" s="1421"/>
      <c r="L989" s="1421"/>
      <c r="M989" s="1421"/>
      <c r="N989" s="1421"/>
      <c r="O989" s="1421"/>
    </row>
    <row r="990">
      <c r="B990" s="1049"/>
      <c r="C990" s="1418"/>
      <c r="D990" s="1299"/>
      <c r="G990" s="519"/>
      <c r="H990" s="1421"/>
      <c r="I990" s="1421"/>
      <c r="J990" s="1421"/>
      <c r="K990" s="1421"/>
      <c r="L990" s="1421"/>
      <c r="M990" s="1421"/>
      <c r="N990" s="1421"/>
      <c r="O990" s="1421"/>
    </row>
    <row r="991">
      <c r="B991" s="1049"/>
      <c r="C991" s="1418"/>
      <c r="D991" s="1299"/>
      <c r="G991" s="519"/>
      <c r="H991" s="1421"/>
      <c r="I991" s="1421"/>
      <c r="J991" s="1421"/>
      <c r="K991" s="1421"/>
      <c r="L991" s="1421"/>
      <c r="M991" s="1421"/>
      <c r="N991" s="1421"/>
      <c r="O991" s="1421"/>
    </row>
    <row r="992">
      <c r="B992" s="1049"/>
      <c r="C992" s="1418"/>
      <c r="D992" s="1299"/>
      <c r="G992" s="519"/>
      <c r="H992" s="1421"/>
      <c r="I992" s="1421"/>
      <c r="J992" s="1421"/>
      <c r="K992" s="1421"/>
      <c r="L992" s="1421"/>
      <c r="M992" s="1421"/>
      <c r="N992" s="1421"/>
      <c r="O992" s="1421"/>
    </row>
    <row r="993">
      <c r="B993" s="1049"/>
      <c r="C993" s="1418"/>
      <c r="D993" s="1299"/>
      <c r="G993" s="519"/>
      <c r="H993" s="1421"/>
      <c r="I993" s="1421"/>
      <c r="J993" s="1421"/>
      <c r="K993" s="1421"/>
      <c r="L993" s="1421"/>
      <c r="M993" s="1421"/>
      <c r="N993" s="1421"/>
      <c r="O993" s="1421"/>
    </row>
    <row r="994">
      <c r="B994" s="1049"/>
      <c r="C994" s="1418"/>
      <c r="D994" s="1299"/>
      <c r="G994" s="519"/>
      <c r="H994" s="1421"/>
      <c r="I994" s="1421"/>
      <c r="J994" s="1421"/>
      <c r="K994" s="1421"/>
      <c r="L994" s="1421"/>
      <c r="M994" s="1421"/>
      <c r="N994" s="1421"/>
      <c r="O994" s="1421"/>
    </row>
    <row r="995">
      <c r="B995" s="1049"/>
      <c r="C995" s="1418"/>
      <c r="D995" s="1299"/>
      <c r="G995" s="519"/>
      <c r="H995" s="1421"/>
      <c r="I995" s="1421"/>
      <c r="J995" s="1421"/>
      <c r="K995" s="1421"/>
      <c r="L995" s="1421"/>
      <c r="M995" s="1421"/>
      <c r="N995" s="1421"/>
      <c r="O995" s="1421"/>
    </row>
    <row r="996">
      <c r="B996" s="1049"/>
      <c r="C996" s="1418"/>
      <c r="D996" s="1299"/>
      <c r="G996" s="519"/>
      <c r="H996" s="1421"/>
      <c r="I996" s="1421"/>
      <c r="J996" s="1421"/>
      <c r="K996" s="1421"/>
      <c r="L996" s="1421"/>
      <c r="M996" s="1421"/>
      <c r="N996" s="1421"/>
      <c r="O996" s="1421"/>
    </row>
    <row r="997">
      <c r="B997" s="1049"/>
      <c r="C997" s="1418"/>
      <c r="D997" s="1299"/>
      <c r="G997" s="519"/>
      <c r="H997" s="1421"/>
      <c r="I997" s="1421"/>
      <c r="J997" s="1421"/>
      <c r="K997" s="1421"/>
      <c r="L997" s="1421"/>
      <c r="M997" s="1421"/>
      <c r="N997" s="1421"/>
      <c r="O997" s="1421"/>
    </row>
    <row r="998">
      <c r="B998" s="1049"/>
      <c r="C998" s="1418"/>
      <c r="D998" s="1299"/>
      <c r="G998" s="519"/>
      <c r="H998" s="1421"/>
      <c r="I998" s="1421"/>
      <c r="J998" s="1421"/>
      <c r="K998" s="1421"/>
      <c r="L998" s="1421"/>
      <c r="M998" s="1421"/>
      <c r="N998" s="1421"/>
      <c r="O998" s="1421"/>
    </row>
    <row r="999">
      <c r="B999" s="1049"/>
      <c r="C999" s="1418"/>
      <c r="D999" s="1299"/>
      <c r="G999" s="519"/>
      <c r="H999" s="1421"/>
      <c r="I999" s="1421"/>
      <c r="J999" s="1421"/>
      <c r="K999" s="1421"/>
      <c r="L999" s="1421"/>
      <c r="M999" s="1421"/>
      <c r="N999" s="1421"/>
      <c r="O999" s="1421"/>
    </row>
    <row r="1000">
      <c r="B1000" s="1049"/>
      <c r="C1000" s="1418"/>
      <c r="D1000" s="1299"/>
      <c r="G1000" s="519"/>
      <c r="H1000" s="1421"/>
      <c r="I1000" s="1421"/>
      <c r="J1000" s="1421"/>
      <c r="K1000" s="1421"/>
      <c r="L1000" s="1421"/>
      <c r="M1000" s="1421"/>
      <c r="N1000" s="1421"/>
      <c r="O1000" s="1421"/>
    </row>
    <row r="1001">
      <c r="B1001" s="1049"/>
      <c r="C1001" s="1418"/>
      <c r="D1001" s="1299"/>
      <c r="G1001" s="519"/>
      <c r="H1001" s="1421"/>
      <c r="I1001" s="1421"/>
      <c r="J1001" s="1421"/>
      <c r="K1001" s="1421"/>
      <c r="L1001" s="1421"/>
      <c r="M1001" s="1421"/>
      <c r="N1001" s="1421"/>
      <c r="O1001" s="1421"/>
    </row>
    <row r="1002">
      <c r="B1002" s="1049"/>
      <c r="C1002" s="1418"/>
      <c r="D1002" s="1299"/>
      <c r="G1002" s="519"/>
      <c r="H1002" s="1421"/>
      <c r="I1002" s="1421"/>
      <c r="J1002" s="1421"/>
      <c r="K1002" s="1421"/>
      <c r="L1002" s="1421"/>
      <c r="M1002" s="1421"/>
      <c r="N1002" s="1421"/>
      <c r="O1002" s="1421"/>
    </row>
    <row r="1003">
      <c r="B1003" s="1049"/>
      <c r="C1003" s="1418"/>
      <c r="D1003" s="1299"/>
      <c r="G1003" s="519"/>
      <c r="H1003" s="1421"/>
      <c r="I1003" s="1421"/>
      <c r="J1003" s="1421"/>
      <c r="K1003" s="1421"/>
      <c r="L1003" s="1421"/>
      <c r="M1003" s="1421"/>
      <c r="N1003" s="1421"/>
      <c r="O1003" s="1421"/>
    </row>
    <row r="1004">
      <c r="B1004" s="1049"/>
      <c r="C1004" s="1418"/>
      <c r="D1004" s="1299"/>
      <c r="G1004" s="519"/>
      <c r="H1004" s="1421"/>
      <c r="I1004" s="1421"/>
      <c r="J1004" s="1421"/>
      <c r="K1004" s="1421"/>
      <c r="L1004" s="1421"/>
      <c r="M1004" s="1421"/>
      <c r="N1004" s="1421"/>
      <c r="O1004" s="1421"/>
    </row>
    <row r="1005">
      <c r="B1005" s="1049"/>
      <c r="C1005" s="1418"/>
      <c r="D1005" s="1299"/>
      <c r="G1005" s="519"/>
      <c r="H1005" s="1421"/>
      <c r="I1005" s="1421"/>
      <c r="J1005" s="1421"/>
      <c r="K1005" s="1421"/>
      <c r="L1005" s="1421"/>
      <c r="M1005" s="1421"/>
      <c r="N1005" s="1421"/>
      <c r="O1005" s="1421"/>
    </row>
    <row r="1006">
      <c r="B1006" s="1049"/>
      <c r="C1006" s="1418"/>
      <c r="D1006" s="1299"/>
      <c r="G1006" s="519"/>
      <c r="H1006" s="1421"/>
      <c r="I1006" s="1421"/>
      <c r="J1006" s="1421"/>
      <c r="K1006" s="1421"/>
      <c r="L1006" s="1421"/>
      <c r="M1006" s="1421"/>
      <c r="N1006" s="1421"/>
      <c r="O1006" s="1421"/>
    </row>
    <row r="1007">
      <c r="B1007" s="1049"/>
      <c r="C1007" s="1418"/>
      <c r="D1007" s="1299"/>
      <c r="G1007" s="519"/>
      <c r="H1007" s="1421"/>
      <c r="I1007" s="1421"/>
      <c r="J1007" s="1421"/>
      <c r="K1007" s="1421"/>
      <c r="L1007" s="1421"/>
      <c r="M1007" s="1421"/>
      <c r="N1007" s="1421"/>
      <c r="O1007" s="1421"/>
    </row>
  </sheetData>
  <dataValidations>
    <dataValidation type="list" allowBlank="1" showErrorMessage="1" sqref="G2:G1007">
      <formula1>"BOLD,WISE"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3" width="32.86"/>
    <col customWidth="1" min="4" max="4" width="63.43"/>
    <col customWidth="1" min="5" max="5" width="40.43"/>
    <col customWidth="1" min="6" max="6" width="20.71"/>
    <col customWidth="1" min="7" max="7" width="71.14"/>
  </cols>
  <sheetData>
    <row r="1">
      <c r="A1" s="1448" t="s">
        <v>1903</v>
      </c>
      <c r="B1" s="1365" t="s">
        <v>3370</v>
      </c>
      <c r="C1" s="1365" t="s">
        <v>3481</v>
      </c>
      <c r="D1" s="1449" t="s">
        <v>3482</v>
      </c>
      <c r="E1" s="1450" t="s">
        <v>3483</v>
      </c>
      <c r="F1" s="1451"/>
      <c r="G1" s="437"/>
      <c r="Z1" s="205" t="s">
        <v>3484</v>
      </c>
    </row>
    <row r="2">
      <c r="A2" s="1365" t="s">
        <v>1450</v>
      </c>
      <c r="B2" s="1450">
        <v>560000.0</v>
      </c>
      <c r="C2" s="1365" t="s">
        <v>3485</v>
      </c>
      <c r="D2" s="1449" t="s">
        <v>3486</v>
      </c>
      <c r="E2" s="1450" t="s">
        <v>3487</v>
      </c>
      <c r="F2" s="1451"/>
      <c r="G2" s="437"/>
      <c r="J2" s="455"/>
    </row>
    <row r="3">
      <c r="A3" s="1452"/>
      <c r="B3" s="731"/>
      <c r="C3" s="731"/>
      <c r="D3" s="1118"/>
      <c r="E3" s="1453"/>
      <c r="F3" s="1451"/>
      <c r="G3" s="437"/>
    </row>
    <row r="4">
      <c r="A4" s="1454"/>
      <c r="B4" s="731"/>
      <c r="C4" s="731"/>
      <c r="D4" s="1118"/>
      <c r="E4" s="1450"/>
      <c r="F4" s="1451"/>
      <c r="G4" s="437"/>
    </row>
    <row r="5">
      <c r="A5" s="1452"/>
      <c r="B5" s="1365"/>
      <c r="C5" s="1365"/>
      <c r="D5" s="1449"/>
      <c r="E5" s="1450"/>
      <c r="F5" s="1451"/>
      <c r="G5" s="437"/>
    </row>
    <row r="6">
      <c r="A6" s="1452"/>
      <c r="B6" s="731"/>
      <c r="C6" s="731"/>
      <c r="D6" s="1449"/>
      <c r="E6" s="1450"/>
      <c r="F6" s="1451"/>
      <c r="G6" s="437"/>
    </row>
    <row r="7">
      <c r="A7" s="1452"/>
      <c r="B7" s="1365"/>
      <c r="C7" s="1365"/>
      <c r="D7" s="1449"/>
      <c r="E7" s="1450"/>
      <c r="F7" s="1451"/>
      <c r="G7" s="437"/>
    </row>
    <row r="8">
      <c r="A8" s="1452"/>
      <c r="B8" s="731"/>
      <c r="C8" s="731"/>
      <c r="D8" s="1118"/>
      <c r="E8" s="1450"/>
      <c r="F8" s="1451"/>
      <c r="G8" s="437"/>
      <c r="U8" s="205" t="s">
        <v>3488</v>
      </c>
    </row>
    <row r="9">
      <c r="A9" s="1452"/>
      <c r="B9" s="1365"/>
      <c r="C9" s="1365"/>
      <c r="D9" s="1449"/>
      <c r="E9" s="1450"/>
      <c r="F9" s="1451"/>
      <c r="G9" s="437"/>
    </row>
    <row r="10">
      <c r="A10" s="1452"/>
      <c r="B10" s="1365"/>
      <c r="C10" s="1365"/>
      <c r="D10" s="1118"/>
      <c r="E10" s="1450"/>
      <c r="F10" s="1451"/>
      <c r="G10" s="437"/>
    </row>
    <row r="11">
      <c r="A11" s="1452"/>
      <c r="B11" s="1365"/>
      <c r="C11" s="1365"/>
      <c r="D11" s="1449"/>
      <c r="E11" s="1450"/>
      <c r="F11" s="1451"/>
      <c r="G11" s="437"/>
    </row>
    <row r="12">
      <c r="A12" s="1452"/>
      <c r="B12" s="1365"/>
      <c r="C12" s="1365"/>
      <c r="D12" s="1118"/>
      <c r="E12" s="1450"/>
      <c r="F12" s="1451"/>
      <c r="G12" s="437"/>
    </row>
    <row r="13">
      <c r="A13" s="1365"/>
      <c r="B13" s="1365"/>
      <c r="C13" s="1365"/>
      <c r="D13" s="1449"/>
      <c r="E13" s="1450"/>
      <c r="F13" s="1451"/>
      <c r="G13" s="437"/>
    </row>
    <row r="14">
      <c r="A14" s="1365"/>
      <c r="B14" s="1365"/>
      <c r="C14" s="1365"/>
      <c r="D14" s="1118"/>
      <c r="E14" s="1450"/>
      <c r="F14" s="1451"/>
      <c r="G14" s="437"/>
    </row>
    <row r="15">
      <c r="A15" s="1365"/>
      <c r="B15" s="731"/>
      <c r="C15" s="731"/>
      <c r="D15" s="1449"/>
      <c r="E15" s="1450"/>
      <c r="F15" s="1451"/>
      <c r="G15" s="437"/>
    </row>
    <row r="16">
      <c r="A16" s="1365"/>
      <c r="B16" s="1365"/>
      <c r="C16" s="1365"/>
      <c r="D16" s="1449"/>
      <c r="E16" s="1450"/>
      <c r="F16" s="1451"/>
      <c r="G16" s="437"/>
      <c r="H16" s="469"/>
      <c r="I16" s="469"/>
      <c r="J16" s="469"/>
      <c r="K16" s="469"/>
      <c r="L16" s="469"/>
      <c r="M16" s="469"/>
      <c r="N16" s="469"/>
      <c r="O16" s="469"/>
      <c r="P16" s="469"/>
      <c r="Q16" s="469"/>
      <c r="R16" s="469"/>
      <c r="S16" s="469"/>
      <c r="T16" s="469"/>
      <c r="U16" s="469"/>
      <c r="V16" s="469"/>
      <c r="W16" s="469"/>
      <c r="X16" s="469"/>
      <c r="Y16" s="469"/>
      <c r="Z16" s="469"/>
    </row>
    <row r="17">
      <c r="A17" s="1365"/>
      <c r="B17" s="1365"/>
      <c r="C17" s="1365"/>
      <c r="D17" s="1118"/>
      <c r="E17" s="1450"/>
      <c r="F17" s="1451"/>
      <c r="G17" s="437"/>
      <c r="H17" s="469"/>
      <c r="I17" s="469"/>
      <c r="J17" s="469"/>
      <c r="K17" s="469"/>
      <c r="L17" s="469"/>
      <c r="M17" s="469"/>
      <c r="N17" s="469"/>
      <c r="O17" s="469"/>
      <c r="P17" s="469"/>
      <c r="Q17" s="469"/>
      <c r="R17" s="469"/>
      <c r="S17" s="469"/>
      <c r="T17" s="469"/>
      <c r="U17" s="469"/>
      <c r="V17" s="469"/>
      <c r="W17" s="469"/>
      <c r="X17" s="469"/>
      <c r="Y17" s="469"/>
      <c r="Z17" s="469"/>
    </row>
    <row r="18">
      <c r="A18" s="1365"/>
      <c r="B18" s="1365"/>
      <c r="C18" s="1365"/>
      <c r="D18" s="1118"/>
      <c r="E18" s="1450"/>
      <c r="F18" s="1451"/>
      <c r="G18" s="437"/>
    </row>
    <row r="19">
      <c r="A19" s="1365"/>
      <c r="B19" s="1365"/>
      <c r="C19" s="1365"/>
      <c r="D19" s="1449"/>
      <c r="E19" s="1450"/>
      <c r="F19" s="1451"/>
      <c r="G19" s="437"/>
    </row>
    <row r="20">
      <c r="A20" s="1452"/>
      <c r="B20" s="1365"/>
      <c r="C20" s="1365"/>
      <c r="D20" s="1449"/>
      <c r="E20" s="1450"/>
      <c r="F20" s="1451"/>
      <c r="G20" s="437"/>
    </row>
    <row r="21">
      <c r="A21" s="1452"/>
      <c r="B21" s="1365"/>
      <c r="C21" s="1365"/>
      <c r="D21" s="1449"/>
      <c r="E21" s="1450"/>
      <c r="F21" s="1451"/>
      <c r="G21" s="437"/>
    </row>
    <row r="22">
      <c r="A22" s="1452"/>
      <c r="B22" s="1365"/>
      <c r="C22" s="1365"/>
      <c r="D22" s="1449"/>
      <c r="E22" s="1450"/>
      <c r="F22" s="1451"/>
      <c r="G22" s="437"/>
    </row>
    <row r="23">
      <c r="A23" s="1452"/>
      <c r="B23" s="1365"/>
      <c r="C23" s="1365"/>
      <c r="D23" s="1449"/>
      <c r="E23" s="1450"/>
      <c r="F23" s="1451"/>
      <c r="G23" s="437"/>
      <c r="X23" s="205" t="s">
        <v>3489</v>
      </c>
    </row>
    <row r="24">
      <c r="A24" s="1452"/>
      <c r="B24" s="1365"/>
      <c r="C24" s="1365"/>
      <c r="D24" s="1449"/>
      <c r="E24" s="1450"/>
      <c r="F24" s="1451"/>
      <c r="G24" s="437"/>
    </row>
    <row r="25">
      <c r="A25" s="1452"/>
      <c r="B25" s="1365"/>
      <c r="C25" s="1365"/>
      <c r="D25" s="1449"/>
      <c r="E25" s="1450"/>
      <c r="F25" s="1451"/>
      <c r="G25" s="437"/>
    </row>
    <row r="26">
      <c r="A26" s="1452"/>
      <c r="B26" s="1365"/>
      <c r="C26" s="1365"/>
      <c r="D26" s="1449"/>
      <c r="E26" s="1450"/>
      <c r="F26" s="1451"/>
      <c r="G26" s="437"/>
    </row>
    <row r="27">
      <c r="A27" s="1452"/>
      <c r="B27" s="1365"/>
      <c r="C27" s="1365"/>
      <c r="D27" s="1449"/>
      <c r="E27" s="1450"/>
      <c r="F27" s="1451"/>
      <c r="G27" s="437"/>
    </row>
    <row r="28">
      <c r="A28" s="1455"/>
      <c r="E28" s="1456"/>
      <c r="F28" s="1457"/>
      <c r="G28" s="1456"/>
    </row>
    <row r="29">
      <c r="A29" s="1458"/>
      <c r="B29" s="1459"/>
      <c r="C29" s="1459"/>
      <c r="D29" s="1460"/>
      <c r="E29" s="1461"/>
      <c r="F29" s="1462"/>
      <c r="G29" s="437"/>
    </row>
    <row r="30">
      <c r="A30" s="1454"/>
      <c r="B30" s="731"/>
      <c r="C30" s="731"/>
      <c r="D30" s="1365"/>
      <c r="E30" s="731"/>
      <c r="F30" s="1451"/>
      <c r="G30" s="437"/>
    </row>
    <row r="31">
      <c r="A31" s="1454"/>
      <c r="B31" s="1365"/>
      <c r="C31" s="1365"/>
      <c r="D31" s="731"/>
      <c r="E31" s="1453"/>
      <c r="F31" s="1451"/>
      <c r="G31" s="437"/>
    </row>
    <row r="32">
      <c r="A32" s="1454"/>
      <c r="B32" s="1365"/>
      <c r="C32" s="1365"/>
      <c r="D32" s="1365"/>
      <c r="E32" s="1453"/>
      <c r="F32" s="1451"/>
      <c r="G32" s="437"/>
    </row>
    <row r="33">
      <c r="A33" s="1454"/>
      <c r="B33" s="1365"/>
      <c r="C33" s="1365"/>
      <c r="D33" s="1365"/>
      <c r="E33" s="1453"/>
      <c r="F33" s="1451"/>
      <c r="G33" s="437"/>
    </row>
    <row r="34">
      <c r="A34" s="1452"/>
      <c r="B34" s="1365"/>
      <c r="C34" s="1365"/>
      <c r="D34" s="1365"/>
      <c r="E34" s="1450"/>
      <c r="F34" s="1451"/>
      <c r="G34" s="437"/>
    </row>
    <row r="35">
      <c r="A35" s="1454"/>
      <c r="B35" s="731"/>
      <c r="C35" s="731"/>
      <c r="D35" s="731"/>
      <c r="E35" s="1453"/>
      <c r="F35" s="1451"/>
      <c r="G35" s="437"/>
    </row>
    <row r="36">
      <c r="A36" s="1452"/>
      <c r="B36" s="1365"/>
      <c r="C36" s="1365"/>
      <c r="D36" s="1365"/>
      <c r="E36" s="1450"/>
      <c r="F36" s="1451"/>
      <c r="G36" s="437"/>
      <c r="H36" s="469"/>
      <c r="I36" s="469"/>
      <c r="J36" s="469"/>
      <c r="K36" s="469"/>
      <c r="L36" s="469"/>
      <c r="M36" s="469"/>
      <c r="N36" s="469"/>
      <c r="O36" s="469"/>
      <c r="P36" s="469"/>
      <c r="Q36" s="469"/>
      <c r="R36" s="469"/>
      <c r="S36" s="469"/>
      <c r="T36" s="469"/>
      <c r="U36" s="469"/>
      <c r="V36" s="469"/>
      <c r="W36" s="469"/>
      <c r="X36" s="469"/>
      <c r="Y36" s="469"/>
      <c r="Z36" s="469"/>
    </row>
    <row r="37">
      <c r="A37" s="1365"/>
      <c r="B37" s="731"/>
      <c r="C37" s="731"/>
      <c r="D37" s="731"/>
      <c r="E37" s="1450"/>
      <c r="F37" s="1451"/>
      <c r="G37" s="437"/>
    </row>
    <row r="38">
      <c r="A38" s="1452"/>
      <c r="B38" s="1365"/>
      <c r="C38" s="1365"/>
      <c r="D38" s="1365"/>
      <c r="E38" s="1450"/>
      <c r="F38" s="1451"/>
      <c r="G38" s="1463"/>
    </row>
    <row r="39">
      <c r="A39" s="1454"/>
      <c r="B39" s="1365"/>
      <c r="C39" s="1365"/>
      <c r="D39" s="1365"/>
      <c r="E39" s="1450"/>
      <c r="F39" s="1451"/>
      <c r="G39" s="437"/>
    </row>
    <row r="40">
      <c r="A40" s="1454"/>
      <c r="B40" s="1365"/>
      <c r="C40" s="1365"/>
      <c r="D40" s="1365"/>
      <c r="E40" s="1450"/>
      <c r="F40" s="1451"/>
      <c r="G40" s="437"/>
    </row>
    <row r="41">
      <c r="A41" s="1454"/>
      <c r="B41" s="731"/>
      <c r="C41" s="731"/>
      <c r="D41" s="1365"/>
      <c r="E41" s="1453"/>
      <c r="F41" s="1451"/>
      <c r="G41" s="437"/>
    </row>
    <row r="42">
      <c r="A42" s="1454"/>
      <c r="B42" s="731"/>
      <c r="C42" s="731"/>
      <c r="D42" s="1365"/>
      <c r="E42" s="1453"/>
      <c r="F42" s="1451"/>
      <c r="G42" s="437"/>
    </row>
    <row r="43">
      <c r="A43" s="1454"/>
      <c r="B43" s="731"/>
      <c r="C43" s="731"/>
      <c r="D43" s="1365"/>
      <c r="E43" s="1453"/>
      <c r="F43" s="1451"/>
      <c r="G43" s="437"/>
    </row>
    <row r="44">
      <c r="A44" s="1454"/>
      <c r="B44" s="1365"/>
      <c r="C44" s="1365"/>
      <c r="D44" s="1365"/>
      <c r="E44" s="1450"/>
      <c r="F44" s="1451"/>
      <c r="G44" s="437"/>
    </row>
    <row r="45">
      <c r="A45" s="1454"/>
      <c r="B45" s="1365"/>
      <c r="C45" s="1365"/>
      <c r="D45" s="1365"/>
      <c r="E45" s="1453"/>
      <c r="F45" s="1451"/>
      <c r="G45" s="437"/>
    </row>
    <row r="46">
      <c r="A46" s="1454"/>
      <c r="B46" s="1365"/>
      <c r="C46" s="1365"/>
      <c r="D46" s="1365"/>
      <c r="E46" s="1450"/>
      <c r="F46" s="1451"/>
      <c r="G46" s="437"/>
    </row>
    <row r="47">
      <c r="A47" s="1454"/>
      <c r="B47" s="1365"/>
      <c r="C47" s="1365"/>
      <c r="D47" s="731"/>
      <c r="E47" s="1453"/>
      <c r="F47" s="1451"/>
      <c r="G47" s="437"/>
    </row>
    <row r="48">
      <c r="A48" s="1454"/>
      <c r="B48" s="1365"/>
      <c r="C48" s="1365"/>
      <c r="D48" s="1365"/>
      <c r="E48" s="1453"/>
      <c r="F48" s="1451"/>
      <c r="G48" s="437"/>
    </row>
    <row r="49">
      <c r="A49" s="1454"/>
      <c r="B49" s="1365"/>
      <c r="C49" s="1365"/>
      <c r="D49" s="1365"/>
      <c r="E49" s="1453"/>
      <c r="F49" s="1451"/>
      <c r="G49" s="437"/>
    </row>
    <row r="50">
      <c r="A50" s="1454"/>
      <c r="B50" s="731"/>
      <c r="C50" s="731"/>
      <c r="D50" s="1365"/>
      <c r="E50" s="1453"/>
      <c r="F50" s="1451"/>
      <c r="G50" s="437"/>
    </row>
    <row r="51">
      <c r="A51" s="1454"/>
      <c r="B51" s="1365"/>
      <c r="C51" s="1365"/>
      <c r="D51" s="1464"/>
      <c r="E51" s="1465"/>
      <c r="F51" s="1451"/>
      <c r="G51" s="437"/>
    </row>
    <row r="52">
      <c r="A52" s="1454"/>
      <c r="B52" s="1365"/>
      <c r="C52" s="1365"/>
      <c r="D52" s="1464"/>
      <c r="E52" s="1465"/>
      <c r="F52" s="1451"/>
      <c r="G52" s="437"/>
    </row>
    <row r="53">
      <c r="A53" s="1454"/>
      <c r="B53" s="1365"/>
      <c r="C53" s="1365"/>
      <c r="D53" s="731"/>
      <c r="E53" s="1466"/>
      <c r="F53" s="1451"/>
      <c r="G53" s="437"/>
    </row>
    <row r="54">
      <c r="A54" s="1452"/>
      <c r="B54" s="1365"/>
      <c r="C54" s="1365"/>
      <c r="D54" s="1365"/>
      <c r="E54" s="1453"/>
      <c r="F54" s="1451"/>
      <c r="G54" s="437"/>
    </row>
    <row r="55">
      <c r="A55" s="1454"/>
      <c r="B55" s="731"/>
      <c r="C55" s="731"/>
      <c r="D55" s="1365"/>
      <c r="E55" s="1453"/>
      <c r="F55" s="1451"/>
      <c r="G55" s="437"/>
    </row>
    <row r="56">
      <c r="A56" s="1452"/>
      <c r="B56" s="1365"/>
      <c r="C56" s="1365"/>
      <c r="D56" s="1365"/>
      <c r="E56" s="1453"/>
      <c r="F56" s="1451"/>
      <c r="G56" s="437"/>
    </row>
    <row r="57">
      <c r="A57" s="1454"/>
      <c r="B57" s="1365"/>
      <c r="C57" s="1365"/>
      <c r="D57" s="1365"/>
      <c r="E57" s="731"/>
      <c r="F57" s="1451"/>
      <c r="G57" s="437"/>
    </row>
    <row r="58">
      <c r="A58" s="1454"/>
      <c r="B58" s="1365"/>
      <c r="C58" s="1365"/>
      <c r="D58" s="731"/>
      <c r="E58" s="1453"/>
      <c r="F58" s="1451"/>
      <c r="G58" s="437"/>
    </row>
    <row r="59">
      <c r="A59" s="1452"/>
      <c r="B59" s="1365"/>
      <c r="C59" s="1365"/>
      <c r="D59" s="1365"/>
      <c r="E59" s="1453"/>
      <c r="F59" s="1451"/>
      <c r="G59" s="437"/>
    </row>
    <row r="60">
      <c r="A60" s="1452"/>
      <c r="B60" s="1365"/>
      <c r="C60" s="1365"/>
      <c r="D60" s="1365"/>
      <c r="E60" s="1453"/>
      <c r="F60" s="1451"/>
      <c r="G60" s="437"/>
    </row>
    <row r="61">
      <c r="A61" s="1452"/>
      <c r="B61" s="1365"/>
      <c r="C61" s="1365"/>
      <c r="D61" s="1365"/>
      <c r="E61" s="1450"/>
      <c r="F61" s="1451"/>
      <c r="G61" s="437"/>
    </row>
    <row r="62">
      <c r="A62" s="1452"/>
      <c r="B62" s="1365"/>
      <c r="C62" s="1365"/>
      <c r="D62" s="1365"/>
      <c r="E62" s="1450"/>
      <c r="F62" s="1451"/>
      <c r="G62" s="437"/>
    </row>
    <row r="63">
      <c r="A63" s="1452"/>
      <c r="B63" s="1365"/>
      <c r="C63" s="1365"/>
      <c r="D63" s="1365"/>
      <c r="E63" s="1450"/>
      <c r="F63" s="1451"/>
      <c r="G63" s="437"/>
    </row>
    <row r="64">
      <c r="A64" s="1454"/>
      <c r="B64" s="731"/>
      <c r="C64" s="731"/>
      <c r="D64" s="731"/>
      <c r="E64" s="1450"/>
      <c r="F64" s="1451"/>
      <c r="G64" s="437"/>
    </row>
    <row r="65">
      <c r="A65" s="1452"/>
      <c r="B65" s="1365"/>
      <c r="C65" s="1365"/>
      <c r="D65" s="1365"/>
      <c r="E65" s="1450"/>
      <c r="F65" s="1451"/>
      <c r="G65" s="437"/>
    </row>
    <row r="66">
      <c r="A66" s="1452"/>
      <c r="B66" s="1365"/>
      <c r="C66" s="1365"/>
      <c r="D66" s="1365"/>
      <c r="E66" s="1450"/>
      <c r="F66" s="1451"/>
      <c r="G66" s="437"/>
    </row>
    <row r="67">
      <c r="A67" s="1454"/>
      <c r="B67" s="731"/>
      <c r="C67" s="731"/>
      <c r="D67" s="1454"/>
      <c r="E67" s="1450"/>
      <c r="F67" s="1451"/>
      <c r="G67" s="437"/>
    </row>
    <row r="68">
      <c r="A68" s="1454"/>
      <c r="B68" s="1365"/>
      <c r="C68" s="1365"/>
      <c r="D68" s="1365"/>
      <c r="E68" s="1450"/>
      <c r="F68" s="1451"/>
      <c r="G68" s="437"/>
    </row>
    <row r="69">
      <c r="A69" s="1454"/>
      <c r="B69" s="1365"/>
      <c r="C69" s="1365"/>
      <c r="D69" s="1449"/>
      <c r="E69" s="1450"/>
      <c r="F69" s="1451"/>
      <c r="G69" s="1456"/>
    </row>
    <row r="70">
      <c r="A70" s="1454"/>
      <c r="B70" s="1365"/>
      <c r="C70" s="1365"/>
      <c r="D70" s="1449"/>
      <c r="E70" s="731"/>
      <c r="F70" s="1451"/>
      <c r="G70" s="1456"/>
    </row>
    <row r="71" ht="25.5" customHeight="1">
      <c r="A71" s="1458"/>
      <c r="B71" s="1459"/>
      <c r="C71" s="1459"/>
      <c r="D71" s="1467"/>
      <c r="E71" s="1468"/>
      <c r="F71" s="1462"/>
      <c r="G71" s="437"/>
    </row>
    <row r="72">
      <c r="A72" s="1454"/>
      <c r="B72" s="1365"/>
      <c r="C72" s="1365"/>
      <c r="D72" s="1365"/>
      <c r="E72" s="1450"/>
      <c r="F72" s="1451"/>
      <c r="G72" s="437"/>
    </row>
    <row r="73">
      <c r="A73" s="1452"/>
      <c r="B73" s="1365"/>
      <c r="C73" s="1365"/>
      <c r="D73" s="1449"/>
      <c r="E73" s="1450"/>
      <c r="F73" s="1451"/>
      <c r="G73" s="437"/>
    </row>
    <row r="74">
      <c r="A74" s="1452"/>
      <c r="B74" s="1365"/>
      <c r="C74" s="1365"/>
      <c r="D74" s="1449"/>
      <c r="E74" s="1453"/>
      <c r="F74" s="1451"/>
      <c r="G74" s="437"/>
    </row>
    <row r="75">
      <c r="A75" s="1452"/>
      <c r="B75" s="731"/>
      <c r="C75" s="731"/>
      <c r="D75" s="1365"/>
      <c r="E75" s="1450"/>
      <c r="F75" s="1451"/>
      <c r="G75" s="437"/>
    </row>
    <row r="76">
      <c r="A76" s="1454"/>
      <c r="B76" s="731"/>
      <c r="C76" s="731"/>
      <c r="D76" s="1365"/>
      <c r="E76" s="1453"/>
      <c r="F76" s="1451"/>
      <c r="G76" s="437"/>
    </row>
    <row r="77">
      <c r="A77" s="1452"/>
      <c r="B77" s="1365"/>
      <c r="C77" s="1365"/>
      <c r="D77" s="1365"/>
      <c r="E77" s="1450"/>
      <c r="F77" s="1451"/>
      <c r="G77" s="437"/>
      <c r="H77" s="498"/>
      <c r="I77" s="499"/>
      <c r="J77" s="499"/>
      <c r="K77" s="495"/>
      <c r="L77" s="496"/>
      <c r="M77" s="497"/>
      <c r="N77" s="498"/>
      <c r="O77" s="499"/>
      <c r="P77" s="499"/>
      <c r="Q77" s="495"/>
      <c r="R77" s="496"/>
      <c r="S77" s="497"/>
      <c r="T77" s="498"/>
      <c r="U77" s="499"/>
      <c r="V77" s="499"/>
      <c r="W77" s="495"/>
      <c r="X77" s="496"/>
      <c r="Y77" s="497"/>
      <c r="Z77" s="469"/>
    </row>
    <row r="78">
      <c r="A78" s="1452"/>
      <c r="B78" s="1365"/>
      <c r="C78" s="1365"/>
      <c r="D78" s="1449"/>
      <c r="E78" s="1450"/>
      <c r="F78" s="1451"/>
      <c r="G78" s="437"/>
    </row>
    <row r="79">
      <c r="A79" s="1452"/>
      <c r="B79" s="1365"/>
      <c r="C79" s="1365"/>
      <c r="D79" s="1365"/>
      <c r="E79" s="1450"/>
      <c r="F79" s="1451"/>
      <c r="G79" s="437"/>
    </row>
    <row r="80">
      <c r="A80" s="1454"/>
      <c r="B80" s="731"/>
      <c r="C80" s="731"/>
      <c r="D80" s="1365"/>
      <c r="E80" s="1453"/>
      <c r="F80" s="1451"/>
      <c r="G80" s="437"/>
    </row>
    <row r="81">
      <c r="A81" s="1452"/>
      <c r="B81" s="1365"/>
      <c r="C81" s="1365"/>
      <c r="D81" s="1449"/>
      <c r="E81" s="1450"/>
      <c r="F81" s="1451"/>
      <c r="G81" s="437"/>
    </row>
    <row r="82">
      <c r="A82" s="1452"/>
      <c r="B82" s="1365"/>
      <c r="C82" s="1365"/>
      <c r="D82" s="1365"/>
      <c r="E82" s="1469"/>
      <c r="F82" s="1451"/>
      <c r="G82" s="437"/>
    </row>
    <row r="83">
      <c r="A83" s="1452"/>
      <c r="B83" s="1365"/>
      <c r="C83" s="1365"/>
      <c r="D83" s="1365"/>
      <c r="E83" s="1453"/>
      <c r="F83" s="1451"/>
      <c r="G83" s="437"/>
    </row>
    <row r="84">
      <c r="A84" s="1452"/>
      <c r="B84" s="731"/>
      <c r="C84" s="731"/>
      <c r="D84" s="731"/>
      <c r="E84" s="1450"/>
      <c r="F84" s="1451"/>
      <c r="G84" s="437"/>
    </row>
    <row r="85">
      <c r="A85" s="1452"/>
      <c r="B85" s="731"/>
      <c r="C85" s="731"/>
      <c r="D85" s="1449"/>
      <c r="E85" s="1450"/>
      <c r="F85" s="1451"/>
      <c r="G85" s="437"/>
    </row>
    <row r="86">
      <c r="A86" s="1452"/>
      <c r="B86" s="1365"/>
      <c r="C86" s="1365"/>
      <c r="D86" s="1449"/>
      <c r="E86" s="1450"/>
      <c r="F86" s="1451"/>
      <c r="G86" s="437"/>
    </row>
    <row r="87">
      <c r="A87" s="1452"/>
      <c r="B87" s="1365"/>
      <c r="C87" s="1365"/>
      <c r="D87" s="1449"/>
      <c r="E87" s="1450"/>
      <c r="F87" s="1451"/>
      <c r="G87" s="437"/>
    </row>
    <row r="88">
      <c r="A88" s="1452"/>
      <c r="B88" s="1365"/>
      <c r="C88" s="1365"/>
      <c r="D88" s="1449"/>
      <c r="E88" s="1450"/>
      <c r="F88" s="1451"/>
      <c r="G88" s="437"/>
    </row>
    <row r="89">
      <c r="A89" s="1452"/>
      <c r="B89" s="1365"/>
      <c r="C89" s="1365"/>
      <c r="D89" s="1449"/>
      <c r="E89" s="1450"/>
      <c r="F89" s="1451"/>
      <c r="G89" s="437"/>
    </row>
    <row r="90">
      <c r="A90" s="1452"/>
      <c r="B90" s="1365"/>
      <c r="C90" s="1365"/>
      <c r="D90" s="1449"/>
      <c r="E90" s="1450"/>
      <c r="F90" s="1451"/>
      <c r="G90" s="437"/>
    </row>
    <row r="91">
      <c r="A91" s="1455"/>
      <c r="E91" s="1456"/>
      <c r="F91" s="1457"/>
      <c r="G91" s="1456"/>
    </row>
    <row r="92">
      <c r="A92" s="1458"/>
      <c r="B92" s="1459"/>
      <c r="C92" s="1459"/>
      <c r="D92" s="1467"/>
      <c r="E92" s="1461"/>
      <c r="F92" s="1462"/>
      <c r="G92" s="437"/>
    </row>
    <row r="93">
      <c r="A93" s="1452"/>
      <c r="B93" s="1365"/>
      <c r="C93" s="1365"/>
      <c r="D93" s="1449"/>
      <c r="E93" s="1450"/>
      <c r="F93" s="1451"/>
      <c r="G93" s="437"/>
    </row>
    <row r="94">
      <c r="A94" s="1452"/>
      <c r="B94" s="1365"/>
      <c r="C94" s="1365"/>
      <c r="D94" s="731"/>
      <c r="E94" s="1450"/>
      <c r="F94" s="1451"/>
      <c r="G94" s="437"/>
    </row>
    <row r="95">
      <c r="A95" s="1452"/>
      <c r="B95" s="1365"/>
      <c r="C95" s="1365"/>
      <c r="D95" s="731"/>
      <c r="E95" s="1450"/>
      <c r="F95" s="1451"/>
      <c r="G95" s="437"/>
    </row>
    <row r="96">
      <c r="A96" s="1452"/>
      <c r="B96" s="1365"/>
      <c r="C96" s="1365"/>
      <c r="D96" s="1365"/>
      <c r="E96" s="1450"/>
      <c r="F96" s="1470"/>
      <c r="G96" s="437"/>
    </row>
    <row r="97">
      <c r="A97" s="1452"/>
      <c r="B97" s="1365"/>
      <c r="C97" s="1365"/>
      <c r="D97" s="1365"/>
      <c r="E97" s="1450"/>
      <c r="F97" s="1451"/>
      <c r="G97" s="437"/>
    </row>
    <row r="98">
      <c r="A98" s="1452"/>
      <c r="B98" s="731"/>
      <c r="C98" s="731"/>
      <c r="D98" s="731"/>
      <c r="E98" s="1450"/>
      <c r="F98" s="1451"/>
      <c r="G98" s="437"/>
    </row>
    <row r="99">
      <c r="A99" s="1452"/>
      <c r="B99" s="1365"/>
      <c r="C99" s="1365"/>
      <c r="D99" s="731"/>
      <c r="E99" s="1450"/>
      <c r="F99" s="1451"/>
      <c r="G99" s="437"/>
    </row>
    <row r="100">
      <c r="A100" s="1452"/>
      <c r="B100" s="1365"/>
      <c r="C100" s="1365"/>
      <c r="D100" s="1449"/>
      <c r="E100" s="1450"/>
      <c r="F100" s="1451"/>
      <c r="G100" s="437"/>
    </row>
    <row r="101">
      <c r="A101" s="1452"/>
      <c r="B101" s="1365"/>
      <c r="C101" s="1365"/>
      <c r="D101" s="1449"/>
      <c r="E101" s="1450"/>
      <c r="F101" s="1451"/>
      <c r="G101" s="437"/>
    </row>
    <row r="102">
      <c r="A102" s="1452"/>
      <c r="B102" s="1471"/>
      <c r="C102" s="1471"/>
      <c r="D102" s="1449"/>
      <c r="E102" s="1450"/>
      <c r="F102" s="1451"/>
      <c r="G102" s="437"/>
    </row>
    <row r="103">
      <c r="A103" s="1452"/>
      <c r="B103" s="1365"/>
      <c r="C103" s="1365"/>
      <c r="D103" s="1449"/>
      <c r="E103" s="1450"/>
      <c r="F103" s="1451"/>
      <c r="G103" s="437"/>
    </row>
    <row r="104">
      <c r="A104" s="1452"/>
      <c r="B104" s="1365"/>
      <c r="C104" s="1365"/>
      <c r="D104" s="1449"/>
      <c r="E104" s="1450"/>
      <c r="F104" s="1451"/>
      <c r="G104" s="437"/>
    </row>
    <row r="105">
      <c r="A105" s="1455"/>
      <c r="E105" s="1456"/>
      <c r="F105" s="1457"/>
      <c r="G105" s="1456"/>
    </row>
    <row r="106">
      <c r="A106" s="1458"/>
      <c r="B106" s="1459"/>
      <c r="C106" s="1459"/>
      <c r="D106" s="1467"/>
      <c r="E106" s="1461"/>
      <c r="F106" s="1462"/>
      <c r="G106" s="437"/>
    </row>
    <row r="107">
      <c r="A107" s="1452"/>
      <c r="B107" s="1365"/>
      <c r="C107" s="1365"/>
      <c r="D107" s="1449"/>
      <c r="E107" s="1450"/>
      <c r="F107" s="1451"/>
      <c r="G107" s="437"/>
    </row>
    <row r="108">
      <c r="A108" s="1452"/>
      <c r="B108" s="1365"/>
      <c r="C108" s="1365"/>
      <c r="D108" s="1449"/>
      <c r="E108" s="1450"/>
      <c r="F108" s="1451"/>
      <c r="G108" s="437"/>
    </row>
    <row r="109">
      <c r="A109" s="1452"/>
      <c r="B109" s="1365"/>
      <c r="C109" s="1365"/>
      <c r="D109" s="1449"/>
      <c r="E109" s="1450"/>
      <c r="F109" s="1451"/>
      <c r="G109" s="437"/>
    </row>
    <row r="110">
      <c r="A110" s="1452"/>
      <c r="B110" s="1365"/>
      <c r="C110" s="1365"/>
      <c r="D110" s="731"/>
      <c r="E110" s="1450"/>
      <c r="F110" s="1451"/>
      <c r="G110" s="437"/>
    </row>
    <row r="111">
      <c r="A111" s="1452"/>
      <c r="B111" s="1365"/>
      <c r="C111" s="1365"/>
      <c r="D111" s="1449"/>
      <c r="E111" s="1450"/>
      <c r="F111" s="1470"/>
      <c r="G111" s="437"/>
    </row>
    <row r="112">
      <c r="A112" s="1452"/>
      <c r="B112" s="1365"/>
      <c r="C112" s="1365"/>
      <c r="D112" s="731"/>
      <c r="E112" s="1450"/>
      <c r="F112" s="1451"/>
      <c r="G112" s="437"/>
    </row>
    <row r="113">
      <c r="A113" s="1452"/>
      <c r="B113" s="1365"/>
      <c r="C113" s="1365"/>
      <c r="D113" s="731"/>
      <c r="E113" s="1450"/>
      <c r="F113" s="1451"/>
      <c r="G113" s="437"/>
    </row>
    <row r="114">
      <c r="A114" s="1452"/>
      <c r="B114" s="1365"/>
      <c r="C114" s="1365"/>
      <c r="D114" s="1449"/>
      <c r="E114" s="1450"/>
      <c r="F114" s="1451"/>
      <c r="G114" s="437"/>
    </row>
    <row r="115">
      <c r="A115" s="1452"/>
      <c r="B115" s="1365"/>
      <c r="C115" s="1365"/>
      <c r="D115" s="1449"/>
      <c r="E115" s="1450"/>
      <c r="F115" s="1451"/>
      <c r="G115" s="437"/>
    </row>
    <row r="116">
      <c r="A116" s="1452"/>
      <c r="B116" s="1365"/>
      <c r="C116" s="1365"/>
      <c r="D116" s="1449"/>
      <c r="E116" s="1450"/>
      <c r="F116" s="1451"/>
      <c r="G116" s="437"/>
    </row>
    <row r="117">
      <c r="A117" s="1452"/>
      <c r="B117" s="1365"/>
      <c r="C117" s="1365"/>
      <c r="D117" s="1449"/>
      <c r="E117" s="731"/>
      <c r="F117" s="1451"/>
      <c r="G117" s="437"/>
    </row>
    <row r="118">
      <c r="A118" s="1452"/>
      <c r="B118" s="1365"/>
      <c r="C118" s="1365"/>
      <c r="D118" s="1449"/>
      <c r="E118" s="731"/>
      <c r="F118" s="1451"/>
      <c r="G118" s="437"/>
    </row>
    <row r="119">
      <c r="A119" s="1452"/>
      <c r="B119" s="1365"/>
      <c r="C119" s="1365"/>
      <c r="D119" s="1449"/>
      <c r="E119" s="1450"/>
      <c r="F119" s="1451"/>
      <c r="G119" s="437"/>
    </row>
    <row r="120">
      <c r="A120" s="1452"/>
      <c r="B120" s="1365"/>
      <c r="C120" s="1365"/>
      <c r="D120" s="1449"/>
      <c r="E120" s="1450"/>
      <c r="F120" s="1451"/>
      <c r="G120" s="437"/>
    </row>
    <row r="121">
      <c r="A121" s="1452"/>
      <c r="B121" s="1365"/>
      <c r="C121" s="1365"/>
      <c r="D121" s="1449"/>
      <c r="E121" s="1450"/>
      <c r="F121" s="1451"/>
      <c r="G121" s="437"/>
    </row>
    <row r="122">
      <c r="A122" s="1455"/>
      <c r="E122" s="1456"/>
      <c r="F122" s="1457"/>
      <c r="G122" s="1456"/>
    </row>
    <row r="123">
      <c r="A123" s="1452"/>
      <c r="B123" s="1365"/>
      <c r="C123" s="1365"/>
      <c r="D123" s="1449"/>
      <c r="E123" s="1450"/>
      <c r="F123" s="1451"/>
      <c r="G123" s="437"/>
    </row>
    <row r="124">
      <c r="A124" s="1452"/>
      <c r="B124" s="1365"/>
      <c r="C124" s="1365"/>
      <c r="D124" s="1449"/>
      <c r="E124" s="1450"/>
      <c r="F124" s="1451"/>
      <c r="G124" s="437"/>
    </row>
    <row r="125">
      <c r="A125" s="1365"/>
      <c r="B125" s="1365"/>
      <c r="C125" s="1365"/>
      <c r="D125" s="1449"/>
      <c r="E125" s="1450"/>
      <c r="F125" s="1451"/>
      <c r="G125" s="437"/>
    </row>
    <row r="126">
      <c r="A126" s="1452"/>
      <c r="B126" s="1365"/>
      <c r="C126" s="1365"/>
      <c r="D126" s="1449"/>
      <c r="E126" s="1450"/>
      <c r="F126" s="1451"/>
      <c r="G126" s="437"/>
    </row>
    <row r="127">
      <c r="A127" s="1452"/>
      <c r="B127" s="1365"/>
      <c r="C127" s="1365"/>
      <c r="D127" s="1449"/>
      <c r="E127" s="1450"/>
      <c r="F127" s="1451"/>
      <c r="G127" s="437"/>
    </row>
    <row r="128">
      <c r="A128" s="1452"/>
      <c r="B128" s="1365"/>
      <c r="C128" s="1365"/>
      <c r="D128" s="1449"/>
      <c r="E128" s="1450"/>
      <c r="F128" s="1451"/>
      <c r="G128" s="437"/>
    </row>
    <row r="129">
      <c r="A129" s="1455"/>
      <c r="E129" s="1456"/>
      <c r="F129" s="1457"/>
      <c r="G129" s="1456"/>
    </row>
    <row r="130">
      <c r="A130" s="1452"/>
      <c r="B130" s="1365"/>
      <c r="C130" s="1365"/>
      <c r="D130" s="1449"/>
      <c r="E130" s="1450"/>
      <c r="F130" s="1451"/>
      <c r="G130" s="437"/>
    </row>
    <row r="131">
      <c r="A131" s="1452"/>
      <c r="B131" s="1365"/>
      <c r="C131" s="1365"/>
      <c r="D131" s="1449"/>
      <c r="E131" s="1450"/>
      <c r="F131" s="1451"/>
      <c r="G131" s="437"/>
    </row>
    <row r="132">
      <c r="A132" s="1452"/>
      <c r="B132" s="1365"/>
      <c r="C132" s="1365"/>
      <c r="D132" s="1449"/>
      <c r="E132" s="1450"/>
      <c r="F132" s="1451"/>
      <c r="G132" s="437"/>
      <c r="H132" s="469"/>
      <c r="I132" s="469"/>
      <c r="J132" s="469"/>
      <c r="K132" s="469"/>
      <c r="L132" s="469"/>
      <c r="M132" s="469"/>
      <c r="N132" s="469"/>
      <c r="O132" s="469"/>
      <c r="P132" s="469"/>
      <c r="Q132" s="469"/>
      <c r="R132" s="469"/>
      <c r="S132" s="469"/>
      <c r="T132" s="469"/>
      <c r="U132" s="469"/>
      <c r="V132" s="469"/>
      <c r="W132" s="469"/>
      <c r="X132" s="469"/>
      <c r="Y132" s="469"/>
      <c r="Z132" s="469"/>
    </row>
    <row r="133">
      <c r="A133" s="1452"/>
      <c r="B133" s="1365"/>
      <c r="C133" s="1365"/>
      <c r="D133" s="1449"/>
      <c r="E133" s="1450"/>
      <c r="F133" s="1451"/>
      <c r="G133" s="437"/>
      <c r="H133" s="469"/>
      <c r="I133" s="469"/>
      <c r="J133" s="469"/>
      <c r="K133" s="469"/>
      <c r="L133" s="469"/>
      <c r="M133" s="469"/>
      <c r="N133" s="469"/>
      <c r="O133" s="469"/>
      <c r="P133" s="469"/>
      <c r="Q133" s="469"/>
      <c r="R133" s="469"/>
      <c r="S133" s="469"/>
      <c r="T133" s="469"/>
      <c r="U133" s="469"/>
      <c r="V133" s="469"/>
      <c r="W133" s="469"/>
      <c r="X133" s="469"/>
      <c r="Y133" s="469"/>
      <c r="Z133" s="469"/>
    </row>
    <row r="134">
      <c r="A134" s="1452"/>
      <c r="B134" s="1365"/>
      <c r="C134" s="1365"/>
      <c r="D134" s="1449"/>
      <c r="E134" s="1450"/>
      <c r="F134" s="1451"/>
      <c r="G134" s="437"/>
    </row>
    <row r="135">
      <c r="A135" s="1452"/>
      <c r="B135" s="1365"/>
      <c r="C135" s="1365"/>
      <c r="D135" s="1365"/>
      <c r="E135" s="1450"/>
      <c r="F135" s="1451"/>
      <c r="G135" s="437"/>
    </row>
    <row r="136">
      <c r="A136" s="1452"/>
      <c r="B136" s="1365"/>
      <c r="C136" s="1365"/>
      <c r="D136" s="1365"/>
      <c r="E136" s="1450"/>
      <c r="F136" s="1451"/>
      <c r="G136" s="437"/>
    </row>
    <row r="137">
      <c r="A137" s="1452"/>
      <c r="B137" s="1365"/>
      <c r="C137" s="1365"/>
      <c r="D137" s="1365"/>
      <c r="E137" s="1450"/>
      <c r="F137" s="1451"/>
      <c r="G137" s="1472"/>
    </row>
    <row r="138">
      <c r="A138" s="1452"/>
      <c r="B138" s="1365"/>
      <c r="C138" s="1365"/>
      <c r="D138" s="1449"/>
      <c r="E138" s="1450"/>
      <c r="F138" s="1451"/>
      <c r="G138" s="1472"/>
    </row>
    <row r="139">
      <c r="A139" s="1452"/>
      <c r="B139" s="1365"/>
      <c r="C139" s="1365"/>
      <c r="D139" s="1449"/>
      <c r="E139" s="1450"/>
      <c r="F139" s="1451"/>
      <c r="G139" s="1472"/>
    </row>
    <row r="140">
      <c r="A140" s="1452"/>
      <c r="B140" s="1365"/>
      <c r="C140" s="1365"/>
      <c r="D140" s="1449"/>
      <c r="E140" s="1450"/>
      <c r="F140" s="1451"/>
      <c r="G140" s="437"/>
    </row>
    <row r="141">
      <c r="A141" s="1452"/>
      <c r="B141" s="1365"/>
      <c r="C141" s="1365"/>
      <c r="D141" s="1449"/>
      <c r="E141" s="1450"/>
      <c r="F141" s="1451"/>
      <c r="G141" s="437"/>
    </row>
    <row r="142">
      <c r="A142" s="1452"/>
      <c r="B142" s="1365"/>
      <c r="C142" s="1365"/>
      <c r="D142" s="1449"/>
      <c r="E142" s="1450"/>
      <c r="F142" s="1451"/>
      <c r="G142" s="437"/>
    </row>
    <row r="143">
      <c r="A143" s="1452"/>
      <c r="B143" s="1365"/>
      <c r="C143" s="1365"/>
      <c r="D143" s="1449"/>
      <c r="E143" s="1450"/>
      <c r="F143" s="1451"/>
      <c r="G143" s="437"/>
    </row>
    <row r="144">
      <c r="A144" s="1452"/>
      <c r="B144" s="1365"/>
      <c r="C144" s="1365"/>
      <c r="D144" s="1449"/>
      <c r="E144" s="1450"/>
      <c r="F144" s="1451"/>
      <c r="G144" s="437"/>
    </row>
    <row r="145">
      <c r="A145" s="1455"/>
      <c r="E145" s="1456"/>
      <c r="F145" s="1457"/>
      <c r="G145" s="1456"/>
    </row>
    <row r="146">
      <c r="A146" s="1452"/>
      <c r="B146" s="1365"/>
      <c r="C146" s="1365"/>
      <c r="D146" s="1449"/>
      <c r="E146" s="1450"/>
      <c r="F146" s="1451"/>
      <c r="G146" s="437"/>
    </row>
    <row r="147">
      <c r="A147" s="1452"/>
      <c r="B147" s="1365"/>
      <c r="C147" s="1365"/>
      <c r="D147" s="1449"/>
      <c r="E147" s="1450"/>
      <c r="F147" s="1451"/>
      <c r="G147" s="437"/>
    </row>
    <row r="148">
      <c r="A148" s="1452"/>
      <c r="B148" s="1365"/>
      <c r="C148" s="1365"/>
      <c r="D148" s="1449"/>
      <c r="E148" s="1450"/>
      <c r="F148" s="1451"/>
      <c r="G148" s="437"/>
    </row>
    <row r="149">
      <c r="A149" s="1452"/>
      <c r="B149" s="1365"/>
      <c r="C149" s="1365"/>
      <c r="D149" s="1449"/>
      <c r="E149" s="1450"/>
      <c r="F149" s="1451"/>
      <c r="G149" s="437"/>
    </row>
    <row r="150">
      <c r="A150" s="1452"/>
      <c r="B150" s="731"/>
      <c r="C150" s="731"/>
      <c r="D150" s="1449"/>
      <c r="E150" s="1450"/>
      <c r="F150" s="1451"/>
      <c r="G150" s="437"/>
    </row>
    <row r="151">
      <c r="A151" s="1452"/>
      <c r="B151" s="731"/>
      <c r="C151" s="731"/>
      <c r="D151" s="1449"/>
      <c r="E151" s="1450"/>
      <c r="F151" s="1451"/>
      <c r="G151" s="437"/>
    </row>
    <row r="152">
      <c r="A152" s="1452"/>
      <c r="B152" s="731"/>
      <c r="C152" s="731"/>
      <c r="D152" s="1449"/>
      <c r="E152" s="1450"/>
      <c r="F152" s="1451"/>
      <c r="G152" s="437"/>
    </row>
    <row r="153">
      <c r="A153" s="1452"/>
      <c r="B153" s="731"/>
      <c r="C153" s="731"/>
      <c r="D153" s="1449"/>
      <c r="E153" s="1450"/>
      <c r="F153" s="1451"/>
      <c r="G153" s="437"/>
    </row>
    <row r="154">
      <c r="A154" s="1452"/>
      <c r="B154" s="1365"/>
      <c r="C154" s="1365"/>
      <c r="D154" s="1449"/>
      <c r="E154" s="1450"/>
      <c r="F154" s="1451"/>
      <c r="G154" s="437"/>
    </row>
    <row r="155">
      <c r="A155" s="1452"/>
      <c r="B155" s="1365"/>
      <c r="C155" s="1365"/>
      <c r="D155" s="1449"/>
      <c r="E155" s="1450"/>
      <c r="F155" s="1451"/>
      <c r="G155" s="437"/>
    </row>
    <row r="156">
      <c r="A156" s="1455"/>
      <c r="E156" s="1456"/>
      <c r="F156" s="1457"/>
      <c r="G156" s="1456"/>
    </row>
    <row r="157">
      <c r="A157" s="1452"/>
      <c r="B157" s="1473"/>
      <c r="C157" s="1473"/>
      <c r="D157" s="1449"/>
      <c r="E157" s="1450"/>
      <c r="F157" s="1451"/>
      <c r="G157" s="437"/>
    </row>
    <row r="158">
      <c r="A158" s="1452"/>
      <c r="B158" s="731"/>
      <c r="C158" s="731"/>
      <c r="D158" s="1449"/>
      <c r="E158" s="1450"/>
      <c r="F158" s="1451"/>
      <c r="G158" s="437"/>
    </row>
    <row r="159">
      <c r="A159" s="1452"/>
      <c r="B159" s="731"/>
      <c r="C159" s="731"/>
      <c r="D159" s="1449"/>
      <c r="E159" s="1450"/>
      <c r="F159" s="1451"/>
      <c r="G159" s="437"/>
    </row>
    <row r="160">
      <c r="A160" s="1452"/>
      <c r="B160" s="731"/>
      <c r="C160" s="731"/>
      <c r="D160" s="1449"/>
      <c r="E160" s="1450"/>
      <c r="F160" s="1451"/>
      <c r="G160" s="437"/>
    </row>
    <row r="161">
      <c r="A161" s="1452"/>
      <c r="B161" s="731"/>
      <c r="C161" s="731"/>
      <c r="D161" s="1449"/>
      <c r="E161" s="1450"/>
      <c r="F161" s="1451"/>
      <c r="G161" s="437"/>
    </row>
    <row r="162">
      <c r="A162" s="1452"/>
      <c r="B162" s="731"/>
      <c r="C162" s="731"/>
      <c r="D162" s="1449"/>
      <c r="E162" s="1450"/>
      <c r="F162" s="1451"/>
      <c r="G162" s="437"/>
    </row>
    <row r="163">
      <c r="A163" s="1452"/>
      <c r="B163" s="731"/>
      <c r="C163" s="731"/>
      <c r="D163" s="1449"/>
      <c r="E163" s="1450"/>
      <c r="F163" s="1451"/>
      <c r="G163" s="437"/>
    </row>
    <row r="164">
      <c r="A164" s="1452"/>
      <c r="B164" s="731"/>
      <c r="C164" s="731"/>
      <c r="D164" s="1118"/>
      <c r="E164" s="1450"/>
      <c r="F164" s="1451"/>
      <c r="G164" s="1474"/>
    </row>
    <row r="165">
      <c r="A165" s="1455"/>
      <c r="E165" s="1456"/>
      <c r="F165" s="1457"/>
      <c r="G165" s="1456"/>
    </row>
    <row r="166">
      <c r="A166" s="1452"/>
      <c r="B166" s="731"/>
      <c r="C166" s="731"/>
      <c r="D166" s="1118"/>
      <c r="E166" s="1450"/>
      <c r="F166" s="1451"/>
      <c r="G166" s="1474"/>
    </row>
    <row r="167">
      <c r="A167" s="1468"/>
      <c r="E167" s="1456"/>
      <c r="F167" s="1457"/>
      <c r="G167" s="1456"/>
    </row>
    <row r="168">
      <c r="A168" s="1452"/>
      <c r="B168" s="1475"/>
      <c r="C168" s="1475"/>
      <c r="D168" s="1118"/>
      <c r="E168" s="1450"/>
      <c r="F168" s="1451"/>
      <c r="G168" s="1365"/>
    </row>
    <row r="169">
      <c r="A169" s="1452"/>
      <c r="B169" s="1475"/>
      <c r="C169" s="1475"/>
      <c r="D169" s="1118"/>
      <c r="E169" s="1450"/>
      <c r="F169" s="1451"/>
      <c r="G169" s="1365"/>
    </row>
    <row r="170">
      <c r="A170" s="1452"/>
      <c r="B170" s="731"/>
      <c r="C170" s="731"/>
      <c r="D170" s="1118"/>
      <c r="E170" s="1450"/>
      <c r="F170" s="1451"/>
      <c r="G170" s="1474"/>
    </row>
    <row r="171">
      <c r="A171" s="1476"/>
      <c r="B171" s="731"/>
      <c r="C171" s="731"/>
      <c r="D171" s="1118"/>
      <c r="E171" s="1450"/>
      <c r="F171" s="1451"/>
      <c r="G171" s="1474"/>
    </row>
    <row r="172">
      <c r="A172" s="1452"/>
      <c r="B172" s="731"/>
      <c r="C172" s="731"/>
      <c r="D172" s="1118"/>
      <c r="E172" s="1450"/>
      <c r="F172" s="1451"/>
      <c r="G172" s="1474"/>
    </row>
    <row r="173">
      <c r="A173" s="1452"/>
      <c r="B173" s="731"/>
      <c r="C173" s="731"/>
      <c r="D173" s="1118"/>
      <c r="E173" s="1450"/>
      <c r="F173" s="1451"/>
      <c r="G173" s="1474"/>
    </row>
    <row r="174">
      <c r="A174" s="1452"/>
      <c r="B174" s="731"/>
      <c r="C174" s="731"/>
      <c r="D174" s="1118"/>
      <c r="E174" s="1450"/>
      <c r="F174" s="1451"/>
      <c r="G174" s="1474"/>
    </row>
    <row r="175">
      <c r="A175" s="1452"/>
      <c r="B175" s="731"/>
      <c r="C175" s="731"/>
      <c r="D175" s="1118"/>
      <c r="E175" s="1450"/>
      <c r="F175" s="1451"/>
      <c r="G175" s="1474"/>
    </row>
    <row r="176">
      <c r="A176" s="1477"/>
      <c r="E176" s="1478"/>
      <c r="F176" s="1479"/>
      <c r="G176" s="1478"/>
      <c r="H176" s="519"/>
      <c r="I176" s="519"/>
      <c r="J176" s="519"/>
      <c r="K176" s="519"/>
      <c r="L176" s="519"/>
      <c r="M176" s="519"/>
      <c r="N176" s="519"/>
      <c r="O176" s="519"/>
      <c r="P176" s="519"/>
      <c r="Q176" s="519"/>
      <c r="R176" s="519"/>
      <c r="S176" s="519"/>
      <c r="T176" s="519"/>
      <c r="U176" s="519"/>
      <c r="V176" s="519"/>
      <c r="W176" s="519"/>
      <c r="X176" s="519"/>
      <c r="Y176" s="519"/>
      <c r="Z176" s="519"/>
      <c r="AA176" s="519"/>
    </row>
    <row r="177">
      <c r="A177" s="1452"/>
      <c r="B177" s="731"/>
      <c r="C177" s="731"/>
      <c r="D177" s="1296"/>
      <c r="E177" s="1480"/>
      <c r="F177" s="1451"/>
      <c r="G177" s="1443"/>
    </row>
    <row r="178">
      <c r="A178" s="1452"/>
      <c r="B178" s="731"/>
      <c r="C178" s="731"/>
      <c r="D178" s="1296"/>
      <c r="E178" s="1480"/>
      <c r="F178" s="1451"/>
      <c r="G178" s="1443"/>
    </row>
    <row r="179">
      <c r="A179" s="1452"/>
      <c r="B179" s="731"/>
      <c r="C179" s="731"/>
      <c r="D179" s="1296"/>
      <c r="E179" s="1480"/>
      <c r="F179" s="1451"/>
      <c r="G179" s="1443"/>
    </row>
    <row r="180">
      <c r="A180" s="1452"/>
      <c r="B180" s="731"/>
      <c r="C180" s="731"/>
      <c r="D180" s="1296"/>
      <c r="E180" s="1480"/>
      <c r="F180" s="1451"/>
      <c r="G180" s="1443"/>
      <c r="I180" s="1481"/>
    </row>
    <row r="181">
      <c r="A181" s="1452"/>
      <c r="B181" s="731"/>
      <c r="C181" s="731"/>
      <c r="D181" s="1296"/>
      <c r="E181" s="1480"/>
      <c r="F181" s="1451"/>
      <c r="G181" s="1443"/>
    </row>
    <row r="182">
      <c r="A182" s="1452"/>
      <c r="B182" s="731"/>
      <c r="C182" s="731"/>
      <c r="D182" s="1296"/>
      <c r="E182" s="1480"/>
      <c r="F182" s="1451"/>
      <c r="G182" s="1443"/>
    </row>
    <row r="183">
      <c r="A183" s="1452"/>
      <c r="B183" s="731"/>
      <c r="C183" s="731"/>
      <c r="D183" s="1296"/>
      <c r="E183" s="1480"/>
      <c r="F183" s="1451"/>
      <c r="G183" s="1443"/>
    </row>
    <row r="184">
      <c r="A184" s="1452"/>
      <c r="B184" s="731"/>
      <c r="C184" s="731"/>
      <c r="D184" s="1296"/>
      <c r="E184" s="1480"/>
      <c r="F184" s="1451"/>
      <c r="G184" s="1443"/>
    </row>
    <row r="185">
      <c r="A185" s="1452"/>
      <c r="B185" s="731"/>
      <c r="C185" s="731"/>
      <c r="D185" s="1296"/>
      <c r="E185" s="1480"/>
      <c r="F185" s="1451"/>
      <c r="G185" s="1443"/>
    </row>
    <row r="186">
      <c r="A186" s="1452"/>
      <c r="B186" s="731"/>
      <c r="C186" s="731"/>
      <c r="D186" s="1296"/>
      <c r="E186" s="1480"/>
      <c r="F186" s="1451"/>
      <c r="G186" s="1443"/>
    </row>
    <row r="187">
      <c r="A187" s="1452"/>
      <c r="B187" s="731"/>
      <c r="C187" s="731"/>
      <c r="D187" s="1296"/>
      <c r="E187" s="1480"/>
      <c r="F187" s="1451"/>
      <c r="G187" s="1443"/>
    </row>
    <row r="188">
      <c r="A188" s="1452"/>
      <c r="B188" s="731"/>
      <c r="C188" s="731"/>
      <c r="D188" s="1296"/>
      <c r="E188" s="1480"/>
      <c r="F188" s="1451"/>
      <c r="G188" s="1443"/>
    </row>
    <row r="189">
      <c r="A189" s="1452"/>
      <c r="B189" s="1296"/>
      <c r="C189" s="1296"/>
      <c r="D189" s="1118"/>
      <c r="E189" s="1450"/>
      <c r="F189" s="1451"/>
      <c r="G189" s="1443"/>
    </row>
    <row r="190">
      <c r="A190" s="1452"/>
      <c r="B190" s="1296"/>
      <c r="C190" s="1296"/>
      <c r="D190" s="1118"/>
      <c r="E190" s="1450"/>
      <c r="F190" s="1451"/>
      <c r="G190" s="1443"/>
    </row>
    <row r="191">
      <c r="A191" s="1452"/>
      <c r="B191" s="731"/>
      <c r="C191" s="731"/>
      <c r="D191" s="1118"/>
      <c r="E191" s="1450"/>
      <c r="F191" s="1451"/>
      <c r="G191" s="1443"/>
    </row>
    <row r="192">
      <c r="A192" s="1452"/>
      <c r="B192" s="731"/>
      <c r="C192" s="731"/>
      <c r="D192" s="1118"/>
      <c r="E192" s="1450"/>
      <c r="F192" s="1451"/>
      <c r="G192" s="1443"/>
    </row>
    <row r="193">
      <c r="A193" s="1452"/>
      <c r="B193" s="731"/>
      <c r="C193" s="731"/>
      <c r="D193" s="1118"/>
      <c r="E193" s="1450"/>
      <c r="F193" s="1451"/>
      <c r="G193" s="1474"/>
    </row>
    <row r="194">
      <c r="A194" s="1468"/>
      <c r="B194" s="1468"/>
      <c r="C194" s="1468"/>
      <c r="D194" s="1468"/>
      <c r="E194" s="1456"/>
      <c r="F194" s="1457"/>
      <c r="G194" s="1456"/>
    </row>
    <row r="195">
      <c r="A195" s="1468"/>
      <c r="B195" s="1468"/>
      <c r="C195" s="1468"/>
      <c r="D195" s="1468"/>
      <c r="E195" s="1456"/>
      <c r="F195" s="1457"/>
      <c r="G195" s="1456"/>
    </row>
    <row r="196">
      <c r="A196" s="1468"/>
      <c r="B196" s="1468"/>
      <c r="C196" s="1468"/>
      <c r="D196" s="1468"/>
      <c r="E196" s="1456"/>
      <c r="F196" s="1457"/>
      <c r="G196" s="1456"/>
    </row>
    <row r="197">
      <c r="A197" s="1468"/>
      <c r="E197" s="1456"/>
      <c r="F197" s="1457"/>
      <c r="G197" s="1456"/>
    </row>
    <row r="198">
      <c r="A198" s="1454"/>
      <c r="B198" s="731"/>
      <c r="C198" s="731"/>
      <c r="D198" s="1118"/>
      <c r="E198" s="1450"/>
      <c r="F198" s="1451"/>
      <c r="G198" s="437"/>
    </row>
    <row r="199">
      <c r="A199" s="1482"/>
      <c r="B199" s="731"/>
      <c r="C199" s="731"/>
      <c r="D199" s="1118"/>
      <c r="E199" s="1450"/>
      <c r="F199" s="1451"/>
      <c r="G199" s="437"/>
    </row>
    <row r="200">
      <c r="A200" s="1454"/>
      <c r="B200" s="731"/>
      <c r="C200" s="731"/>
      <c r="D200" s="1118"/>
      <c r="E200" s="1450"/>
      <c r="F200" s="1451"/>
      <c r="G200" s="437"/>
    </row>
    <row r="201">
      <c r="A201" s="1454"/>
      <c r="B201" s="731"/>
      <c r="C201" s="731"/>
      <c r="D201" s="1118"/>
      <c r="E201" s="1450"/>
      <c r="F201" s="1451"/>
      <c r="G201" s="437"/>
    </row>
    <row r="202">
      <c r="A202" s="1454"/>
      <c r="B202" s="731"/>
      <c r="C202" s="731"/>
      <c r="D202" s="1118"/>
      <c r="E202" s="1450"/>
      <c r="F202" s="1451"/>
      <c r="G202" s="437"/>
    </row>
    <row r="203">
      <c r="A203" s="1454"/>
      <c r="B203" s="731"/>
      <c r="C203" s="731"/>
      <c r="D203" s="1118"/>
      <c r="E203" s="1450"/>
      <c r="F203" s="1451"/>
      <c r="G203" s="437"/>
    </row>
    <row r="204">
      <c r="A204" s="1454"/>
      <c r="B204" s="731"/>
      <c r="C204" s="731"/>
      <c r="D204" s="1118"/>
      <c r="E204" s="1450"/>
      <c r="F204" s="1451"/>
      <c r="G204" s="437"/>
    </row>
    <row r="205">
      <c r="A205" s="1454"/>
      <c r="B205" s="731"/>
      <c r="C205" s="731"/>
      <c r="D205" s="1118"/>
      <c r="E205" s="1450"/>
      <c r="F205" s="1451"/>
      <c r="G205" s="437"/>
    </row>
    <row r="206">
      <c r="A206" s="1454"/>
      <c r="B206" s="731"/>
      <c r="C206" s="731"/>
      <c r="D206" s="1118"/>
      <c r="E206" s="1450"/>
      <c r="F206" s="1451"/>
      <c r="G206" s="437"/>
    </row>
    <row r="207">
      <c r="A207" s="1454"/>
      <c r="B207" s="731"/>
      <c r="C207" s="731"/>
      <c r="D207" s="1118"/>
      <c r="E207" s="1450"/>
      <c r="F207" s="1451"/>
      <c r="G207" s="437"/>
    </row>
    <row r="208">
      <c r="A208" s="1454"/>
      <c r="B208" s="731"/>
      <c r="C208" s="731"/>
      <c r="D208" s="1365"/>
      <c r="E208" s="1450"/>
      <c r="F208" s="1451"/>
      <c r="G208" s="1450"/>
    </row>
    <row r="209">
      <c r="A209" s="1483"/>
      <c r="B209" s="731"/>
      <c r="C209" s="731"/>
      <c r="D209" s="1484"/>
      <c r="E209" s="1485"/>
      <c r="F209" s="1451"/>
      <c r="G209" s="1456"/>
      <c r="I209" s="1486"/>
      <c r="J209" s="519"/>
      <c r="K209" s="519"/>
      <c r="L209" s="519"/>
      <c r="M209" s="519"/>
    </row>
    <row r="210">
      <c r="A210" s="1487"/>
      <c r="B210" s="731"/>
      <c r="C210" s="731"/>
      <c r="D210" s="1449"/>
      <c r="E210" s="1450"/>
      <c r="F210" s="1451"/>
      <c r="G210" s="437"/>
    </row>
    <row r="211" ht="15.75" customHeight="1">
      <c r="A211" s="1454"/>
      <c r="B211" s="731"/>
      <c r="C211" s="731"/>
      <c r="D211" s="1118"/>
      <c r="E211" s="1450"/>
      <c r="F211" s="1451"/>
      <c r="G211" s="437"/>
    </row>
    <row r="212">
      <c r="A212" s="1468"/>
      <c r="E212" s="1456"/>
      <c r="F212" s="1457"/>
      <c r="G212" s="1456"/>
    </row>
    <row r="213">
      <c r="A213" s="1487"/>
      <c r="B213" s="731"/>
      <c r="C213" s="731"/>
      <c r="D213" s="1449"/>
      <c r="E213" s="1450"/>
      <c r="F213" s="1451"/>
      <c r="G213" s="731"/>
    </row>
    <row r="214">
      <c r="A214" s="1483"/>
      <c r="B214" s="731"/>
      <c r="C214" s="731"/>
      <c r="D214" s="1484"/>
      <c r="E214" s="1485"/>
      <c r="F214" s="1451"/>
      <c r="G214" s="1456"/>
    </row>
    <row r="215">
      <c r="A215" s="1454"/>
      <c r="B215" s="731"/>
      <c r="C215" s="731"/>
      <c r="D215" s="1118"/>
      <c r="E215" s="1450"/>
      <c r="F215" s="1451"/>
      <c r="G215" s="731"/>
    </row>
    <row r="216">
      <c r="A216" s="1488"/>
      <c r="B216" s="731"/>
      <c r="C216" s="731"/>
      <c r="D216" s="1118"/>
      <c r="E216" s="1450"/>
      <c r="F216" s="1451"/>
      <c r="G216" s="731"/>
    </row>
    <row r="217">
      <c r="A217" s="1482"/>
      <c r="B217" s="731"/>
      <c r="C217" s="731"/>
      <c r="D217" s="1118"/>
      <c r="E217" s="1450"/>
      <c r="F217" s="1451"/>
      <c r="G217" s="731"/>
    </row>
    <row r="218">
      <c r="A218" s="1454"/>
      <c r="B218" s="731"/>
      <c r="C218" s="731"/>
      <c r="D218" s="1118"/>
      <c r="E218" s="1450"/>
      <c r="F218" s="1451"/>
      <c r="G218" s="731"/>
    </row>
    <row r="219">
      <c r="A219" s="1452"/>
      <c r="B219" s="1365"/>
      <c r="C219" s="1365"/>
      <c r="D219" s="1449"/>
      <c r="E219" s="1450"/>
      <c r="F219" s="1451"/>
      <c r="G219" s="1365"/>
      <c r="H219" s="544"/>
      <c r="I219" s="544"/>
      <c r="J219" s="544"/>
      <c r="K219" s="544"/>
      <c r="L219" s="544"/>
      <c r="M219" s="544"/>
      <c r="N219" s="544"/>
      <c r="O219" s="544"/>
      <c r="P219" s="544"/>
      <c r="Q219" s="544"/>
      <c r="R219" s="544"/>
      <c r="S219" s="544"/>
      <c r="T219" s="544"/>
      <c r="U219" s="544"/>
      <c r="V219" s="544"/>
      <c r="W219" s="544"/>
      <c r="X219" s="544"/>
      <c r="Y219" s="544"/>
      <c r="Z219" s="544"/>
      <c r="AA219" s="544"/>
    </row>
    <row r="220">
      <c r="A220" s="1454"/>
      <c r="B220" s="731"/>
      <c r="C220" s="731"/>
      <c r="D220" s="1118"/>
      <c r="E220" s="1450"/>
      <c r="F220" s="1451"/>
      <c r="G220" s="731"/>
    </row>
    <row r="221">
      <c r="A221" s="1454"/>
      <c r="B221" s="731"/>
      <c r="C221" s="731"/>
      <c r="D221" s="1118"/>
      <c r="E221" s="1450"/>
      <c r="F221" s="1451"/>
      <c r="G221" s="731"/>
    </row>
    <row r="222">
      <c r="A222" s="1454"/>
      <c r="B222" s="731"/>
      <c r="C222" s="731"/>
      <c r="D222" s="1118"/>
      <c r="E222" s="1450"/>
      <c r="F222" s="1451"/>
      <c r="G222" s="731"/>
    </row>
    <row r="223">
      <c r="A223" s="1454"/>
      <c r="B223" s="731"/>
      <c r="C223" s="731"/>
      <c r="D223" s="1118"/>
      <c r="E223" s="1450"/>
      <c r="F223" s="1451"/>
      <c r="G223" s="731"/>
    </row>
    <row r="224">
      <c r="A224" s="1454"/>
      <c r="B224" s="731"/>
      <c r="C224" s="731"/>
      <c r="D224" s="1118"/>
      <c r="E224" s="1450"/>
      <c r="F224" s="1451"/>
      <c r="G224" s="731"/>
    </row>
    <row r="225">
      <c r="A225" s="1454"/>
      <c r="B225" s="731"/>
      <c r="C225" s="731"/>
      <c r="D225" s="1118"/>
      <c r="E225" s="1450"/>
      <c r="F225" s="1451"/>
      <c r="G225" s="731"/>
    </row>
    <row r="226">
      <c r="A226" s="1454"/>
      <c r="B226" s="731"/>
      <c r="C226" s="731"/>
      <c r="D226" s="1118"/>
      <c r="E226" s="1453"/>
      <c r="F226" s="1451"/>
      <c r="G226" s="731"/>
    </row>
    <row r="227">
      <c r="A227" s="1454"/>
      <c r="B227" s="731"/>
      <c r="C227" s="731"/>
      <c r="D227" s="1118"/>
      <c r="E227" s="1453"/>
      <c r="F227" s="1451"/>
      <c r="G227" s="731"/>
    </row>
    <row r="228">
      <c r="A228" s="1454"/>
      <c r="B228" s="731"/>
      <c r="C228" s="731"/>
      <c r="D228" s="1118"/>
      <c r="E228" s="1453"/>
      <c r="F228" s="1451"/>
      <c r="G228" s="731"/>
    </row>
    <row r="229">
      <c r="A229" s="1454"/>
      <c r="B229" s="731"/>
      <c r="C229" s="731"/>
      <c r="D229" s="1118"/>
      <c r="E229" s="1453"/>
      <c r="F229" s="1451"/>
      <c r="G229" s="731"/>
    </row>
    <row r="230">
      <c r="A230" s="1454"/>
      <c r="B230" s="731"/>
      <c r="C230" s="731"/>
      <c r="D230" s="1118"/>
      <c r="E230" s="1453"/>
      <c r="F230" s="1451"/>
      <c r="G230" s="731"/>
    </row>
    <row r="231">
      <c r="A231" s="1454"/>
      <c r="B231" s="731"/>
      <c r="C231" s="731"/>
      <c r="D231" s="1118"/>
      <c r="E231" s="1453"/>
      <c r="F231" s="1451"/>
      <c r="G231" s="731"/>
    </row>
    <row r="232">
      <c r="A232" s="1454"/>
      <c r="B232" s="731"/>
      <c r="C232" s="731"/>
      <c r="D232" s="1118"/>
      <c r="E232" s="731"/>
      <c r="F232" s="1451"/>
      <c r="G232" s="731"/>
    </row>
    <row r="233">
      <c r="A233" s="1468"/>
      <c r="B233" s="1468"/>
      <c r="C233" s="1468"/>
      <c r="D233" s="1468"/>
      <c r="E233" s="1489"/>
      <c r="F233" s="1457"/>
      <c r="G233" s="1456"/>
    </row>
    <row r="234">
      <c r="A234" s="1468"/>
      <c r="E234" s="1489"/>
      <c r="F234" s="1457"/>
      <c r="G234" s="1456"/>
    </row>
    <row r="235">
      <c r="A235" s="1454"/>
      <c r="B235" s="731"/>
      <c r="C235" s="731"/>
      <c r="D235" s="1118"/>
      <c r="E235" s="1450"/>
      <c r="F235" s="1451"/>
      <c r="G235" s="731"/>
    </row>
    <row r="236">
      <c r="A236" s="1454"/>
      <c r="B236" s="731"/>
      <c r="C236" s="731"/>
      <c r="D236" s="1118"/>
      <c r="E236" s="1450"/>
      <c r="F236" s="1451"/>
      <c r="G236" s="731"/>
    </row>
    <row r="237">
      <c r="A237" s="1454"/>
      <c r="B237" s="731"/>
      <c r="C237" s="731"/>
      <c r="D237" s="1118"/>
      <c r="E237" s="1450"/>
      <c r="F237" s="1451"/>
      <c r="G237" s="731"/>
    </row>
    <row r="238">
      <c r="A238" s="1454"/>
      <c r="B238" s="731"/>
      <c r="C238" s="731"/>
      <c r="D238" s="1118"/>
      <c r="E238" s="1450"/>
      <c r="F238" s="1451"/>
      <c r="G238" s="731"/>
    </row>
    <row r="239">
      <c r="A239" s="1454"/>
      <c r="B239" s="731"/>
      <c r="C239" s="731"/>
      <c r="D239" s="1118"/>
      <c r="E239" s="1450"/>
      <c r="F239" s="1451"/>
      <c r="G239" s="731"/>
    </row>
    <row r="240">
      <c r="A240" s="1454"/>
      <c r="B240" s="731"/>
      <c r="C240" s="731"/>
      <c r="D240" s="1118"/>
      <c r="E240" s="1450"/>
      <c r="F240" s="1451"/>
      <c r="G240" s="731"/>
    </row>
    <row r="241">
      <c r="A241" s="1454"/>
      <c r="B241" s="731"/>
      <c r="C241" s="731"/>
      <c r="D241" s="1118"/>
      <c r="E241" s="1450"/>
      <c r="F241" s="1451"/>
      <c r="G241" s="731"/>
    </row>
    <row r="242">
      <c r="A242" s="1454"/>
      <c r="B242" s="731"/>
      <c r="C242" s="731"/>
      <c r="D242" s="1118"/>
      <c r="E242" s="1450"/>
      <c r="F242" s="1451"/>
      <c r="G242" s="731"/>
    </row>
    <row r="243">
      <c r="A243" s="1454"/>
      <c r="B243" s="731"/>
      <c r="C243" s="731"/>
      <c r="D243" s="1118"/>
      <c r="E243" s="1450"/>
      <c r="F243" s="1451"/>
      <c r="G243" s="731"/>
      <c r="H243" s="548"/>
      <c r="I243" s="548"/>
      <c r="J243" s="548"/>
      <c r="K243" s="548"/>
      <c r="L243" s="548"/>
      <c r="M243" s="548"/>
      <c r="N243" s="548"/>
      <c r="O243" s="548"/>
      <c r="P243" s="548"/>
      <c r="Q243" s="548"/>
      <c r="R243" s="548"/>
      <c r="S243" s="548"/>
      <c r="T243" s="548"/>
      <c r="U243" s="548"/>
      <c r="V243" s="548"/>
      <c r="W243" s="548"/>
      <c r="X243" s="548"/>
      <c r="Y243" s="548"/>
      <c r="Z243" s="548"/>
      <c r="AA243" s="548"/>
    </row>
    <row r="244">
      <c r="A244" s="1454"/>
      <c r="B244" s="731"/>
      <c r="C244" s="731"/>
      <c r="D244" s="1118"/>
      <c r="E244" s="1450"/>
      <c r="F244" s="1451"/>
      <c r="G244" s="731"/>
    </row>
    <row r="245">
      <c r="A245" s="1454"/>
      <c r="B245" s="731"/>
      <c r="C245" s="731"/>
      <c r="D245" s="1118"/>
      <c r="E245" s="1450"/>
      <c r="F245" s="1451"/>
      <c r="G245" s="731"/>
      <c r="H245" s="548"/>
      <c r="I245" s="548"/>
      <c r="J245" s="548"/>
      <c r="K245" s="548"/>
      <c r="L245" s="548"/>
      <c r="M245" s="548"/>
      <c r="N245" s="548"/>
      <c r="O245" s="548"/>
      <c r="P245" s="548"/>
      <c r="Q245" s="548"/>
      <c r="R245" s="548"/>
      <c r="S245" s="548"/>
      <c r="T245" s="548"/>
      <c r="U245" s="548"/>
      <c r="V245" s="548"/>
      <c r="W245" s="548"/>
      <c r="X245" s="548"/>
      <c r="Y245" s="548"/>
      <c r="Z245" s="548"/>
      <c r="AA245" s="548"/>
    </row>
    <row r="246">
      <c r="A246" s="1454"/>
      <c r="B246" s="731"/>
      <c r="C246" s="731"/>
      <c r="D246" s="1118"/>
      <c r="E246" s="1450"/>
      <c r="F246" s="1451"/>
      <c r="G246" s="731"/>
    </row>
    <row r="247">
      <c r="A247" s="1454"/>
      <c r="B247" s="731"/>
      <c r="C247" s="731"/>
      <c r="D247" s="1118"/>
      <c r="E247" s="1450"/>
      <c r="F247" s="1451"/>
      <c r="G247" s="731"/>
      <c r="H247" s="548"/>
      <c r="I247" s="548"/>
      <c r="J247" s="548"/>
      <c r="K247" s="548"/>
      <c r="L247" s="548"/>
      <c r="M247" s="548"/>
      <c r="N247" s="548"/>
      <c r="O247" s="548"/>
      <c r="P247" s="548"/>
      <c r="Q247" s="548"/>
      <c r="R247" s="548"/>
      <c r="S247" s="548"/>
      <c r="T247" s="548"/>
      <c r="U247" s="548"/>
      <c r="V247" s="548"/>
      <c r="W247" s="548"/>
      <c r="X247" s="548"/>
      <c r="Y247" s="548"/>
      <c r="Z247" s="548"/>
      <c r="AA247" s="548"/>
    </row>
    <row r="248">
      <c r="A248" s="1454"/>
      <c r="B248" s="731"/>
      <c r="C248" s="731"/>
      <c r="D248" s="1118"/>
      <c r="E248" s="1450"/>
      <c r="F248" s="1451"/>
      <c r="G248" s="731"/>
    </row>
    <row r="249">
      <c r="A249" s="1454"/>
      <c r="B249" s="731"/>
      <c r="C249" s="731"/>
      <c r="D249" s="1118"/>
      <c r="E249" s="1450"/>
      <c r="F249" s="1451"/>
      <c r="G249" s="731"/>
    </row>
    <row r="250">
      <c r="A250" s="1454"/>
      <c r="B250" s="731"/>
      <c r="C250" s="731"/>
      <c r="D250" s="1118"/>
      <c r="E250" s="1450"/>
      <c r="F250" s="1451"/>
      <c r="G250" s="731"/>
      <c r="H250" s="548"/>
      <c r="I250" s="548"/>
      <c r="J250" s="548"/>
      <c r="K250" s="548"/>
      <c r="L250" s="548"/>
      <c r="M250" s="548"/>
      <c r="N250" s="548"/>
      <c r="O250" s="548"/>
      <c r="P250" s="548"/>
      <c r="Q250" s="548"/>
      <c r="R250" s="548"/>
      <c r="S250" s="548"/>
      <c r="T250" s="548"/>
      <c r="U250" s="548"/>
      <c r="V250" s="548"/>
      <c r="W250" s="548"/>
      <c r="X250" s="548"/>
      <c r="Y250" s="548"/>
      <c r="Z250" s="548"/>
      <c r="AA250" s="548"/>
    </row>
    <row r="251">
      <c r="A251" s="1454"/>
      <c r="B251" s="731"/>
      <c r="C251" s="731"/>
      <c r="D251" s="1118"/>
      <c r="E251" s="1450"/>
      <c r="F251" s="1451"/>
      <c r="G251" s="731"/>
      <c r="H251" s="548"/>
      <c r="I251" s="548"/>
      <c r="J251" s="548"/>
      <c r="K251" s="548"/>
      <c r="L251" s="548"/>
      <c r="M251" s="548"/>
      <c r="N251" s="548"/>
      <c r="O251" s="548"/>
      <c r="P251" s="548"/>
      <c r="Q251" s="548"/>
      <c r="R251" s="548"/>
      <c r="S251" s="548"/>
      <c r="T251" s="548"/>
      <c r="U251" s="548"/>
      <c r="V251" s="548"/>
      <c r="W251" s="548"/>
      <c r="X251" s="548"/>
      <c r="Y251" s="548"/>
      <c r="Z251" s="548"/>
      <c r="AA251" s="548"/>
    </row>
    <row r="252">
      <c r="A252" s="1454"/>
      <c r="B252" s="731"/>
      <c r="C252" s="731"/>
      <c r="D252" s="1118"/>
      <c r="E252" s="1450"/>
      <c r="F252" s="1451"/>
      <c r="G252" s="731"/>
      <c r="H252" s="548"/>
      <c r="I252" s="548"/>
      <c r="J252" s="548"/>
      <c r="K252" s="548"/>
      <c r="L252" s="548"/>
      <c r="M252" s="548"/>
      <c r="N252" s="548"/>
      <c r="O252" s="548"/>
      <c r="P252" s="548"/>
      <c r="Q252" s="548"/>
      <c r="R252" s="548"/>
      <c r="S252" s="548"/>
      <c r="T252" s="548"/>
      <c r="U252" s="548"/>
      <c r="V252" s="548"/>
      <c r="W252" s="548"/>
      <c r="X252" s="548"/>
      <c r="Y252" s="548"/>
      <c r="Z252" s="548"/>
      <c r="AA252" s="548"/>
    </row>
    <row r="253">
      <c r="A253" s="1468"/>
      <c r="B253" s="1468"/>
      <c r="C253" s="1468"/>
      <c r="D253" s="1468"/>
      <c r="E253" s="1456"/>
      <c r="F253" s="1457"/>
      <c r="G253" s="1456"/>
    </row>
    <row r="254">
      <c r="A254" s="1468"/>
      <c r="E254" s="1456"/>
      <c r="F254" s="1457"/>
      <c r="G254" s="1456"/>
    </row>
    <row r="255" hidden="1">
      <c r="A255" s="1454"/>
      <c r="B255" s="731"/>
      <c r="C255" s="731"/>
      <c r="D255" s="1118"/>
      <c r="E255" s="1450"/>
      <c r="F255" s="1451"/>
      <c r="G255" s="437"/>
    </row>
    <row r="256" hidden="1">
      <c r="A256" s="1454"/>
      <c r="B256" s="731"/>
      <c r="C256" s="731"/>
      <c r="D256" s="1118"/>
      <c r="E256" s="1450"/>
      <c r="F256" s="1451"/>
      <c r="G256" s="437"/>
    </row>
    <row r="257" hidden="1">
      <c r="A257" s="1454"/>
      <c r="B257" s="731"/>
      <c r="C257" s="731"/>
      <c r="D257" s="1118"/>
      <c r="E257" s="1450"/>
      <c r="F257" s="1451"/>
      <c r="G257" s="437"/>
    </row>
    <row r="258" hidden="1">
      <c r="A258" s="1454"/>
      <c r="B258" s="731"/>
      <c r="C258" s="731"/>
      <c r="D258" s="1118"/>
      <c r="E258" s="1450"/>
      <c r="F258" s="1451"/>
      <c r="G258" s="437"/>
    </row>
    <row r="259" hidden="1">
      <c r="A259" s="1454"/>
      <c r="B259" s="731"/>
      <c r="C259" s="731"/>
      <c r="D259" s="1118"/>
      <c r="E259" s="1450"/>
      <c r="F259" s="1451"/>
      <c r="G259" s="437"/>
    </row>
    <row r="260" hidden="1">
      <c r="A260" s="1454"/>
      <c r="B260" s="731"/>
      <c r="C260" s="731"/>
      <c r="D260" s="1118"/>
      <c r="E260" s="1450"/>
      <c r="F260" s="1451"/>
      <c r="G260" s="437"/>
    </row>
    <row r="261" hidden="1">
      <c r="A261" s="1454"/>
      <c r="B261" s="731"/>
      <c r="C261" s="731"/>
      <c r="D261" s="1118"/>
      <c r="E261" s="1450"/>
      <c r="F261" s="1451"/>
      <c r="G261" s="437"/>
    </row>
    <row r="262" hidden="1">
      <c r="A262" s="1454"/>
      <c r="B262" s="731"/>
      <c r="C262" s="731"/>
      <c r="D262" s="1118"/>
      <c r="E262" s="1453"/>
      <c r="F262" s="1451"/>
      <c r="G262" s="437"/>
      <c r="H262" s="1175"/>
      <c r="I262" s="591"/>
      <c r="J262" s="591"/>
      <c r="K262" s="591"/>
      <c r="L262" s="591"/>
      <c r="M262" s="591"/>
      <c r="N262" s="591"/>
      <c r="O262" s="591"/>
      <c r="P262" s="591"/>
      <c r="Q262" s="591"/>
      <c r="R262" s="591"/>
      <c r="S262" s="591"/>
      <c r="T262" s="591"/>
      <c r="U262" s="591"/>
      <c r="V262" s="591"/>
      <c r="W262" s="591"/>
      <c r="X262" s="591"/>
      <c r="Y262" s="591"/>
      <c r="Z262" s="591"/>
      <c r="AA262" s="591"/>
    </row>
    <row r="263" hidden="1">
      <c r="A263" s="1454"/>
      <c r="B263" s="731"/>
      <c r="C263" s="731"/>
      <c r="D263" s="1118"/>
      <c r="E263" s="1453"/>
      <c r="F263" s="1451"/>
      <c r="G263" s="437"/>
    </row>
    <row r="264" hidden="1">
      <c r="A264" s="1454"/>
      <c r="B264" s="731"/>
      <c r="C264" s="731"/>
      <c r="D264" s="1118"/>
      <c r="E264" s="1453"/>
      <c r="F264" s="1451"/>
      <c r="G264" s="437"/>
    </row>
    <row r="265" hidden="1">
      <c r="A265" s="1454"/>
      <c r="B265" s="731"/>
      <c r="C265" s="731"/>
      <c r="D265" s="1118"/>
      <c r="E265" s="1453"/>
      <c r="F265" s="1451"/>
      <c r="G265" s="437"/>
    </row>
    <row r="266" hidden="1">
      <c r="A266" s="1454"/>
      <c r="B266" s="731"/>
      <c r="C266" s="731"/>
      <c r="D266" s="1238"/>
      <c r="E266" s="1453"/>
      <c r="F266" s="1451"/>
      <c r="G266" s="437"/>
    </row>
    <row r="267" hidden="1">
      <c r="A267" s="1454"/>
      <c r="B267" s="731"/>
      <c r="C267" s="731"/>
      <c r="D267" s="1238"/>
      <c r="E267" s="1453"/>
      <c r="F267" s="1451"/>
      <c r="G267" s="437"/>
    </row>
    <row r="268" hidden="1">
      <c r="A268" s="1454"/>
      <c r="B268" s="731"/>
      <c r="C268" s="731"/>
      <c r="D268" s="1238"/>
      <c r="E268" s="1453"/>
      <c r="F268" s="1451"/>
      <c r="G268" s="437"/>
    </row>
    <row r="269" hidden="1">
      <c r="A269" s="1454"/>
      <c r="B269" s="731"/>
      <c r="C269" s="731"/>
      <c r="D269" s="1238"/>
      <c r="E269" s="1453"/>
      <c r="F269" s="1451"/>
      <c r="G269" s="437"/>
    </row>
    <row r="270">
      <c r="A270" s="1454"/>
      <c r="B270" s="731"/>
      <c r="C270" s="731"/>
      <c r="D270" s="1118"/>
      <c r="E270" s="1453"/>
      <c r="F270" s="1451"/>
      <c r="G270" s="437"/>
    </row>
    <row r="271">
      <c r="A271" s="1454"/>
      <c r="B271" s="731"/>
      <c r="C271" s="731"/>
      <c r="D271" s="1118"/>
      <c r="E271" s="1453"/>
      <c r="F271" s="1451"/>
      <c r="G271" s="437"/>
    </row>
    <row r="272">
      <c r="A272" s="1454"/>
      <c r="B272" s="731"/>
      <c r="C272" s="731"/>
      <c r="D272" s="1118"/>
      <c r="E272" s="1453"/>
      <c r="F272" s="1451"/>
      <c r="G272" s="437"/>
    </row>
    <row r="273" hidden="1">
      <c r="A273" s="1454"/>
      <c r="B273" s="731"/>
      <c r="C273" s="731"/>
      <c r="D273" s="1118"/>
      <c r="E273" s="437"/>
      <c r="F273" s="1451"/>
      <c r="G273" s="437"/>
    </row>
    <row r="274">
      <c r="A274" s="1454"/>
      <c r="B274" s="731"/>
      <c r="C274" s="731"/>
      <c r="D274" s="1118"/>
      <c r="E274" s="1453"/>
      <c r="F274" s="1451"/>
      <c r="G274" s="437"/>
    </row>
    <row r="275">
      <c r="A275" s="1454"/>
      <c r="B275" s="731"/>
      <c r="C275" s="731"/>
      <c r="D275" s="1118"/>
      <c r="E275" s="1453"/>
      <c r="F275" s="1451"/>
      <c r="G275" s="437"/>
    </row>
    <row r="276">
      <c r="A276" s="1454"/>
      <c r="B276" s="731"/>
      <c r="C276" s="731"/>
      <c r="D276" s="455"/>
      <c r="E276" s="437"/>
      <c r="F276" s="734"/>
      <c r="G276" s="437"/>
    </row>
    <row r="277">
      <c r="A277" s="1490"/>
      <c r="B277" s="731"/>
      <c r="C277" s="731"/>
      <c r="D277" s="455"/>
      <c r="E277" s="437"/>
      <c r="F277" s="734"/>
      <c r="G277" s="437"/>
    </row>
    <row r="278">
      <c r="A278" s="1490"/>
      <c r="B278" s="731"/>
      <c r="C278" s="731"/>
      <c r="D278" s="455"/>
      <c r="E278" s="437"/>
      <c r="F278" s="734"/>
      <c r="G278" s="437"/>
    </row>
    <row r="279">
      <c r="A279" s="1490"/>
      <c r="B279" s="731"/>
      <c r="C279" s="731"/>
      <c r="D279" s="455"/>
      <c r="E279" s="437"/>
      <c r="F279" s="734"/>
      <c r="G279" s="437"/>
    </row>
    <row r="280">
      <c r="A280" s="1490"/>
      <c r="B280" s="731"/>
      <c r="C280" s="731"/>
      <c r="D280" s="455"/>
      <c r="E280" s="437"/>
      <c r="F280" s="734"/>
      <c r="G280" s="437"/>
    </row>
    <row r="281">
      <c r="A281" s="1468"/>
      <c r="E281" s="1456"/>
      <c r="F281" s="1457"/>
      <c r="G281" s="1456"/>
    </row>
    <row r="282">
      <c r="A282" s="1454"/>
      <c r="B282" s="731"/>
      <c r="C282" s="731"/>
      <c r="D282" s="1118"/>
      <c r="E282" s="1453"/>
      <c r="F282" s="1238"/>
      <c r="G282" s="731"/>
      <c r="H282" s="1491"/>
      <c r="I282" s="520"/>
      <c r="J282" s="520"/>
      <c r="K282" s="520"/>
      <c r="L282" s="520"/>
      <c r="M282" s="520"/>
      <c r="N282" s="520"/>
      <c r="O282" s="520"/>
      <c r="P282" s="520"/>
      <c r="Q282" s="520"/>
      <c r="R282" s="520"/>
      <c r="S282" s="520"/>
      <c r="T282" s="520"/>
      <c r="U282" s="520"/>
      <c r="V282" s="520"/>
      <c r="W282" s="520"/>
      <c r="X282" s="520"/>
      <c r="Y282" s="520"/>
      <c r="Z282" s="520"/>
      <c r="AA282" s="520"/>
    </row>
    <row r="283">
      <c r="A283" s="1454"/>
      <c r="B283" s="731"/>
      <c r="C283" s="731"/>
      <c r="D283" s="1118"/>
      <c r="E283" s="1453"/>
      <c r="F283" s="1238"/>
      <c r="G283" s="731"/>
      <c r="H283" s="1491"/>
      <c r="I283" s="520"/>
      <c r="J283" s="520"/>
      <c r="K283" s="520"/>
      <c r="L283" s="520"/>
      <c r="M283" s="520"/>
      <c r="N283" s="520"/>
      <c r="O283" s="520"/>
      <c r="P283" s="520"/>
      <c r="Q283" s="520"/>
      <c r="R283" s="520"/>
      <c r="S283" s="520"/>
      <c r="T283" s="520"/>
      <c r="U283" s="520"/>
      <c r="V283" s="520"/>
      <c r="W283" s="520"/>
      <c r="X283" s="520"/>
      <c r="Y283" s="520"/>
      <c r="Z283" s="520"/>
      <c r="AA283" s="520"/>
    </row>
    <row r="284">
      <c r="A284" s="1454"/>
      <c r="B284" s="731"/>
      <c r="C284" s="731"/>
      <c r="D284" s="1118"/>
      <c r="E284" s="731"/>
      <c r="F284" s="1238"/>
      <c r="G284" s="731"/>
      <c r="H284" s="1491"/>
      <c r="I284" s="520"/>
      <c r="J284" s="520"/>
      <c r="K284" s="520"/>
      <c r="L284" s="520"/>
      <c r="M284" s="520"/>
      <c r="N284" s="520"/>
      <c r="O284" s="520"/>
      <c r="P284" s="520"/>
      <c r="Q284" s="520"/>
      <c r="R284" s="520"/>
      <c r="S284" s="520"/>
      <c r="T284" s="520"/>
      <c r="U284" s="520"/>
      <c r="V284" s="520"/>
      <c r="W284" s="520"/>
      <c r="X284" s="520"/>
      <c r="Y284" s="520"/>
      <c r="Z284" s="520"/>
      <c r="AA284" s="520"/>
    </row>
    <row r="285">
      <c r="A285" s="1454"/>
      <c r="B285" s="731"/>
      <c r="C285" s="731"/>
      <c r="D285" s="1118"/>
      <c r="E285" s="731"/>
      <c r="F285" s="1238"/>
      <c r="G285" s="731"/>
      <c r="H285" s="1491"/>
      <c r="I285" s="520"/>
      <c r="J285" s="520"/>
      <c r="K285" s="520"/>
      <c r="L285" s="520"/>
      <c r="M285" s="520"/>
      <c r="N285" s="520"/>
      <c r="O285" s="520"/>
      <c r="P285" s="520"/>
      <c r="Q285" s="520"/>
      <c r="R285" s="520"/>
      <c r="S285" s="520"/>
      <c r="T285" s="520"/>
      <c r="U285" s="520"/>
      <c r="V285" s="520"/>
      <c r="W285" s="520"/>
      <c r="X285" s="520"/>
      <c r="Y285" s="520"/>
      <c r="Z285" s="520"/>
      <c r="AA285" s="520"/>
    </row>
    <row r="286">
      <c r="A286" s="1454"/>
      <c r="B286" s="731"/>
      <c r="C286" s="731"/>
      <c r="D286" s="1118"/>
      <c r="E286" s="731"/>
      <c r="F286" s="1238"/>
      <c r="G286" s="731"/>
      <c r="H286" s="1491"/>
      <c r="I286" s="520"/>
      <c r="J286" s="520"/>
      <c r="K286" s="520"/>
      <c r="L286" s="520"/>
      <c r="M286" s="520"/>
      <c r="N286" s="520"/>
      <c r="O286" s="520"/>
      <c r="P286" s="520"/>
      <c r="Q286" s="520"/>
      <c r="R286" s="520"/>
      <c r="S286" s="520"/>
      <c r="T286" s="520"/>
      <c r="U286" s="520"/>
      <c r="V286" s="520"/>
      <c r="W286" s="520"/>
      <c r="X286" s="520"/>
      <c r="Y286" s="520"/>
      <c r="Z286" s="520"/>
      <c r="AA286" s="520"/>
    </row>
    <row r="287">
      <c r="A287" s="1454"/>
      <c r="B287" s="731"/>
      <c r="C287" s="731"/>
      <c r="D287" s="1118"/>
      <c r="E287" s="731"/>
      <c r="F287" s="1238"/>
      <c r="G287" s="731"/>
      <c r="H287" s="1491"/>
      <c r="I287" s="520"/>
      <c r="J287" s="520"/>
      <c r="K287" s="520"/>
      <c r="L287" s="520"/>
      <c r="M287" s="520"/>
      <c r="N287" s="520"/>
      <c r="O287" s="520"/>
      <c r="P287" s="520"/>
      <c r="Q287" s="520"/>
      <c r="R287" s="520"/>
      <c r="S287" s="520"/>
      <c r="T287" s="520"/>
      <c r="U287" s="520"/>
      <c r="V287" s="520"/>
      <c r="W287" s="520"/>
      <c r="X287" s="520"/>
      <c r="Y287" s="520"/>
      <c r="Z287" s="520"/>
      <c r="AA287" s="520"/>
    </row>
    <row r="288">
      <c r="A288" s="1490"/>
      <c r="B288" s="731"/>
      <c r="C288" s="731"/>
      <c r="D288" s="455"/>
      <c r="E288" s="437"/>
      <c r="F288" s="734"/>
      <c r="G288" s="437"/>
      <c r="H288" s="1175"/>
      <c r="I288" s="591"/>
      <c r="J288" s="591"/>
      <c r="K288" s="591"/>
      <c r="L288" s="591"/>
      <c r="M288" s="591"/>
      <c r="N288" s="591"/>
      <c r="O288" s="591"/>
      <c r="P288" s="591"/>
      <c r="Q288" s="591"/>
      <c r="R288" s="591"/>
      <c r="S288" s="591"/>
      <c r="T288" s="591"/>
      <c r="U288" s="591"/>
      <c r="V288" s="591"/>
      <c r="W288" s="591"/>
      <c r="X288" s="591"/>
      <c r="Y288" s="591"/>
      <c r="Z288" s="591"/>
      <c r="AA288" s="591"/>
    </row>
    <row r="289">
      <c r="A289" s="1468"/>
      <c r="E289" s="1456"/>
      <c r="F289" s="1457"/>
      <c r="G289" s="1456"/>
    </row>
    <row r="290">
      <c r="A290" s="1490"/>
      <c r="B290" s="731"/>
      <c r="C290" s="731"/>
      <c r="D290" s="455"/>
      <c r="E290" s="437"/>
      <c r="F290" s="734"/>
      <c r="G290" s="437"/>
    </row>
    <row r="291">
      <c r="A291" s="1490"/>
      <c r="B291" s="731"/>
      <c r="C291" s="731"/>
      <c r="D291" s="455"/>
      <c r="E291" s="437"/>
      <c r="F291" s="734"/>
      <c r="G291" s="437"/>
    </row>
    <row r="292">
      <c r="A292" s="1490"/>
      <c r="B292" s="731"/>
      <c r="C292" s="731"/>
      <c r="D292" s="455"/>
      <c r="E292" s="437"/>
      <c r="F292" s="734"/>
      <c r="G292" s="437"/>
    </row>
    <row r="293">
      <c r="A293" s="1490"/>
      <c r="B293" s="731"/>
      <c r="C293" s="731"/>
      <c r="D293" s="455"/>
      <c r="E293" s="437"/>
      <c r="F293" s="734"/>
      <c r="G293" s="437"/>
    </row>
    <row r="294">
      <c r="A294" s="1490"/>
      <c r="B294" s="731"/>
      <c r="C294" s="731"/>
      <c r="D294" s="455"/>
      <c r="E294" s="437"/>
      <c r="F294" s="734"/>
      <c r="G294" s="437"/>
    </row>
    <row r="295">
      <c r="A295" s="1490"/>
      <c r="B295" s="731"/>
      <c r="C295" s="731"/>
      <c r="D295" s="455"/>
      <c r="E295" s="437"/>
      <c r="F295" s="734"/>
      <c r="G295" s="437"/>
    </row>
    <row r="296">
      <c r="A296" s="1490"/>
      <c r="B296" s="731"/>
      <c r="C296" s="731"/>
      <c r="D296" s="455"/>
      <c r="E296" s="437"/>
      <c r="F296" s="734"/>
      <c r="G296" s="437"/>
    </row>
    <row r="297">
      <c r="A297" s="1490"/>
      <c r="B297" s="731"/>
      <c r="C297" s="731"/>
      <c r="D297" s="455"/>
      <c r="E297" s="437"/>
      <c r="F297" s="734"/>
      <c r="G297" s="437"/>
    </row>
    <row r="298">
      <c r="A298" s="1468"/>
      <c r="E298" s="1456"/>
      <c r="F298" s="1457"/>
      <c r="G298" s="1456"/>
    </row>
    <row r="299">
      <c r="A299" s="1490"/>
      <c r="B299" s="731"/>
      <c r="C299" s="731"/>
      <c r="D299" s="455"/>
      <c r="E299" s="437"/>
      <c r="F299" s="734"/>
      <c r="G299" s="437"/>
    </row>
    <row r="300">
      <c r="A300" s="1490"/>
      <c r="B300" s="731"/>
      <c r="C300" s="731"/>
      <c r="D300" s="455"/>
      <c r="E300" s="437"/>
      <c r="F300" s="734"/>
      <c r="G300" s="437"/>
    </row>
    <row r="301">
      <c r="A301" s="1490"/>
      <c r="B301" s="731"/>
      <c r="C301" s="731"/>
      <c r="D301" s="455"/>
      <c r="E301" s="437"/>
      <c r="F301" s="734"/>
      <c r="G301" s="437"/>
    </row>
    <row r="302">
      <c r="A302" s="1490"/>
      <c r="B302" s="731"/>
      <c r="C302" s="731"/>
      <c r="D302" s="455"/>
      <c r="E302" s="437"/>
      <c r="F302" s="734"/>
      <c r="G302" s="437"/>
    </row>
    <row r="303">
      <c r="A303" s="1490"/>
      <c r="B303" s="731"/>
      <c r="C303" s="731"/>
      <c r="D303" s="455"/>
      <c r="E303" s="437"/>
      <c r="F303" s="734"/>
      <c r="G303" s="437"/>
    </row>
    <row r="304">
      <c r="A304" s="1490"/>
      <c r="B304" s="731"/>
      <c r="C304" s="731"/>
      <c r="D304" s="455"/>
      <c r="E304" s="437"/>
      <c r="F304" s="734"/>
      <c r="G304" s="437"/>
    </row>
    <row r="305">
      <c r="A305" s="1468"/>
      <c r="E305" s="1456"/>
      <c r="F305" s="1457"/>
      <c r="G305" s="1456"/>
    </row>
    <row r="306">
      <c r="A306" s="1490"/>
      <c r="B306" s="731"/>
      <c r="C306" s="731"/>
      <c r="D306" s="455"/>
      <c r="E306" s="437"/>
      <c r="F306" s="734"/>
      <c r="G306" s="437"/>
    </row>
    <row r="307">
      <c r="A307" s="1490"/>
      <c r="B307" s="731"/>
      <c r="C307" s="731"/>
      <c r="D307" s="455"/>
      <c r="E307" s="437"/>
      <c r="F307" s="734"/>
      <c r="G307" s="437"/>
    </row>
    <row r="308">
      <c r="A308" s="1490"/>
      <c r="B308" s="731"/>
      <c r="C308" s="731"/>
      <c r="D308" s="455"/>
      <c r="E308" s="437"/>
      <c r="F308" s="734"/>
      <c r="G308" s="437"/>
    </row>
    <row r="309">
      <c r="A309" s="1490"/>
      <c r="B309" s="731"/>
      <c r="C309" s="731"/>
      <c r="D309" s="455"/>
      <c r="E309" s="437"/>
      <c r="F309" s="734"/>
      <c r="G309" s="437"/>
    </row>
    <row r="310">
      <c r="A310" s="1490"/>
      <c r="B310" s="731"/>
      <c r="C310" s="731"/>
      <c r="D310" s="455"/>
      <c r="E310" s="437"/>
      <c r="F310" s="734"/>
      <c r="G310" s="437"/>
    </row>
    <row r="311">
      <c r="A311" s="1468"/>
      <c r="E311" s="1456"/>
      <c r="F311" s="1457"/>
      <c r="G311" s="1456"/>
    </row>
    <row r="312">
      <c r="A312" s="1490"/>
      <c r="B312" s="731"/>
      <c r="C312" s="731"/>
      <c r="D312" s="455"/>
      <c r="E312" s="437"/>
      <c r="F312" s="734"/>
      <c r="G312" s="437"/>
    </row>
    <row r="313">
      <c r="A313" s="1490"/>
      <c r="B313" s="731"/>
      <c r="C313" s="731"/>
      <c r="D313" s="455"/>
      <c r="E313" s="437"/>
      <c r="F313" s="734"/>
      <c r="G313" s="437"/>
    </row>
    <row r="314">
      <c r="A314" s="1490"/>
      <c r="B314" s="731"/>
      <c r="C314" s="731"/>
      <c r="D314" s="455"/>
      <c r="E314" s="437"/>
      <c r="F314" s="734"/>
      <c r="G314" s="437"/>
    </row>
    <row r="315">
      <c r="A315" s="1490"/>
      <c r="B315" s="731"/>
      <c r="C315" s="731"/>
      <c r="D315" s="455"/>
      <c r="E315" s="437"/>
      <c r="F315" s="734"/>
      <c r="G315" s="437"/>
    </row>
    <row r="316">
      <c r="A316" s="1490"/>
      <c r="B316" s="731"/>
      <c r="C316" s="731"/>
      <c r="D316" s="455"/>
      <c r="E316" s="437"/>
      <c r="F316" s="734"/>
      <c r="G316" s="437"/>
    </row>
    <row r="317">
      <c r="A317" s="1490"/>
      <c r="B317" s="731"/>
      <c r="C317" s="731"/>
      <c r="D317" s="455"/>
      <c r="E317" s="437"/>
      <c r="F317" s="734"/>
      <c r="G317" s="437"/>
    </row>
    <row r="318">
      <c r="A318" s="1490"/>
      <c r="B318" s="731"/>
      <c r="C318" s="731"/>
      <c r="D318" s="455"/>
      <c r="E318" s="437"/>
      <c r="F318" s="734"/>
      <c r="G318" s="437"/>
    </row>
    <row r="319">
      <c r="A319" s="1490"/>
      <c r="B319" s="731"/>
      <c r="C319" s="731"/>
      <c r="D319" s="455"/>
      <c r="E319" s="437"/>
      <c r="F319" s="734"/>
      <c r="G319" s="437"/>
    </row>
    <row r="320">
      <c r="A320" s="1490"/>
      <c r="B320" s="731"/>
      <c r="C320" s="731"/>
      <c r="D320" s="455"/>
      <c r="E320" s="437"/>
      <c r="F320" s="734"/>
      <c r="G320" s="437"/>
    </row>
    <row r="321">
      <c r="A321" s="1490"/>
      <c r="B321" s="731"/>
      <c r="C321" s="731"/>
      <c r="D321" s="455"/>
      <c r="E321" s="437"/>
      <c r="F321" s="734"/>
      <c r="G321" s="437"/>
    </row>
    <row r="322">
      <c r="A322" s="1490"/>
      <c r="B322" s="731"/>
      <c r="C322" s="731"/>
      <c r="D322" s="455"/>
      <c r="E322" s="437"/>
      <c r="F322" s="734"/>
      <c r="G322" s="437"/>
    </row>
    <row r="323">
      <c r="A323" s="1490"/>
      <c r="B323" s="731"/>
      <c r="C323" s="731"/>
      <c r="D323" s="455"/>
      <c r="E323" s="437"/>
      <c r="F323" s="734"/>
      <c r="G323" s="437"/>
    </row>
    <row r="324">
      <c r="A324" s="1490"/>
      <c r="B324" s="731"/>
      <c r="C324" s="731"/>
      <c r="D324" s="455"/>
      <c r="E324" s="437"/>
      <c r="F324" s="734"/>
      <c r="G324" s="437"/>
    </row>
    <row r="325">
      <c r="A325" s="1490"/>
      <c r="B325" s="731"/>
      <c r="C325" s="731"/>
      <c r="D325" s="455"/>
      <c r="E325" s="437"/>
      <c r="F325" s="734"/>
      <c r="G325" s="437"/>
    </row>
    <row r="326">
      <c r="A326" s="1490"/>
      <c r="B326" s="731"/>
      <c r="C326" s="731"/>
      <c r="D326" s="455"/>
      <c r="E326" s="437"/>
      <c r="F326" s="734"/>
      <c r="G326" s="437"/>
    </row>
    <row r="327">
      <c r="A327" s="1490"/>
      <c r="B327" s="731"/>
      <c r="C327" s="731"/>
      <c r="D327" s="455"/>
      <c r="E327" s="437"/>
      <c r="F327" s="734"/>
      <c r="G327" s="437"/>
    </row>
    <row r="328">
      <c r="A328" s="1490"/>
      <c r="B328" s="731"/>
      <c r="C328" s="731"/>
      <c r="D328" s="455"/>
      <c r="E328" s="437"/>
      <c r="F328" s="734"/>
      <c r="G328" s="437"/>
    </row>
    <row r="329">
      <c r="A329" s="1490"/>
      <c r="B329" s="731"/>
      <c r="C329" s="731"/>
      <c r="D329" s="455"/>
      <c r="E329" s="437"/>
      <c r="F329" s="734"/>
      <c r="G329" s="437"/>
    </row>
    <row r="330">
      <c r="A330" s="1490"/>
      <c r="B330" s="731"/>
      <c r="C330" s="731"/>
      <c r="D330" s="455"/>
      <c r="E330" s="437"/>
      <c r="F330" s="734"/>
      <c r="G330" s="437"/>
    </row>
    <row r="331">
      <c r="A331" s="1490"/>
      <c r="B331" s="731"/>
      <c r="C331" s="731"/>
      <c r="D331" s="455"/>
      <c r="E331" s="437"/>
      <c r="F331" s="734"/>
      <c r="G331" s="437"/>
    </row>
    <row r="332">
      <c r="A332" s="1490"/>
      <c r="B332" s="731"/>
      <c r="C332" s="731"/>
      <c r="D332" s="455"/>
      <c r="E332" s="437"/>
      <c r="F332" s="734"/>
      <c r="G332" s="437"/>
    </row>
    <row r="333">
      <c r="A333" s="1490"/>
      <c r="B333" s="731"/>
      <c r="C333" s="731"/>
      <c r="D333" s="455"/>
      <c r="E333" s="437"/>
      <c r="F333" s="734"/>
      <c r="G333" s="437"/>
    </row>
    <row r="334">
      <c r="A334" s="1490"/>
      <c r="B334" s="731"/>
      <c r="C334" s="731"/>
      <c r="D334" s="455"/>
      <c r="E334" s="437"/>
      <c r="F334" s="734"/>
      <c r="G334" s="437"/>
    </row>
    <row r="335">
      <c r="A335" s="1490"/>
      <c r="B335" s="731"/>
      <c r="C335" s="731"/>
      <c r="D335" s="455"/>
      <c r="E335" s="437"/>
      <c r="F335" s="734"/>
      <c r="G335" s="437"/>
    </row>
    <row r="336">
      <c r="A336" s="1490"/>
      <c r="B336" s="731"/>
      <c r="C336" s="731"/>
      <c r="D336" s="455"/>
      <c r="E336" s="437"/>
      <c r="F336" s="734"/>
      <c r="G336" s="437"/>
    </row>
    <row r="337">
      <c r="A337" s="1490"/>
      <c r="B337" s="731"/>
      <c r="C337" s="731"/>
      <c r="D337" s="455"/>
      <c r="E337" s="437"/>
      <c r="F337" s="734"/>
      <c r="G337" s="437"/>
    </row>
    <row r="338">
      <c r="A338" s="1490"/>
      <c r="B338" s="731"/>
      <c r="C338" s="731"/>
      <c r="D338" s="455"/>
      <c r="E338" s="437"/>
      <c r="F338" s="734"/>
      <c r="G338" s="437"/>
    </row>
    <row r="339">
      <c r="A339" s="1490"/>
      <c r="B339" s="731"/>
      <c r="C339" s="731"/>
      <c r="D339" s="455"/>
      <c r="E339" s="437"/>
      <c r="F339" s="734"/>
      <c r="G339" s="437"/>
    </row>
    <row r="340">
      <c r="A340" s="1490"/>
      <c r="B340" s="731"/>
      <c r="C340" s="731"/>
      <c r="D340" s="455"/>
      <c r="E340" s="437"/>
      <c r="F340" s="734"/>
      <c r="G340" s="437"/>
    </row>
    <row r="341">
      <c r="A341" s="1490"/>
      <c r="B341" s="731"/>
      <c r="C341" s="731"/>
      <c r="D341" s="455"/>
      <c r="E341" s="437"/>
      <c r="F341" s="734"/>
      <c r="G341" s="437"/>
    </row>
    <row r="342">
      <c r="A342" s="1490"/>
      <c r="B342" s="731"/>
      <c r="C342" s="731"/>
      <c r="D342" s="455"/>
      <c r="E342" s="437"/>
      <c r="F342" s="734"/>
      <c r="G342" s="437"/>
    </row>
    <row r="343">
      <c r="A343" s="1490"/>
      <c r="B343" s="731"/>
      <c r="C343" s="731"/>
      <c r="D343" s="455"/>
      <c r="E343" s="437"/>
      <c r="F343" s="734"/>
      <c r="G343" s="437"/>
    </row>
    <row r="344">
      <c r="A344" s="1490"/>
      <c r="B344" s="731"/>
      <c r="C344" s="731"/>
      <c r="D344" s="455"/>
      <c r="E344" s="437"/>
      <c r="F344" s="734"/>
      <c r="G344" s="437"/>
    </row>
    <row r="345">
      <c r="A345" s="1490"/>
      <c r="B345" s="731"/>
      <c r="C345" s="731"/>
      <c r="D345" s="455"/>
      <c r="E345" s="437"/>
      <c r="F345" s="734"/>
      <c r="G345" s="437"/>
    </row>
    <row r="346">
      <c r="A346" s="1490"/>
      <c r="B346" s="731"/>
      <c r="C346" s="731"/>
      <c r="D346" s="455"/>
      <c r="E346" s="437"/>
      <c r="F346" s="734"/>
      <c r="G346" s="437"/>
    </row>
    <row r="347">
      <c r="A347" s="1490"/>
      <c r="B347" s="731"/>
      <c r="C347" s="731"/>
      <c r="D347" s="455"/>
      <c r="E347" s="437"/>
      <c r="F347" s="734"/>
      <c r="G347" s="437"/>
    </row>
    <row r="348">
      <c r="A348" s="1490"/>
      <c r="B348" s="731"/>
      <c r="C348" s="731"/>
      <c r="D348" s="455"/>
      <c r="E348" s="437"/>
      <c r="F348" s="734"/>
      <c r="G348" s="437"/>
    </row>
    <row r="349">
      <c r="A349" s="1490"/>
      <c r="B349" s="731"/>
      <c r="C349" s="731"/>
      <c r="D349" s="455"/>
      <c r="E349" s="437"/>
      <c r="F349" s="734"/>
      <c r="G349" s="437"/>
    </row>
    <row r="350">
      <c r="A350" s="1490"/>
      <c r="B350" s="731"/>
      <c r="C350" s="731"/>
      <c r="D350" s="455"/>
      <c r="E350" s="437"/>
      <c r="F350" s="734"/>
      <c r="G350" s="437"/>
    </row>
    <row r="351">
      <c r="A351" s="1490"/>
      <c r="B351" s="731"/>
      <c r="C351" s="731"/>
      <c r="D351" s="455"/>
      <c r="E351" s="437"/>
      <c r="F351" s="734"/>
      <c r="G351" s="437"/>
    </row>
    <row r="352">
      <c r="A352" s="730"/>
      <c r="B352" s="731"/>
      <c r="C352" s="731"/>
      <c r="D352" s="1492"/>
      <c r="E352" s="437"/>
      <c r="F352" s="734"/>
      <c r="G352" s="437"/>
    </row>
    <row r="353">
      <c r="A353" s="730"/>
      <c r="B353" s="731"/>
      <c r="C353" s="731"/>
      <c r="D353" s="1492"/>
      <c r="E353" s="437"/>
      <c r="F353" s="734"/>
      <c r="G353" s="437"/>
    </row>
    <row r="354">
      <c r="A354" s="730"/>
      <c r="B354" s="731"/>
      <c r="C354" s="731"/>
      <c r="D354" s="1492"/>
      <c r="E354" s="437"/>
      <c r="F354" s="734"/>
      <c r="G354" s="437"/>
    </row>
    <row r="355">
      <c r="A355" s="730"/>
      <c r="B355" s="731"/>
      <c r="C355" s="731"/>
      <c r="D355" s="1492"/>
      <c r="E355" s="437"/>
      <c r="F355" s="734"/>
      <c r="G355" s="437"/>
    </row>
    <row r="356">
      <c r="A356" s="730"/>
      <c r="B356" s="731"/>
      <c r="C356" s="731"/>
      <c r="D356" s="1492"/>
      <c r="E356" s="437"/>
      <c r="F356" s="734"/>
      <c r="G356" s="437"/>
    </row>
    <row r="357">
      <c r="A357" s="730"/>
      <c r="B357" s="731"/>
      <c r="C357" s="731"/>
      <c r="D357" s="1492"/>
      <c r="E357" s="437"/>
      <c r="F357" s="734"/>
      <c r="G357" s="437"/>
    </row>
    <row r="358">
      <c r="A358" s="730"/>
      <c r="B358" s="731"/>
      <c r="C358" s="731"/>
      <c r="D358" s="1492"/>
      <c r="E358" s="437"/>
      <c r="F358" s="734"/>
      <c r="G358" s="437"/>
    </row>
    <row r="359">
      <c r="A359" s="730"/>
      <c r="B359" s="731"/>
      <c r="C359" s="731"/>
      <c r="D359" s="1492"/>
      <c r="E359" s="437"/>
      <c r="F359" s="734"/>
      <c r="G359" s="437"/>
    </row>
    <row r="360">
      <c r="A360" s="730"/>
      <c r="B360" s="731"/>
      <c r="C360" s="731"/>
      <c r="D360" s="1492"/>
      <c r="E360" s="437"/>
      <c r="F360" s="734"/>
      <c r="G360" s="437"/>
    </row>
    <row r="361">
      <c r="A361" s="730"/>
      <c r="B361" s="731"/>
      <c r="C361" s="731"/>
      <c r="D361" s="1492"/>
      <c r="E361" s="437"/>
      <c r="F361" s="734"/>
      <c r="G361" s="437"/>
    </row>
    <row r="362">
      <c r="A362" s="730"/>
      <c r="B362" s="731"/>
      <c r="C362" s="731"/>
      <c r="D362" s="1492"/>
      <c r="E362" s="437"/>
      <c r="F362" s="734"/>
      <c r="G362" s="437"/>
    </row>
    <row r="363">
      <c r="A363" s="730"/>
      <c r="B363" s="731"/>
      <c r="C363" s="731"/>
      <c r="D363" s="1492"/>
      <c r="E363" s="437"/>
      <c r="F363" s="734"/>
      <c r="G363" s="437"/>
    </row>
    <row r="364">
      <c r="A364" s="730"/>
      <c r="B364" s="731"/>
      <c r="C364" s="731"/>
      <c r="D364" s="1492"/>
      <c r="E364" s="437"/>
      <c r="F364" s="734"/>
      <c r="G364" s="437"/>
    </row>
    <row r="365">
      <c r="A365" s="730"/>
      <c r="B365" s="731"/>
      <c r="C365" s="731"/>
      <c r="D365" s="1492"/>
      <c r="E365" s="437"/>
      <c r="F365" s="734"/>
      <c r="G365" s="437"/>
    </row>
    <row r="366">
      <c r="A366" s="730"/>
      <c r="B366" s="731"/>
      <c r="C366" s="731"/>
      <c r="D366" s="1492"/>
      <c r="E366" s="437"/>
      <c r="F366" s="734"/>
      <c r="G366" s="437"/>
    </row>
    <row r="367">
      <c r="A367" s="730"/>
      <c r="B367" s="731"/>
      <c r="C367" s="731"/>
      <c r="D367" s="1492"/>
      <c r="E367" s="437"/>
      <c r="F367" s="734"/>
      <c r="G367" s="437"/>
    </row>
    <row r="368">
      <c r="A368" s="730"/>
      <c r="B368" s="731"/>
      <c r="C368" s="731"/>
      <c r="D368" s="1492"/>
      <c r="E368" s="437"/>
      <c r="F368" s="734"/>
      <c r="G368" s="437"/>
    </row>
    <row r="369">
      <c r="A369" s="730"/>
      <c r="B369" s="731"/>
      <c r="C369" s="731"/>
      <c r="D369" s="1492"/>
      <c r="E369" s="437"/>
      <c r="F369" s="734"/>
      <c r="G369" s="437"/>
    </row>
    <row r="370">
      <c r="A370" s="730"/>
      <c r="B370" s="731"/>
      <c r="C370" s="731"/>
      <c r="D370" s="1492"/>
      <c r="E370" s="437"/>
      <c r="F370" s="734"/>
      <c r="G370" s="437"/>
    </row>
    <row r="371">
      <c r="A371" s="730"/>
      <c r="B371" s="731"/>
      <c r="C371" s="731"/>
      <c r="D371" s="1492"/>
      <c r="E371" s="437"/>
      <c r="F371" s="734"/>
      <c r="G371" s="437"/>
    </row>
    <row r="372">
      <c r="A372" s="730"/>
      <c r="B372" s="731"/>
      <c r="C372" s="731"/>
      <c r="D372" s="1492"/>
      <c r="E372" s="437"/>
      <c r="F372" s="734"/>
      <c r="G372" s="437"/>
    </row>
    <row r="373">
      <c r="A373" s="730"/>
      <c r="B373" s="731"/>
      <c r="C373" s="731"/>
      <c r="D373" s="1492"/>
      <c r="E373" s="437"/>
      <c r="F373" s="734"/>
      <c r="G373" s="437"/>
    </row>
    <row r="374">
      <c r="A374" s="730"/>
      <c r="B374" s="731"/>
      <c r="C374" s="731"/>
      <c r="D374" s="1492"/>
      <c r="E374" s="437"/>
      <c r="F374" s="734"/>
      <c r="G374" s="437"/>
    </row>
    <row r="375">
      <c r="A375" s="730"/>
      <c r="B375" s="731"/>
      <c r="C375" s="731"/>
      <c r="D375" s="1492"/>
      <c r="E375" s="437"/>
      <c r="F375" s="734"/>
      <c r="G375" s="437"/>
    </row>
    <row r="376">
      <c r="A376" s="730"/>
      <c r="B376" s="731"/>
      <c r="C376" s="731"/>
      <c r="D376" s="1492"/>
      <c r="E376" s="437"/>
      <c r="F376" s="734"/>
      <c r="G376" s="437"/>
    </row>
    <row r="377">
      <c r="A377" s="730"/>
      <c r="B377" s="731"/>
      <c r="C377" s="731"/>
      <c r="D377" s="1492"/>
      <c r="E377" s="437"/>
      <c r="F377" s="734"/>
      <c r="G377" s="437"/>
    </row>
    <row r="378">
      <c r="A378" s="730"/>
      <c r="B378" s="731"/>
      <c r="C378" s="731"/>
      <c r="D378" s="1492"/>
      <c r="E378" s="437"/>
      <c r="F378" s="734"/>
      <c r="G378" s="437"/>
    </row>
    <row r="379">
      <c r="A379" s="730"/>
      <c r="B379" s="731"/>
      <c r="C379" s="731"/>
      <c r="D379" s="1492"/>
      <c r="E379" s="437"/>
      <c r="F379" s="734"/>
      <c r="G379" s="437"/>
    </row>
    <row r="380">
      <c r="A380" s="730"/>
      <c r="B380" s="731"/>
      <c r="C380" s="731"/>
      <c r="D380" s="1492"/>
      <c r="E380" s="437"/>
      <c r="F380" s="734"/>
      <c r="G380" s="437"/>
    </row>
    <row r="381">
      <c r="A381" s="730"/>
      <c r="B381" s="731"/>
      <c r="C381" s="731"/>
      <c r="D381" s="1492"/>
      <c r="E381" s="437"/>
      <c r="F381" s="734"/>
      <c r="G381" s="437"/>
    </row>
    <row r="382">
      <c r="A382" s="730"/>
      <c r="B382" s="731"/>
      <c r="C382" s="731"/>
      <c r="D382" s="1492"/>
      <c r="E382" s="437"/>
      <c r="F382" s="734"/>
      <c r="G382" s="437"/>
    </row>
    <row r="383">
      <c r="A383" s="730"/>
      <c r="B383" s="731"/>
      <c r="C383" s="731"/>
      <c r="D383" s="1492"/>
      <c r="E383" s="437"/>
      <c r="F383" s="734"/>
      <c r="G383" s="437"/>
    </row>
    <row r="384">
      <c r="A384" s="730"/>
      <c r="B384" s="731"/>
      <c r="C384" s="731"/>
      <c r="D384" s="1492"/>
      <c r="E384" s="437"/>
      <c r="F384" s="734"/>
      <c r="G384" s="437"/>
    </row>
    <row r="385">
      <c r="A385" s="730"/>
      <c r="B385" s="731"/>
      <c r="C385" s="731"/>
      <c r="D385" s="1492"/>
      <c r="E385" s="437"/>
      <c r="F385" s="734"/>
      <c r="G385" s="437"/>
    </row>
    <row r="386">
      <c r="A386" s="730"/>
      <c r="B386" s="731"/>
      <c r="C386" s="731"/>
      <c r="D386" s="1492"/>
      <c r="E386" s="437"/>
      <c r="F386" s="734"/>
      <c r="G386" s="437"/>
    </row>
    <row r="387">
      <c r="A387" s="730"/>
      <c r="B387" s="731"/>
      <c r="C387" s="731"/>
      <c r="D387" s="1492"/>
      <c r="E387" s="437"/>
      <c r="F387" s="734"/>
      <c r="G387" s="437"/>
    </row>
    <row r="388">
      <c r="A388" s="730"/>
      <c r="B388" s="731"/>
      <c r="C388" s="731"/>
      <c r="D388" s="1492"/>
      <c r="E388" s="437"/>
      <c r="F388" s="734"/>
      <c r="G388" s="437"/>
    </row>
    <row r="389">
      <c r="A389" s="730"/>
      <c r="B389" s="731"/>
      <c r="C389" s="731"/>
      <c r="D389" s="1492"/>
      <c r="E389" s="437"/>
      <c r="F389" s="734"/>
      <c r="G389" s="437"/>
    </row>
    <row r="390">
      <c r="A390" s="730"/>
      <c r="B390" s="731"/>
      <c r="C390" s="731"/>
      <c r="D390" s="1492"/>
      <c r="E390" s="437"/>
      <c r="F390" s="734"/>
      <c r="G390" s="437"/>
    </row>
    <row r="391">
      <c r="A391" s="730"/>
      <c r="B391" s="731"/>
      <c r="C391" s="731"/>
      <c r="D391" s="1492"/>
      <c r="E391" s="437"/>
      <c r="F391" s="734"/>
      <c r="G391" s="437"/>
    </row>
    <row r="392">
      <c r="A392" s="730"/>
      <c r="B392" s="731"/>
      <c r="C392" s="731"/>
      <c r="D392" s="1492"/>
      <c r="E392" s="437"/>
      <c r="F392" s="734"/>
      <c r="G392" s="437"/>
    </row>
    <row r="393">
      <c r="A393" s="730"/>
      <c r="B393" s="731"/>
      <c r="C393" s="731"/>
      <c r="D393" s="1492"/>
      <c r="E393" s="437"/>
      <c r="F393" s="734"/>
      <c r="G393" s="437"/>
    </row>
    <row r="394">
      <c r="A394" s="730"/>
      <c r="B394" s="731"/>
      <c r="C394" s="731"/>
      <c r="D394" s="1492"/>
      <c r="E394" s="437"/>
      <c r="F394" s="734"/>
      <c r="G394" s="437"/>
    </row>
    <row r="395">
      <c r="A395" s="730"/>
      <c r="B395" s="731"/>
      <c r="C395" s="731"/>
      <c r="D395" s="1492"/>
      <c r="E395" s="437"/>
      <c r="F395" s="734"/>
      <c r="G395" s="437"/>
    </row>
    <row r="396">
      <c r="A396" s="730"/>
      <c r="B396" s="731"/>
      <c r="C396" s="731"/>
      <c r="D396" s="1492"/>
      <c r="E396" s="437"/>
      <c r="F396" s="734"/>
      <c r="G396" s="437"/>
    </row>
    <row r="397">
      <c r="A397" s="730"/>
      <c r="B397" s="731"/>
      <c r="C397" s="731"/>
      <c r="D397" s="1492"/>
      <c r="E397" s="437"/>
      <c r="F397" s="734"/>
      <c r="G397" s="437"/>
    </row>
    <row r="398">
      <c r="A398" s="730"/>
      <c r="B398" s="731"/>
      <c r="C398" s="731"/>
      <c r="D398" s="1492"/>
      <c r="E398" s="437"/>
      <c r="F398" s="734"/>
      <c r="G398" s="437"/>
    </row>
    <row r="399">
      <c r="A399" s="730"/>
      <c r="B399" s="731"/>
      <c r="C399" s="731"/>
      <c r="D399" s="1492"/>
      <c r="E399" s="437"/>
      <c r="F399" s="734"/>
      <c r="G399" s="437"/>
    </row>
    <row r="400">
      <c r="A400" s="730"/>
      <c r="B400" s="731"/>
      <c r="C400" s="731"/>
      <c r="D400" s="1492"/>
      <c r="E400" s="437"/>
      <c r="F400" s="734"/>
      <c r="G400" s="437"/>
    </row>
    <row r="401">
      <c r="A401" s="730"/>
      <c r="B401" s="731"/>
      <c r="C401" s="731"/>
      <c r="D401" s="1492"/>
      <c r="E401" s="437"/>
      <c r="F401" s="734"/>
      <c r="G401" s="437"/>
    </row>
    <row r="402">
      <c r="A402" s="730"/>
      <c r="B402" s="731"/>
      <c r="C402" s="731"/>
      <c r="D402" s="1492"/>
      <c r="E402" s="437"/>
      <c r="F402" s="734"/>
      <c r="G402" s="437"/>
    </row>
    <row r="403">
      <c r="A403" s="730"/>
      <c r="B403" s="731"/>
      <c r="C403" s="731"/>
      <c r="D403" s="1492"/>
      <c r="E403" s="437"/>
      <c r="F403" s="734"/>
      <c r="G403" s="437"/>
    </row>
    <row r="404">
      <c r="A404" s="730"/>
      <c r="B404" s="731"/>
      <c r="C404" s="731"/>
      <c r="D404" s="1492"/>
      <c r="E404" s="437"/>
      <c r="F404" s="734"/>
      <c r="G404" s="437"/>
    </row>
    <row r="405">
      <c r="A405" s="730"/>
      <c r="B405" s="731"/>
      <c r="C405" s="731"/>
      <c r="D405" s="1492"/>
      <c r="E405" s="437"/>
      <c r="F405" s="734"/>
      <c r="G405" s="437"/>
    </row>
    <row r="406">
      <c r="A406" s="730"/>
      <c r="B406" s="731"/>
      <c r="C406" s="731"/>
      <c r="D406" s="1492"/>
      <c r="E406" s="437"/>
      <c r="F406" s="734"/>
      <c r="G406" s="437"/>
    </row>
    <row r="407">
      <c r="A407" s="730"/>
      <c r="B407" s="731"/>
      <c r="C407" s="731"/>
      <c r="D407" s="1492"/>
      <c r="E407" s="437"/>
      <c r="F407" s="734"/>
      <c r="G407" s="437"/>
    </row>
    <row r="408">
      <c r="A408" s="730"/>
      <c r="B408" s="731"/>
      <c r="C408" s="731"/>
      <c r="D408" s="1492"/>
      <c r="E408" s="437"/>
      <c r="F408" s="734"/>
      <c r="G408" s="437"/>
    </row>
    <row r="409">
      <c r="A409" s="730"/>
      <c r="B409" s="731"/>
      <c r="C409" s="731"/>
      <c r="D409" s="1492"/>
      <c r="E409" s="437"/>
      <c r="F409" s="734"/>
      <c r="G409" s="437"/>
    </row>
    <row r="410">
      <c r="A410" s="730"/>
      <c r="B410" s="731"/>
      <c r="C410" s="731"/>
      <c r="D410" s="1492"/>
      <c r="E410" s="437"/>
      <c r="F410" s="734"/>
      <c r="G410" s="437"/>
    </row>
    <row r="411">
      <c r="A411" s="730"/>
      <c r="B411" s="731"/>
      <c r="C411" s="731"/>
      <c r="D411" s="1492"/>
      <c r="E411" s="437"/>
      <c r="F411" s="734"/>
      <c r="G411" s="437"/>
    </row>
    <row r="412">
      <c r="A412" s="730"/>
      <c r="B412" s="731"/>
      <c r="C412" s="731"/>
      <c r="D412" s="1492"/>
      <c r="E412" s="437"/>
      <c r="F412" s="734"/>
      <c r="G412" s="437"/>
    </row>
    <row r="413">
      <c r="A413" s="730"/>
      <c r="B413" s="731"/>
      <c r="C413" s="731"/>
      <c r="D413" s="1492"/>
      <c r="E413" s="437"/>
      <c r="F413" s="734"/>
      <c r="G413" s="437"/>
    </row>
    <row r="414">
      <c r="A414" s="730"/>
      <c r="B414" s="731"/>
      <c r="C414" s="731"/>
      <c r="D414" s="1492"/>
      <c r="E414" s="437"/>
      <c r="F414" s="734"/>
      <c r="G414" s="437"/>
    </row>
    <row r="415">
      <c r="A415" s="730"/>
      <c r="B415" s="731"/>
      <c r="C415" s="731"/>
      <c r="D415" s="1492"/>
      <c r="E415" s="437"/>
      <c r="F415" s="734"/>
      <c r="G415" s="437"/>
    </row>
    <row r="416">
      <c r="A416" s="730"/>
      <c r="B416" s="731"/>
      <c r="C416" s="731"/>
      <c r="D416" s="1492"/>
      <c r="E416" s="437"/>
      <c r="F416" s="734"/>
      <c r="G416" s="437"/>
    </row>
    <row r="417">
      <c r="A417" s="730"/>
      <c r="B417" s="731"/>
      <c r="C417" s="731"/>
      <c r="D417" s="1492"/>
      <c r="E417" s="437"/>
      <c r="F417" s="734"/>
      <c r="G417" s="437"/>
    </row>
    <row r="418">
      <c r="A418" s="730"/>
      <c r="B418" s="731"/>
      <c r="C418" s="731"/>
      <c r="D418" s="1492"/>
      <c r="E418" s="437"/>
      <c r="F418" s="734"/>
      <c r="G418" s="437"/>
    </row>
    <row r="419">
      <c r="A419" s="730"/>
      <c r="B419" s="731"/>
      <c r="C419" s="731"/>
      <c r="D419" s="1492"/>
      <c r="E419" s="437"/>
      <c r="F419" s="734"/>
      <c r="G419" s="437"/>
    </row>
    <row r="420">
      <c r="A420" s="730"/>
      <c r="B420" s="731"/>
      <c r="C420" s="731"/>
      <c r="D420" s="1492"/>
      <c r="E420" s="437"/>
      <c r="F420" s="734"/>
      <c r="G420" s="437"/>
    </row>
    <row r="421">
      <c r="A421" s="730"/>
      <c r="B421" s="731"/>
      <c r="C421" s="731"/>
      <c r="D421" s="1492"/>
      <c r="E421" s="437"/>
      <c r="F421" s="734"/>
      <c r="G421" s="437"/>
    </row>
    <row r="422">
      <c r="A422" s="730"/>
      <c r="B422" s="731"/>
      <c r="C422" s="731"/>
      <c r="D422" s="1492"/>
      <c r="E422" s="437"/>
      <c r="F422" s="734"/>
      <c r="G422" s="437"/>
    </row>
    <row r="423">
      <c r="A423" s="730"/>
      <c r="B423" s="731"/>
      <c r="C423" s="731"/>
      <c r="D423" s="1492"/>
      <c r="E423" s="437"/>
      <c r="F423" s="734"/>
      <c r="G423" s="437"/>
    </row>
    <row r="424">
      <c r="A424" s="730"/>
      <c r="B424" s="731"/>
      <c r="C424" s="731"/>
      <c r="D424" s="1492"/>
      <c r="E424" s="437"/>
      <c r="F424" s="734"/>
      <c r="G424" s="437"/>
    </row>
    <row r="425">
      <c r="A425" s="730"/>
      <c r="B425" s="731"/>
      <c r="C425" s="731"/>
      <c r="D425" s="1492"/>
      <c r="E425" s="437"/>
      <c r="F425" s="734"/>
      <c r="G425" s="437"/>
    </row>
    <row r="426">
      <c r="A426" s="730"/>
      <c r="B426" s="731"/>
      <c r="C426" s="731"/>
      <c r="D426" s="1492"/>
      <c r="E426" s="437"/>
      <c r="F426" s="734"/>
      <c r="G426" s="437"/>
    </row>
    <row r="427">
      <c r="A427" s="730"/>
      <c r="B427" s="731"/>
      <c r="C427" s="731"/>
      <c r="D427" s="1492"/>
      <c r="E427" s="437"/>
      <c r="F427" s="734"/>
      <c r="G427" s="437"/>
    </row>
    <row r="428">
      <c r="A428" s="730"/>
      <c r="B428" s="731"/>
      <c r="C428" s="731"/>
      <c r="D428" s="1492"/>
      <c r="E428" s="437"/>
      <c r="F428" s="734"/>
      <c r="G428" s="437"/>
    </row>
    <row r="429">
      <c r="A429" s="730"/>
      <c r="B429" s="731"/>
      <c r="C429" s="731"/>
      <c r="D429" s="1492"/>
      <c r="E429" s="437"/>
      <c r="F429" s="734"/>
      <c r="G429" s="437"/>
    </row>
    <row r="430">
      <c r="A430" s="730"/>
      <c r="B430" s="731"/>
      <c r="C430" s="731"/>
      <c r="D430" s="1492"/>
      <c r="E430" s="437"/>
      <c r="F430" s="734"/>
      <c r="G430" s="437"/>
    </row>
    <row r="431">
      <c r="A431" s="730"/>
      <c r="B431" s="731"/>
      <c r="C431" s="731"/>
      <c r="D431" s="1492"/>
      <c r="E431" s="437"/>
      <c r="F431" s="734"/>
      <c r="G431" s="437"/>
    </row>
    <row r="432">
      <c r="A432" s="730"/>
      <c r="B432" s="731"/>
      <c r="C432" s="731"/>
      <c r="D432" s="1492"/>
      <c r="E432" s="437"/>
      <c r="F432" s="734"/>
      <c r="G432" s="437"/>
    </row>
    <row r="433">
      <c r="A433" s="730"/>
      <c r="B433" s="731"/>
      <c r="C433" s="731"/>
      <c r="D433" s="1492"/>
      <c r="E433" s="437"/>
      <c r="F433" s="734"/>
      <c r="G433" s="437"/>
    </row>
    <row r="434">
      <c r="A434" s="730"/>
      <c r="B434" s="731"/>
      <c r="C434" s="731"/>
      <c r="D434" s="1492"/>
      <c r="E434" s="437"/>
      <c r="F434" s="734"/>
      <c r="G434" s="437"/>
    </row>
    <row r="435">
      <c r="A435" s="730"/>
      <c r="B435" s="731"/>
      <c r="C435" s="731"/>
      <c r="D435" s="1492"/>
      <c r="E435" s="437"/>
      <c r="F435" s="734"/>
      <c r="G435" s="437"/>
    </row>
    <row r="436">
      <c r="A436" s="730"/>
      <c r="B436" s="731"/>
      <c r="C436" s="731"/>
      <c r="D436" s="1492"/>
      <c r="E436" s="437"/>
      <c r="F436" s="734"/>
      <c r="G436" s="437"/>
    </row>
    <row r="437">
      <c r="A437" s="730"/>
      <c r="B437" s="731"/>
      <c r="C437" s="731"/>
      <c r="D437" s="1492"/>
      <c r="E437" s="437"/>
      <c r="F437" s="734"/>
      <c r="G437" s="437"/>
    </row>
    <row r="438">
      <c r="A438" s="730"/>
      <c r="B438" s="731"/>
      <c r="C438" s="731"/>
      <c r="D438" s="1492"/>
      <c r="E438" s="437"/>
      <c r="F438" s="734"/>
      <c r="G438" s="437"/>
    </row>
    <row r="439">
      <c r="A439" s="730"/>
      <c r="B439" s="731"/>
      <c r="C439" s="731"/>
      <c r="D439" s="1492"/>
      <c r="E439" s="437"/>
      <c r="F439" s="734"/>
      <c r="G439" s="437"/>
    </row>
    <row r="440">
      <c r="A440" s="730"/>
      <c r="B440" s="731"/>
      <c r="C440" s="731"/>
      <c r="D440" s="1492"/>
      <c r="E440" s="437"/>
      <c r="F440" s="734"/>
      <c r="G440" s="437"/>
    </row>
    <row r="441">
      <c r="A441" s="730"/>
      <c r="B441" s="731"/>
      <c r="C441" s="731"/>
      <c r="D441" s="1492"/>
      <c r="E441" s="437"/>
      <c r="F441" s="734"/>
      <c r="G441" s="437"/>
    </row>
    <row r="442">
      <c r="A442" s="730"/>
      <c r="B442" s="731"/>
      <c r="C442" s="731"/>
      <c r="D442" s="1492"/>
      <c r="E442" s="437"/>
      <c r="F442" s="734"/>
      <c r="G442" s="437"/>
    </row>
    <row r="443">
      <c r="A443" s="730"/>
      <c r="B443" s="731"/>
      <c r="C443" s="731"/>
      <c r="D443" s="1492"/>
      <c r="E443" s="437"/>
      <c r="F443" s="734"/>
      <c r="G443" s="437"/>
    </row>
    <row r="444">
      <c r="A444" s="730"/>
      <c r="B444" s="731"/>
      <c r="C444" s="731"/>
      <c r="D444" s="1492"/>
      <c r="E444" s="437"/>
      <c r="F444" s="734"/>
      <c r="G444" s="437"/>
    </row>
    <row r="445">
      <c r="A445" s="730"/>
      <c r="B445" s="731"/>
      <c r="C445" s="731"/>
      <c r="D445" s="1492"/>
      <c r="E445" s="437"/>
      <c r="F445" s="734"/>
      <c r="G445" s="437"/>
    </row>
    <row r="446">
      <c r="A446" s="730"/>
      <c r="B446" s="731"/>
      <c r="C446" s="731"/>
      <c r="D446" s="1492"/>
      <c r="E446" s="437"/>
      <c r="F446" s="734"/>
      <c r="G446" s="437"/>
    </row>
    <row r="447">
      <c r="A447" s="730"/>
      <c r="B447" s="731"/>
      <c r="C447" s="731"/>
      <c r="D447" s="1492"/>
      <c r="E447" s="437"/>
      <c r="F447" s="734"/>
      <c r="G447" s="437"/>
    </row>
    <row r="448">
      <c r="A448" s="730"/>
      <c r="B448" s="731"/>
      <c r="C448" s="731"/>
      <c r="D448" s="1492"/>
      <c r="E448" s="437"/>
      <c r="F448" s="734"/>
      <c r="G448" s="437"/>
    </row>
    <row r="449">
      <c r="A449" s="730"/>
      <c r="B449" s="731"/>
      <c r="C449" s="731"/>
      <c r="D449" s="1492"/>
      <c r="E449" s="437"/>
      <c r="F449" s="734"/>
      <c r="G449" s="437"/>
    </row>
    <row r="450">
      <c r="A450" s="730"/>
      <c r="B450" s="731"/>
      <c r="C450" s="731"/>
      <c r="D450" s="1492"/>
      <c r="E450" s="437"/>
      <c r="F450" s="734"/>
      <c r="G450" s="437"/>
    </row>
    <row r="451">
      <c r="A451" s="730"/>
      <c r="B451" s="731"/>
      <c r="C451" s="731"/>
      <c r="D451" s="1492"/>
      <c r="E451" s="437"/>
      <c r="F451" s="734"/>
      <c r="G451" s="437"/>
    </row>
    <row r="452">
      <c r="A452" s="730"/>
      <c r="B452" s="731"/>
      <c r="C452" s="731"/>
      <c r="D452" s="1492"/>
      <c r="E452" s="437"/>
      <c r="F452" s="734"/>
      <c r="G452" s="437"/>
    </row>
    <row r="453">
      <c r="A453" s="730"/>
      <c r="B453" s="731"/>
      <c r="C453" s="731"/>
      <c r="D453" s="1492"/>
      <c r="E453" s="437"/>
      <c r="F453" s="734"/>
      <c r="G453" s="437"/>
    </row>
    <row r="454">
      <c r="A454" s="730"/>
      <c r="B454" s="731"/>
      <c r="C454" s="731"/>
      <c r="D454" s="1492"/>
      <c r="E454" s="437"/>
      <c r="F454" s="734"/>
      <c r="G454" s="437"/>
    </row>
    <row r="455">
      <c r="A455" s="730"/>
      <c r="B455" s="731"/>
      <c r="C455" s="731"/>
      <c r="D455" s="1492"/>
      <c r="E455" s="437"/>
      <c r="F455" s="734"/>
      <c r="G455" s="437"/>
    </row>
    <row r="456">
      <c r="A456" s="730"/>
      <c r="B456" s="731"/>
      <c r="C456" s="731"/>
      <c r="D456" s="1492"/>
      <c r="E456" s="437"/>
      <c r="F456" s="734"/>
      <c r="G456" s="437"/>
    </row>
    <row r="457">
      <c r="A457" s="730"/>
      <c r="B457" s="731"/>
      <c r="C457" s="731"/>
      <c r="D457" s="1492"/>
      <c r="E457" s="437"/>
      <c r="F457" s="734"/>
      <c r="G457" s="437"/>
    </row>
    <row r="458">
      <c r="A458" s="730"/>
      <c r="B458" s="731"/>
      <c r="C458" s="731"/>
      <c r="D458" s="1492"/>
      <c r="E458" s="437"/>
      <c r="F458" s="734"/>
      <c r="G458" s="437"/>
    </row>
    <row r="459">
      <c r="A459" s="730"/>
      <c r="B459" s="731"/>
      <c r="C459" s="731"/>
      <c r="D459" s="1492"/>
      <c r="E459" s="437"/>
      <c r="F459" s="734"/>
      <c r="G459" s="437"/>
    </row>
    <row r="460">
      <c r="A460" s="730"/>
      <c r="B460" s="731"/>
      <c r="C460" s="731"/>
      <c r="D460" s="1492"/>
      <c r="E460" s="437"/>
      <c r="F460" s="734"/>
      <c r="G460" s="437"/>
    </row>
    <row r="461">
      <c r="A461" s="730"/>
      <c r="B461" s="731"/>
      <c r="C461" s="731"/>
      <c r="D461" s="1492"/>
      <c r="E461" s="437"/>
      <c r="F461" s="734"/>
      <c r="G461" s="437"/>
    </row>
    <row r="462">
      <c r="A462" s="730"/>
      <c r="B462" s="731"/>
      <c r="C462" s="731"/>
      <c r="D462" s="1492"/>
      <c r="E462" s="437"/>
      <c r="F462" s="734"/>
      <c r="G462" s="437"/>
    </row>
    <row r="463">
      <c r="A463" s="730"/>
      <c r="B463" s="731"/>
      <c r="C463" s="731"/>
      <c r="D463" s="1492"/>
      <c r="E463" s="437"/>
      <c r="F463" s="734"/>
      <c r="G463" s="437"/>
    </row>
    <row r="464">
      <c r="A464" s="730"/>
      <c r="B464" s="731"/>
      <c r="C464" s="731"/>
      <c r="D464" s="1492"/>
      <c r="E464" s="437"/>
      <c r="F464" s="734"/>
      <c r="G464" s="437"/>
    </row>
    <row r="465">
      <c r="A465" s="730"/>
      <c r="B465" s="731"/>
      <c r="C465" s="731"/>
      <c r="D465" s="1492"/>
      <c r="E465" s="437"/>
      <c r="F465" s="734"/>
      <c r="G465" s="437"/>
    </row>
    <row r="466">
      <c r="A466" s="730"/>
      <c r="B466" s="731"/>
      <c r="C466" s="731"/>
      <c r="D466" s="1492"/>
      <c r="E466" s="437"/>
      <c r="F466" s="734"/>
      <c r="G466" s="437"/>
    </row>
    <row r="467">
      <c r="A467" s="730"/>
      <c r="B467" s="731"/>
      <c r="C467" s="731"/>
      <c r="D467" s="1492"/>
      <c r="E467" s="437"/>
      <c r="F467" s="734"/>
      <c r="G467" s="437"/>
    </row>
    <row r="468">
      <c r="A468" s="730"/>
      <c r="B468" s="731"/>
      <c r="C468" s="731"/>
      <c r="D468" s="1492"/>
      <c r="E468" s="437"/>
      <c r="F468" s="734"/>
      <c r="G468" s="437"/>
    </row>
    <row r="469">
      <c r="A469" s="730"/>
      <c r="B469" s="731"/>
      <c r="C469" s="731"/>
      <c r="D469" s="1492"/>
      <c r="E469" s="437"/>
      <c r="F469" s="734"/>
      <c r="G469" s="437"/>
    </row>
    <row r="470">
      <c r="A470" s="730"/>
      <c r="B470" s="731"/>
      <c r="C470" s="731"/>
      <c r="D470" s="1492"/>
      <c r="E470" s="437"/>
      <c r="F470" s="734"/>
      <c r="G470" s="437"/>
    </row>
    <row r="471">
      <c r="A471" s="730"/>
      <c r="B471" s="731"/>
      <c r="C471" s="731"/>
      <c r="D471" s="1492"/>
      <c r="E471" s="437"/>
      <c r="F471" s="734"/>
      <c r="G471" s="437"/>
    </row>
    <row r="472">
      <c r="A472" s="730"/>
      <c r="B472" s="731"/>
      <c r="C472" s="731"/>
      <c r="D472" s="1492"/>
      <c r="E472" s="437"/>
      <c r="F472" s="734"/>
      <c r="G472" s="437"/>
    </row>
    <row r="473">
      <c r="A473" s="730"/>
      <c r="B473" s="731"/>
      <c r="C473" s="731"/>
      <c r="D473" s="1492"/>
      <c r="E473" s="437"/>
      <c r="F473" s="734"/>
      <c r="G473" s="437"/>
    </row>
    <row r="474">
      <c r="A474" s="730"/>
      <c r="B474" s="731"/>
      <c r="C474" s="731"/>
      <c r="D474" s="1492"/>
      <c r="E474" s="437"/>
      <c r="F474" s="734"/>
      <c r="G474" s="437"/>
    </row>
    <row r="475">
      <c r="A475" s="730"/>
      <c r="B475" s="731"/>
      <c r="C475" s="731"/>
      <c r="D475" s="1492"/>
      <c r="E475" s="437"/>
      <c r="F475" s="734"/>
      <c r="G475" s="437"/>
    </row>
    <row r="476">
      <c r="A476" s="730"/>
      <c r="B476" s="731"/>
      <c r="C476" s="731"/>
      <c r="D476" s="1492"/>
      <c r="E476" s="437"/>
      <c r="F476" s="734"/>
      <c r="G476" s="437"/>
    </row>
    <row r="477">
      <c r="A477" s="730"/>
      <c r="B477" s="731"/>
      <c r="C477" s="731"/>
      <c r="D477" s="1492"/>
      <c r="E477" s="437"/>
      <c r="F477" s="734"/>
      <c r="G477" s="437"/>
    </row>
    <row r="478">
      <c r="A478" s="730"/>
      <c r="B478" s="731"/>
      <c r="C478" s="731"/>
      <c r="D478" s="1492"/>
      <c r="E478" s="437"/>
      <c r="F478" s="734"/>
      <c r="G478" s="437"/>
    </row>
    <row r="479">
      <c r="A479" s="730"/>
      <c r="B479" s="731"/>
      <c r="C479" s="731"/>
      <c r="D479" s="1492"/>
      <c r="E479" s="437"/>
      <c r="F479" s="734"/>
      <c r="G479" s="437"/>
    </row>
    <row r="480">
      <c r="A480" s="730"/>
      <c r="B480" s="731"/>
      <c r="C480" s="731"/>
      <c r="D480" s="1492"/>
      <c r="E480" s="437"/>
      <c r="F480" s="734"/>
      <c r="G480" s="437"/>
    </row>
    <row r="481">
      <c r="A481" s="730"/>
      <c r="B481" s="731"/>
      <c r="C481" s="731"/>
      <c r="D481" s="1492"/>
      <c r="E481" s="437"/>
      <c r="F481" s="734"/>
      <c r="G481" s="437"/>
    </row>
    <row r="482">
      <c r="A482" s="730"/>
      <c r="B482" s="731"/>
      <c r="C482" s="731"/>
      <c r="D482" s="1492"/>
      <c r="E482" s="437"/>
      <c r="F482" s="734"/>
      <c r="G482" s="437"/>
    </row>
    <row r="483">
      <c r="A483" s="730"/>
      <c r="B483" s="731"/>
      <c r="C483" s="731"/>
      <c r="D483" s="1492"/>
      <c r="E483" s="437"/>
      <c r="F483" s="734"/>
      <c r="G483" s="437"/>
    </row>
    <row r="484">
      <c r="A484" s="730"/>
      <c r="B484" s="731"/>
      <c r="C484" s="731"/>
      <c r="D484" s="1492"/>
      <c r="E484" s="437"/>
      <c r="F484" s="734"/>
      <c r="G484" s="437"/>
    </row>
    <row r="485">
      <c r="A485" s="730"/>
      <c r="B485" s="731"/>
      <c r="C485" s="731"/>
      <c r="D485" s="1492"/>
      <c r="E485" s="437"/>
      <c r="F485" s="734"/>
      <c r="G485" s="437"/>
    </row>
    <row r="486">
      <c r="A486" s="730"/>
      <c r="B486" s="731"/>
      <c r="C486" s="731"/>
      <c r="D486" s="1492"/>
      <c r="E486" s="437"/>
      <c r="F486" s="734"/>
      <c r="G486" s="437"/>
    </row>
    <row r="487">
      <c r="A487" s="730"/>
      <c r="B487" s="731"/>
      <c r="C487" s="731"/>
      <c r="D487" s="1492"/>
      <c r="E487" s="437"/>
      <c r="F487" s="734"/>
      <c r="G487" s="437"/>
    </row>
    <row r="488">
      <c r="A488" s="730"/>
      <c r="B488" s="731"/>
      <c r="C488" s="731"/>
      <c r="D488" s="1492"/>
      <c r="E488" s="437"/>
      <c r="F488" s="734"/>
      <c r="G488" s="437"/>
    </row>
    <row r="489">
      <c r="A489" s="730"/>
      <c r="B489" s="731"/>
      <c r="C489" s="731"/>
      <c r="D489" s="1492"/>
      <c r="E489" s="437"/>
      <c r="F489" s="734"/>
      <c r="G489" s="437"/>
    </row>
    <row r="490">
      <c r="A490" s="730"/>
      <c r="B490" s="731"/>
      <c r="C490" s="731"/>
      <c r="D490" s="1492"/>
      <c r="E490" s="437"/>
      <c r="F490" s="734"/>
      <c r="G490" s="437"/>
    </row>
    <row r="491">
      <c r="A491" s="730"/>
      <c r="B491" s="731"/>
      <c r="C491" s="731"/>
      <c r="D491" s="1492"/>
      <c r="E491" s="437"/>
      <c r="F491" s="734"/>
      <c r="G491" s="437"/>
    </row>
    <row r="492">
      <c r="A492" s="730"/>
      <c r="B492" s="731"/>
      <c r="C492" s="731"/>
      <c r="D492" s="1492"/>
      <c r="E492" s="437"/>
      <c r="F492" s="734"/>
      <c r="G492" s="437"/>
    </row>
    <row r="493">
      <c r="A493" s="730"/>
      <c r="B493" s="731"/>
      <c r="C493" s="731"/>
      <c r="D493" s="1492"/>
      <c r="E493" s="437"/>
      <c r="F493" s="734"/>
      <c r="G493" s="437"/>
    </row>
    <row r="494">
      <c r="A494" s="730"/>
      <c r="B494" s="731"/>
      <c r="C494" s="731"/>
      <c r="D494" s="1492"/>
      <c r="E494" s="437"/>
      <c r="F494" s="734"/>
      <c r="G494" s="437"/>
    </row>
    <row r="495">
      <c r="A495" s="730"/>
      <c r="B495" s="731"/>
      <c r="C495" s="731"/>
      <c r="D495" s="1492"/>
      <c r="E495" s="437"/>
      <c r="F495" s="734"/>
      <c r="G495" s="437"/>
    </row>
    <row r="496">
      <c r="A496" s="730"/>
      <c r="B496" s="731"/>
      <c r="C496" s="731"/>
      <c r="D496" s="1492"/>
      <c r="E496" s="437"/>
      <c r="F496" s="734"/>
      <c r="G496" s="437"/>
    </row>
    <row r="497">
      <c r="A497" s="730"/>
      <c r="B497" s="731"/>
      <c r="C497" s="731"/>
      <c r="D497" s="1492"/>
      <c r="E497" s="437"/>
      <c r="F497" s="734"/>
      <c r="G497" s="437"/>
    </row>
    <row r="498">
      <c r="A498" s="730"/>
      <c r="B498" s="731"/>
      <c r="C498" s="731"/>
      <c r="D498" s="1492"/>
      <c r="E498" s="437"/>
      <c r="F498" s="734"/>
      <c r="G498" s="437"/>
    </row>
    <row r="499">
      <c r="A499" s="730"/>
      <c r="B499" s="731"/>
      <c r="C499" s="731"/>
      <c r="D499" s="1492"/>
      <c r="E499" s="437"/>
      <c r="F499" s="734"/>
      <c r="G499" s="437"/>
    </row>
    <row r="500">
      <c r="A500" s="730"/>
      <c r="B500" s="731"/>
      <c r="C500" s="731"/>
      <c r="D500" s="1492"/>
      <c r="E500" s="437"/>
      <c r="F500" s="734"/>
      <c r="G500" s="437"/>
    </row>
    <row r="501">
      <c r="A501" s="730"/>
      <c r="B501" s="731"/>
      <c r="C501" s="731"/>
      <c r="D501" s="1492"/>
      <c r="E501" s="437"/>
      <c r="F501" s="734"/>
      <c r="G501" s="437"/>
    </row>
    <row r="502">
      <c r="A502" s="730"/>
      <c r="B502" s="731"/>
      <c r="C502" s="731"/>
      <c r="D502" s="1492"/>
      <c r="E502" s="437"/>
      <c r="F502" s="734"/>
      <c r="G502" s="437"/>
    </row>
    <row r="503">
      <c r="A503" s="730"/>
      <c r="B503" s="731"/>
      <c r="C503" s="731"/>
      <c r="D503" s="1492"/>
      <c r="E503" s="437"/>
      <c r="F503" s="734"/>
      <c r="G503" s="437"/>
    </row>
    <row r="504">
      <c r="A504" s="730"/>
      <c r="B504" s="731"/>
      <c r="C504" s="731"/>
      <c r="D504" s="1492"/>
      <c r="E504" s="437"/>
      <c r="F504" s="734"/>
      <c r="G504" s="437"/>
    </row>
    <row r="505">
      <c r="A505" s="730"/>
      <c r="B505" s="731"/>
      <c r="C505" s="731"/>
      <c r="D505" s="1492"/>
      <c r="E505" s="437"/>
      <c r="F505" s="734"/>
      <c r="G505" s="437"/>
    </row>
    <row r="506">
      <c r="A506" s="730"/>
      <c r="B506" s="731"/>
      <c r="C506" s="731"/>
      <c r="D506" s="1492"/>
      <c r="E506" s="437"/>
      <c r="F506" s="734"/>
      <c r="G506" s="437"/>
    </row>
    <row r="507">
      <c r="A507" s="730"/>
      <c r="B507" s="731"/>
      <c r="C507" s="731"/>
      <c r="D507" s="1492"/>
      <c r="E507" s="437"/>
      <c r="F507" s="734"/>
      <c r="G507" s="437"/>
    </row>
    <row r="508">
      <c r="A508" s="730"/>
      <c r="B508" s="731"/>
      <c r="C508" s="731"/>
      <c r="D508" s="1492"/>
      <c r="E508" s="437"/>
      <c r="F508" s="734"/>
      <c r="G508" s="437"/>
    </row>
    <row r="509">
      <c r="A509" s="730"/>
      <c r="B509" s="731"/>
      <c r="C509" s="731"/>
      <c r="D509" s="1492"/>
      <c r="E509" s="437"/>
      <c r="F509" s="734"/>
      <c r="G509" s="437"/>
    </row>
    <row r="510">
      <c r="A510" s="730"/>
      <c r="B510" s="731"/>
      <c r="C510" s="731"/>
      <c r="D510" s="1492"/>
      <c r="E510" s="437"/>
      <c r="F510" s="734"/>
      <c r="G510" s="437"/>
    </row>
    <row r="511">
      <c r="A511" s="730"/>
      <c r="B511" s="731"/>
      <c r="C511" s="731"/>
      <c r="D511" s="1492"/>
      <c r="E511" s="437"/>
      <c r="F511" s="734"/>
      <c r="G511" s="437"/>
    </row>
    <row r="512">
      <c r="A512" s="730"/>
      <c r="B512" s="731"/>
      <c r="C512" s="731"/>
      <c r="D512" s="1492"/>
      <c r="E512" s="437"/>
      <c r="F512" s="734"/>
      <c r="G512" s="437"/>
    </row>
    <row r="513">
      <c r="A513" s="730"/>
      <c r="B513" s="731"/>
      <c r="C513" s="731"/>
      <c r="D513" s="1492"/>
      <c r="E513" s="437"/>
      <c r="F513" s="734"/>
      <c r="G513" s="437"/>
    </row>
    <row r="514">
      <c r="A514" s="730"/>
      <c r="B514" s="731"/>
      <c r="C514" s="731"/>
      <c r="D514" s="1492"/>
      <c r="E514" s="437"/>
      <c r="F514" s="734"/>
      <c r="G514" s="437"/>
    </row>
    <row r="515">
      <c r="A515" s="730"/>
      <c r="B515" s="731"/>
      <c r="C515" s="731"/>
      <c r="D515" s="1492"/>
      <c r="E515" s="437"/>
      <c r="F515" s="734"/>
      <c r="G515" s="437"/>
    </row>
    <row r="516">
      <c r="A516" s="730"/>
      <c r="B516" s="731"/>
      <c r="C516" s="731"/>
      <c r="D516" s="1492"/>
      <c r="E516" s="437"/>
      <c r="F516" s="734"/>
      <c r="G516" s="437"/>
    </row>
    <row r="517">
      <c r="A517" s="730"/>
      <c r="B517" s="731"/>
      <c r="C517" s="731"/>
      <c r="D517" s="1492"/>
      <c r="E517" s="437"/>
      <c r="F517" s="734"/>
      <c r="G517" s="437"/>
    </row>
    <row r="518">
      <c r="A518" s="730"/>
      <c r="B518" s="731"/>
      <c r="C518" s="731"/>
      <c r="D518" s="1492"/>
      <c r="E518" s="437"/>
      <c r="F518" s="734"/>
      <c r="G518" s="437"/>
    </row>
    <row r="519">
      <c r="A519" s="730"/>
      <c r="B519" s="731"/>
      <c r="C519" s="731"/>
      <c r="D519" s="1492"/>
      <c r="E519" s="437"/>
      <c r="F519" s="734"/>
      <c r="G519" s="437"/>
    </row>
    <row r="520">
      <c r="A520" s="730"/>
      <c r="B520" s="731"/>
      <c r="C520" s="731"/>
      <c r="D520" s="1492"/>
      <c r="E520" s="437"/>
      <c r="F520" s="734"/>
      <c r="G520" s="437"/>
    </row>
    <row r="521">
      <c r="A521" s="730"/>
      <c r="B521" s="731"/>
      <c r="C521" s="731"/>
      <c r="D521" s="1492"/>
      <c r="E521" s="437"/>
      <c r="F521" s="734"/>
      <c r="G521" s="437"/>
    </row>
    <row r="522">
      <c r="A522" s="730"/>
      <c r="B522" s="731"/>
      <c r="C522" s="731"/>
      <c r="D522" s="1492"/>
      <c r="E522" s="437"/>
      <c r="F522" s="734"/>
      <c r="G522" s="437"/>
    </row>
    <row r="523">
      <c r="A523" s="730"/>
      <c r="B523" s="731"/>
      <c r="C523" s="731"/>
      <c r="D523" s="1492"/>
      <c r="E523" s="437"/>
      <c r="F523" s="734"/>
      <c r="G523" s="437"/>
    </row>
    <row r="524">
      <c r="A524" s="730"/>
      <c r="B524" s="731"/>
      <c r="C524" s="731"/>
      <c r="D524" s="1492"/>
      <c r="E524" s="437"/>
      <c r="F524" s="734"/>
      <c r="G524" s="437"/>
    </row>
    <row r="525">
      <c r="A525" s="730"/>
      <c r="B525" s="731"/>
      <c r="C525" s="731"/>
      <c r="D525" s="1492"/>
      <c r="E525" s="437"/>
      <c r="F525" s="734"/>
      <c r="G525" s="437"/>
    </row>
    <row r="526">
      <c r="A526" s="730"/>
      <c r="B526" s="731"/>
      <c r="C526" s="731"/>
      <c r="D526" s="1492"/>
      <c r="E526" s="437"/>
      <c r="F526" s="734"/>
      <c r="G526" s="437"/>
    </row>
    <row r="527">
      <c r="A527" s="730"/>
      <c r="B527" s="731"/>
      <c r="C527" s="731"/>
      <c r="D527" s="1492"/>
      <c r="E527" s="437"/>
      <c r="F527" s="734"/>
      <c r="G527" s="437"/>
    </row>
    <row r="528">
      <c r="A528" s="730"/>
      <c r="B528" s="731"/>
      <c r="C528" s="731"/>
      <c r="D528" s="1492"/>
      <c r="E528" s="437"/>
      <c r="F528" s="734"/>
      <c r="G528" s="437"/>
    </row>
    <row r="529">
      <c r="A529" s="730"/>
      <c r="B529" s="731"/>
      <c r="C529" s="731"/>
      <c r="D529" s="1492"/>
      <c r="E529" s="437"/>
      <c r="F529" s="734"/>
      <c r="G529" s="437"/>
    </row>
    <row r="530">
      <c r="A530" s="730"/>
      <c r="B530" s="731"/>
      <c r="C530" s="731"/>
      <c r="D530" s="1492"/>
      <c r="E530" s="437"/>
      <c r="F530" s="734"/>
      <c r="G530" s="437"/>
    </row>
    <row r="531">
      <c r="A531" s="730"/>
      <c r="B531" s="731"/>
      <c r="C531" s="731"/>
      <c r="D531" s="1492"/>
      <c r="E531" s="437"/>
      <c r="F531" s="734"/>
      <c r="G531" s="437"/>
    </row>
    <row r="532">
      <c r="A532" s="730"/>
      <c r="B532" s="731"/>
      <c r="C532" s="731"/>
      <c r="D532" s="1492"/>
      <c r="E532" s="437"/>
      <c r="F532" s="734"/>
      <c r="G532" s="437"/>
    </row>
    <row r="533">
      <c r="A533" s="730"/>
      <c r="B533" s="731"/>
      <c r="C533" s="731"/>
      <c r="D533" s="1492"/>
      <c r="E533" s="437"/>
      <c r="F533" s="734"/>
      <c r="G533" s="437"/>
    </row>
    <row r="534">
      <c r="A534" s="730"/>
      <c r="B534" s="731"/>
      <c r="C534" s="731"/>
      <c r="D534" s="1492"/>
      <c r="E534" s="437"/>
      <c r="F534" s="734"/>
      <c r="G534" s="437"/>
    </row>
    <row r="535">
      <c r="A535" s="730"/>
      <c r="B535" s="731"/>
      <c r="C535" s="731"/>
      <c r="D535" s="1492"/>
      <c r="E535" s="437"/>
      <c r="F535" s="734"/>
      <c r="G535" s="437"/>
    </row>
    <row r="536">
      <c r="A536" s="730"/>
      <c r="B536" s="731"/>
      <c r="C536" s="731"/>
      <c r="D536" s="1492"/>
      <c r="E536" s="437"/>
      <c r="F536" s="734"/>
      <c r="G536" s="437"/>
    </row>
    <row r="537">
      <c r="A537" s="730"/>
      <c r="B537" s="731"/>
      <c r="C537" s="731"/>
      <c r="D537" s="1492"/>
      <c r="E537" s="437"/>
      <c r="F537" s="734"/>
      <c r="G537" s="437"/>
    </row>
    <row r="538">
      <c r="A538" s="730"/>
      <c r="B538" s="731"/>
      <c r="C538" s="731"/>
      <c r="D538" s="1492"/>
      <c r="E538" s="437"/>
      <c r="F538" s="734"/>
      <c r="G538" s="437"/>
    </row>
    <row r="539">
      <c r="A539" s="730"/>
      <c r="B539" s="731"/>
      <c r="C539" s="731"/>
      <c r="D539" s="1492"/>
      <c r="E539" s="437"/>
      <c r="F539" s="734"/>
      <c r="G539" s="437"/>
    </row>
    <row r="540">
      <c r="A540" s="730"/>
      <c r="B540" s="731"/>
      <c r="C540" s="731"/>
      <c r="D540" s="1492"/>
      <c r="E540" s="437"/>
      <c r="F540" s="734"/>
      <c r="G540" s="437"/>
    </row>
    <row r="541">
      <c r="A541" s="730"/>
      <c r="B541" s="731"/>
      <c r="C541" s="731"/>
      <c r="D541" s="1492"/>
      <c r="E541" s="437"/>
      <c r="F541" s="734"/>
      <c r="G541" s="437"/>
    </row>
    <row r="542">
      <c r="A542" s="730"/>
      <c r="B542" s="731"/>
      <c r="C542" s="731"/>
      <c r="D542" s="1492"/>
      <c r="E542" s="437"/>
      <c r="F542" s="734"/>
      <c r="G542" s="437"/>
    </row>
    <row r="543">
      <c r="A543" s="730"/>
      <c r="B543" s="731"/>
      <c r="C543" s="731"/>
      <c r="D543" s="1492"/>
      <c r="E543" s="437"/>
      <c r="F543" s="734"/>
      <c r="G543" s="437"/>
    </row>
    <row r="544">
      <c r="A544" s="730"/>
      <c r="B544" s="731"/>
      <c r="C544" s="731"/>
      <c r="D544" s="1492"/>
      <c r="E544" s="437"/>
      <c r="F544" s="734"/>
      <c r="G544" s="437"/>
    </row>
    <row r="545">
      <c r="A545" s="730"/>
      <c r="B545" s="731"/>
      <c r="C545" s="731"/>
      <c r="D545" s="1492"/>
      <c r="E545" s="437"/>
      <c r="F545" s="734"/>
      <c r="G545" s="437"/>
    </row>
    <row r="546">
      <c r="A546" s="730"/>
      <c r="B546" s="731"/>
      <c r="C546" s="731"/>
      <c r="D546" s="1492"/>
      <c r="E546" s="437"/>
      <c r="F546" s="734"/>
      <c r="G546" s="437"/>
    </row>
    <row r="547">
      <c r="A547" s="730"/>
      <c r="B547" s="731"/>
      <c r="C547" s="731"/>
      <c r="D547" s="1492"/>
      <c r="E547" s="437"/>
      <c r="F547" s="734"/>
      <c r="G547" s="437"/>
    </row>
    <row r="548">
      <c r="A548" s="730"/>
      <c r="B548" s="731"/>
      <c r="C548" s="731"/>
      <c r="D548" s="1492"/>
      <c r="E548" s="437"/>
      <c r="F548" s="734"/>
      <c r="G548" s="437"/>
    </row>
    <row r="549">
      <c r="A549" s="730"/>
      <c r="B549" s="731"/>
      <c r="C549" s="731"/>
      <c r="D549" s="1492"/>
      <c r="E549" s="437"/>
      <c r="F549" s="734"/>
      <c r="G549" s="437"/>
    </row>
    <row r="550">
      <c r="A550" s="730"/>
      <c r="B550" s="731"/>
      <c r="C550" s="731"/>
      <c r="D550" s="1492"/>
      <c r="E550" s="437"/>
      <c r="F550" s="734"/>
      <c r="G550" s="437"/>
    </row>
    <row r="551">
      <c r="A551" s="730"/>
      <c r="B551" s="731"/>
      <c r="C551" s="731"/>
      <c r="D551" s="1492"/>
      <c r="E551" s="437"/>
      <c r="F551" s="734"/>
      <c r="G551" s="437"/>
    </row>
    <row r="552">
      <c r="A552" s="730"/>
      <c r="B552" s="731"/>
      <c r="C552" s="731"/>
      <c r="D552" s="1492"/>
      <c r="E552" s="437"/>
      <c r="F552" s="734"/>
      <c r="G552" s="437"/>
    </row>
    <row r="553">
      <c r="A553" s="730"/>
      <c r="B553" s="731"/>
      <c r="C553" s="731"/>
      <c r="D553" s="1492"/>
      <c r="E553" s="437"/>
      <c r="F553" s="734"/>
      <c r="G553" s="437"/>
    </row>
    <row r="554">
      <c r="A554" s="730"/>
      <c r="B554" s="731"/>
      <c r="C554" s="731"/>
      <c r="D554" s="1492"/>
      <c r="E554" s="437"/>
      <c r="F554" s="734"/>
      <c r="G554" s="437"/>
    </row>
    <row r="555">
      <c r="A555" s="730"/>
      <c r="B555" s="731"/>
      <c r="C555" s="731"/>
      <c r="D555" s="1492"/>
      <c r="E555" s="437"/>
      <c r="F555" s="734"/>
      <c r="G555" s="437"/>
    </row>
    <row r="556">
      <c r="A556" s="730"/>
      <c r="B556" s="731"/>
      <c r="C556" s="731"/>
      <c r="D556" s="1492"/>
      <c r="E556" s="437"/>
      <c r="F556" s="734"/>
      <c r="G556" s="437"/>
    </row>
    <row r="557">
      <c r="A557" s="730"/>
      <c r="B557" s="731"/>
      <c r="C557" s="731"/>
      <c r="D557" s="1492"/>
      <c r="E557" s="437"/>
      <c r="F557" s="734"/>
      <c r="G557" s="437"/>
    </row>
    <row r="558">
      <c r="A558" s="730"/>
      <c r="B558" s="731"/>
      <c r="C558" s="731"/>
      <c r="D558" s="1492"/>
      <c r="E558" s="437"/>
      <c r="F558" s="734"/>
      <c r="G558" s="437"/>
    </row>
    <row r="559">
      <c r="A559" s="730"/>
      <c r="B559" s="731"/>
      <c r="C559" s="731"/>
      <c r="D559" s="1492"/>
      <c r="E559" s="437"/>
      <c r="F559" s="734"/>
      <c r="G559" s="437"/>
    </row>
    <row r="560">
      <c r="A560" s="730"/>
      <c r="B560" s="731"/>
      <c r="C560" s="731"/>
      <c r="D560" s="1492"/>
      <c r="E560" s="437"/>
      <c r="F560" s="734"/>
      <c r="G560" s="437"/>
    </row>
    <row r="561">
      <c r="A561" s="730"/>
      <c r="B561" s="731"/>
      <c r="C561" s="731"/>
      <c r="D561" s="1492"/>
      <c r="E561" s="437"/>
      <c r="F561" s="734"/>
      <c r="G561" s="437"/>
    </row>
    <row r="562">
      <c r="A562" s="730"/>
      <c r="B562" s="731"/>
      <c r="C562" s="731"/>
      <c r="D562" s="1492"/>
      <c r="E562" s="437"/>
      <c r="F562" s="734"/>
      <c r="G562" s="437"/>
    </row>
    <row r="563">
      <c r="A563" s="730"/>
      <c r="B563" s="731"/>
      <c r="C563" s="731"/>
      <c r="D563" s="1492"/>
      <c r="E563" s="437"/>
      <c r="F563" s="734"/>
      <c r="G563" s="437"/>
    </row>
    <row r="564">
      <c r="A564" s="730"/>
      <c r="B564" s="731"/>
      <c r="C564" s="731"/>
      <c r="D564" s="1492"/>
      <c r="E564" s="437"/>
      <c r="F564" s="734"/>
      <c r="G564" s="437"/>
    </row>
    <row r="565">
      <c r="A565" s="730"/>
      <c r="B565" s="731"/>
      <c r="C565" s="731"/>
      <c r="D565" s="1492"/>
      <c r="E565" s="437"/>
      <c r="F565" s="734"/>
      <c r="G565" s="437"/>
    </row>
    <row r="566">
      <c r="A566" s="730"/>
      <c r="B566" s="731"/>
      <c r="C566" s="731"/>
      <c r="D566" s="1492"/>
      <c r="E566" s="437"/>
      <c r="F566" s="734"/>
      <c r="G566" s="437"/>
    </row>
    <row r="567">
      <c r="A567" s="730"/>
      <c r="B567" s="731"/>
      <c r="C567" s="731"/>
      <c r="D567" s="1492"/>
      <c r="E567" s="437"/>
      <c r="F567" s="734"/>
      <c r="G567" s="437"/>
    </row>
    <row r="568">
      <c r="A568" s="730"/>
      <c r="B568" s="731"/>
      <c r="C568" s="731"/>
      <c r="D568" s="1492"/>
      <c r="E568" s="437"/>
      <c r="F568" s="734"/>
      <c r="G568" s="437"/>
    </row>
    <row r="569">
      <c r="A569" s="730"/>
      <c r="B569" s="731"/>
      <c r="C569" s="731"/>
      <c r="D569" s="1492"/>
      <c r="E569" s="437"/>
      <c r="F569" s="734"/>
      <c r="G569" s="437"/>
    </row>
    <row r="570">
      <c r="A570" s="730"/>
      <c r="B570" s="731"/>
      <c r="C570" s="731"/>
      <c r="D570" s="1492"/>
      <c r="E570" s="437"/>
      <c r="F570" s="734"/>
      <c r="G570" s="437"/>
    </row>
    <row r="571">
      <c r="A571" s="730"/>
      <c r="B571" s="731"/>
      <c r="C571" s="731"/>
      <c r="D571" s="1492"/>
      <c r="E571" s="437"/>
      <c r="F571" s="734"/>
      <c r="G571" s="437"/>
    </row>
    <row r="572">
      <c r="A572" s="730"/>
      <c r="B572" s="731"/>
      <c r="C572" s="731"/>
      <c r="D572" s="1492"/>
      <c r="E572" s="437"/>
      <c r="F572" s="734"/>
      <c r="G572" s="437"/>
    </row>
    <row r="573">
      <c r="A573" s="730"/>
      <c r="B573" s="731"/>
      <c r="C573" s="731"/>
      <c r="D573" s="1492"/>
      <c r="E573" s="437"/>
      <c r="F573" s="734"/>
      <c r="G573" s="437"/>
    </row>
    <row r="574">
      <c r="A574" s="730"/>
      <c r="B574" s="731"/>
      <c r="C574" s="731"/>
      <c r="D574" s="1492"/>
      <c r="E574" s="437"/>
      <c r="F574" s="734"/>
      <c r="G574" s="437"/>
    </row>
    <row r="575">
      <c r="A575" s="730"/>
      <c r="B575" s="731"/>
      <c r="C575" s="731"/>
      <c r="D575" s="1492"/>
      <c r="E575" s="437"/>
      <c r="F575" s="734"/>
      <c r="G575" s="437"/>
    </row>
    <row r="576">
      <c r="A576" s="730"/>
      <c r="B576" s="731"/>
      <c r="C576" s="731"/>
      <c r="D576" s="1492"/>
      <c r="E576" s="437"/>
      <c r="F576" s="734"/>
      <c r="G576" s="437"/>
    </row>
    <row r="577">
      <c r="A577" s="730"/>
      <c r="B577" s="731"/>
      <c r="C577" s="731"/>
      <c r="D577" s="1492"/>
      <c r="E577" s="437"/>
      <c r="F577" s="734"/>
      <c r="G577" s="437"/>
    </row>
    <row r="578">
      <c r="A578" s="730"/>
      <c r="B578" s="731"/>
      <c r="C578" s="731"/>
      <c r="D578" s="1492"/>
      <c r="E578" s="437"/>
      <c r="F578" s="734"/>
      <c r="G578" s="437"/>
    </row>
    <row r="579">
      <c r="A579" s="730"/>
      <c r="B579" s="731"/>
      <c r="C579" s="731"/>
      <c r="D579" s="1492"/>
      <c r="E579" s="437"/>
      <c r="F579" s="734"/>
      <c r="G579" s="437"/>
    </row>
    <row r="580">
      <c r="A580" s="730"/>
      <c r="B580" s="731"/>
      <c r="C580" s="731"/>
      <c r="D580" s="1492"/>
      <c r="E580" s="437"/>
      <c r="F580" s="734"/>
      <c r="G580" s="437"/>
    </row>
    <row r="581">
      <c r="A581" s="730"/>
      <c r="B581" s="731"/>
      <c r="C581" s="731"/>
      <c r="D581" s="1492"/>
      <c r="E581" s="437"/>
      <c r="F581" s="734"/>
      <c r="G581" s="437"/>
    </row>
    <row r="582">
      <c r="A582" s="730"/>
      <c r="B582" s="731"/>
      <c r="C582" s="731"/>
      <c r="D582" s="1492"/>
      <c r="E582" s="437"/>
      <c r="F582" s="734"/>
      <c r="G582" s="437"/>
    </row>
    <row r="583">
      <c r="A583" s="730"/>
      <c r="B583" s="731"/>
      <c r="C583" s="731"/>
      <c r="D583" s="1492"/>
      <c r="E583" s="437"/>
      <c r="F583" s="734"/>
      <c r="G583" s="437"/>
    </row>
    <row r="584">
      <c r="A584" s="730"/>
      <c r="B584" s="731"/>
      <c r="C584" s="731"/>
      <c r="D584" s="1492"/>
      <c r="E584" s="437"/>
      <c r="F584" s="734"/>
      <c r="G584" s="437"/>
    </row>
    <row r="585">
      <c r="A585" s="730"/>
      <c r="B585" s="731"/>
      <c r="C585" s="731"/>
      <c r="D585" s="1492"/>
      <c r="E585" s="437"/>
      <c r="F585" s="734"/>
      <c r="G585" s="437"/>
    </row>
    <row r="586">
      <c r="A586" s="730"/>
      <c r="B586" s="731"/>
      <c r="C586" s="731"/>
      <c r="D586" s="1492"/>
      <c r="E586" s="437"/>
      <c r="F586" s="734"/>
      <c r="G586" s="437"/>
    </row>
    <row r="587">
      <c r="A587" s="730"/>
      <c r="B587" s="731"/>
      <c r="C587" s="731"/>
      <c r="D587" s="1492"/>
      <c r="E587" s="437"/>
      <c r="F587" s="734"/>
      <c r="G587" s="437"/>
    </row>
    <row r="588">
      <c r="A588" s="730"/>
      <c r="B588" s="731"/>
      <c r="C588" s="731"/>
      <c r="D588" s="1492"/>
      <c r="E588" s="437"/>
      <c r="F588" s="734"/>
      <c r="G588" s="437"/>
    </row>
    <row r="589">
      <c r="A589" s="730"/>
      <c r="B589" s="731"/>
      <c r="C589" s="731"/>
      <c r="D589" s="1492"/>
      <c r="E589" s="437"/>
      <c r="F589" s="734"/>
      <c r="G589" s="437"/>
    </row>
    <row r="590">
      <c r="A590" s="730"/>
      <c r="B590" s="731"/>
      <c r="C590" s="731"/>
      <c r="D590" s="1492"/>
      <c r="E590" s="437"/>
      <c r="F590" s="734"/>
      <c r="G590" s="437"/>
    </row>
    <row r="591">
      <c r="A591" s="730"/>
      <c r="B591" s="731"/>
      <c r="C591" s="731"/>
      <c r="D591" s="1492"/>
      <c r="E591" s="437"/>
      <c r="F591" s="734"/>
      <c r="G591" s="437"/>
    </row>
    <row r="592">
      <c r="A592" s="730"/>
      <c r="B592" s="731"/>
      <c r="C592" s="731"/>
      <c r="D592" s="1492"/>
      <c r="E592" s="437"/>
      <c r="F592" s="734"/>
      <c r="G592" s="437"/>
    </row>
    <row r="593">
      <c r="A593" s="730"/>
      <c r="B593" s="731"/>
      <c r="C593" s="731"/>
      <c r="D593" s="1492"/>
      <c r="E593" s="437"/>
      <c r="F593" s="734"/>
      <c r="G593" s="437"/>
    </row>
    <row r="594">
      <c r="A594" s="730"/>
      <c r="B594" s="731"/>
      <c r="C594" s="731"/>
      <c r="D594" s="1492"/>
      <c r="E594" s="437"/>
      <c r="F594" s="734"/>
      <c r="G594" s="437"/>
    </row>
    <row r="595">
      <c r="A595" s="730"/>
      <c r="B595" s="731"/>
      <c r="C595" s="731"/>
      <c r="D595" s="1492"/>
      <c r="E595" s="437"/>
      <c r="F595" s="734"/>
      <c r="G595" s="437"/>
    </row>
    <row r="596">
      <c r="A596" s="730"/>
      <c r="B596" s="731"/>
      <c r="C596" s="731"/>
      <c r="D596" s="1492"/>
      <c r="E596" s="437"/>
      <c r="F596" s="734"/>
      <c r="G596" s="437"/>
    </row>
    <row r="597">
      <c r="A597" s="730"/>
      <c r="B597" s="731"/>
      <c r="C597" s="731"/>
      <c r="D597" s="1492"/>
      <c r="E597" s="437"/>
      <c r="F597" s="734"/>
      <c r="G597" s="437"/>
    </row>
    <row r="598">
      <c r="A598" s="730"/>
      <c r="B598" s="731"/>
      <c r="C598" s="731"/>
      <c r="D598" s="1492"/>
      <c r="E598" s="437"/>
      <c r="F598" s="734"/>
      <c r="G598" s="437"/>
    </row>
    <row r="599">
      <c r="A599" s="730"/>
      <c r="B599" s="731"/>
      <c r="C599" s="731"/>
      <c r="D599" s="1492"/>
      <c r="E599" s="437"/>
      <c r="F599" s="734"/>
      <c r="G599" s="437"/>
    </row>
    <row r="600">
      <c r="A600" s="730"/>
      <c r="B600" s="731"/>
      <c r="C600" s="731"/>
      <c r="D600" s="1492"/>
      <c r="E600" s="437"/>
      <c r="F600" s="734"/>
      <c r="G600" s="437"/>
    </row>
    <row r="601">
      <c r="A601" s="730"/>
      <c r="B601" s="731"/>
      <c r="C601" s="731"/>
      <c r="D601" s="1492"/>
      <c r="E601" s="437"/>
      <c r="F601" s="734"/>
      <c r="G601" s="437"/>
    </row>
    <row r="602">
      <c r="A602" s="730"/>
      <c r="B602" s="731"/>
      <c r="C602" s="731"/>
      <c r="D602" s="1492"/>
      <c r="E602" s="437"/>
      <c r="F602" s="734"/>
      <c r="G602" s="437"/>
    </row>
    <row r="603">
      <c r="A603" s="730"/>
      <c r="B603" s="731"/>
      <c r="C603" s="731"/>
      <c r="D603" s="1492"/>
      <c r="E603" s="437"/>
      <c r="F603" s="734"/>
      <c r="G603" s="437"/>
    </row>
    <row r="604">
      <c r="A604" s="730"/>
      <c r="B604" s="731"/>
      <c r="C604" s="731"/>
      <c r="D604" s="1492"/>
      <c r="E604" s="437"/>
      <c r="F604" s="734"/>
      <c r="G604" s="437"/>
    </row>
    <row r="605">
      <c r="A605" s="730"/>
      <c r="B605" s="731"/>
      <c r="C605" s="731"/>
      <c r="D605" s="1492"/>
      <c r="E605" s="437"/>
      <c r="F605" s="734"/>
      <c r="G605" s="437"/>
    </row>
    <row r="606">
      <c r="A606" s="730"/>
      <c r="B606" s="731"/>
      <c r="C606" s="731"/>
      <c r="D606" s="1492"/>
      <c r="E606" s="437"/>
      <c r="F606" s="734"/>
      <c r="G606" s="437"/>
    </row>
    <row r="607">
      <c r="A607" s="730"/>
      <c r="B607" s="731"/>
      <c r="C607" s="731"/>
      <c r="D607" s="1492"/>
      <c r="E607" s="437"/>
      <c r="F607" s="734"/>
      <c r="G607" s="437"/>
    </row>
    <row r="608">
      <c r="A608" s="730"/>
      <c r="B608" s="731"/>
      <c r="C608" s="731"/>
      <c r="D608" s="1492"/>
      <c r="E608" s="437"/>
      <c r="F608" s="734"/>
      <c r="G608" s="437"/>
    </row>
    <row r="609">
      <c r="A609" s="730"/>
      <c r="B609" s="731"/>
      <c r="C609" s="731"/>
      <c r="D609" s="1492"/>
      <c r="E609" s="437"/>
      <c r="F609" s="734"/>
      <c r="G609" s="437"/>
    </row>
    <row r="610">
      <c r="A610" s="730"/>
      <c r="B610" s="731"/>
      <c r="C610" s="731"/>
      <c r="D610" s="1492"/>
      <c r="E610" s="437"/>
      <c r="F610" s="734"/>
      <c r="G610" s="437"/>
    </row>
    <row r="611">
      <c r="A611" s="730"/>
      <c r="B611" s="731"/>
      <c r="C611" s="731"/>
      <c r="D611" s="1492"/>
      <c r="E611" s="437"/>
      <c r="F611" s="734"/>
      <c r="G611" s="437"/>
    </row>
    <row r="612">
      <c r="A612" s="730"/>
      <c r="B612" s="731"/>
      <c r="C612" s="731"/>
      <c r="D612" s="1492"/>
      <c r="E612" s="437"/>
      <c r="F612" s="734"/>
      <c r="G612" s="437"/>
    </row>
    <row r="613">
      <c r="A613" s="730"/>
      <c r="B613" s="731"/>
      <c r="C613" s="731"/>
      <c r="D613" s="1492"/>
      <c r="E613" s="437"/>
      <c r="F613" s="734"/>
      <c r="G613" s="437"/>
    </row>
    <row r="614">
      <c r="A614" s="730"/>
      <c r="B614" s="731"/>
      <c r="C614" s="731"/>
      <c r="D614" s="1492"/>
      <c r="E614" s="437"/>
      <c r="F614" s="734"/>
      <c r="G614" s="437"/>
    </row>
    <row r="615">
      <c r="A615" s="730"/>
      <c r="B615" s="731"/>
      <c r="C615" s="731"/>
      <c r="D615" s="1492"/>
      <c r="E615" s="437"/>
      <c r="F615" s="734"/>
      <c r="G615" s="437"/>
    </row>
    <row r="616">
      <c r="A616" s="730"/>
      <c r="B616" s="731"/>
      <c r="C616" s="731"/>
      <c r="D616" s="1492"/>
      <c r="E616" s="437"/>
      <c r="F616" s="734"/>
      <c r="G616" s="437"/>
    </row>
    <row r="617">
      <c r="A617" s="730"/>
      <c r="B617" s="731"/>
      <c r="C617" s="731"/>
      <c r="D617" s="1492"/>
      <c r="E617" s="437"/>
      <c r="F617" s="734"/>
      <c r="G617" s="437"/>
    </row>
    <row r="618">
      <c r="A618" s="730"/>
      <c r="B618" s="731"/>
      <c r="C618" s="731"/>
      <c r="D618" s="1492"/>
      <c r="E618" s="437"/>
      <c r="F618" s="734"/>
      <c r="G618" s="437"/>
    </row>
    <row r="619">
      <c r="A619" s="730"/>
      <c r="B619" s="731"/>
      <c r="C619" s="731"/>
      <c r="D619" s="1492"/>
      <c r="E619" s="437"/>
      <c r="F619" s="734"/>
      <c r="G619" s="437"/>
    </row>
    <row r="620">
      <c r="A620" s="730"/>
      <c r="B620" s="731"/>
      <c r="C620" s="731"/>
      <c r="D620" s="1492"/>
      <c r="E620" s="437"/>
      <c r="F620" s="734"/>
      <c r="G620" s="437"/>
    </row>
    <row r="621">
      <c r="A621" s="730"/>
      <c r="B621" s="731"/>
      <c r="C621" s="731"/>
      <c r="D621" s="1492"/>
      <c r="E621" s="437"/>
      <c r="F621" s="734"/>
      <c r="G621" s="437"/>
    </row>
    <row r="622">
      <c r="A622" s="730"/>
      <c r="B622" s="731"/>
      <c r="C622" s="731"/>
      <c r="D622" s="1492"/>
      <c r="E622" s="437"/>
      <c r="F622" s="734"/>
      <c r="G622" s="437"/>
    </row>
    <row r="623">
      <c r="A623" s="730"/>
      <c r="B623" s="731"/>
      <c r="C623" s="731"/>
      <c r="D623" s="1492"/>
      <c r="E623" s="437"/>
      <c r="F623" s="734"/>
      <c r="G623" s="437"/>
    </row>
    <row r="624">
      <c r="A624" s="730"/>
      <c r="B624" s="731"/>
      <c r="C624" s="731"/>
      <c r="D624" s="1492"/>
      <c r="E624" s="437"/>
      <c r="F624" s="734"/>
      <c r="G624" s="437"/>
    </row>
    <row r="625">
      <c r="A625" s="730"/>
      <c r="B625" s="731"/>
      <c r="C625" s="731"/>
      <c r="D625" s="1492"/>
      <c r="E625" s="437"/>
      <c r="F625" s="734"/>
      <c r="G625" s="437"/>
    </row>
    <row r="626">
      <c r="A626" s="730"/>
      <c r="B626" s="731"/>
      <c r="C626" s="731"/>
      <c r="D626" s="1492"/>
      <c r="E626" s="437"/>
      <c r="F626" s="734"/>
      <c r="G626" s="437"/>
    </row>
    <row r="627">
      <c r="A627" s="730"/>
      <c r="B627" s="731"/>
      <c r="C627" s="731"/>
      <c r="D627" s="1492"/>
      <c r="E627" s="437"/>
      <c r="F627" s="734"/>
      <c r="G627" s="437"/>
    </row>
    <row r="628">
      <c r="A628" s="730"/>
      <c r="B628" s="731"/>
      <c r="C628" s="731"/>
      <c r="D628" s="1492"/>
      <c r="E628" s="437"/>
      <c r="F628" s="734"/>
      <c r="G628" s="437"/>
    </row>
    <row r="629">
      <c r="A629" s="730"/>
      <c r="B629" s="731"/>
      <c r="C629" s="731"/>
      <c r="D629" s="1492"/>
      <c r="E629" s="437"/>
      <c r="F629" s="734"/>
      <c r="G629" s="437"/>
    </row>
    <row r="630">
      <c r="A630" s="730"/>
      <c r="B630" s="731"/>
      <c r="C630" s="731"/>
      <c r="D630" s="1492"/>
      <c r="E630" s="437"/>
      <c r="F630" s="734"/>
      <c r="G630" s="437"/>
    </row>
    <row r="631">
      <c r="A631" s="730"/>
      <c r="B631" s="731"/>
      <c r="C631" s="731"/>
      <c r="D631" s="1492"/>
      <c r="E631" s="437"/>
      <c r="F631" s="734"/>
      <c r="G631" s="437"/>
    </row>
    <row r="632">
      <c r="A632" s="730"/>
      <c r="B632" s="731"/>
      <c r="C632" s="731"/>
      <c r="D632" s="1492"/>
      <c r="E632" s="437"/>
      <c r="F632" s="734"/>
      <c r="G632" s="437"/>
    </row>
    <row r="633">
      <c r="A633" s="730"/>
      <c r="B633" s="731"/>
      <c r="C633" s="731"/>
      <c r="D633" s="1492"/>
      <c r="E633" s="437"/>
      <c r="F633" s="734"/>
      <c r="G633" s="437"/>
    </row>
    <row r="634">
      <c r="A634" s="730"/>
      <c r="B634" s="731"/>
      <c r="C634" s="731"/>
      <c r="D634" s="1492"/>
      <c r="E634" s="437"/>
      <c r="F634" s="734"/>
      <c r="G634" s="437"/>
    </row>
    <row r="635">
      <c r="A635" s="730"/>
      <c r="B635" s="731"/>
      <c r="C635" s="731"/>
      <c r="D635" s="1492"/>
      <c r="E635" s="437"/>
      <c r="F635" s="734"/>
      <c r="G635" s="437"/>
    </row>
    <row r="636">
      <c r="A636" s="730"/>
      <c r="B636" s="731"/>
      <c r="C636" s="731"/>
      <c r="D636" s="1492"/>
      <c r="E636" s="437"/>
      <c r="F636" s="734"/>
      <c r="G636" s="437"/>
    </row>
    <row r="637">
      <c r="A637" s="730"/>
      <c r="B637" s="731"/>
      <c r="C637" s="731"/>
      <c r="D637" s="1492"/>
      <c r="E637" s="437"/>
      <c r="F637" s="734"/>
      <c r="G637" s="437"/>
    </row>
    <row r="638">
      <c r="A638" s="730"/>
      <c r="B638" s="731"/>
      <c r="C638" s="731"/>
      <c r="D638" s="1492"/>
      <c r="E638" s="437"/>
      <c r="F638" s="734"/>
      <c r="G638" s="437"/>
    </row>
    <row r="639">
      <c r="A639" s="730"/>
      <c r="B639" s="731"/>
      <c r="C639" s="731"/>
      <c r="D639" s="1492"/>
      <c r="E639" s="437"/>
      <c r="F639" s="734"/>
      <c r="G639" s="437"/>
    </row>
    <row r="640">
      <c r="A640" s="730"/>
      <c r="B640" s="731"/>
      <c r="C640" s="731"/>
      <c r="D640" s="1492"/>
      <c r="E640" s="437"/>
      <c r="F640" s="734"/>
      <c r="G640" s="437"/>
    </row>
    <row r="641">
      <c r="A641" s="730"/>
      <c r="B641" s="731"/>
      <c r="C641" s="731"/>
      <c r="D641" s="1492"/>
      <c r="E641" s="437"/>
      <c r="F641" s="734"/>
      <c r="G641" s="437"/>
    </row>
    <row r="642">
      <c r="A642" s="730"/>
      <c r="B642" s="731"/>
      <c r="C642" s="731"/>
      <c r="D642" s="1492"/>
      <c r="E642" s="437"/>
      <c r="F642" s="734"/>
      <c r="G642" s="437"/>
    </row>
    <row r="643">
      <c r="A643" s="730"/>
      <c r="B643" s="731"/>
      <c r="C643" s="731"/>
      <c r="D643" s="1492"/>
      <c r="E643" s="437"/>
      <c r="F643" s="734"/>
      <c r="G643" s="437"/>
    </row>
    <row r="644">
      <c r="A644" s="730"/>
      <c r="B644" s="731"/>
      <c r="C644" s="731"/>
      <c r="D644" s="1492"/>
      <c r="E644" s="437"/>
      <c r="F644" s="734"/>
      <c r="G644" s="437"/>
    </row>
    <row r="645">
      <c r="A645" s="730"/>
      <c r="B645" s="731"/>
      <c r="C645" s="731"/>
      <c r="D645" s="1492"/>
      <c r="E645" s="437"/>
      <c r="F645" s="734"/>
      <c r="G645" s="437"/>
    </row>
    <row r="646">
      <c r="A646" s="730"/>
      <c r="B646" s="731"/>
      <c r="C646" s="731"/>
      <c r="D646" s="1492"/>
      <c r="E646" s="437"/>
      <c r="F646" s="734"/>
      <c r="G646" s="437"/>
    </row>
    <row r="647">
      <c r="A647" s="730"/>
      <c r="B647" s="731"/>
      <c r="C647" s="731"/>
      <c r="D647" s="1492"/>
      <c r="E647" s="437"/>
      <c r="F647" s="734"/>
      <c r="G647" s="437"/>
    </row>
    <row r="648">
      <c r="A648" s="730"/>
      <c r="B648" s="731"/>
      <c r="C648" s="731"/>
      <c r="D648" s="1492"/>
      <c r="E648" s="437"/>
      <c r="F648" s="734"/>
      <c r="G648" s="437"/>
    </row>
    <row r="649">
      <c r="A649" s="730"/>
      <c r="B649" s="731"/>
      <c r="C649" s="731"/>
      <c r="D649" s="1492"/>
      <c r="E649" s="437"/>
      <c r="F649" s="734"/>
      <c r="G649" s="437"/>
    </row>
    <row r="650">
      <c r="A650" s="730"/>
      <c r="B650" s="731"/>
      <c r="C650" s="731"/>
      <c r="D650" s="1492"/>
      <c r="E650" s="437"/>
      <c r="F650" s="734"/>
      <c r="G650" s="437"/>
    </row>
    <row r="651">
      <c r="A651" s="730"/>
      <c r="B651" s="731"/>
      <c r="C651" s="731"/>
      <c r="D651" s="1492"/>
      <c r="E651" s="437"/>
      <c r="F651" s="734"/>
      <c r="G651" s="437"/>
    </row>
    <row r="652">
      <c r="A652" s="730"/>
      <c r="B652" s="731"/>
      <c r="C652" s="731"/>
      <c r="D652" s="1492"/>
      <c r="E652" s="437"/>
      <c r="F652" s="734"/>
      <c r="G652" s="437"/>
    </row>
    <row r="653">
      <c r="A653" s="730"/>
      <c r="B653" s="731"/>
      <c r="C653" s="731"/>
      <c r="D653" s="1492"/>
      <c r="E653" s="437"/>
      <c r="F653" s="734"/>
      <c r="G653" s="437"/>
    </row>
    <row r="654">
      <c r="A654" s="730"/>
      <c r="B654" s="731"/>
      <c r="C654" s="731"/>
      <c r="D654" s="1492"/>
      <c r="E654" s="437"/>
      <c r="F654" s="734"/>
      <c r="G654" s="437"/>
    </row>
    <row r="655">
      <c r="A655" s="730"/>
      <c r="B655" s="731"/>
      <c r="C655" s="731"/>
      <c r="D655" s="1492"/>
      <c r="E655" s="437"/>
      <c r="F655" s="734"/>
      <c r="G655" s="437"/>
    </row>
    <row r="656">
      <c r="A656" s="730"/>
      <c r="B656" s="731"/>
      <c r="C656" s="731"/>
      <c r="D656" s="1492"/>
      <c r="E656" s="437"/>
      <c r="F656" s="734"/>
      <c r="G656" s="437"/>
    </row>
    <row r="657">
      <c r="A657" s="730"/>
      <c r="B657" s="731"/>
      <c r="C657" s="731"/>
      <c r="D657" s="1492"/>
      <c r="E657" s="437"/>
      <c r="F657" s="734"/>
      <c r="G657" s="437"/>
    </row>
    <row r="658">
      <c r="A658" s="730"/>
      <c r="B658" s="731"/>
      <c r="C658" s="731"/>
      <c r="D658" s="1492"/>
      <c r="E658" s="437"/>
      <c r="F658" s="734"/>
      <c r="G658" s="437"/>
    </row>
    <row r="659">
      <c r="A659" s="730"/>
      <c r="B659" s="731"/>
      <c r="C659" s="731"/>
      <c r="D659" s="1492"/>
      <c r="E659" s="437"/>
      <c r="F659" s="734"/>
      <c r="G659" s="437"/>
    </row>
    <row r="660">
      <c r="A660" s="730"/>
      <c r="B660" s="731"/>
      <c r="C660" s="731"/>
      <c r="D660" s="1492"/>
      <c r="E660" s="437"/>
      <c r="F660" s="734"/>
      <c r="G660" s="437"/>
    </row>
    <row r="661">
      <c r="A661" s="730"/>
      <c r="B661" s="731"/>
      <c r="C661" s="731"/>
      <c r="D661" s="1492"/>
      <c r="E661" s="437"/>
      <c r="F661" s="734"/>
      <c r="G661" s="437"/>
    </row>
    <row r="662">
      <c r="A662" s="730"/>
      <c r="B662" s="731"/>
      <c r="C662" s="731"/>
      <c r="D662" s="1492"/>
      <c r="E662" s="437"/>
      <c r="F662" s="734"/>
      <c r="G662" s="437"/>
    </row>
    <row r="663">
      <c r="A663" s="730"/>
      <c r="B663" s="731"/>
      <c r="C663" s="731"/>
      <c r="D663" s="1492"/>
      <c r="E663" s="437"/>
      <c r="F663" s="734"/>
      <c r="G663" s="437"/>
    </row>
    <row r="664">
      <c r="A664" s="730"/>
      <c r="B664" s="731"/>
      <c r="C664" s="731"/>
      <c r="D664" s="1492"/>
      <c r="E664" s="437"/>
      <c r="F664" s="734"/>
      <c r="G664" s="437"/>
    </row>
    <row r="665">
      <c r="A665" s="730"/>
      <c r="B665" s="731"/>
      <c r="C665" s="731"/>
      <c r="D665" s="1492"/>
      <c r="E665" s="437"/>
      <c r="F665" s="734"/>
      <c r="G665" s="437"/>
    </row>
    <row r="666">
      <c r="A666" s="730"/>
      <c r="B666" s="731"/>
      <c r="C666" s="731"/>
      <c r="D666" s="1492"/>
      <c r="E666" s="437"/>
      <c r="F666" s="734"/>
      <c r="G666" s="437"/>
    </row>
    <row r="667">
      <c r="A667" s="730"/>
      <c r="B667" s="731"/>
      <c r="C667" s="731"/>
      <c r="D667" s="1492"/>
      <c r="E667" s="437"/>
      <c r="F667" s="734"/>
      <c r="G667" s="437"/>
    </row>
    <row r="668">
      <c r="A668" s="730"/>
      <c r="B668" s="731"/>
      <c r="C668" s="731"/>
      <c r="D668" s="1492"/>
      <c r="E668" s="437"/>
      <c r="F668" s="734"/>
      <c r="G668" s="437"/>
    </row>
    <row r="669">
      <c r="A669" s="730"/>
      <c r="B669" s="731"/>
      <c r="C669" s="731"/>
      <c r="D669" s="1492"/>
      <c r="E669" s="437"/>
      <c r="F669" s="734"/>
      <c r="G669" s="437"/>
    </row>
    <row r="670">
      <c r="A670" s="730"/>
      <c r="B670" s="731"/>
      <c r="C670" s="731"/>
      <c r="D670" s="1492"/>
      <c r="E670" s="437"/>
      <c r="F670" s="734"/>
      <c r="G670" s="437"/>
    </row>
    <row r="671">
      <c r="A671" s="730"/>
      <c r="B671" s="731"/>
      <c r="C671" s="731"/>
      <c r="D671" s="1492"/>
      <c r="E671" s="437"/>
      <c r="F671" s="734"/>
      <c r="G671" s="437"/>
    </row>
    <row r="672">
      <c r="A672" s="730"/>
      <c r="B672" s="731"/>
      <c r="C672" s="731"/>
      <c r="D672" s="1492"/>
      <c r="E672" s="437"/>
      <c r="F672" s="734"/>
      <c r="G672" s="437"/>
    </row>
    <row r="673">
      <c r="A673" s="730"/>
      <c r="B673" s="731"/>
      <c r="C673" s="731"/>
      <c r="D673" s="1492"/>
      <c r="E673" s="437"/>
      <c r="F673" s="734"/>
      <c r="G673" s="437"/>
    </row>
    <row r="674">
      <c r="A674" s="730"/>
      <c r="B674" s="731"/>
      <c r="C674" s="731"/>
      <c r="D674" s="1492"/>
      <c r="E674" s="437"/>
      <c r="F674" s="734"/>
      <c r="G674" s="437"/>
    </row>
    <row r="675">
      <c r="A675" s="730"/>
      <c r="B675" s="731"/>
      <c r="C675" s="731"/>
      <c r="D675" s="1492"/>
      <c r="E675" s="437"/>
      <c r="F675" s="734"/>
      <c r="G675" s="437"/>
    </row>
    <row r="676">
      <c r="A676" s="730"/>
      <c r="B676" s="731"/>
      <c r="C676" s="731"/>
      <c r="D676" s="1492"/>
      <c r="E676" s="437"/>
      <c r="F676" s="734"/>
      <c r="G676" s="437"/>
    </row>
    <row r="677">
      <c r="A677" s="730"/>
      <c r="B677" s="731"/>
      <c r="C677" s="731"/>
      <c r="D677" s="1492"/>
      <c r="E677" s="437"/>
      <c r="F677" s="734"/>
      <c r="G677" s="437"/>
    </row>
    <row r="678">
      <c r="A678" s="730"/>
      <c r="B678" s="731"/>
      <c r="C678" s="731"/>
      <c r="D678" s="1492"/>
      <c r="E678" s="437"/>
      <c r="F678" s="734"/>
      <c r="G678" s="437"/>
    </row>
    <row r="679">
      <c r="A679" s="730"/>
      <c r="B679" s="731"/>
      <c r="C679" s="731"/>
      <c r="D679" s="1492"/>
      <c r="E679" s="437"/>
      <c r="F679" s="734"/>
      <c r="G679" s="437"/>
    </row>
    <row r="680">
      <c r="A680" s="730"/>
      <c r="B680" s="731"/>
      <c r="C680" s="731"/>
      <c r="D680" s="1492"/>
      <c r="E680" s="437"/>
      <c r="F680" s="734"/>
      <c r="G680" s="437"/>
    </row>
    <row r="681">
      <c r="A681" s="730"/>
      <c r="B681" s="731"/>
      <c r="C681" s="731"/>
      <c r="D681" s="1492"/>
      <c r="E681" s="437"/>
      <c r="F681" s="734"/>
      <c r="G681" s="437"/>
    </row>
    <row r="682">
      <c r="A682" s="730"/>
      <c r="B682" s="731"/>
      <c r="C682" s="731"/>
      <c r="D682" s="1492"/>
      <c r="E682" s="437"/>
      <c r="F682" s="734"/>
      <c r="G682" s="437"/>
    </row>
    <row r="683">
      <c r="A683" s="730"/>
      <c r="B683" s="731"/>
      <c r="C683" s="731"/>
      <c r="D683" s="1492"/>
      <c r="E683" s="437"/>
      <c r="F683" s="734"/>
      <c r="G683" s="437"/>
    </row>
    <row r="684">
      <c r="A684" s="730"/>
      <c r="B684" s="731"/>
      <c r="C684" s="731"/>
      <c r="D684" s="1492"/>
      <c r="E684" s="437"/>
      <c r="F684" s="734"/>
      <c r="G684" s="437"/>
    </row>
    <row r="685">
      <c r="A685" s="730"/>
      <c r="B685" s="731"/>
      <c r="C685" s="731"/>
      <c r="D685" s="1492"/>
      <c r="E685" s="437"/>
      <c r="F685" s="734"/>
      <c r="G685" s="437"/>
    </row>
    <row r="686">
      <c r="A686" s="730"/>
      <c r="B686" s="731"/>
      <c r="C686" s="731"/>
      <c r="D686" s="1492"/>
      <c r="E686" s="437"/>
      <c r="F686" s="734"/>
      <c r="G686" s="437"/>
    </row>
    <row r="687">
      <c r="A687" s="730"/>
      <c r="B687" s="731"/>
      <c r="C687" s="731"/>
      <c r="D687" s="1492"/>
      <c r="E687" s="437"/>
      <c r="F687" s="734"/>
      <c r="G687" s="437"/>
    </row>
    <row r="688">
      <c r="A688" s="730"/>
      <c r="B688" s="731"/>
      <c r="C688" s="731"/>
      <c r="D688" s="1492"/>
      <c r="E688" s="437"/>
      <c r="F688" s="734"/>
      <c r="G688" s="437"/>
    </row>
    <row r="689">
      <c r="A689" s="730"/>
      <c r="B689" s="731"/>
      <c r="C689" s="731"/>
      <c r="D689" s="1492"/>
      <c r="E689" s="437"/>
      <c r="F689" s="734"/>
      <c r="G689" s="437"/>
    </row>
    <row r="690">
      <c r="A690" s="730"/>
      <c r="B690" s="731"/>
      <c r="C690" s="731"/>
      <c r="D690" s="1492"/>
      <c r="E690" s="437"/>
      <c r="F690" s="734"/>
      <c r="G690" s="437"/>
    </row>
    <row r="691">
      <c r="A691" s="730"/>
      <c r="B691" s="731"/>
      <c r="C691" s="731"/>
      <c r="D691" s="1492"/>
      <c r="E691" s="437"/>
      <c r="F691" s="734"/>
      <c r="G691" s="437"/>
    </row>
    <row r="692">
      <c r="A692" s="730"/>
      <c r="B692" s="731"/>
      <c r="C692" s="731"/>
      <c r="D692" s="1492"/>
      <c r="E692" s="437"/>
      <c r="F692" s="734"/>
      <c r="G692" s="437"/>
    </row>
    <row r="693">
      <c r="A693" s="730"/>
      <c r="B693" s="731"/>
      <c r="C693" s="731"/>
      <c r="D693" s="1492"/>
      <c r="E693" s="437"/>
      <c r="F693" s="734"/>
      <c r="G693" s="437"/>
    </row>
    <row r="694">
      <c r="A694" s="730"/>
      <c r="B694" s="731"/>
      <c r="C694" s="731"/>
      <c r="D694" s="1492"/>
      <c r="E694" s="437"/>
      <c r="F694" s="734"/>
      <c r="G694" s="437"/>
    </row>
    <row r="695">
      <c r="A695" s="730"/>
      <c r="B695" s="731"/>
      <c r="C695" s="731"/>
      <c r="D695" s="1492"/>
      <c r="E695" s="437"/>
      <c r="F695" s="734"/>
      <c r="G695" s="437"/>
    </row>
    <row r="696">
      <c r="A696" s="730"/>
      <c r="B696" s="731"/>
      <c r="C696" s="731"/>
      <c r="D696" s="1492"/>
      <c r="E696" s="437"/>
      <c r="F696" s="734"/>
      <c r="G696" s="437"/>
    </row>
    <row r="697">
      <c r="A697" s="730"/>
      <c r="B697" s="731"/>
      <c r="C697" s="731"/>
      <c r="D697" s="1492"/>
      <c r="E697" s="437"/>
      <c r="F697" s="734"/>
      <c r="G697" s="437"/>
    </row>
    <row r="698">
      <c r="A698" s="730"/>
      <c r="B698" s="731"/>
      <c r="C698" s="731"/>
      <c r="D698" s="1492"/>
      <c r="E698" s="437"/>
      <c r="F698" s="734"/>
      <c r="G698" s="437"/>
    </row>
    <row r="699">
      <c r="A699" s="730"/>
      <c r="B699" s="731"/>
      <c r="C699" s="731"/>
      <c r="D699" s="1492"/>
      <c r="E699" s="437"/>
      <c r="F699" s="734"/>
      <c r="G699" s="437"/>
    </row>
    <row r="700">
      <c r="A700" s="730"/>
      <c r="B700" s="731"/>
      <c r="C700" s="731"/>
      <c r="D700" s="1492"/>
      <c r="E700" s="437"/>
      <c r="F700" s="734"/>
      <c r="G700" s="437"/>
    </row>
    <row r="701">
      <c r="A701" s="730"/>
      <c r="B701" s="731"/>
      <c r="C701" s="731"/>
      <c r="D701" s="1492"/>
      <c r="E701" s="437"/>
      <c r="F701" s="734"/>
      <c r="G701" s="437"/>
    </row>
    <row r="702">
      <c r="A702" s="730"/>
      <c r="B702" s="731"/>
      <c r="C702" s="731"/>
      <c r="D702" s="1492"/>
      <c r="E702" s="437"/>
      <c r="F702" s="734"/>
      <c r="G702" s="437"/>
    </row>
    <row r="703">
      <c r="A703" s="730"/>
      <c r="B703" s="731"/>
      <c r="C703" s="731"/>
      <c r="D703" s="1492"/>
      <c r="E703" s="437"/>
      <c r="F703" s="734"/>
      <c r="G703" s="437"/>
    </row>
    <row r="704">
      <c r="A704" s="730"/>
      <c r="B704" s="731"/>
      <c r="C704" s="731"/>
      <c r="D704" s="1492"/>
      <c r="E704" s="437"/>
      <c r="F704" s="734"/>
      <c r="G704" s="437"/>
    </row>
    <row r="705">
      <c r="A705" s="730"/>
      <c r="B705" s="731"/>
      <c r="C705" s="731"/>
      <c r="D705" s="1492"/>
      <c r="E705" s="437"/>
      <c r="F705" s="734"/>
      <c r="G705" s="437"/>
    </row>
    <row r="706">
      <c r="A706" s="730"/>
      <c r="B706" s="731"/>
      <c r="C706" s="731"/>
      <c r="D706" s="1492"/>
      <c r="E706" s="437"/>
      <c r="F706" s="734"/>
      <c r="G706" s="437"/>
    </row>
    <row r="707">
      <c r="A707" s="730"/>
      <c r="B707" s="731"/>
      <c r="C707" s="731"/>
      <c r="D707" s="1492"/>
      <c r="E707" s="437"/>
      <c r="F707" s="734"/>
      <c r="G707" s="437"/>
    </row>
    <row r="708">
      <c r="A708" s="730"/>
      <c r="B708" s="731"/>
      <c r="C708" s="731"/>
      <c r="D708" s="1492"/>
      <c r="E708" s="437"/>
      <c r="F708" s="734"/>
      <c r="G708" s="437"/>
    </row>
    <row r="709">
      <c r="A709" s="730"/>
      <c r="B709" s="731"/>
      <c r="C709" s="731"/>
      <c r="D709" s="1492"/>
      <c r="E709" s="437"/>
      <c r="F709" s="734"/>
      <c r="G709" s="437"/>
    </row>
    <row r="710">
      <c r="A710" s="730"/>
      <c r="B710" s="731"/>
      <c r="C710" s="731"/>
      <c r="D710" s="1492"/>
      <c r="E710" s="437"/>
      <c r="F710" s="734"/>
      <c r="G710" s="437"/>
    </row>
    <row r="711">
      <c r="A711" s="730"/>
      <c r="B711" s="731"/>
      <c r="C711" s="731"/>
      <c r="D711" s="1492"/>
      <c r="E711" s="437"/>
      <c r="F711" s="734"/>
      <c r="G711" s="437"/>
    </row>
    <row r="712">
      <c r="A712" s="730"/>
      <c r="B712" s="731"/>
      <c r="C712" s="731"/>
      <c r="D712" s="1492"/>
      <c r="E712" s="437"/>
      <c r="F712" s="734"/>
      <c r="G712" s="437"/>
    </row>
    <row r="713">
      <c r="A713" s="730"/>
      <c r="B713" s="731"/>
      <c r="C713" s="731"/>
      <c r="D713" s="1492"/>
      <c r="E713" s="437"/>
      <c r="F713" s="734"/>
      <c r="G713" s="437"/>
    </row>
    <row r="714">
      <c r="A714" s="730"/>
      <c r="B714" s="731"/>
      <c r="C714" s="731"/>
      <c r="D714" s="1492"/>
      <c r="E714" s="437"/>
      <c r="F714" s="734"/>
      <c r="G714" s="437"/>
    </row>
    <row r="715">
      <c r="A715" s="730"/>
      <c r="B715" s="731"/>
      <c r="C715" s="731"/>
      <c r="D715" s="1492"/>
      <c r="E715" s="437"/>
      <c r="F715" s="734"/>
      <c r="G715" s="437"/>
    </row>
    <row r="716">
      <c r="A716" s="730"/>
      <c r="B716" s="731"/>
      <c r="C716" s="731"/>
      <c r="D716" s="1492"/>
      <c r="E716" s="437"/>
      <c r="F716" s="734"/>
      <c r="G716" s="437"/>
    </row>
    <row r="717">
      <c r="A717" s="730"/>
      <c r="B717" s="731"/>
      <c r="C717" s="731"/>
      <c r="D717" s="1492"/>
      <c r="E717" s="437"/>
      <c r="F717" s="734"/>
      <c r="G717" s="437"/>
    </row>
    <row r="718">
      <c r="A718" s="730"/>
      <c r="B718" s="731"/>
      <c r="C718" s="731"/>
      <c r="D718" s="1492"/>
      <c r="E718" s="437"/>
      <c r="F718" s="734"/>
      <c r="G718" s="437"/>
    </row>
    <row r="719">
      <c r="A719" s="730"/>
      <c r="B719" s="731"/>
      <c r="C719" s="731"/>
      <c r="D719" s="1492"/>
      <c r="E719" s="437"/>
      <c r="F719" s="734"/>
      <c r="G719" s="437"/>
    </row>
    <row r="720">
      <c r="A720" s="730"/>
      <c r="B720" s="731"/>
      <c r="C720" s="731"/>
      <c r="D720" s="1492"/>
      <c r="E720" s="437"/>
      <c r="F720" s="734"/>
      <c r="G720" s="437"/>
    </row>
    <row r="721">
      <c r="A721" s="730"/>
      <c r="B721" s="731"/>
      <c r="C721" s="731"/>
      <c r="D721" s="1492"/>
      <c r="E721" s="437"/>
      <c r="F721" s="734"/>
      <c r="G721" s="437"/>
    </row>
    <row r="722">
      <c r="A722" s="730"/>
      <c r="B722" s="731"/>
      <c r="C722" s="731"/>
      <c r="D722" s="1492"/>
      <c r="E722" s="437"/>
      <c r="F722" s="734"/>
      <c r="G722" s="437"/>
    </row>
    <row r="723">
      <c r="A723" s="730"/>
      <c r="B723" s="731"/>
      <c r="C723" s="731"/>
      <c r="D723" s="1492"/>
      <c r="E723" s="437"/>
      <c r="F723" s="734"/>
      <c r="G723" s="437"/>
    </row>
    <row r="724">
      <c r="A724" s="730"/>
      <c r="B724" s="731"/>
      <c r="C724" s="731"/>
      <c r="D724" s="1492"/>
      <c r="E724" s="437"/>
      <c r="F724" s="734"/>
      <c r="G724" s="437"/>
    </row>
    <row r="725">
      <c r="A725" s="730"/>
      <c r="B725" s="731"/>
      <c r="C725" s="731"/>
      <c r="D725" s="1492"/>
      <c r="E725" s="437"/>
      <c r="F725" s="734"/>
      <c r="G725" s="437"/>
    </row>
    <row r="726">
      <c r="A726" s="730"/>
      <c r="B726" s="731"/>
      <c r="C726" s="731"/>
      <c r="D726" s="1492"/>
      <c r="E726" s="437"/>
      <c r="F726" s="734"/>
      <c r="G726" s="437"/>
    </row>
    <row r="727">
      <c r="A727" s="730"/>
      <c r="B727" s="731"/>
      <c r="C727" s="731"/>
      <c r="D727" s="1492"/>
      <c r="E727" s="437"/>
      <c r="F727" s="734"/>
      <c r="G727" s="437"/>
    </row>
    <row r="728">
      <c r="A728" s="730"/>
      <c r="B728" s="731"/>
      <c r="C728" s="731"/>
      <c r="D728" s="1492"/>
      <c r="E728" s="437"/>
      <c r="F728" s="734"/>
      <c r="G728" s="437"/>
    </row>
    <row r="729">
      <c r="A729" s="730"/>
      <c r="B729" s="731"/>
      <c r="C729" s="731"/>
      <c r="D729" s="1492"/>
      <c r="E729" s="437"/>
      <c r="F729" s="734"/>
      <c r="G729" s="437"/>
    </row>
    <row r="730">
      <c r="A730" s="730"/>
      <c r="B730" s="731"/>
      <c r="C730" s="731"/>
      <c r="D730" s="1492"/>
      <c r="E730" s="437"/>
      <c r="F730" s="734"/>
      <c r="G730" s="437"/>
    </row>
    <row r="731">
      <c r="A731" s="730"/>
      <c r="B731" s="731"/>
      <c r="C731" s="731"/>
      <c r="D731" s="1492"/>
      <c r="E731" s="437"/>
      <c r="F731" s="734"/>
      <c r="G731" s="437"/>
    </row>
    <row r="732">
      <c r="A732" s="730"/>
      <c r="B732" s="731"/>
      <c r="C732" s="731"/>
      <c r="D732" s="1492"/>
      <c r="E732" s="437"/>
      <c r="F732" s="734"/>
      <c r="G732" s="437"/>
    </row>
    <row r="733">
      <c r="A733" s="730"/>
      <c r="B733" s="731"/>
      <c r="C733" s="731"/>
      <c r="D733" s="1492"/>
      <c r="E733" s="437"/>
      <c r="F733" s="734"/>
      <c r="G733" s="437"/>
    </row>
    <row r="734">
      <c r="A734" s="730"/>
      <c r="B734" s="731"/>
      <c r="C734" s="731"/>
      <c r="D734" s="1492"/>
      <c r="E734" s="437"/>
      <c r="F734" s="734"/>
      <c r="G734" s="437"/>
    </row>
    <row r="735">
      <c r="A735" s="730"/>
      <c r="B735" s="731"/>
      <c r="C735" s="731"/>
      <c r="D735" s="1492"/>
      <c r="E735" s="437"/>
      <c r="F735" s="734"/>
      <c r="G735" s="437"/>
    </row>
    <row r="736">
      <c r="A736" s="730"/>
      <c r="B736" s="731"/>
      <c r="C736" s="731"/>
      <c r="D736" s="1492"/>
      <c r="E736" s="437"/>
      <c r="F736" s="734"/>
      <c r="G736" s="437"/>
    </row>
    <row r="737">
      <c r="A737" s="730"/>
      <c r="B737" s="731"/>
      <c r="C737" s="731"/>
      <c r="D737" s="1492"/>
      <c r="E737" s="437"/>
      <c r="F737" s="734"/>
      <c r="G737" s="437"/>
    </row>
    <row r="738">
      <c r="A738" s="730"/>
      <c r="B738" s="731"/>
      <c r="C738" s="731"/>
      <c r="D738" s="1492"/>
      <c r="E738" s="437"/>
      <c r="F738" s="734"/>
      <c r="G738" s="437"/>
    </row>
    <row r="739">
      <c r="A739" s="730"/>
      <c r="B739" s="731"/>
      <c r="C739" s="731"/>
      <c r="D739" s="1492"/>
      <c r="E739" s="437"/>
      <c r="F739" s="734"/>
      <c r="G739" s="437"/>
    </row>
    <row r="740">
      <c r="A740" s="730"/>
      <c r="B740" s="731"/>
      <c r="C740" s="731"/>
      <c r="D740" s="1492"/>
      <c r="E740" s="437"/>
      <c r="F740" s="734"/>
      <c r="G740" s="437"/>
    </row>
    <row r="741">
      <c r="A741" s="730"/>
      <c r="B741" s="731"/>
      <c r="C741" s="731"/>
      <c r="D741" s="1492"/>
      <c r="E741" s="437"/>
      <c r="F741" s="734"/>
      <c r="G741" s="437"/>
    </row>
    <row r="742">
      <c r="A742" s="730"/>
      <c r="B742" s="731"/>
      <c r="C742" s="731"/>
      <c r="D742" s="1492"/>
      <c r="E742" s="437"/>
      <c r="F742" s="734"/>
      <c r="G742" s="437"/>
    </row>
    <row r="743">
      <c r="A743" s="730"/>
      <c r="B743" s="731"/>
      <c r="C743" s="731"/>
      <c r="D743" s="1492"/>
      <c r="E743" s="437"/>
      <c r="F743" s="734"/>
      <c r="G743" s="437"/>
    </row>
    <row r="744">
      <c r="A744" s="730"/>
      <c r="B744" s="731"/>
      <c r="C744" s="731"/>
      <c r="D744" s="1492"/>
      <c r="E744" s="437"/>
      <c r="F744" s="734"/>
      <c r="G744" s="437"/>
    </row>
    <row r="745">
      <c r="A745" s="730"/>
      <c r="B745" s="731"/>
      <c r="C745" s="731"/>
      <c r="D745" s="1492"/>
      <c r="E745" s="437"/>
      <c r="F745" s="734"/>
      <c r="G745" s="437"/>
    </row>
    <row r="746">
      <c r="A746" s="730"/>
      <c r="B746" s="731"/>
      <c r="C746" s="731"/>
      <c r="D746" s="1492"/>
      <c r="E746" s="437"/>
      <c r="F746" s="734"/>
      <c r="G746" s="437"/>
    </row>
    <row r="747">
      <c r="A747" s="730"/>
      <c r="B747" s="731"/>
      <c r="C747" s="731"/>
      <c r="D747" s="1492"/>
      <c r="E747" s="437"/>
      <c r="F747" s="734"/>
      <c r="G747" s="437"/>
    </row>
    <row r="748">
      <c r="A748" s="730"/>
      <c r="B748" s="731"/>
      <c r="C748" s="731"/>
      <c r="D748" s="1492"/>
      <c r="E748" s="437"/>
      <c r="F748" s="734"/>
      <c r="G748" s="437"/>
    </row>
    <row r="749">
      <c r="A749" s="730"/>
      <c r="B749" s="731"/>
      <c r="C749" s="731"/>
      <c r="D749" s="1492"/>
      <c r="E749" s="437"/>
      <c r="F749" s="734"/>
      <c r="G749" s="437"/>
    </row>
    <row r="750">
      <c r="A750" s="730"/>
      <c r="B750" s="731"/>
      <c r="C750" s="731"/>
      <c r="D750" s="1492"/>
      <c r="E750" s="437"/>
      <c r="F750" s="734"/>
      <c r="G750" s="437"/>
    </row>
    <row r="751">
      <c r="A751" s="730"/>
      <c r="B751" s="731"/>
      <c r="C751" s="731"/>
      <c r="D751" s="1492"/>
      <c r="E751" s="437"/>
      <c r="F751" s="734"/>
      <c r="G751" s="437"/>
    </row>
    <row r="752">
      <c r="A752" s="730"/>
      <c r="B752" s="731"/>
      <c r="C752" s="731"/>
      <c r="D752" s="1492"/>
      <c r="E752" s="437"/>
      <c r="F752" s="734"/>
      <c r="G752" s="437"/>
    </row>
    <row r="753">
      <c r="A753" s="730"/>
      <c r="B753" s="731"/>
      <c r="C753" s="731"/>
      <c r="D753" s="1492"/>
      <c r="E753" s="437"/>
      <c r="F753" s="734"/>
      <c r="G753" s="437"/>
    </row>
    <row r="754">
      <c r="A754" s="730"/>
      <c r="B754" s="731"/>
      <c r="C754" s="731"/>
      <c r="D754" s="1492"/>
      <c r="E754" s="437"/>
      <c r="F754" s="734"/>
      <c r="G754" s="437"/>
    </row>
    <row r="755">
      <c r="A755" s="730"/>
      <c r="B755" s="731"/>
      <c r="C755" s="731"/>
      <c r="D755" s="1492"/>
      <c r="E755" s="437"/>
      <c r="F755" s="734"/>
      <c r="G755" s="437"/>
    </row>
    <row r="756">
      <c r="A756" s="730"/>
      <c r="B756" s="731"/>
      <c r="C756" s="731"/>
      <c r="D756" s="1492"/>
      <c r="E756" s="437"/>
      <c r="F756" s="734"/>
      <c r="G756" s="437"/>
    </row>
    <row r="757">
      <c r="A757" s="730"/>
      <c r="B757" s="731"/>
      <c r="C757" s="731"/>
      <c r="D757" s="1492"/>
      <c r="E757" s="437"/>
      <c r="F757" s="734"/>
      <c r="G757" s="437"/>
    </row>
    <row r="758">
      <c r="A758" s="730"/>
      <c r="B758" s="731"/>
      <c r="C758" s="731"/>
      <c r="D758" s="1492"/>
      <c r="E758" s="437"/>
      <c r="F758" s="734"/>
      <c r="G758" s="437"/>
    </row>
    <row r="759">
      <c r="A759" s="730"/>
      <c r="B759" s="731"/>
      <c r="C759" s="731"/>
      <c r="D759" s="1492"/>
      <c r="E759" s="437"/>
      <c r="F759" s="734"/>
      <c r="G759" s="437"/>
    </row>
    <row r="760">
      <c r="A760" s="730"/>
      <c r="B760" s="731"/>
      <c r="C760" s="731"/>
      <c r="D760" s="1492"/>
      <c r="E760" s="437"/>
      <c r="F760" s="734"/>
      <c r="G760" s="437"/>
    </row>
    <row r="761">
      <c r="A761" s="730"/>
      <c r="B761" s="731"/>
      <c r="C761" s="731"/>
      <c r="D761" s="1492"/>
      <c r="E761" s="437"/>
      <c r="F761" s="734"/>
      <c r="G761" s="437"/>
    </row>
    <row r="762">
      <c r="A762" s="730"/>
      <c r="B762" s="731"/>
      <c r="C762" s="731"/>
      <c r="D762" s="1492"/>
      <c r="E762" s="437"/>
      <c r="F762" s="734"/>
      <c r="G762" s="437"/>
    </row>
    <row r="763">
      <c r="A763" s="730"/>
      <c r="B763" s="731"/>
      <c r="C763" s="731"/>
      <c r="D763" s="1492"/>
      <c r="E763" s="437"/>
      <c r="F763" s="734"/>
      <c r="G763" s="437"/>
    </row>
    <row r="764">
      <c r="A764" s="730"/>
      <c r="B764" s="731"/>
      <c r="C764" s="731"/>
      <c r="D764" s="1492"/>
      <c r="E764" s="437"/>
      <c r="F764" s="734"/>
      <c r="G764" s="437"/>
    </row>
    <row r="765">
      <c r="A765" s="730"/>
      <c r="B765" s="731"/>
      <c r="C765" s="731"/>
      <c r="D765" s="1492"/>
      <c r="E765" s="437"/>
      <c r="F765" s="734"/>
      <c r="G765" s="437"/>
    </row>
    <row r="766">
      <c r="A766" s="730"/>
      <c r="B766" s="731"/>
      <c r="C766" s="731"/>
      <c r="D766" s="1492"/>
      <c r="E766" s="437"/>
      <c r="F766" s="734"/>
      <c r="G766" s="437"/>
    </row>
    <row r="767">
      <c r="A767" s="730"/>
      <c r="B767" s="731"/>
      <c r="C767" s="731"/>
      <c r="D767" s="1492"/>
      <c r="E767" s="437"/>
      <c r="F767" s="734"/>
      <c r="G767" s="437"/>
    </row>
    <row r="768">
      <c r="A768" s="730"/>
      <c r="B768" s="731"/>
      <c r="C768" s="731"/>
      <c r="D768" s="1492"/>
      <c r="E768" s="437"/>
      <c r="F768" s="734"/>
      <c r="G768" s="437"/>
    </row>
    <row r="769">
      <c r="A769" s="730"/>
      <c r="B769" s="731"/>
      <c r="C769" s="731"/>
      <c r="D769" s="1492"/>
      <c r="E769" s="437"/>
      <c r="F769" s="734"/>
      <c r="G769" s="437"/>
    </row>
    <row r="770">
      <c r="A770" s="730"/>
      <c r="B770" s="731"/>
      <c r="C770" s="731"/>
      <c r="D770" s="1492"/>
      <c r="E770" s="437"/>
      <c r="F770" s="734"/>
      <c r="G770" s="437"/>
    </row>
    <row r="771">
      <c r="A771" s="730"/>
      <c r="B771" s="731"/>
      <c r="C771" s="731"/>
      <c r="D771" s="1492"/>
      <c r="E771" s="437"/>
      <c r="F771" s="734"/>
      <c r="G771" s="437"/>
    </row>
    <row r="772">
      <c r="A772" s="730"/>
      <c r="B772" s="731"/>
      <c r="C772" s="731"/>
      <c r="D772" s="1492"/>
      <c r="E772" s="437"/>
      <c r="F772" s="734"/>
      <c r="G772" s="437"/>
    </row>
    <row r="773">
      <c r="A773" s="730"/>
      <c r="B773" s="731"/>
      <c r="C773" s="731"/>
      <c r="D773" s="1492"/>
      <c r="E773" s="437"/>
      <c r="F773" s="734"/>
      <c r="G773" s="437"/>
    </row>
    <row r="774">
      <c r="A774" s="730"/>
      <c r="B774" s="731"/>
      <c r="C774" s="731"/>
      <c r="D774" s="1492"/>
      <c r="E774" s="437"/>
      <c r="F774" s="734"/>
      <c r="G774" s="437"/>
    </row>
    <row r="775">
      <c r="A775" s="730"/>
      <c r="B775" s="731"/>
      <c r="C775" s="731"/>
      <c r="D775" s="1492"/>
      <c r="E775" s="437"/>
      <c r="F775" s="734"/>
      <c r="G775" s="437"/>
    </row>
    <row r="776">
      <c r="A776" s="730"/>
      <c r="B776" s="731"/>
      <c r="C776" s="731"/>
      <c r="D776" s="1492"/>
      <c r="E776" s="437"/>
      <c r="F776" s="734"/>
      <c r="G776" s="437"/>
    </row>
    <row r="777">
      <c r="A777" s="730"/>
      <c r="B777" s="731"/>
      <c r="C777" s="731"/>
      <c r="D777" s="1492"/>
      <c r="E777" s="437"/>
      <c r="F777" s="734"/>
      <c r="G777" s="437"/>
    </row>
    <row r="778">
      <c r="A778" s="730"/>
      <c r="B778" s="731"/>
      <c r="C778" s="731"/>
      <c r="D778" s="1492"/>
      <c r="E778" s="437"/>
      <c r="F778" s="734"/>
      <c r="G778" s="437"/>
    </row>
    <row r="779">
      <c r="A779" s="730"/>
      <c r="B779" s="731"/>
      <c r="C779" s="731"/>
      <c r="D779" s="1492"/>
      <c r="E779" s="437"/>
      <c r="F779" s="734"/>
      <c r="G779" s="437"/>
    </row>
    <row r="780">
      <c r="A780" s="730"/>
      <c r="B780" s="731"/>
      <c r="C780" s="731"/>
      <c r="D780" s="1492"/>
      <c r="E780" s="437"/>
      <c r="F780" s="734"/>
      <c r="G780" s="437"/>
    </row>
    <row r="781">
      <c r="A781" s="730"/>
      <c r="B781" s="731"/>
      <c r="C781" s="731"/>
      <c r="D781" s="1492"/>
      <c r="E781" s="437"/>
      <c r="F781" s="734"/>
      <c r="G781" s="437"/>
    </row>
    <row r="782">
      <c r="A782" s="730"/>
      <c r="B782" s="731"/>
      <c r="C782" s="731"/>
      <c r="D782" s="1492"/>
      <c r="E782" s="437"/>
      <c r="F782" s="734"/>
      <c r="G782" s="437"/>
    </row>
    <row r="783">
      <c r="A783" s="730"/>
      <c r="B783" s="731"/>
      <c r="C783" s="731"/>
      <c r="D783" s="1492"/>
      <c r="E783" s="437"/>
      <c r="F783" s="734"/>
      <c r="G783" s="437"/>
    </row>
    <row r="784">
      <c r="A784" s="730"/>
      <c r="B784" s="731"/>
      <c r="C784" s="731"/>
      <c r="D784" s="1492"/>
      <c r="E784" s="437"/>
      <c r="F784" s="734"/>
      <c r="G784" s="437"/>
    </row>
    <row r="785">
      <c r="A785" s="730"/>
      <c r="B785" s="731"/>
      <c r="C785" s="731"/>
      <c r="D785" s="1492"/>
      <c r="E785" s="437"/>
      <c r="F785" s="734"/>
      <c r="G785" s="437"/>
    </row>
    <row r="786">
      <c r="A786" s="730"/>
      <c r="B786" s="731"/>
      <c r="C786" s="731"/>
      <c r="D786" s="1492"/>
      <c r="E786" s="437"/>
      <c r="F786" s="734"/>
      <c r="G786" s="437"/>
    </row>
    <row r="787">
      <c r="A787" s="730"/>
      <c r="B787" s="731"/>
      <c r="C787" s="731"/>
      <c r="D787" s="1492"/>
      <c r="E787" s="437"/>
      <c r="F787" s="734"/>
      <c r="G787" s="437"/>
    </row>
    <row r="788">
      <c r="A788" s="730"/>
      <c r="B788" s="731"/>
      <c r="C788" s="731"/>
      <c r="D788" s="1492"/>
      <c r="E788" s="437"/>
      <c r="F788" s="734"/>
      <c r="G788" s="437"/>
    </row>
    <row r="789">
      <c r="A789" s="730"/>
      <c r="B789" s="731"/>
      <c r="C789" s="731"/>
      <c r="D789" s="1492"/>
      <c r="E789" s="437"/>
      <c r="F789" s="734"/>
      <c r="G789" s="437"/>
    </row>
    <row r="790">
      <c r="A790" s="730"/>
      <c r="B790" s="731"/>
      <c r="C790" s="731"/>
      <c r="D790" s="1492"/>
      <c r="E790" s="437"/>
      <c r="F790" s="734"/>
      <c r="G790" s="437"/>
    </row>
    <row r="791">
      <c r="A791" s="730"/>
      <c r="B791" s="731"/>
      <c r="C791" s="731"/>
      <c r="D791" s="1492"/>
      <c r="E791" s="437"/>
      <c r="F791" s="734"/>
      <c r="G791" s="437"/>
    </row>
    <row r="792">
      <c r="A792" s="730"/>
      <c r="B792" s="731"/>
      <c r="C792" s="731"/>
      <c r="D792" s="1492"/>
      <c r="E792" s="437"/>
      <c r="F792" s="734"/>
      <c r="G792" s="437"/>
    </row>
    <row r="793">
      <c r="A793" s="730"/>
      <c r="B793" s="731"/>
      <c r="C793" s="731"/>
      <c r="D793" s="1492"/>
      <c r="E793" s="437"/>
      <c r="F793" s="734"/>
      <c r="G793" s="437"/>
    </row>
    <row r="794">
      <c r="A794" s="730"/>
      <c r="B794" s="731"/>
      <c r="C794" s="731"/>
      <c r="D794" s="1492"/>
      <c r="E794" s="437"/>
      <c r="F794" s="734"/>
      <c r="G794" s="437"/>
    </row>
    <row r="795">
      <c r="A795" s="730"/>
      <c r="B795" s="731"/>
      <c r="C795" s="731"/>
      <c r="D795" s="1492"/>
      <c r="E795" s="437"/>
      <c r="F795" s="734"/>
      <c r="G795" s="437"/>
    </row>
    <row r="796">
      <c r="A796" s="730"/>
      <c r="B796" s="731"/>
      <c r="C796" s="731"/>
      <c r="D796" s="1492"/>
      <c r="E796" s="437"/>
      <c r="F796" s="734"/>
      <c r="G796" s="437"/>
    </row>
    <row r="797">
      <c r="A797" s="730"/>
      <c r="B797" s="731"/>
      <c r="C797" s="731"/>
      <c r="D797" s="1492"/>
      <c r="E797" s="437"/>
      <c r="F797" s="734"/>
      <c r="G797" s="437"/>
    </row>
    <row r="798">
      <c r="A798" s="730"/>
      <c r="B798" s="731"/>
      <c r="C798" s="731"/>
      <c r="D798" s="1492"/>
      <c r="E798" s="437"/>
      <c r="F798" s="734"/>
      <c r="G798" s="437"/>
    </row>
    <row r="799">
      <c r="A799" s="730"/>
      <c r="B799" s="731"/>
      <c r="C799" s="731"/>
      <c r="D799" s="1492"/>
      <c r="E799" s="437"/>
      <c r="F799" s="734"/>
      <c r="G799" s="437"/>
    </row>
    <row r="800">
      <c r="A800" s="730"/>
      <c r="B800" s="731"/>
      <c r="C800" s="731"/>
      <c r="D800" s="1492"/>
      <c r="E800" s="437"/>
      <c r="F800" s="734"/>
      <c r="G800" s="437"/>
    </row>
    <row r="801">
      <c r="A801" s="730"/>
      <c r="B801" s="731"/>
      <c r="C801" s="731"/>
      <c r="D801" s="1492"/>
      <c r="E801" s="437"/>
      <c r="F801" s="734"/>
      <c r="G801" s="437"/>
    </row>
    <row r="802">
      <c r="A802" s="730"/>
      <c r="B802" s="731"/>
      <c r="C802" s="731"/>
      <c r="D802" s="1492"/>
      <c r="E802" s="437"/>
      <c r="F802" s="734"/>
      <c r="G802" s="437"/>
    </row>
    <row r="803">
      <c r="A803" s="730"/>
      <c r="B803" s="731"/>
      <c r="C803" s="731"/>
      <c r="D803" s="1492"/>
      <c r="E803" s="437"/>
      <c r="F803" s="734"/>
      <c r="G803" s="437"/>
    </row>
    <row r="804">
      <c r="A804" s="730"/>
      <c r="B804" s="731"/>
      <c r="C804" s="731"/>
      <c r="D804" s="1492"/>
      <c r="E804" s="437"/>
      <c r="F804" s="734"/>
      <c r="G804" s="437"/>
    </row>
    <row r="805">
      <c r="A805" s="730"/>
      <c r="B805" s="731"/>
      <c r="C805" s="731"/>
      <c r="D805" s="1492"/>
      <c r="E805" s="437"/>
      <c r="F805" s="734"/>
      <c r="G805" s="437"/>
    </row>
    <row r="806">
      <c r="A806" s="730"/>
      <c r="B806" s="731"/>
      <c r="C806" s="731"/>
      <c r="D806" s="1492"/>
      <c r="E806" s="437"/>
      <c r="F806" s="734"/>
      <c r="G806" s="437"/>
    </row>
    <row r="807">
      <c r="A807" s="730"/>
      <c r="B807" s="731"/>
      <c r="C807" s="731"/>
      <c r="D807" s="1492"/>
      <c r="E807" s="437"/>
      <c r="F807" s="734"/>
      <c r="G807" s="437"/>
    </row>
    <row r="808">
      <c r="A808" s="730"/>
      <c r="B808" s="731"/>
      <c r="C808" s="731"/>
      <c r="D808" s="1492"/>
      <c r="E808" s="437"/>
      <c r="F808" s="734"/>
      <c r="G808" s="437"/>
    </row>
    <row r="809">
      <c r="A809" s="730"/>
      <c r="B809" s="731"/>
      <c r="C809" s="731"/>
      <c r="D809" s="1492"/>
      <c r="E809" s="437"/>
      <c r="F809" s="734"/>
      <c r="G809" s="437"/>
    </row>
    <row r="810">
      <c r="A810" s="730"/>
      <c r="B810" s="731"/>
      <c r="C810" s="731"/>
      <c r="D810" s="1492"/>
      <c r="E810" s="437"/>
      <c r="F810" s="734"/>
      <c r="G810" s="437"/>
    </row>
    <row r="811">
      <c r="A811" s="730"/>
      <c r="B811" s="731"/>
      <c r="C811" s="731"/>
      <c r="D811" s="1492"/>
      <c r="E811" s="437"/>
      <c r="F811" s="734"/>
      <c r="G811" s="437"/>
    </row>
    <row r="812">
      <c r="A812" s="730"/>
      <c r="B812" s="731"/>
      <c r="C812" s="731"/>
      <c r="D812" s="1492"/>
      <c r="E812" s="437"/>
      <c r="F812" s="734"/>
      <c r="G812" s="437"/>
    </row>
    <row r="813">
      <c r="A813" s="730"/>
      <c r="B813" s="731"/>
      <c r="C813" s="731"/>
      <c r="D813" s="1492"/>
      <c r="E813" s="437"/>
      <c r="F813" s="734"/>
      <c r="G813" s="437"/>
    </row>
    <row r="814">
      <c r="A814" s="730"/>
      <c r="B814" s="731"/>
      <c r="C814" s="731"/>
      <c r="D814" s="1492"/>
      <c r="E814" s="437"/>
      <c r="F814" s="734"/>
      <c r="G814" s="437"/>
    </row>
    <row r="815">
      <c r="A815" s="730"/>
      <c r="B815" s="731"/>
      <c r="C815" s="731"/>
      <c r="D815" s="1492"/>
      <c r="E815" s="437"/>
      <c r="F815" s="734"/>
      <c r="G815" s="437"/>
    </row>
    <row r="816">
      <c r="A816" s="730"/>
      <c r="B816" s="731"/>
      <c r="C816" s="731"/>
      <c r="D816" s="1492"/>
      <c r="E816" s="437"/>
      <c r="F816" s="734"/>
      <c r="G816" s="437"/>
    </row>
    <row r="817">
      <c r="A817" s="730"/>
      <c r="B817" s="731"/>
      <c r="C817" s="731"/>
      <c r="D817" s="1492"/>
      <c r="E817" s="437"/>
      <c r="F817" s="734"/>
      <c r="G817" s="437"/>
    </row>
    <row r="818">
      <c r="A818" s="730"/>
      <c r="B818" s="731"/>
      <c r="C818" s="731"/>
      <c r="D818" s="1492"/>
      <c r="E818" s="437"/>
      <c r="F818" s="734"/>
      <c r="G818" s="437"/>
    </row>
    <row r="819">
      <c r="A819" s="730"/>
      <c r="B819" s="731"/>
      <c r="C819" s="731"/>
      <c r="D819" s="1492"/>
      <c r="E819" s="437"/>
      <c r="F819" s="734"/>
      <c r="G819" s="437"/>
    </row>
    <row r="820">
      <c r="A820" s="730"/>
      <c r="B820" s="731"/>
      <c r="C820" s="731"/>
      <c r="D820" s="1492"/>
      <c r="E820" s="437"/>
      <c r="F820" s="734"/>
      <c r="G820" s="437"/>
    </row>
    <row r="821">
      <c r="A821" s="730"/>
      <c r="B821" s="731"/>
      <c r="C821" s="731"/>
      <c r="D821" s="1492"/>
      <c r="E821" s="437"/>
      <c r="F821" s="734"/>
      <c r="G821" s="437"/>
    </row>
    <row r="822">
      <c r="A822" s="730"/>
      <c r="B822" s="731"/>
      <c r="C822" s="731"/>
      <c r="D822" s="1492"/>
      <c r="E822" s="437"/>
      <c r="F822" s="734"/>
      <c r="G822" s="437"/>
    </row>
    <row r="823">
      <c r="A823" s="730"/>
      <c r="B823" s="731"/>
      <c r="C823" s="731"/>
      <c r="D823" s="1492"/>
      <c r="E823" s="437"/>
      <c r="F823" s="734"/>
      <c r="G823" s="437"/>
    </row>
    <row r="824">
      <c r="A824" s="730"/>
      <c r="B824" s="731"/>
      <c r="C824" s="731"/>
      <c r="D824" s="1492"/>
      <c r="E824" s="437"/>
      <c r="F824" s="734"/>
      <c r="G824" s="437"/>
    </row>
    <row r="825">
      <c r="A825" s="730"/>
      <c r="B825" s="731"/>
      <c r="C825" s="731"/>
      <c r="D825" s="1492"/>
      <c r="E825" s="437"/>
      <c r="F825" s="734"/>
      <c r="G825" s="437"/>
    </row>
    <row r="826">
      <c r="A826" s="730"/>
      <c r="B826" s="731"/>
      <c r="C826" s="731"/>
      <c r="D826" s="1492"/>
      <c r="E826" s="437"/>
      <c r="F826" s="734"/>
      <c r="G826" s="437"/>
    </row>
    <row r="827">
      <c r="A827" s="730"/>
      <c r="B827" s="731"/>
      <c r="C827" s="731"/>
      <c r="D827" s="1492"/>
      <c r="E827" s="437"/>
      <c r="F827" s="734"/>
      <c r="G827" s="437"/>
    </row>
    <row r="828">
      <c r="A828" s="730"/>
      <c r="B828" s="731"/>
      <c r="C828" s="731"/>
      <c r="D828" s="1492"/>
      <c r="E828" s="437"/>
      <c r="F828" s="734"/>
      <c r="G828" s="437"/>
    </row>
    <row r="829">
      <c r="A829" s="730"/>
      <c r="B829" s="731"/>
      <c r="C829" s="731"/>
      <c r="D829" s="1492"/>
      <c r="E829" s="437"/>
      <c r="F829" s="734"/>
      <c r="G829" s="437"/>
    </row>
    <row r="830">
      <c r="A830" s="730"/>
      <c r="B830" s="731"/>
      <c r="C830" s="731"/>
      <c r="D830" s="1492"/>
      <c r="E830" s="437"/>
      <c r="F830" s="734"/>
      <c r="G830" s="437"/>
    </row>
    <row r="831">
      <c r="A831" s="730"/>
      <c r="B831" s="731"/>
      <c r="C831" s="731"/>
      <c r="D831" s="1492"/>
      <c r="E831" s="437"/>
      <c r="F831" s="734"/>
      <c r="G831" s="437"/>
    </row>
    <row r="832">
      <c r="A832" s="730"/>
      <c r="B832" s="731"/>
      <c r="C832" s="731"/>
      <c r="D832" s="1492"/>
      <c r="E832" s="437"/>
      <c r="F832" s="734"/>
      <c r="G832" s="437"/>
    </row>
    <row r="833">
      <c r="A833" s="730"/>
      <c r="B833" s="731"/>
      <c r="C833" s="731"/>
      <c r="D833" s="1492"/>
      <c r="E833" s="437"/>
      <c r="F833" s="734"/>
      <c r="G833" s="437"/>
    </row>
    <row r="834">
      <c r="A834" s="730"/>
      <c r="B834" s="731"/>
      <c r="C834" s="731"/>
      <c r="D834" s="1492"/>
      <c r="E834" s="437"/>
      <c r="F834" s="734"/>
      <c r="G834" s="437"/>
    </row>
    <row r="835">
      <c r="A835" s="730"/>
      <c r="B835" s="731"/>
      <c r="C835" s="731"/>
      <c r="D835" s="1492"/>
      <c r="E835" s="437"/>
      <c r="F835" s="734"/>
      <c r="G835" s="437"/>
    </row>
    <row r="836">
      <c r="A836" s="730"/>
      <c r="B836" s="731"/>
      <c r="C836" s="731"/>
      <c r="D836" s="1492"/>
      <c r="E836" s="437"/>
      <c r="F836" s="734"/>
      <c r="G836" s="437"/>
    </row>
    <row r="837">
      <c r="A837" s="730"/>
      <c r="B837" s="731"/>
      <c r="C837" s="731"/>
      <c r="D837" s="1492"/>
      <c r="E837" s="437"/>
      <c r="F837" s="734"/>
      <c r="G837" s="437"/>
    </row>
    <row r="838">
      <c r="A838" s="730"/>
      <c r="B838" s="731"/>
      <c r="C838" s="731"/>
      <c r="D838" s="1492"/>
      <c r="E838" s="437"/>
      <c r="F838" s="734"/>
      <c r="G838" s="437"/>
    </row>
    <row r="839">
      <c r="A839" s="730"/>
      <c r="B839" s="731"/>
      <c r="C839" s="731"/>
      <c r="D839" s="1492"/>
      <c r="E839" s="437"/>
      <c r="F839" s="734"/>
      <c r="G839" s="437"/>
    </row>
    <row r="840">
      <c r="A840" s="730"/>
      <c r="B840" s="731"/>
      <c r="C840" s="731"/>
      <c r="D840" s="1492"/>
      <c r="E840" s="437"/>
      <c r="F840" s="734"/>
      <c r="G840" s="437"/>
    </row>
    <row r="841">
      <c r="A841" s="730"/>
      <c r="B841" s="731"/>
      <c r="C841" s="731"/>
      <c r="D841" s="1492"/>
      <c r="E841" s="437"/>
      <c r="F841" s="734"/>
      <c r="G841" s="437"/>
    </row>
    <row r="842">
      <c r="A842" s="730"/>
      <c r="B842" s="731"/>
      <c r="C842" s="731"/>
      <c r="D842" s="1492"/>
      <c r="E842" s="437"/>
      <c r="F842" s="734"/>
      <c r="G842" s="437"/>
    </row>
    <row r="843">
      <c r="A843" s="730"/>
      <c r="B843" s="731"/>
      <c r="C843" s="731"/>
      <c r="D843" s="1492"/>
      <c r="E843" s="437"/>
      <c r="F843" s="734"/>
      <c r="G843" s="437"/>
    </row>
    <row r="844">
      <c r="A844" s="730"/>
      <c r="B844" s="731"/>
      <c r="C844" s="731"/>
      <c r="D844" s="1492"/>
      <c r="E844" s="437"/>
      <c r="F844" s="734"/>
      <c r="G844" s="437"/>
    </row>
    <row r="845">
      <c r="A845" s="730"/>
      <c r="B845" s="731"/>
      <c r="C845" s="731"/>
      <c r="D845" s="1492"/>
      <c r="E845" s="437"/>
      <c r="F845" s="734"/>
      <c r="G845" s="437"/>
    </row>
    <row r="846">
      <c r="A846" s="730"/>
      <c r="B846" s="731"/>
      <c r="C846" s="731"/>
      <c r="D846" s="1492"/>
      <c r="E846" s="437"/>
      <c r="F846" s="734"/>
      <c r="G846" s="437"/>
    </row>
    <row r="847">
      <c r="A847" s="730"/>
      <c r="B847" s="731"/>
      <c r="C847" s="731"/>
      <c r="D847" s="1492"/>
      <c r="E847" s="437"/>
      <c r="F847" s="734"/>
      <c r="G847" s="437"/>
    </row>
    <row r="848">
      <c r="A848" s="730"/>
      <c r="B848" s="731"/>
      <c r="C848" s="731"/>
      <c r="D848" s="1492"/>
      <c r="E848" s="437"/>
      <c r="F848" s="734"/>
      <c r="G848" s="437"/>
    </row>
    <row r="849">
      <c r="A849" s="730"/>
      <c r="B849" s="731"/>
      <c r="C849" s="731"/>
      <c r="D849" s="1492"/>
      <c r="E849" s="437"/>
      <c r="F849" s="734"/>
      <c r="G849" s="437"/>
    </row>
    <row r="850">
      <c r="A850" s="730"/>
      <c r="B850" s="731"/>
      <c r="C850" s="731"/>
      <c r="D850" s="1492"/>
      <c r="E850" s="437"/>
      <c r="F850" s="734"/>
      <c r="G850" s="437"/>
    </row>
    <row r="851">
      <c r="A851" s="730"/>
      <c r="B851" s="731"/>
      <c r="C851" s="731"/>
      <c r="D851" s="1492"/>
      <c r="E851" s="437"/>
      <c r="F851" s="734"/>
      <c r="G851" s="437"/>
    </row>
    <row r="852">
      <c r="A852" s="730"/>
      <c r="B852" s="731"/>
      <c r="C852" s="731"/>
      <c r="D852" s="1492"/>
      <c r="E852" s="437"/>
      <c r="F852" s="734"/>
      <c r="G852" s="437"/>
    </row>
    <row r="853">
      <c r="A853" s="730"/>
      <c r="B853" s="731"/>
      <c r="C853" s="731"/>
      <c r="D853" s="1492"/>
      <c r="E853" s="437"/>
      <c r="F853" s="734"/>
      <c r="G853" s="437"/>
    </row>
    <row r="854">
      <c r="A854" s="730"/>
      <c r="B854" s="731"/>
      <c r="C854" s="731"/>
      <c r="D854" s="1492"/>
      <c r="E854" s="437"/>
      <c r="F854" s="734"/>
      <c r="G854" s="437"/>
    </row>
    <row r="855">
      <c r="A855" s="730"/>
      <c r="B855" s="731"/>
      <c r="C855" s="731"/>
      <c r="D855" s="1492"/>
      <c r="E855" s="437"/>
      <c r="F855" s="734"/>
      <c r="G855" s="437"/>
    </row>
    <row r="856">
      <c r="A856" s="730"/>
      <c r="B856" s="731"/>
      <c r="C856" s="731"/>
      <c r="D856" s="1492"/>
      <c r="E856" s="437"/>
      <c r="F856" s="734"/>
      <c r="G856" s="437"/>
    </row>
    <row r="857">
      <c r="A857" s="730"/>
      <c r="B857" s="731"/>
      <c r="C857" s="731"/>
      <c r="D857" s="1492"/>
      <c r="E857" s="437"/>
      <c r="F857" s="734"/>
      <c r="G857" s="437"/>
    </row>
    <row r="858">
      <c r="A858" s="730"/>
      <c r="B858" s="731"/>
      <c r="C858" s="731"/>
      <c r="D858" s="1492"/>
      <c r="E858" s="437"/>
      <c r="F858" s="734"/>
      <c r="G858" s="437"/>
    </row>
    <row r="859">
      <c r="A859" s="730"/>
      <c r="B859" s="731"/>
      <c r="C859" s="731"/>
      <c r="D859" s="1492"/>
      <c r="E859" s="437"/>
      <c r="F859" s="734"/>
      <c r="G859" s="437"/>
    </row>
    <row r="860">
      <c r="A860" s="730"/>
      <c r="B860" s="731"/>
      <c r="C860" s="731"/>
      <c r="D860" s="1492"/>
      <c r="E860" s="437"/>
      <c r="F860" s="734"/>
      <c r="G860" s="437"/>
    </row>
    <row r="861">
      <c r="A861" s="730"/>
      <c r="B861" s="731"/>
      <c r="C861" s="731"/>
      <c r="D861" s="1492"/>
      <c r="E861" s="437"/>
      <c r="F861" s="734"/>
      <c r="G861" s="437"/>
    </row>
    <row r="862">
      <c r="A862" s="730"/>
      <c r="B862" s="731"/>
      <c r="C862" s="731"/>
      <c r="D862" s="1492"/>
      <c r="E862" s="437"/>
      <c r="F862" s="734"/>
      <c r="G862" s="437"/>
    </row>
    <row r="863">
      <c r="A863" s="730"/>
      <c r="B863" s="731"/>
      <c r="C863" s="731"/>
      <c r="D863" s="1492"/>
      <c r="E863" s="437"/>
      <c r="F863" s="734"/>
      <c r="G863" s="437"/>
    </row>
    <row r="864">
      <c r="A864" s="730"/>
      <c r="B864" s="731"/>
      <c r="C864" s="731"/>
      <c r="D864" s="1492"/>
      <c r="E864" s="437"/>
      <c r="F864" s="734"/>
      <c r="G864" s="437"/>
    </row>
    <row r="865">
      <c r="A865" s="730"/>
      <c r="B865" s="731"/>
      <c r="C865" s="731"/>
      <c r="D865" s="1492"/>
      <c r="E865" s="437"/>
      <c r="F865" s="734"/>
      <c r="G865" s="437"/>
    </row>
    <row r="866">
      <c r="A866" s="730"/>
      <c r="B866" s="731"/>
      <c r="C866" s="731"/>
      <c r="D866" s="1492"/>
      <c r="E866" s="437"/>
      <c r="F866" s="734"/>
      <c r="G866" s="437"/>
    </row>
    <row r="867">
      <c r="A867" s="730"/>
      <c r="B867" s="731"/>
      <c r="C867" s="731"/>
      <c r="D867" s="1492"/>
      <c r="E867" s="437"/>
      <c r="F867" s="734"/>
      <c r="G867" s="437"/>
    </row>
    <row r="868">
      <c r="A868" s="730"/>
      <c r="B868" s="731"/>
      <c r="C868" s="731"/>
      <c r="D868" s="1492"/>
      <c r="E868" s="437"/>
      <c r="F868" s="734"/>
      <c r="G868" s="437"/>
    </row>
    <row r="869">
      <c r="A869" s="730"/>
      <c r="B869" s="731"/>
      <c r="C869" s="731"/>
      <c r="D869" s="1492"/>
      <c r="E869" s="437"/>
      <c r="F869" s="734"/>
      <c r="G869" s="437"/>
    </row>
    <row r="870">
      <c r="A870" s="730"/>
      <c r="B870" s="731"/>
      <c r="C870" s="731"/>
      <c r="D870" s="1492"/>
      <c r="E870" s="437"/>
      <c r="F870" s="734"/>
      <c r="G870" s="437"/>
    </row>
    <row r="871">
      <c r="A871" s="730"/>
      <c r="B871" s="731"/>
      <c r="C871" s="731"/>
      <c r="D871" s="1492"/>
      <c r="E871" s="437"/>
      <c r="F871" s="734"/>
      <c r="G871" s="437"/>
    </row>
    <row r="872">
      <c r="A872" s="730"/>
      <c r="B872" s="731"/>
      <c r="C872" s="731"/>
      <c r="D872" s="1492"/>
      <c r="E872" s="437"/>
      <c r="F872" s="734"/>
      <c r="G872" s="437"/>
    </row>
    <row r="873">
      <c r="A873" s="730"/>
      <c r="B873" s="731"/>
      <c r="C873" s="731"/>
      <c r="D873" s="1492"/>
      <c r="E873" s="437"/>
      <c r="F873" s="734"/>
      <c r="G873" s="437"/>
    </row>
    <row r="874">
      <c r="A874" s="730"/>
      <c r="B874" s="731"/>
      <c r="C874" s="731"/>
      <c r="D874" s="1492"/>
      <c r="E874" s="437"/>
      <c r="F874" s="734"/>
      <c r="G874" s="437"/>
    </row>
    <row r="875">
      <c r="A875" s="730"/>
      <c r="B875" s="731"/>
      <c r="C875" s="731"/>
      <c r="D875" s="1492"/>
      <c r="E875" s="437"/>
      <c r="F875" s="734"/>
      <c r="G875" s="437"/>
    </row>
    <row r="876">
      <c r="A876" s="730"/>
      <c r="B876" s="731"/>
      <c r="C876" s="731"/>
      <c r="D876" s="1492"/>
      <c r="E876" s="437"/>
      <c r="F876" s="734"/>
      <c r="G876" s="437"/>
    </row>
    <row r="877">
      <c r="A877" s="730"/>
      <c r="B877" s="731"/>
      <c r="C877" s="731"/>
      <c r="D877" s="1492"/>
      <c r="E877" s="437"/>
      <c r="F877" s="734"/>
      <c r="G877" s="437"/>
    </row>
    <row r="878">
      <c r="A878" s="730"/>
      <c r="B878" s="731"/>
      <c r="C878" s="731"/>
      <c r="D878" s="1492"/>
      <c r="E878" s="437"/>
      <c r="F878" s="734"/>
      <c r="G878" s="437"/>
    </row>
    <row r="879">
      <c r="A879" s="730"/>
      <c r="B879" s="731"/>
      <c r="C879" s="731"/>
      <c r="D879" s="1492"/>
      <c r="E879" s="437"/>
      <c r="F879" s="734"/>
      <c r="G879" s="437"/>
    </row>
    <row r="880">
      <c r="A880" s="730"/>
      <c r="B880" s="731"/>
      <c r="C880" s="731"/>
      <c r="D880" s="1492"/>
      <c r="E880" s="437"/>
      <c r="F880" s="734"/>
      <c r="G880" s="437"/>
    </row>
    <row r="881">
      <c r="A881" s="730"/>
      <c r="B881" s="731"/>
      <c r="C881" s="731"/>
      <c r="D881" s="1492"/>
      <c r="E881" s="437"/>
      <c r="F881" s="734"/>
      <c r="G881" s="437"/>
    </row>
    <row r="882">
      <c r="A882" s="730"/>
      <c r="B882" s="731"/>
      <c r="C882" s="731"/>
      <c r="D882" s="1492"/>
      <c r="E882" s="437"/>
      <c r="F882" s="734"/>
      <c r="G882" s="437"/>
    </row>
    <row r="883">
      <c r="A883" s="730"/>
      <c r="B883" s="731"/>
      <c r="C883" s="731"/>
      <c r="D883" s="1492"/>
      <c r="E883" s="437"/>
      <c r="F883" s="734"/>
      <c r="G883" s="437"/>
    </row>
    <row r="884">
      <c r="A884" s="730"/>
      <c r="B884" s="731"/>
      <c r="C884" s="731"/>
      <c r="D884" s="1492"/>
      <c r="E884" s="437"/>
      <c r="F884" s="734"/>
      <c r="G884" s="437"/>
    </row>
    <row r="885">
      <c r="A885" s="730"/>
      <c r="B885" s="731"/>
      <c r="C885" s="731"/>
      <c r="D885" s="1492"/>
      <c r="E885" s="437"/>
      <c r="F885" s="734"/>
      <c r="G885" s="437"/>
    </row>
    <row r="886">
      <c r="A886" s="730"/>
      <c r="B886" s="731"/>
      <c r="C886" s="731"/>
      <c r="D886" s="1492"/>
      <c r="E886" s="437"/>
      <c r="F886" s="734"/>
      <c r="G886" s="437"/>
    </row>
    <row r="887">
      <c r="A887" s="730"/>
      <c r="B887" s="731"/>
      <c r="C887" s="731"/>
      <c r="D887" s="1492"/>
      <c r="E887" s="437"/>
      <c r="F887" s="734"/>
      <c r="G887" s="437"/>
    </row>
    <row r="888">
      <c r="A888" s="730"/>
      <c r="B888" s="731"/>
      <c r="C888" s="731"/>
      <c r="D888" s="1492"/>
      <c r="E888" s="437"/>
      <c r="F888" s="734"/>
      <c r="G888" s="437"/>
    </row>
    <row r="889">
      <c r="A889" s="730"/>
      <c r="B889" s="731"/>
      <c r="C889" s="731"/>
      <c r="D889" s="1492"/>
      <c r="E889" s="437"/>
      <c r="F889" s="734"/>
      <c r="G889" s="437"/>
    </row>
    <row r="890">
      <c r="A890" s="730"/>
      <c r="B890" s="731"/>
      <c r="C890" s="731"/>
      <c r="D890" s="1492"/>
      <c r="E890" s="437"/>
      <c r="F890" s="734"/>
      <c r="G890" s="437"/>
    </row>
    <row r="891">
      <c r="A891" s="730"/>
      <c r="B891" s="731"/>
      <c r="C891" s="731"/>
      <c r="D891" s="1492"/>
      <c r="E891" s="437"/>
      <c r="F891" s="734"/>
      <c r="G891" s="437"/>
    </row>
    <row r="892">
      <c r="A892" s="730"/>
      <c r="B892" s="731"/>
      <c r="C892" s="731"/>
      <c r="D892" s="1492"/>
      <c r="E892" s="437"/>
      <c r="F892" s="734"/>
      <c r="G892" s="437"/>
    </row>
    <row r="893">
      <c r="A893" s="730"/>
      <c r="B893" s="731"/>
      <c r="C893" s="731"/>
      <c r="D893" s="1492"/>
      <c r="E893" s="437"/>
      <c r="F893" s="734"/>
      <c r="G893" s="437"/>
    </row>
    <row r="894">
      <c r="A894" s="730"/>
      <c r="B894" s="731"/>
      <c r="C894" s="731"/>
      <c r="D894" s="1492"/>
      <c r="E894" s="437"/>
      <c r="F894" s="734"/>
      <c r="G894" s="437"/>
    </row>
    <row r="895">
      <c r="A895" s="730"/>
      <c r="B895" s="731"/>
      <c r="C895" s="731"/>
      <c r="D895" s="1492"/>
      <c r="E895" s="437"/>
      <c r="F895" s="734"/>
      <c r="G895" s="437"/>
    </row>
    <row r="896">
      <c r="A896" s="730"/>
      <c r="B896" s="731"/>
      <c r="C896" s="731"/>
      <c r="D896" s="1492"/>
      <c r="E896" s="437"/>
      <c r="F896" s="734"/>
      <c r="G896" s="437"/>
    </row>
    <row r="897">
      <c r="A897" s="730"/>
      <c r="B897" s="731"/>
      <c r="C897" s="731"/>
      <c r="D897" s="1492"/>
      <c r="E897" s="437"/>
      <c r="F897" s="734"/>
      <c r="G897" s="437"/>
    </row>
    <row r="898">
      <c r="A898" s="730"/>
      <c r="B898" s="731"/>
      <c r="C898" s="731"/>
      <c r="D898" s="1492"/>
      <c r="E898" s="437"/>
      <c r="F898" s="734"/>
      <c r="G898" s="437"/>
    </row>
    <row r="899">
      <c r="A899" s="730"/>
      <c r="B899" s="731"/>
      <c r="C899" s="731"/>
      <c r="D899" s="1492"/>
      <c r="E899" s="437"/>
      <c r="F899" s="734"/>
      <c r="G899" s="437"/>
    </row>
    <row r="900">
      <c r="A900" s="730"/>
      <c r="B900" s="731"/>
      <c r="C900" s="731"/>
      <c r="D900" s="1492"/>
      <c r="E900" s="437"/>
      <c r="F900" s="734"/>
      <c r="G900" s="437"/>
    </row>
    <row r="901">
      <c r="A901" s="730"/>
      <c r="B901" s="731"/>
      <c r="C901" s="731"/>
      <c r="D901" s="1492"/>
      <c r="E901" s="437"/>
      <c r="F901" s="734"/>
      <c r="G901" s="437"/>
    </row>
    <row r="902">
      <c r="A902" s="730"/>
      <c r="B902" s="731"/>
      <c r="C902" s="731"/>
      <c r="D902" s="1492"/>
      <c r="E902" s="437"/>
      <c r="F902" s="734"/>
      <c r="G902" s="437"/>
    </row>
    <row r="903">
      <c r="A903" s="730"/>
      <c r="B903" s="731"/>
      <c r="C903" s="731"/>
      <c r="D903" s="1492"/>
      <c r="E903" s="437"/>
      <c r="F903" s="734"/>
      <c r="G903" s="437"/>
    </row>
    <row r="904">
      <c r="A904" s="730"/>
      <c r="B904" s="731"/>
      <c r="C904" s="731"/>
      <c r="D904" s="1492"/>
      <c r="E904" s="437"/>
      <c r="F904" s="734"/>
      <c r="G904" s="437"/>
    </row>
    <row r="905">
      <c r="A905" s="730"/>
      <c r="B905" s="731"/>
      <c r="C905" s="731"/>
      <c r="D905" s="1492"/>
      <c r="E905" s="437"/>
      <c r="F905" s="734"/>
      <c r="G905" s="437"/>
    </row>
    <row r="906">
      <c r="A906" s="730"/>
      <c r="B906" s="731"/>
      <c r="C906" s="731"/>
      <c r="D906" s="1492"/>
      <c r="E906" s="437"/>
      <c r="F906" s="734"/>
      <c r="G906" s="437"/>
    </row>
    <row r="907">
      <c r="A907" s="730"/>
      <c r="B907" s="731"/>
      <c r="C907" s="731"/>
      <c r="D907" s="1492"/>
      <c r="E907" s="437"/>
      <c r="F907" s="734"/>
      <c r="G907" s="437"/>
    </row>
    <row r="908">
      <c r="A908" s="730"/>
      <c r="B908" s="731"/>
      <c r="C908" s="731"/>
      <c r="D908" s="1492"/>
      <c r="E908" s="437"/>
      <c r="F908" s="734"/>
      <c r="G908" s="437"/>
    </row>
    <row r="909">
      <c r="A909" s="730"/>
      <c r="B909" s="731"/>
      <c r="C909" s="731"/>
      <c r="D909" s="1492"/>
      <c r="E909" s="437"/>
      <c r="F909" s="734"/>
      <c r="G909" s="437"/>
    </row>
    <row r="910">
      <c r="A910" s="730"/>
      <c r="B910" s="731"/>
      <c r="C910" s="731"/>
      <c r="D910" s="1492"/>
      <c r="E910" s="437"/>
      <c r="F910" s="734"/>
      <c r="G910" s="437"/>
    </row>
    <row r="911">
      <c r="A911" s="730"/>
      <c r="B911" s="731"/>
      <c r="C911" s="731"/>
      <c r="D911" s="1492"/>
      <c r="E911" s="437"/>
      <c r="F911" s="734"/>
      <c r="G911" s="437"/>
    </row>
    <row r="912">
      <c r="A912" s="730"/>
      <c r="B912" s="731"/>
      <c r="C912" s="731"/>
      <c r="D912" s="1492"/>
      <c r="E912" s="437"/>
      <c r="F912" s="734"/>
      <c r="G912" s="437"/>
    </row>
    <row r="913">
      <c r="A913" s="730"/>
      <c r="B913" s="731"/>
      <c r="C913" s="731"/>
      <c r="D913" s="1492"/>
      <c r="E913" s="437"/>
      <c r="F913" s="734"/>
      <c r="G913" s="437"/>
    </row>
    <row r="914">
      <c r="A914" s="730"/>
      <c r="B914" s="731"/>
      <c r="C914" s="731"/>
      <c r="D914" s="1492"/>
      <c r="E914" s="437"/>
      <c r="F914" s="734"/>
      <c r="G914" s="437"/>
    </row>
    <row r="915">
      <c r="A915" s="730"/>
      <c r="B915" s="731"/>
      <c r="C915" s="731"/>
      <c r="D915" s="1492"/>
      <c r="E915" s="437"/>
      <c r="F915" s="734"/>
      <c r="G915" s="437"/>
    </row>
    <row r="916">
      <c r="A916" s="730"/>
      <c r="B916" s="731"/>
      <c r="C916" s="731"/>
      <c r="D916" s="1492"/>
      <c r="E916" s="437"/>
      <c r="F916" s="734"/>
      <c r="G916" s="437"/>
    </row>
    <row r="917">
      <c r="A917" s="730"/>
      <c r="B917" s="731"/>
      <c r="C917" s="731"/>
      <c r="D917" s="1492"/>
      <c r="E917" s="437"/>
      <c r="F917" s="734"/>
      <c r="G917" s="437"/>
    </row>
    <row r="918">
      <c r="A918" s="730"/>
      <c r="B918" s="731"/>
      <c r="C918" s="731"/>
      <c r="D918" s="1492"/>
      <c r="E918" s="437"/>
      <c r="F918" s="734"/>
      <c r="G918" s="437"/>
    </row>
    <row r="919">
      <c r="A919" s="730"/>
      <c r="B919" s="731"/>
      <c r="C919" s="731"/>
      <c r="D919" s="1492"/>
      <c r="E919" s="437"/>
      <c r="F919" s="734"/>
      <c r="G919" s="437"/>
    </row>
    <row r="920">
      <c r="A920" s="730"/>
      <c r="B920" s="731"/>
      <c r="C920" s="731"/>
      <c r="D920" s="1492"/>
      <c r="E920" s="437"/>
      <c r="F920" s="734"/>
      <c r="G920" s="437"/>
    </row>
    <row r="921">
      <c r="A921" s="730"/>
      <c r="B921" s="731"/>
      <c r="C921" s="731"/>
      <c r="D921" s="1492"/>
      <c r="E921" s="437"/>
      <c r="F921" s="734"/>
      <c r="G921" s="437"/>
    </row>
    <row r="922">
      <c r="A922" s="730"/>
      <c r="B922" s="731"/>
      <c r="C922" s="731"/>
      <c r="D922" s="1492"/>
      <c r="E922" s="437"/>
      <c r="F922" s="734"/>
      <c r="G922" s="437"/>
    </row>
    <row r="923">
      <c r="A923" s="730"/>
      <c r="B923" s="731"/>
      <c r="C923" s="731"/>
      <c r="D923" s="1492"/>
      <c r="E923" s="437"/>
      <c r="F923" s="734"/>
      <c r="G923" s="437"/>
    </row>
    <row r="924">
      <c r="A924" s="730"/>
      <c r="B924" s="731"/>
      <c r="C924" s="731"/>
      <c r="D924" s="1492"/>
      <c r="E924" s="437"/>
      <c r="F924" s="734"/>
      <c r="G924" s="437"/>
    </row>
    <row r="925">
      <c r="A925" s="730"/>
      <c r="B925" s="731"/>
      <c r="C925" s="731"/>
      <c r="D925" s="1492"/>
      <c r="E925" s="437"/>
      <c r="F925" s="734"/>
      <c r="G925" s="437"/>
    </row>
    <row r="926">
      <c r="A926" s="730"/>
      <c r="B926" s="731"/>
      <c r="C926" s="731"/>
      <c r="D926" s="1492"/>
      <c r="E926" s="437"/>
      <c r="F926" s="734"/>
      <c r="G926" s="437"/>
    </row>
    <row r="927">
      <c r="A927" s="730"/>
      <c r="B927" s="731"/>
      <c r="C927" s="731"/>
      <c r="D927" s="1492"/>
      <c r="E927" s="437"/>
      <c r="F927" s="734"/>
      <c r="G927" s="437"/>
    </row>
    <row r="928">
      <c r="A928" s="730"/>
      <c r="B928" s="731"/>
      <c r="C928" s="731"/>
      <c r="D928" s="1492"/>
      <c r="E928" s="437"/>
      <c r="F928" s="734"/>
      <c r="G928" s="437"/>
    </row>
    <row r="929">
      <c r="A929" s="730"/>
      <c r="B929" s="731"/>
      <c r="C929" s="731"/>
      <c r="D929" s="1492"/>
      <c r="E929" s="437"/>
      <c r="F929" s="734"/>
      <c r="G929" s="437"/>
    </row>
    <row r="930">
      <c r="A930" s="730"/>
      <c r="B930" s="731"/>
      <c r="C930" s="731"/>
      <c r="D930" s="1492"/>
      <c r="E930" s="437"/>
      <c r="F930" s="734"/>
      <c r="G930" s="437"/>
    </row>
    <row r="931">
      <c r="A931" s="730"/>
      <c r="B931" s="731"/>
      <c r="C931" s="731"/>
      <c r="D931" s="1492"/>
      <c r="E931" s="437"/>
      <c r="F931" s="734"/>
      <c r="G931" s="437"/>
    </row>
    <row r="932">
      <c r="A932" s="730"/>
      <c r="B932" s="731"/>
      <c r="C932" s="731"/>
      <c r="D932" s="1492"/>
      <c r="E932" s="437"/>
      <c r="F932" s="734"/>
      <c r="G932" s="437"/>
    </row>
    <row r="933">
      <c r="A933" s="730"/>
      <c r="B933" s="731"/>
      <c r="C933" s="731"/>
      <c r="D933" s="1492"/>
      <c r="E933" s="437"/>
      <c r="F933" s="734"/>
      <c r="G933" s="437"/>
    </row>
    <row r="934">
      <c r="A934" s="730"/>
      <c r="B934" s="731"/>
      <c r="C934" s="731"/>
      <c r="D934" s="1492"/>
      <c r="E934" s="437"/>
      <c r="F934" s="734"/>
      <c r="G934" s="437"/>
    </row>
    <row r="935">
      <c r="A935" s="730"/>
      <c r="B935" s="731"/>
      <c r="C935" s="731"/>
      <c r="D935" s="1492"/>
      <c r="E935" s="437"/>
      <c r="F935" s="734"/>
      <c r="G935" s="437"/>
    </row>
    <row r="936">
      <c r="A936" s="730"/>
      <c r="B936" s="731"/>
      <c r="C936" s="731"/>
      <c r="D936" s="1492"/>
      <c r="E936" s="437"/>
      <c r="F936" s="734"/>
      <c r="G936" s="437"/>
    </row>
    <row r="937">
      <c r="A937" s="730"/>
      <c r="B937" s="731"/>
      <c r="C937" s="731"/>
      <c r="D937" s="1492"/>
      <c r="E937" s="437"/>
      <c r="F937" s="734"/>
      <c r="G937" s="437"/>
    </row>
    <row r="938">
      <c r="A938" s="730"/>
      <c r="B938" s="731"/>
      <c r="C938" s="731"/>
      <c r="D938" s="1492"/>
      <c r="E938" s="437"/>
      <c r="F938" s="734"/>
      <c r="G938" s="437"/>
    </row>
    <row r="939">
      <c r="A939" s="730"/>
      <c r="B939" s="731"/>
      <c r="C939" s="731"/>
      <c r="D939" s="1492"/>
      <c r="E939" s="437"/>
      <c r="F939" s="734"/>
      <c r="G939" s="437"/>
    </row>
    <row r="940">
      <c r="A940" s="730"/>
      <c r="B940" s="731"/>
      <c r="C940" s="731"/>
      <c r="D940" s="1492"/>
      <c r="E940" s="437"/>
      <c r="F940" s="734"/>
      <c r="G940" s="437"/>
    </row>
    <row r="941">
      <c r="A941" s="730"/>
      <c r="B941" s="731"/>
      <c r="C941" s="731"/>
      <c r="D941" s="1492"/>
      <c r="E941" s="437"/>
      <c r="F941" s="734"/>
      <c r="G941" s="437"/>
    </row>
    <row r="942">
      <c r="A942" s="730"/>
      <c r="B942" s="731"/>
      <c r="C942" s="731"/>
      <c r="D942" s="1492"/>
      <c r="E942" s="437"/>
      <c r="F942" s="734"/>
      <c r="G942" s="437"/>
    </row>
    <row r="943">
      <c r="A943" s="730"/>
      <c r="B943" s="731"/>
      <c r="C943" s="731"/>
      <c r="D943" s="1492"/>
      <c r="E943" s="437"/>
      <c r="F943" s="734"/>
      <c r="G943" s="437"/>
    </row>
    <row r="944">
      <c r="A944" s="730"/>
      <c r="B944" s="731"/>
      <c r="C944" s="731"/>
      <c r="D944" s="1492"/>
      <c r="E944" s="437"/>
      <c r="F944" s="734"/>
      <c r="G944" s="437"/>
    </row>
    <row r="945">
      <c r="A945" s="730"/>
      <c r="B945" s="731"/>
      <c r="C945" s="731"/>
      <c r="D945" s="1492"/>
      <c r="E945" s="437"/>
      <c r="F945" s="734"/>
      <c r="G945" s="437"/>
    </row>
    <row r="946">
      <c r="A946" s="730"/>
      <c r="B946" s="731"/>
      <c r="C946" s="731"/>
      <c r="D946" s="1492"/>
      <c r="E946" s="437"/>
      <c r="F946" s="734"/>
      <c r="G946" s="437"/>
    </row>
    <row r="947">
      <c r="A947" s="730"/>
      <c r="B947" s="731"/>
      <c r="C947" s="731"/>
      <c r="D947" s="1492"/>
      <c r="E947" s="437"/>
      <c r="F947" s="734"/>
      <c r="G947" s="437"/>
    </row>
    <row r="948">
      <c r="A948" s="730"/>
      <c r="B948" s="731"/>
      <c r="C948" s="731"/>
      <c r="D948" s="1492"/>
      <c r="E948" s="437"/>
      <c r="F948" s="734"/>
      <c r="G948" s="437"/>
    </row>
    <row r="949">
      <c r="A949" s="730"/>
      <c r="B949" s="731"/>
      <c r="C949" s="731"/>
      <c r="D949" s="1492"/>
      <c r="E949" s="437"/>
      <c r="F949" s="734"/>
      <c r="G949" s="437"/>
    </row>
    <row r="950">
      <c r="A950" s="730"/>
      <c r="B950" s="731"/>
      <c r="C950" s="731"/>
      <c r="D950" s="1492"/>
      <c r="E950" s="437"/>
      <c r="F950" s="734"/>
      <c r="G950" s="437"/>
    </row>
    <row r="951">
      <c r="A951" s="730"/>
      <c r="B951" s="731"/>
      <c r="C951" s="731"/>
      <c r="D951" s="1492"/>
      <c r="E951" s="437"/>
      <c r="F951" s="734"/>
      <c r="G951" s="437"/>
    </row>
    <row r="952">
      <c r="A952" s="730"/>
      <c r="B952" s="731"/>
      <c r="C952" s="731"/>
      <c r="D952" s="1492"/>
      <c r="E952" s="437"/>
      <c r="F952" s="734"/>
      <c r="G952" s="437"/>
    </row>
    <row r="953">
      <c r="A953" s="730"/>
      <c r="B953" s="731"/>
      <c r="C953" s="731"/>
      <c r="D953" s="1492"/>
      <c r="E953" s="437"/>
      <c r="F953" s="734"/>
      <c r="G953" s="437"/>
    </row>
    <row r="954">
      <c r="A954" s="730"/>
      <c r="B954" s="731"/>
      <c r="C954" s="731"/>
      <c r="D954" s="1492"/>
      <c r="E954" s="437"/>
      <c r="F954" s="734"/>
      <c r="G954" s="437"/>
    </row>
    <row r="955">
      <c r="A955" s="730"/>
      <c r="B955" s="731"/>
      <c r="C955" s="731"/>
      <c r="D955" s="1492"/>
      <c r="E955" s="437"/>
      <c r="F955" s="734"/>
      <c r="G955" s="437"/>
    </row>
    <row r="956">
      <c r="A956" s="730"/>
      <c r="B956" s="731"/>
      <c r="C956" s="731"/>
      <c r="D956" s="1492"/>
      <c r="E956" s="437"/>
      <c r="F956" s="734"/>
      <c r="G956" s="437"/>
    </row>
    <row r="957">
      <c r="A957" s="730"/>
      <c r="B957" s="731"/>
      <c r="C957" s="731"/>
      <c r="D957" s="1492"/>
      <c r="E957" s="437"/>
      <c r="F957" s="734"/>
      <c r="G957" s="437"/>
    </row>
    <row r="958">
      <c r="A958" s="730"/>
      <c r="B958" s="731"/>
      <c r="C958" s="731"/>
      <c r="D958" s="1492"/>
      <c r="E958" s="437"/>
      <c r="F958" s="734"/>
      <c r="G958" s="437"/>
    </row>
    <row r="959">
      <c r="A959" s="730"/>
      <c r="B959" s="731"/>
      <c r="C959" s="731"/>
      <c r="D959" s="1492"/>
      <c r="E959" s="437"/>
      <c r="F959" s="734"/>
      <c r="G959" s="437"/>
    </row>
    <row r="960">
      <c r="A960" s="730"/>
      <c r="B960" s="731"/>
      <c r="C960" s="731"/>
      <c r="D960" s="1492"/>
      <c r="E960" s="437"/>
      <c r="F960" s="734"/>
      <c r="G960" s="437"/>
    </row>
    <row r="961">
      <c r="A961" s="730"/>
      <c r="B961" s="731"/>
      <c r="C961" s="731"/>
      <c r="D961" s="1492"/>
      <c r="E961" s="437"/>
      <c r="F961" s="734"/>
      <c r="G961" s="437"/>
    </row>
    <row r="962">
      <c r="A962" s="730"/>
      <c r="B962" s="731"/>
      <c r="C962" s="731"/>
      <c r="D962" s="1492"/>
      <c r="E962" s="437"/>
      <c r="F962" s="734"/>
      <c r="G962" s="437"/>
    </row>
    <row r="963">
      <c r="A963" s="730"/>
      <c r="B963" s="731"/>
      <c r="C963" s="731"/>
      <c r="D963" s="1492"/>
      <c r="E963" s="437"/>
      <c r="F963" s="734"/>
      <c r="G963" s="437"/>
    </row>
    <row r="964">
      <c r="A964" s="730"/>
      <c r="B964" s="731"/>
      <c r="C964" s="731"/>
      <c r="D964" s="1492"/>
      <c r="E964" s="437"/>
      <c r="F964" s="734"/>
      <c r="G964" s="437"/>
    </row>
    <row r="965">
      <c r="A965" s="730"/>
      <c r="B965" s="731"/>
      <c r="C965" s="731"/>
      <c r="D965" s="1492"/>
      <c r="E965" s="437"/>
      <c r="F965" s="734"/>
      <c r="G965" s="437"/>
    </row>
    <row r="966">
      <c r="A966" s="730"/>
      <c r="B966" s="731"/>
      <c r="C966" s="731"/>
      <c r="D966" s="1492"/>
      <c r="E966" s="437"/>
      <c r="F966" s="734"/>
      <c r="G966" s="437"/>
    </row>
    <row r="967">
      <c r="A967" s="730"/>
      <c r="B967" s="731"/>
      <c r="C967" s="731"/>
      <c r="D967" s="1492"/>
      <c r="E967" s="437"/>
      <c r="F967" s="734"/>
      <c r="G967" s="437"/>
    </row>
    <row r="968">
      <c r="A968" s="730"/>
      <c r="B968" s="731"/>
      <c r="C968" s="731"/>
      <c r="D968" s="1492"/>
      <c r="E968" s="437"/>
      <c r="F968" s="734"/>
      <c r="G968" s="437"/>
    </row>
    <row r="969">
      <c r="A969" s="730"/>
      <c r="B969" s="731"/>
      <c r="C969" s="731"/>
      <c r="D969" s="1492"/>
      <c r="E969" s="437"/>
      <c r="F969" s="734"/>
      <c r="G969" s="437"/>
    </row>
    <row r="970">
      <c r="A970" s="730"/>
      <c r="B970" s="731"/>
      <c r="C970" s="731"/>
      <c r="D970" s="1492"/>
      <c r="E970" s="437"/>
      <c r="F970" s="734"/>
      <c r="G970" s="437"/>
    </row>
    <row r="971">
      <c r="A971" s="730"/>
      <c r="B971" s="731"/>
      <c r="C971" s="731"/>
      <c r="D971" s="1492"/>
      <c r="E971" s="437"/>
      <c r="F971" s="734"/>
      <c r="G971" s="437"/>
    </row>
    <row r="972">
      <c r="A972" s="730"/>
      <c r="B972" s="731"/>
      <c r="C972" s="731"/>
      <c r="D972" s="1492"/>
      <c r="E972" s="437"/>
      <c r="F972" s="734"/>
      <c r="G972" s="437"/>
    </row>
    <row r="973">
      <c r="A973" s="730"/>
      <c r="B973" s="731"/>
      <c r="C973" s="731"/>
      <c r="D973" s="1492"/>
      <c r="E973" s="437"/>
      <c r="F973" s="734"/>
      <c r="G973" s="437"/>
    </row>
    <row r="974">
      <c r="A974" s="730"/>
      <c r="B974" s="731"/>
      <c r="C974" s="731"/>
      <c r="D974" s="1492"/>
      <c r="E974" s="437"/>
      <c r="F974" s="734"/>
      <c r="G974" s="437"/>
    </row>
    <row r="975">
      <c r="A975" s="730"/>
      <c r="B975" s="731"/>
      <c r="C975" s="731"/>
      <c r="D975" s="1492"/>
      <c r="E975" s="437"/>
      <c r="F975" s="734"/>
      <c r="G975" s="437"/>
    </row>
    <row r="976">
      <c r="A976" s="730"/>
      <c r="B976" s="731"/>
      <c r="C976" s="731"/>
      <c r="D976" s="1492"/>
      <c r="E976" s="437"/>
      <c r="F976" s="734"/>
      <c r="G976" s="437"/>
    </row>
    <row r="977">
      <c r="A977" s="730"/>
      <c r="B977" s="731"/>
      <c r="C977" s="731"/>
      <c r="D977" s="1492"/>
      <c r="E977" s="437"/>
      <c r="F977" s="734"/>
      <c r="G977" s="437"/>
    </row>
    <row r="978">
      <c r="A978" s="730"/>
      <c r="B978" s="731"/>
      <c r="C978" s="731"/>
      <c r="D978" s="1492"/>
      <c r="E978" s="437"/>
      <c r="F978" s="734"/>
      <c r="G978" s="437"/>
    </row>
    <row r="979">
      <c r="A979" s="730"/>
      <c r="B979" s="731"/>
      <c r="C979" s="731"/>
      <c r="D979" s="1492"/>
      <c r="E979" s="437"/>
      <c r="F979" s="734"/>
      <c r="G979" s="437"/>
    </row>
    <row r="980">
      <c r="A980" s="730"/>
      <c r="B980" s="731"/>
      <c r="C980" s="731"/>
      <c r="D980" s="1492"/>
      <c r="E980" s="437"/>
      <c r="F980" s="734"/>
      <c r="G980" s="437"/>
    </row>
    <row r="981">
      <c r="A981" s="730"/>
      <c r="B981" s="731"/>
      <c r="C981" s="731"/>
      <c r="D981" s="1492"/>
      <c r="E981" s="437"/>
      <c r="F981" s="734"/>
      <c r="G981" s="437"/>
    </row>
    <row r="982">
      <c r="A982" s="730"/>
      <c r="B982" s="731"/>
      <c r="C982" s="731"/>
      <c r="D982" s="1492"/>
      <c r="E982" s="437"/>
      <c r="F982" s="734"/>
      <c r="G982" s="437"/>
    </row>
    <row r="983">
      <c r="A983" s="730"/>
      <c r="B983" s="731"/>
      <c r="C983" s="731"/>
      <c r="D983" s="1492"/>
      <c r="E983" s="437"/>
      <c r="F983" s="734"/>
      <c r="G983" s="437"/>
    </row>
    <row r="984">
      <c r="A984" s="730"/>
      <c r="B984" s="731"/>
      <c r="C984" s="731"/>
      <c r="D984" s="1492"/>
      <c r="E984" s="437"/>
      <c r="F984" s="734"/>
      <c r="G984" s="437"/>
    </row>
    <row r="985">
      <c r="A985" s="730"/>
      <c r="B985" s="731"/>
      <c r="C985" s="731"/>
      <c r="D985" s="1492"/>
      <c r="E985" s="437"/>
      <c r="F985" s="734"/>
      <c r="G985" s="437"/>
    </row>
    <row r="986">
      <c r="A986" s="730"/>
      <c r="B986" s="731"/>
      <c r="C986" s="731"/>
      <c r="D986" s="1492"/>
      <c r="E986" s="437"/>
      <c r="F986" s="734"/>
      <c r="G986" s="437"/>
    </row>
    <row r="987">
      <c r="A987" s="730"/>
      <c r="B987" s="731"/>
      <c r="C987" s="731"/>
      <c r="D987" s="1492"/>
      <c r="E987" s="437"/>
      <c r="F987" s="734"/>
      <c r="G987" s="437"/>
    </row>
    <row r="988">
      <c r="A988" s="730"/>
      <c r="B988" s="731"/>
      <c r="C988" s="731"/>
      <c r="D988" s="1492"/>
      <c r="E988" s="437"/>
      <c r="F988" s="734"/>
      <c r="G988" s="437"/>
    </row>
    <row r="989">
      <c r="A989" s="730"/>
      <c r="B989" s="731"/>
      <c r="C989" s="731"/>
      <c r="D989" s="1492"/>
      <c r="E989" s="437"/>
      <c r="F989" s="734"/>
      <c r="G989" s="437"/>
    </row>
    <row r="990">
      <c r="A990" s="730"/>
      <c r="B990" s="731"/>
      <c r="C990" s="731"/>
      <c r="D990" s="1492"/>
      <c r="E990" s="437"/>
      <c r="F990" s="734"/>
      <c r="G990" s="437"/>
    </row>
    <row r="991">
      <c r="A991" s="730"/>
      <c r="B991" s="731"/>
      <c r="C991" s="731"/>
      <c r="D991" s="1492"/>
      <c r="E991" s="437"/>
      <c r="F991" s="734"/>
      <c r="G991" s="437"/>
    </row>
    <row r="992">
      <c r="A992" s="730"/>
      <c r="B992" s="731"/>
      <c r="C992" s="731"/>
      <c r="D992" s="1492"/>
      <c r="E992" s="437"/>
      <c r="F992" s="734"/>
      <c r="G992" s="437"/>
    </row>
    <row r="993">
      <c r="A993" s="730"/>
      <c r="B993" s="731"/>
      <c r="C993" s="731"/>
      <c r="D993" s="1492"/>
      <c r="E993" s="437"/>
      <c r="F993" s="734"/>
      <c r="G993" s="437"/>
    </row>
    <row r="994">
      <c r="A994" s="730"/>
      <c r="B994" s="731"/>
      <c r="C994" s="731"/>
      <c r="D994" s="1492"/>
      <c r="E994" s="437"/>
      <c r="F994" s="734"/>
      <c r="G994" s="437"/>
    </row>
    <row r="995">
      <c r="A995" s="730"/>
      <c r="B995" s="731"/>
      <c r="C995" s="731"/>
      <c r="D995" s="1492"/>
      <c r="E995" s="437"/>
      <c r="F995" s="734"/>
      <c r="G995" s="437"/>
    </row>
    <row r="996">
      <c r="A996" s="730"/>
      <c r="B996" s="731"/>
      <c r="C996" s="731"/>
      <c r="D996" s="1492"/>
      <c r="E996" s="437"/>
      <c r="F996" s="734"/>
      <c r="G996" s="437"/>
    </row>
    <row r="997">
      <c r="A997" s="730"/>
      <c r="B997" s="731"/>
      <c r="C997" s="731"/>
      <c r="D997" s="1492"/>
      <c r="E997" s="437"/>
      <c r="F997" s="734"/>
      <c r="G997" s="437"/>
    </row>
    <row r="998">
      <c r="A998" s="730"/>
      <c r="B998" s="731"/>
      <c r="C998" s="731"/>
      <c r="D998" s="1492"/>
      <c r="E998" s="437"/>
      <c r="F998" s="734"/>
      <c r="G998" s="437"/>
    </row>
    <row r="999">
      <c r="A999" s="730"/>
      <c r="B999" s="731"/>
      <c r="C999" s="731"/>
      <c r="D999" s="1492"/>
      <c r="E999" s="437"/>
      <c r="F999" s="734"/>
      <c r="G999" s="437"/>
    </row>
    <row r="1000">
      <c r="A1000" s="730"/>
      <c r="B1000" s="731"/>
      <c r="C1000" s="731"/>
      <c r="D1000" s="1492"/>
      <c r="E1000" s="437"/>
      <c r="F1000" s="734"/>
      <c r="G1000" s="437"/>
    </row>
    <row r="1001">
      <c r="A1001" s="730"/>
      <c r="B1001" s="731"/>
      <c r="C1001" s="731"/>
      <c r="D1001" s="1492"/>
      <c r="E1001" s="437"/>
      <c r="F1001" s="734"/>
      <c r="G1001" s="437"/>
    </row>
    <row r="1002">
      <c r="A1002" s="730"/>
      <c r="B1002" s="731"/>
      <c r="C1002" s="731"/>
      <c r="D1002" s="1492"/>
      <c r="E1002" s="437"/>
      <c r="F1002" s="734"/>
      <c r="G1002" s="437"/>
    </row>
    <row r="1003">
      <c r="A1003" s="730"/>
      <c r="B1003" s="731"/>
      <c r="C1003" s="731"/>
      <c r="D1003" s="1492"/>
      <c r="E1003" s="437"/>
      <c r="F1003" s="734"/>
      <c r="G1003" s="437"/>
    </row>
    <row r="1004">
      <c r="A1004" s="730"/>
      <c r="B1004" s="731"/>
      <c r="C1004" s="731"/>
      <c r="D1004" s="1492"/>
      <c r="E1004" s="437"/>
      <c r="F1004" s="734"/>
      <c r="G1004" s="437"/>
    </row>
    <row r="1005">
      <c r="A1005" s="730"/>
      <c r="B1005" s="731"/>
      <c r="C1005" s="731"/>
      <c r="D1005" s="1492"/>
      <c r="E1005" s="437"/>
      <c r="F1005" s="734"/>
      <c r="G1005" s="437"/>
    </row>
    <row r="1006">
      <c r="A1006" s="730"/>
      <c r="B1006" s="731"/>
      <c r="C1006" s="731"/>
      <c r="D1006" s="1492"/>
      <c r="E1006" s="437"/>
      <c r="F1006" s="734"/>
      <c r="G1006" s="437"/>
    </row>
    <row r="1007">
      <c r="A1007" s="730"/>
      <c r="B1007" s="731"/>
      <c r="C1007" s="731"/>
      <c r="D1007" s="1492"/>
      <c r="E1007" s="437"/>
      <c r="F1007" s="734"/>
      <c r="G1007" s="437"/>
    </row>
    <row r="1008">
      <c r="A1008" s="730"/>
      <c r="B1008" s="731"/>
      <c r="C1008" s="731"/>
      <c r="D1008" s="1492"/>
      <c r="E1008" s="437"/>
      <c r="F1008" s="734"/>
      <c r="G1008" s="437"/>
    </row>
    <row r="1009">
      <c r="A1009" s="730"/>
      <c r="B1009" s="731"/>
      <c r="C1009" s="731"/>
      <c r="D1009" s="1492"/>
      <c r="E1009" s="437"/>
      <c r="F1009" s="734"/>
      <c r="G1009" s="437"/>
    </row>
    <row r="1010">
      <c r="A1010" s="730"/>
      <c r="B1010" s="731"/>
      <c r="C1010" s="731"/>
      <c r="D1010" s="1492"/>
      <c r="E1010" s="437"/>
      <c r="F1010" s="734"/>
      <c r="G1010" s="437"/>
    </row>
    <row r="1011">
      <c r="A1011" s="730"/>
      <c r="B1011" s="731"/>
      <c r="C1011" s="731"/>
      <c r="D1011" s="1492"/>
      <c r="E1011" s="437"/>
      <c r="F1011" s="734"/>
      <c r="G1011" s="437"/>
    </row>
    <row r="1012">
      <c r="A1012" s="730"/>
      <c r="B1012" s="731"/>
      <c r="C1012" s="731"/>
      <c r="D1012" s="1492"/>
      <c r="E1012" s="437"/>
      <c r="F1012" s="734"/>
      <c r="G1012" s="437"/>
    </row>
    <row r="1013">
      <c r="A1013" s="730"/>
      <c r="B1013" s="731"/>
      <c r="C1013" s="731"/>
      <c r="D1013" s="1492"/>
      <c r="E1013" s="437"/>
      <c r="F1013" s="734"/>
      <c r="G1013" s="437"/>
    </row>
    <row r="1014">
      <c r="A1014" s="730"/>
      <c r="B1014" s="731"/>
      <c r="C1014" s="731"/>
      <c r="D1014" s="1492"/>
      <c r="E1014" s="437"/>
      <c r="F1014" s="734"/>
      <c r="G1014" s="437"/>
    </row>
    <row r="1015">
      <c r="A1015" s="730"/>
      <c r="B1015" s="731"/>
      <c r="C1015" s="731"/>
      <c r="D1015" s="1492"/>
      <c r="E1015" s="437"/>
      <c r="F1015" s="734"/>
      <c r="G1015" s="437"/>
    </row>
    <row r="1016">
      <c r="A1016" s="730"/>
      <c r="B1016" s="731"/>
      <c r="C1016" s="731"/>
      <c r="D1016" s="1492"/>
      <c r="E1016" s="437"/>
      <c r="F1016" s="734"/>
      <c r="G1016" s="437"/>
    </row>
    <row r="1017">
      <c r="A1017" s="730"/>
      <c r="B1017" s="731"/>
      <c r="C1017" s="731"/>
      <c r="D1017" s="1492"/>
      <c r="E1017" s="437"/>
      <c r="F1017" s="734"/>
      <c r="G1017" s="437"/>
    </row>
    <row r="1018">
      <c r="A1018" s="730"/>
      <c r="B1018" s="731"/>
      <c r="C1018" s="731"/>
      <c r="D1018" s="1492"/>
      <c r="E1018" s="437"/>
      <c r="F1018" s="734"/>
      <c r="G1018" s="437"/>
    </row>
    <row r="1019">
      <c r="A1019" s="730"/>
      <c r="B1019" s="731"/>
      <c r="C1019" s="731"/>
      <c r="D1019" s="1492"/>
      <c r="E1019" s="437"/>
      <c r="F1019" s="734"/>
      <c r="G1019" s="437"/>
    </row>
    <row r="1020">
      <c r="A1020" s="730"/>
      <c r="B1020" s="731"/>
      <c r="C1020" s="731"/>
      <c r="D1020" s="1492"/>
      <c r="E1020" s="437"/>
      <c r="F1020" s="734"/>
      <c r="G1020" s="437"/>
    </row>
    <row r="1021">
      <c r="A1021" s="730"/>
      <c r="B1021" s="731"/>
      <c r="C1021" s="731"/>
      <c r="D1021" s="1492"/>
      <c r="E1021" s="437"/>
      <c r="F1021" s="734"/>
      <c r="G1021" s="437"/>
    </row>
    <row r="1022">
      <c r="A1022" s="730"/>
      <c r="B1022" s="731"/>
      <c r="C1022" s="731"/>
      <c r="D1022" s="1492"/>
      <c r="E1022" s="437"/>
      <c r="F1022" s="734"/>
      <c r="G1022" s="437"/>
    </row>
    <row r="1023">
      <c r="A1023" s="730"/>
      <c r="B1023" s="731"/>
      <c r="C1023" s="731"/>
      <c r="D1023" s="1492"/>
      <c r="E1023" s="437"/>
      <c r="F1023" s="734"/>
      <c r="G1023" s="437"/>
    </row>
    <row r="1024">
      <c r="A1024" s="730"/>
      <c r="B1024" s="731"/>
      <c r="C1024" s="731"/>
      <c r="D1024" s="1492"/>
      <c r="E1024" s="437"/>
      <c r="F1024" s="734"/>
      <c r="G1024" s="437"/>
    </row>
    <row r="1025">
      <c r="A1025" s="730"/>
      <c r="B1025" s="731"/>
      <c r="C1025" s="731"/>
      <c r="D1025" s="1492"/>
      <c r="E1025" s="437"/>
      <c r="F1025" s="734"/>
      <c r="G1025" s="437"/>
    </row>
    <row r="1026">
      <c r="A1026" s="730"/>
      <c r="B1026" s="731"/>
      <c r="C1026" s="731"/>
      <c r="D1026" s="1492"/>
      <c r="E1026" s="437"/>
      <c r="F1026" s="734"/>
      <c r="G1026" s="437"/>
    </row>
    <row r="1027">
      <c r="A1027" s="730"/>
      <c r="B1027" s="731"/>
      <c r="C1027" s="731"/>
      <c r="D1027" s="1492"/>
      <c r="E1027" s="437"/>
      <c r="F1027" s="734"/>
      <c r="G1027" s="437"/>
    </row>
    <row r="1028">
      <c r="A1028" s="730"/>
      <c r="B1028" s="731"/>
      <c r="C1028" s="731"/>
      <c r="D1028" s="1492"/>
      <c r="E1028" s="437"/>
      <c r="F1028" s="734"/>
      <c r="G1028" s="437"/>
    </row>
    <row r="1029">
      <c r="A1029" s="730"/>
      <c r="B1029" s="731"/>
      <c r="C1029" s="731"/>
      <c r="D1029" s="1492"/>
      <c r="E1029" s="437"/>
      <c r="F1029" s="734"/>
      <c r="G1029" s="437"/>
    </row>
    <row r="1030">
      <c r="A1030" s="730"/>
      <c r="B1030" s="731"/>
      <c r="C1030" s="731"/>
      <c r="D1030" s="1492"/>
      <c r="E1030" s="437"/>
      <c r="F1030" s="734"/>
      <c r="G1030" s="437"/>
    </row>
    <row r="1031">
      <c r="A1031" s="730"/>
      <c r="B1031" s="731"/>
      <c r="C1031" s="731"/>
      <c r="D1031" s="1492"/>
      <c r="E1031" s="437"/>
      <c r="F1031" s="734"/>
      <c r="G1031" s="437"/>
    </row>
    <row r="1032">
      <c r="A1032" s="730"/>
      <c r="B1032" s="731"/>
      <c r="C1032" s="731"/>
      <c r="D1032" s="1492"/>
      <c r="E1032" s="437"/>
      <c r="F1032" s="734"/>
      <c r="G1032" s="437"/>
    </row>
    <row r="1033">
      <c r="A1033" s="730"/>
      <c r="B1033" s="731"/>
      <c r="C1033" s="731"/>
      <c r="D1033" s="1492"/>
      <c r="E1033" s="437"/>
      <c r="F1033" s="734"/>
      <c r="G1033" s="437"/>
    </row>
    <row r="1034">
      <c r="A1034" s="730"/>
      <c r="B1034" s="731"/>
      <c r="C1034" s="731"/>
      <c r="D1034" s="1492"/>
      <c r="E1034" s="437"/>
      <c r="F1034" s="734"/>
      <c r="G1034" s="437"/>
    </row>
    <row r="1035">
      <c r="A1035" s="730"/>
      <c r="B1035" s="731"/>
      <c r="C1035" s="731"/>
      <c r="D1035" s="1492"/>
      <c r="E1035" s="437"/>
      <c r="F1035" s="734"/>
      <c r="G1035" s="437"/>
    </row>
    <row r="1036">
      <c r="A1036" s="730"/>
      <c r="B1036" s="731"/>
      <c r="C1036" s="731"/>
      <c r="D1036" s="1492"/>
      <c r="E1036" s="437"/>
      <c r="F1036" s="734"/>
      <c r="G1036" s="437"/>
    </row>
    <row r="1037">
      <c r="A1037" s="730"/>
      <c r="B1037" s="731"/>
      <c r="C1037" s="731"/>
      <c r="D1037" s="1492"/>
      <c r="E1037" s="437"/>
      <c r="F1037" s="734"/>
      <c r="G1037" s="437"/>
    </row>
    <row r="1038">
      <c r="A1038" s="730"/>
      <c r="B1038" s="731"/>
      <c r="C1038" s="731"/>
      <c r="D1038" s="1492"/>
      <c r="E1038" s="437"/>
      <c r="F1038" s="734"/>
      <c r="G1038" s="437"/>
    </row>
    <row r="1039">
      <c r="A1039" s="730"/>
      <c r="B1039" s="731"/>
      <c r="C1039" s="731"/>
      <c r="D1039" s="1492"/>
      <c r="E1039" s="437"/>
      <c r="F1039" s="734"/>
      <c r="G1039" s="437"/>
    </row>
    <row r="1040">
      <c r="A1040" s="730"/>
      <c r="B1040" s="731"/>
      <c r="C1040" s="731"/>
      <c r="D1040" s="1492"/>
      <c r="E1040" s="437"/>
      <c r="F1040" s="734"/>
      <c r="G1040" s="437"/>
    </row>
    <row r="1041">
      <c r="A1041" s="730"/>
      <c r="B1041" s="731"/>
      <c r="C1041" s="731"/>
      <c r="D1041" s="1492"/>
      <c r="E1041" s="437"/>
      <c r="F1041" s="734"/>
      <c r="G1041" s="437"/>
    </row>
    <row r="1042">
      <c r="A1042" s="730"/>
      <c r="B1042" s="731"/>
      <c r="C1042" s="731"/>
      <c r="D1042" s="1492"/>
      <c r="E1042" s="437"/>
      <c r="F1042" s="734"/>
      <c r="G1042" s="437"/>
    </row>
    <row r="1043">
      <c r="A1043" s="730"/>
      <c r="B1043" s="731"/>
      <c r="C1043" s="731"/>
      <c r="D1043" s="1492"/>
      <c r="E1043" s="437"/>
      <c r="F1043" s="734"/>
      <c r="G1043" s="437"/>
    </row>
    <row r="1044">
      <c r="A1044" s="730"/>
      <c r="B1044" s="731"/>
      <c r="C1044" s="731"/>
      <c r="D1044" s="1492"/>
      <c r="E1044" s="437"/>
      <c r="F1044" s="734"/>
      <c r="G1044" s="437"/>
    </row>
    <row r="1045">
      <c r="A1045" s="730"/>
      <c r="B1045" s="731"/>
      <c r="C1045" s="731"/>
      <c r="D1045" s="1492"/>
      <c r="E1045" s="437"/>
      <c r="F1045" s="734"/>
      <c r="G1045" s="437"/>
    </row>
    <row r="1046">
      <c r="A1046" s="730"/>
      <c r="B1046" s="731"/>
      <c r="C1046" s="731"/>
      <c r="D1046" s="1492"/>
      <c r="E1046" s="437"/>
      <c r="F1046" s="734"/>
      <c r="G1046" s="437"/>
    </row>
    <row r="1047">
      <c r="A1047" s="730"/>
      <c r="B1047" s="731"/>
      <c r="C1047" s="731"/>
      <c r="D1047" s="1492"/>
      <c r="E1047" s="437"/>
      <c r="F1047" s="734"/>
      <c r="G1047" s="437"/>
    </row>
    <row r="1048">
      <c r="A1048" s="730"/>
      <c r="B1048" s="731"/>
      <c r="C1048" s="731"/>
      <c r="D1048" s="1492"/>
      <c r="E1048" s="437"/>
      <c r="F1048" s="734"/>
      <c r="G1048" s="437"/>
    </row>
    <row r="1049">
      <c r="A1049" s="730"/>
      <c r="B1049" s="731"/>
      <c r="C1049" s="731"/>
      <c r="D1049" s="1492"/>
      <c r="E1049" s="437"/>
      <c r="F1049" s="734"/>
      <c r="G1049" s="437"/>
    </row>
    <row r="1050">
      <c r="A1050" s="730"/>
      <c r="B1050" s="731"/>
      <c r="C1050" s="731"/>
      <c r="D1050" s="1492"/>
      <c r="E1050" s="437"/>
      <c r="F1050" s="734"/>
      <c r="G1050" s="437"/>
    </row>
    <row r="1051">
      <c r="A1051" s="730"/>
      <c r="B1051" s="731"/>
      <c r="C1051" s="731"/>
      <c r="D1051" s="1492"/>
      <c r="E1051" s="437"/>
      <c r="F1051" s="734"/>
      <c r="G1051" s="437"/>
    </row>
    <row r="1052">
      <c r="A1052" s="730"/>
      <c r="B1052" s="731"/>
      <c r="C1052" s="731"/>
      <c r="D1052" s="1492"/>
      <c r="E1052" s="437"/>
      <c r="F1052" s="734"/>
      <c r="G1052" s="437"/>
    </row>
    <row r="1053">
      <c r="A1053" s="730"/>
      <c r="B1053" s="731"/>
      <c r="C1053" s="731"/>
      <c r="D1053" s="1492"/>
      <c r="E1053" s="437"/>
      <c r="F1053" s="734"/>
      <c r="G1053" s="437"/>
    </row>
    <row r="1054">
      <c r="A1054" s="730"/>
      <c r="B1054" s="731"/>
      <c r="C1054" s="731"/>
      <c r="D1054" s="1492"/>
      <c r="E1054" s="437"/>
      <c r="F1054" s="734"/>
      <c r="G1054" s="437"/>
    </row>
    <row r="1055">
      <c r="A1055" s="730"/>
      <c r="B1055" s="731"/>
      <c r="C1055" s="731"/>
      <c r="D1055" s="1492"/>
      <c r="E1055" s="437"/>
      <c r="F1055" s="734"/>
      <c r="G1055" s="437"/>
    </row>
    <row r="1056">
      <c r="A1056" s="730"/>
      <c r="B1056" s="731"/>
      <c r="C1056" s="731"/>
      <c r="D1056" s="1492"/>
      <c r="E1056" s="437"/>
      <c r="F1056" s="734"/>
      <c r="G1056" s="437"/>
    </row>
    <row r="1057">
      <c r="A1057" s="730"/>
      <c r="B1057" s="731"/>
      <c r="C1057" s="731"/>
      <c r="D1057" s="1492"/>
      <c r="E1057" s="437"/>
      <c r="F1057" s="734"/>
      <c r="G1057" s="437"/>
    </row>
    <row r="1058">
      <c r="A1058" s="730"/>
      <c r="B1058" s="731"/>
      <c r="C1058" s="731"/>
      <c r="D1058" s="1492"/>
      <c r="E1058" s="437"/>
      <c r="F1058" s="734"/>
      <c r="G1058" s="437"/>
    </row>
    <row r="1059">
      <c r="A1059" s="730"/>
      <c r="B1059" s="731"/>
      <c r="C1059" s="731"/>
      <c r="D1059" s="1492"/>
      <c r="E1059" s="437"/>
      <c r="F1059" s="734"/>
      <c r="G1059" s="437"/>
    </row>
    <row r="1060">
      <c r="A1060" s="730"/>
      <c r="B1060" s="731"/>
      <c r="C1060" s="731"/>
      <c r="D1060" s="1492"/>
      <c r="E1060" s="437"/>
      <c r="F1060" s="734"/>
      <c r="G1060" s="437"/>
    </row>
    <row r="1061">
      <c r="A1061" s="730"/>
      <c r="B1061" s="731"/>
      <c r="C1061" s="731"/>
      <c r="D1061" s="1492"/>
      <c r="E1061" s="437"/>
      <c r="F1061" s="734"/>
      <c r="G1061" s="437"/>
    </row>
    <row r="1062">
      <c r="A1062" s="730"/>
      <c r="B1062" s="731"/>
      <c r="C1062" s="731"/>
      <c r="D1062" s="1492"/>
      <c r="E1062" s="437"/>
      <c r="F1062" s="734"/>
      <c r="G1062" s="437"/>
    </row>
    <row r="1063">
      <c r="A1063" s="730"/>
      <c r="B1063" s="731"/>
      <c r="C1063" s="731"/>
      <c r="D1063" s="1492"/>
      <c r="E1063" s="437"/>
      <c r="F1063" s="734"/>
      <c r="G1063" s="437"/>
    </row>
    <row r="1064">
      <c r="A1064" s="730"/>
      <c r="B1064" s="731"/>
      <c r="C1064" s="731"/>
      <c r="D1064" s="1492"/>
      <c r="E1064" s="437"/>
      <c r="F1064" s="734"/>
      <c r="G1064" s="437"/>
    </row>
    <row r="1065">
      <c r="A1065" s="730"/>
      <c r="B1065" s="731"/>
      <c r="C1065" s="731"/>
      <c r="D1065" s="1492"/>
      <c r="E1065" s="437"/>
      <c r="F1065" s="734"/>
      <c r="G1065" s="437"/>
    </row>
    <row r="1066">
      <c r="A1066" s="730"/>
      <c r="B1066" s="731"/>
      <c r="C1066" s="731"/>
      <c r="D1066" s="1492"/>
      <c r="E1066" s="437"/>
      <c r="F1066" s="734"/>
      <c r="G1066" s="437"/>
    </row>
    <row r="1067">
      <c r="A1067" s="730"/>
      <c r="B1067" s="731"/>
      <c r="C1067" s="731"/>
      <c r="D1067" s="1492"/>
      <c r="E1067" s="437"/>
      <c r="F1067" s="734"/>
      <c r="G1067" s="437"/>
    </row>
    <row r="1068">
      <c r="A1068" s="730"/>
      <c r="B1068" s="731"/>
      <c r="C1068" s="731"/>
      <c r="D1068" s="1492"/>
      <c r="E1068" s="437"/>
      <c r="F1068" s="734"/>
      <c r="G1068" s="437"/>
    </row>
    <row r="1069">
      <c r="A1069" s="730"/>
      <c r="B1069" s="731"/>
      <c r="C1069" s="731"/>
      <c r="D1069" s="1492"/>
      <c r="E1069" s="437"/>
      <c r="F1069" s="734"/>
      <c r="G1069" s="437"/>
    </row>
    <row r="1070">
      <c r="A1070" s="730"/>
      <c r="B1070" s="731"/>
      <c r="C1070" s="731"/>
      <c r="D1070" s="1492"/>
      <c r="E1070" s="437"/>
      <c r="F1070" s="734"/>
      <c r="G1070" s="437"/>
    </row>
    <row r="1071">
      <c r="A1071" s="730"/>
      <c r="B1071" s="731"/>
      <c r="C1071" s="731"/>
      <c r="D1071" s="1492"/>
      <c r="E1071" s="437"/>
      <c r="F1071" s="734"/>
      <c r="G1071" s="437"/>
    </row>
    <row r="1072">
      <c r="A1072" s="730"/>
      <c r="B1072" s="731"/>
      <c r="C1072" s="731"/>
      <c r="D1072" s="1492"/>
      <c r="E1072" s="437"/>
      <c r="F1072" s="734"/>
      <c r="G1072" s="437"/>
    </row>
    <row r="1073">
      <c r="A1073" s="730"/>
      <c r="B1073" s="731"/>
      <c r="C1073" s="731"/>
      <c r="D1073" s="1492"/>
      <c r="E1073" s="437"/>
      <c r="F1073" s="734"/>
      <c r="G1073" s="437"/>
    </row>
    <row r="1074">
      <c r="A1074" s="730"/>
      <c r="B1074" s="731"/>
      <c r="C1074" s="731"/>
      <c r="D1074" s="1492"/>
      <c r="E1074" s="437"/>
      <c r="F1074" s="734"/>
      <c r="G1074" s="437"/>
    </row>
    <row r="1075">
      <c r="A1075" s="730"/>
      <c r="B1075" s="731"/>
      <c r="C1075" s="731"/>
      <c r="D1075" s="1492"/>
      <c r="E1075" s="437"/>
      <c r="F1075" s="734"/>
      <c r="G1075" s="437"/>
    </row>
    <row r="1076">
      <c r="A1076" s="730"/>
      <c r="B1076" s="731"/>
      <c r="C1076" s="731"/>
      <c r="D1076" s="1492"/>
      <c r="E1076" s="437"/>
      <c r="F1076" s="734"/>
      <c r="G1076" s="437"/>
    </row>
    <row r="1077">
      <c r="A1077" s="730"/>
      <c r="B1077" s="731"/>
      <c r="C1077" s="731"/>
      <c r="D1077" s="1492"/>
      <c r="E1077" s="437"/>
      <c r="F1077" s="734"/>
      <c r="G1077" s="437"/>
    </row>
    <row r="1078">
      <c r="A1078" s="730"/>
      <c r="B1078" s="731"/>
      <c r="C1078" s="731"/>
      <c r="D1078" s="1492"/>
      <c r="E1078" s="437"/>
      <c r="F1078" s="734"/>
      <c r="G1078" s="437"/>
    </row>
    <row r="1079">
      <c r="A1079" s="730"/>
      <c r="B1079" s="731"/>
      <c r="C1079" s="731"/>
      <c r="D1079" s="1492"/>
      <c r="E1079" s="437"/>
      <c r="F1079" s="734"/>
      <c r="G1079" s="437"/>
    </row>
    <row r="1080">
      <c r="A1080" s="730"/>
      <c r="B1080" s="731"/>
      <c r="C1080" s="731"/>
      <c r="D1080" s="1492"/>
      <c r="E1080" s="437"/>
      <c r="F1080" s="734"/>
      <c r="G1080" s="437"/>
    </row>
    <row r="1081">
      <c r="A1081" s="730"/>
      <c r="B1081" s="731"/>
      <c r="C1081" s="731"/>
      <c r="D1081" s="1492"/>
      <c r="E1081" s="437"/>
      <c r="F1081" s="734"/>
      <c r="G1081" s="437"/>
    </row>
    <row r="1082">
      <c r="A1082" s="730"/>
      <c r="B1082" s="731"/>
      <c r="C1082" s="731"/>
      <c r="D1082" s="1492"/>
      <c r="E1082" s="437"/>
      <c r="F1082" s="734"/>
      <c r="G1082" s="437"/>
    </row>
    <row r="1083">
      <c r="A1083" s="730"/>
      <c r="B1083" s="731"/>
      <c r="C1083" s="731"/>
      <c r="D1083" s="1492"/>
      <c r="E1083" s="437"/>
      <c r="F1083" s="734"/>
      <c r="G1083" s="437"/>
    </row>
    <row r="1084">
      <c r="A1084" s="730"/>
      <c r="B1084" s="731"/>
      <c r="C1084" s="731"/>
      <c r="D1084" s="1492"/>
      <c r="E1084" s="437"/>
      <c r="F1084" s="734"/>
      <c r="G1084" s="437"/>
    </row>
    <row r="1085">
      <c r="A1085" s="730"/>
      <c r="B1085" s="731"/>
      <c r="C1085" s="731"/>
      <c r="D1085" s="1492"/>
      <c r="E1085" s="437"/>
      <c r="F1085" s="734"/>
      <c r="G1085" s="437"/>
    </row>
    <row r="1086">
      <c r="A1086" s="730"/>
      <c r="B1086" s="731"/>
      <c r="C1086" s="731"/>
      <c r="D1086" s="1492"/>
      <c r="E1086" s="437"/>
      <c r="F1086" s="734"/>
      <c r="G1086" s="437"/>
    </row>
    <row r="1087">
      <c r="A1087" s="730"/>
      <c r="B1087" s="731"/>
      <c r="C1087" s="731"/>
      <c r="D1087" s="1492"/>
      <c r="E1087" s="437"/>
      <c r="F1087" s="734"/>
      <c r="G1087" s="437"/>
    </row>
    <row r="1088">
      <c r="A1088" s="730"/>
      <c r="B1088" s="731"/>
      <c r="C1088" s="731"/>
      <c r="D1088" s="1492"/>
      <c r="E1088" s="437"/>
      <c r="F1088" s="734"/>
      <c r="G1088" s="437"/>
    </row>
    <row r="1089">
      <c r="A1089" s="730"/>
      <c r="B1089" s="731"/>
      <c r="C1089" s="731"/>
      <c r="D1089" s="1492"/>
      <c r="E1089" s="437"/>
      <c r="F1089" s="734"/>
      <c r="G1089" s="437"/>
    </row>
    <row r="1090">
      <c r="A1090" s="730"/>
      <c r="B1090" s="731"/>
      <c r="C1090" s="731"/>
      <c r="D1090" s="1492"/>
      <c r="E1090" s="437"/>
      <c r="F1090" s="734"/>
      <c r="G1090" s="437"/>
    </row>
    <row r="1091">
      <c r="A1091" s="730"/>
      <c r="B1091" s="731"/>
      <c r="C1091" s="731"/>
      <c r="D1091" s="1492"/>
      <c r="E1091" s="437"/>
      <c r="F1091" s="734"/>
      <c r="G1091" s="437"/>
    </row>
    <row r="1092">
      <c r="A1092" s="730"/>
      <c r="B1092" s="731"/>
      <c r="C1092" s="731"/>
      <c r="D1092" s="1492"/>
      <c r="E1092" s="437"/>
      <c r="F1092" s="734"/>
      <c r="G1092" s="437"/>
    </row>
    <row r="1093">
      <c r="A1093" s="730"/>
      <c r="B1093" s="731"/>
      <c r="C1093" s="731"/>
      <c r="D1093" s="1492"/>
      <c r="E1093" s="437"/>
      <c r="F1093" s="734"/>
      <c r="G1093" s="437"/>
    </row>
    <row r="1094">
      <c r="A1094" s="730"/>
      <c r="B1094" s="731"/>
      <c r="C1094" s="731"/>
      <c r="D1094" s="1492"/>
      <c r="E1094" s="437"/>
      <c r="F1094" s="734"/>
      <c r="G1094" s="437"/>
    </row>
    <row r="1095">
      <c r="A1095" s="730"/>
      <c r="B1095" s="731"/>
      <c r="C1095" s="731"/>
      <c r="D1095" s="1492"/>
      <c r="E1095" s="437"/>
      <c r="F1095" s="734"/>
      <c r="G1095" s="437"/>
    </row>
    <row r="1096">
      <c r="A1096" s="730"/>
      <c r="B1096" s="731"/>
      <c r="C1096" s="731"/>
      <c r="D1096" s="1492"/>
      <c r="E1096" s="437"/>
      <c r="F1096" s="734"/>
      <c r="G1096" s="437"/>
    </row>
    <row r="1097">
      <c r="A1097" s="730"/>
      <c r="B1097" s="731"/>
      <c r="C1097" s="731"/>
      <c r="D1097" s="1492"/>
      <c r="E1097" s="437"/>
      <c r="F1097" s="734"/>
      <c r="G1097" s="437"/>
    </row>
    <row r="1098">
      <c r="A1098" s="730"/>
      <c r="B1098" s="731"/>
      <c r="C1098" s="731"/>
      <c r="D1098" s="1492"/>
      <c r="E1098" s="437"/>
      <c r="F1098" s="734"/>
      <c r="G1098" s="437"/>
    </row>
    <row r="1099">
      <c r="A1099" s="730"/>
      <c r="B1099" s="731"/>
      <c r="C1099" s="731"/>
      <c r="D1099" s="1492"/>
      <c r="E1099" s="437"/>
      <c r="F1099" s="734"/>
      <c r="G1099" s="437"/>
    </row>
    <row r="1100">
      <c r="A1100" s="730"/>
      <c r="B1100" s="731"/>
      <c r="C1100" s="731"/>
      <c r="D1100" s="1492"/>
      <c r="E1100" s="437"/>
      <c r="F1100" s="734"/>
      <c r="G1100" s="437"/>
    </row>
    <row r="1101">
      <c r="A1101" s="730"/>
      <c r="B1101" s="731"/>
      <c r="C1101" s="731"/>
      <c r="D1101" s="1492"/>
      <c r="E1101" s="437"/>
      <c r="F1101" s="734"/>
      <c r="G1101" s="437"/>
    </row>
    <row r="1102">
      <c r="A1102" s="730"/>
      <c r="B1102" s="731"/>
      <c r="C1102" s="731"/>
      <c r="D1102" s="1492"/>
      <c r="E1102" s="437"/>
      <c r="F1102" s="734"/>
      <c r="G1102" s="437"/>
    </row>
    <row r="1103">
      <c r="A1103" s="730"/>
      <c r="B1103" s="731"/>
      <c r="C1103" s="731"/>
      <c r="D1103" s="1492"/>
      <c r="E1103" s="437"/>
      <c r="F1103" s="734"/>
      <c r="G1103" s="437"/>
    </row>
    <row r="1104">
      <c r="A1104" s="730"/>
      <c r="B1104" s="731"/>
      <c r="C1104" s="731"/>
      <c r="D1104" s="1492"/>
      <c r="E1104" s="437"/>
      <c r="F1104" s="734"/>
      <c r="G1104" s="437"/>
    </row>
    <row r="1105">
      <c r="A1105" s="730"/>
      <c r="B1105" s="731"/>
      <c r="C1105" s="731"/>
      <c r="D1105" s="1492"/>
      <c r="E1105" s="437"/>
      <c r="F1105" s="734"/>
      <c r="G1105" s="437"/>
    </row>
    <row r="1106">
      <c r="A1106" s="730"/>
      <c r="B1106" s="731"/>
      <c r="C1106" s="731"/>
      <c r="D1106" s="1492"/>
      <c r="E1106" s="437"/>
      <c r="F1106" s="734"/>
      <c r="G1106" s="437"/>
    </row>
    <row r="1107">
      <c r="A1107" s="730"/>
      <c r="B1107" s="731"/>
      <c r="C1107" s="731"/>
      <c r="D1107" s="1492"/>
      <c r="E1107" s="437"/>
      <c r="F1107" s="734"/>
      <c r="G1107" s="437"/>
    </row>
    <row r="1108">
      <c r="A1108" s="730"/>
      <c r="B1108" s="731"/>
      <c r="C1108" s="731"/>
      <c r="D1108" s="1492"/>
      <c r="E1108" s="437"/>
      <c r="F1108" s="734"/>
      <c r="G1108" s="437"/>
    </row>
    <row r="1109">
      <c r="A1109" s="730"/>
      <c r="B1109" s="731"/>
      <c r="C1109" s="731"/>
      <c r="D1109" s="1492"/>
      <c r="E1109" s="437"/>
      <c r="F1109" s="734"/>
      <c r="G1109" s="437"/>
    </row>
    <row r="1110">
      <c r="A1110" s="730"/>
      <c r="B1110" s="731"/>
      <c r="C1110" s="731"/>
      <c r="D1110" s="1492"/>
      <c r="E1110" s="437"/>
      <c r="F1110" s="734"/>
      <c r="G1110" s="437"/>
    </row>
    <row r="1111">
      <c r="A1111" s="730"/>
      <c r="B1111" s="731"/>
      <c r="C1111" s="731"/>
      <c r="D1111" s="1492"/>
      <c r="E1111" s="437"/>
      <c r="F1111" s="734"/>
      <c r="G1111" s="437"/>
    </row>
    <row r="1112">
      <c r="A1112" s="730"/>
      <c r="B1112" s="731"/>
      <c r="C1112" s="731"/>
      <c r="D1112" s="1492"/>
      <c r="E1112" s="437"/>
      <c r="F1112" s="734"/>
      <c r="G1112" s="437"/>
    </row>
    <row r="1113">
      <c r="A1113" s="730"/>
      <c r="B1113" s="731"/>
      <c r="C1113" s="731"/>
      <c r="D1113" s="1492"/>
      <c r="E1113" s="437"/>
      <c r="F1113" s="734"/>
      <c r="G1113" s="437"/>
    </row>
    <row r="1114">
      <c r="A1114" s="730"/>
      <c r="B1114" s="731"/>
      <c r="C1114" s="731"/>
      <c r="D1114" s="1492"/>
      <c r="E1114" s="437"/>
      <c r="F1114" s="734"/>
      <c r="G1114" s="437"/>
    </row>
    <row r="1115">
      <c r="A1115" s="730"/>
      <c r="B1115" s="731"/>
      <c r="C1115" s="731"/>
      <c r="D1115" s="1492"/>
      <c r="E1115" s="437"/>
      <c r="F1115" s="734"/>
      <c r="G1115" s="437"/>
    </row>
    <row r="1116">
      <c r="A1116" s="730"/>
      <c r="B1116" s="731"/>
      <c r="C1116" s="731"/>
      <c r="D1116" s="1492"/>
      <c r="E1116" s="437"/>
      <c r="F1116" s="734"/>
      <c r="G1116" s="437"/>
    </row>
    <row r="1117">
      <c r="A1117" s="730"/>
      <c r="B1117" s="731"/>
      <c r="C1117" s="731"/>
      <c r="D1117" s="1492"/>
      <c r="E1117" s="437"/>
      <c r="F1117" s="734"/>
      <c r="G1117" s="437"/>
    </row>
    <row r="1118">
      <c r="A1118" s="730"/>
      <c r="B1118" s="731"/>
      <c r="C1118" s="731"/>
      <c r="D1118" s="1492"/>
      <c r="E1118" s="437"/>
      <c r="F1118" s="734"/>
      <c r="G1118" s="437"/>
    </row>
    <row r="1119">
      <c r="A1119" s="730"/>
      <c r="B1119" s="731"/>
      <c r="C1119" s="731"/>
      <c r="D1119" s="1492"/>
      <c r="E1119" s="437"/>
      <c r="F1119" s="734"/>
      <c r="G1119" s="437"/>
    </row>
    <row r="1120">
      <c r="A1120" s="730"/>
      <c r="B1120" s="731"/>
      <c r="C1120" s="731"/>
      <c r="D1120" s="1492"/>
      <c r="E1120" s="437"/>
      <c r="F1120" s="734"/>
      <c r="G1120" s="437"/>
    </row>
    <row r="1121">
      <c r="A1121" s="730"/>
      <c r="B1121" s="731"/>
      <c r="C1121" s="731"/>
      <c r="D1121" s="1492"/>
      <c r="E1121" s="437"/>
      <c r="F1121" s="734"/>
      <c r="G1121" s="437"/>
    </row>
    <row r="1122">
      <c r="A1122" s="730"/>
      <c r="B1122" s="731"/>
      <c r="C1122" s="731"/>
      <c r="D1122" s="1492"/>
      <c r="E1122" s="437"/>
      <c r="F1122" s="734"/>
      <c r="G1122" s="437"/>
    </row>
    <row r="1123">
      <c r="A1123" s="730"/>
      <c r="B1123" s="731"/>
      <c r="C1123" s="731"/>
      <c r="D1123" s="1492"/>
      <c r="E1123" s="437"/>
      <c r="F1123" s="734"/>
      <c r="G1123" s="437"/>
    </row>
    <row r="1124">
      <c r="A1124" s="730"/>
      <c r="B1124" s="731"/>
      <c r="C1124" s="731"/>
      <c r="D1124" s="1492"/>
      <c r="E1124" s="437"/>
      <c r="F1124" s="734"/>
      <c r="G1124" s="437"/>
    </row>
    <row r="1125">
      <c r="A1125" s="730"/>
      <c r="B1125" s="731"/>
      <c r="C1125" s="731"/>
      <c r="D1125" s="1492"/>
      <c r="E1125" s="437"/>
      <c r="F1125" s="734"/>
      <c r="G1125" s="437"/>
    </row>
    <row r="1126">
      <c r="A1126" s="730"/>
      <c r="B1126" s="731"/>
      <c r="C1126" s="731"/>
      <c r="D1126" s="1492"/>
      <c r="E1126" s="437"/>
      <c r="F1126" s="734"/>
      <c r="G1126" s="437"/>
    </row>
    <row r="1127">
      <c r="A1127" s="730"/>
      <c r="B1127" s="731"/>
      <c r="C1127" s="731"/>
      <c r="D1127" s="1492"/>
      <c r="E1127" s="437"/>
      <c r="F1127" s="734"/>
      <c r="G1127" s="437"/>
    </row>
    <row r="1128">
      <c r="A1128" s="730"/>
      <c r="B1128" s="731"/>
      <c r="C1128" s="731"/>
      <c r="D1128" s="1492"/>
      <c r="E1128" s="437"/>
      <c r="F1128" s="734"/>
      <c r="G1128" s="437"/>
    </row>
    <row r="1129">
      <c r="A1129" s="730"/>
      <c r="B1129" s="731"/>
      <c r="C1129" s="731"/>
      <c r="D1129" s="1492"/>
      <c r="E1129" s="437"/>
      <c r="F1129" s="734"/>
      <c r="G1129" s="437"/>
    </row>
    <row r="1130">
      <c r="A1130" s="730"/>
      <c r="B1130" s="731"/>
      <c r="C1130" s="731"/>
      <c r="D1130" s="1492"/>
      <c r="E1130" s="437"/>
      <c r="F1130" s="734"/>
      <c r="G1130" s="437"/>
    </row>
    <row r="1131">
      <c r="A1131" s="730"/>
      <c r="B1131" s="731"/>
      <c r="C1131" s="731"/>
      <c r="D1131" s="1492"/>
      <c r="E1131" s="437"/>
      <c r="F1131" s="734"/>
      <c r="G1131" s="437"/>
    </row>
    <row r="1132">
      <c r="A1132" s="730"/>
      <c r="B1132" s="731"/>
      <c r="C1132" s="731"/>
      <c r="D1132" s="1492"/>
      <c r="E1132" s="437"/>
      <c r="F1132" s="734"/>
      <c r="G1132" s="437"/>
    </row>
    <row r="1133">
      <c r="A1133" s="730"/>
      <c r="B1133" s="731"/>
      <c r="C1133" s="731"/>
      <c r="D1133" s="1492"/>
      <c r="E1133" s="437"/>
      <c r="F1133" s="734"/>
      <c r="G1133" s="437"/>
    </row>
    <row r="1134">
      <c r="A1134" s="730"/>
      <c r="B1134" s="731"/>
      <c r="C1134" s="731"/>
      <c r="D1134" s="1492"/>
      <c r="E1134" s="437"/>
      <c r="F1134" s="734"/>
      <c r="G1134" s="437"/>
    </row>
    <row r="1135">
      <c r="A1135" s="730"/>
      <c r="B1135" s="731"/>
      <c r="C1135" s="731"/>
      <c r="D1135" s="1492"/>
      <c r="E1135" s="437"/>
      <c r="F1135" s="734"/>
      <c r="G1135" s="437"/>
    </row>
    <row r="1136">
      <c r="A1136" s="730"/>
      <c r="B1136" s="731"/>
      <c r="C1136" s="731"/>
      <c r="D1136" s="1492"/>
      <c r="E1136" s="437"/>
      <c r="F1136" s="734"/>
      <c r="G1136" s="437"/>
    </row>
    <row r="1137">
      <c r="A1137" s="730"/>
      <c r="B1137" s="731"/>
      <c r="C1137" s="731"/>
      <c r="D1137" s="1492"/>
      <c r="E1137" s="437"/>
      <c r="F1137" s="734"/>
      <c r="G1137" s="437"/>
    </row>
    <row r="1138">
      <c r="A1138" s="730"/>
      <c r="B1138" s="731"/>
      <c r="C1138" s="731"/>
      <c r="D1138" s="1492"/>
      <c r="E1138" s="437"/>
      <c r="F1138" s="734"/>
      <c r="G1138" s="437"/>
    </row>
    <row r="1139">
      <c r="A1139" s="730"/>
      <c r="B1139" s="731"/>
      <c r="C1139" s="731"/>
      <c r="D1139" s="1492"/>
      <c r="E1139" s="437"/>
      <c r="F1139" s="734"/>
      <c r="G1139" s="437"/>
    </row>
    <row r="1140">
      <c r="A1140" s="730"/>
      <c r="B1140" s="731"/>
      <c r="C1140" s="731"/>
      <c r="D1140" s="1492"/>
      <c r="E1140" s="437"/>
      <c r="F1140" s="734"/>
      <c r="G1140" s="437"/>
    </row>
    <row r="1141">
      <c r="A1141" s="730"/>
      <c r="B1141" s="731"/>
      <c r="C1141" s="731"/>
      <c r="D1141" s="1492"/>
      <c r="E1141" s="437"/>
      <c r="F1141" s="734"/>
      <c r="G1141" s="437"/>
    </row>
    <row r="1142">
      <c r="A1142" s="730"/>
      <c r="B1142" s="731"/>
      <c r="C1142" s="731"/>
      <c r="D1142" s="1492"/>
      <c r="E1142" s="437"/>
      <c r="F1142" s="734"/>
      <c r="G1142" s="437"/>
    </row>
    <row r="1143">
      <c r="A1143" s="730"/>
      <c r="B1143" s="731"/>
      <c r="C1143" s="731"/>
      <c r="D1143" s="1492"/>
      <c r="E1143" s="437"/>
      <c r="F1143" s="734"/>
      <c r="G1143" s="437"/>
    </row>
    <row r="1144">
      <c r="A1144" s="730"/>
      <c r="B1144" s="731"/>
      <c r="C1144" s="731"/>
      <c r="D1144" s="1492"/>
      <c r="E1144" s="437"/>
      <c r="F1144" s="734"/>
      <c r="G1144" s="437"/>
    </row>
    <row r="1145">
      <c r="A1145" s="730"/>
      <c r="B1145" s="731"/>
      <c r="C1145" s="731"/>
      <c r="D1145" s="1492"/>
      <c r="E1145" s="437"/>
      <c r="F1145" s="734"/>
      <c r="G1145" s="437"/>
    </row>
    <row r="1146">
      <c r="A1146" s="730"/>
      <c r="B1146" s="731"/>
      <c r="C1146" s="731"/>
      <c r="D1146" s="1492"/>
      <c r="E1146" s="437"/>
      <c r="F1146" s="734"/>
      <c r="G1146" s="437"/>
    </row>
    <row r="1147">
      <c r="A1147" s="730"/>
      <c r="B1147" s="731"/>
      <c r="C1147" s="731"/>
      <c r="D1147" s="1492"/>
      <c r="E1147" s="437"/>
      <c r="F1147" s="734"/>
      <c r="G1147" s="437"/>
    </row>
    <row r="1148">
      <c r="A1148" s="730"/>
      <c r="B1148" s="731"/>
      <c r="C1148" s="731"/>
      <c r="D1148" s="1492"/>
      <c r="E1148" s="437"/>
      <c r="F1148" s="734"/>
      <c r="G1148" s="437"/>
    </row>
    <row r="1149">
      <c r="A1149" s="730"/>
      <c r="B1149" s="731"/>
      <c r="C1149" s="731"/>
      <c r="D1149" s="1492"/>
      <c r="E1149" s="437"/>
      <c r="F1149" s="734"/>
      <c r="G1149" s="437"/>
    </row>
    <row r="1150">
      <c r="A1150" s="730"/>
      <c r="B1150" s="731"/>
      <c r="C1150" s="731"/>
      <c r="D1150" s="1492"/>
      <c r="E1150" s="437"/>
      <c r="F1150" s="734"/>
      <c r="G1150" s="437"/>
    </row>
    <row r="1151">
      <c r="A1151" s="730"/>
      <c r="B1151" s="731"/>
      <c r="C1151" s="731"/>
      <c r="D1151" s="1492"/>
      <c r="E1151" s="437"/>
      <c r="F1151" s="734"/>
      <c r="G1151" s="437"/>
    </row>
    <row r="1152">
      <c r="A1152" s="730"/>
      <c r="B1152" s="731"/>
      <c r="C1152" s="731"/>
      <c r="D1152" s="1492"/>
      <c r="E1152" s="437"/>
      <c r="F1152" s="734"/>
      <c r="G1152" s="437"/>
    </row>
    <row r="1153">
      <c r="A1153" s="730"/>
      <c r="B1153" s="731"/>
      <c r="C1153" s="731"/>
      <c r="D1153" s="1492"/>
      <c r="E1153" s="437"/>
      <c r="F1153" s="734"/>
      <c r="G1153" s="437"/>
    </row>
    <row r="1154">
      <c r="A1154" s="730"/>
      <c r="B1154" s="731"/>
      <c r="C1154" s="731"/>
      <c r="D1154" s="1492"/>
      <c r="E1154" s="437"/>
      <c r="F1154" s="734"/>
      <c r="G1154" s="437"/>
    </row>
    <row r="1155">
      <c r="A1155" s="730"/>
      <c r="B1155" s="731"/>
      <c r="C1155" s="731"/>
      <c r="D1155" s="1492"/>
      <c r="E1155" s="437"/>
      <c r="F1155" s="734"/>
      <c r="G1155" s="437"/>
    </row>
    <row r="1156">
      <c r="A1156" s="730"/>
      <c r="B1156" s="731"/>
      <c r="C1156" s="731"/>
      <c r="D1156" s="1492"/>
      <c r="E1156" s="437"/>
      <c r="F1156" s="734"/>
      <c r="G1156" s="437"/>
    </row>
    <row r="1157">
      <c r="A1157" s="730"/>
      <c r="B1157" s="731"/>
      <c r="C1157" s="731"/>
      <c r="D1157" s="1492"/>
      <c r="E1157" s="437"/>
      <c r="F1157" s="734"/>
      <c r="G1157" s="437"/>
    </row>
    <row r="1158">
      <c r="A1158" s="730"/>
      <c r="B1158" s="731"/>
      <c r="C1158" s="731"/>
      <c r="D1158" s="1492"/>
      <c r="E1158" s="437"/>
      <c r="F1158" s="734"/>
      <c r="G1158" s="437"/>
    </row>
    <row r="1159">
      <c r="A1159" s="730"/>
      <c r="B1159" s="731"/>
      <c r="C1159" s="731"/>
      <c r="D1159" s="1492"/>
      <c r="E1159" s="437"/>
      <c r="F1159" s="734"/>
      <c r="G1159" s="437"/>
    </row>
    <row r="1160">
      <c r="A1160" s="730"/>
      <c r="B1160" s="731"/>
      <c r="C1160" s="731"/>
      <c r="D1160" s="1492"/>
      <c r="E1160" s="437"/>
      <c r="F1160" s="734"/>
      <c r="G1160" s="437"/>
    </row>
    <row r="1161">
      <c r="A1161" s="730"/>
      <c r="B1161" s="731"/>
      <c r="C1161" s="731"/>
      <c r="D1161" s="1492"/>
      <c r="E1161" s="437"/>
      <c r="F1161" s="734"/>
      <c r="G1161" s="437"/>
    </row>
    <row r="1162">
      <c r="A1162" s="730"/>
      <c r="B1162" s="731"/>
      <c r="C1162" s="731"/>
      <c r="D1162" s="1492"/>
      <c r="E1162" s="437"/>
      <c r="F1162" s="734"/>
      <c r="G1162" s="437"/>
    </row>
    <row r="1163">
      <c r="A1163" s="730"/>
      <c r="B1163" s="731"/>
      <c r="C1163" s="731"/>
      <c r="D1163" s="1492"/>
      <c r="E1163" s="437"/>
      <c r="F1163" s="734"/>
      <c r="G1163" s="437"/>
    </row>
    <row r="1164">
      <c r="A1164" s="730"/>
      <c r="B1164" s="731"/>
      <c r="C1164" s="731"/>
      <c r="D1164" s="1492"/>
      <c r="E1164" s="437"/>
      <c r="F1164" s="734"/>
      <c r="G1164" s="437"/>
    </row>
    <row r="1165">
      <c r="A1165" s="730"/>
      <c r="B1165" s="731"/>
      <c r="C1165" s="731"/>
      <c r="D1165" s="1492"/>
      <c r="E1165" s="437"/>
      <c r="F1165" s="734"/>
      <c r="G1165" s="437"/>
    </row>
    <row r="1166">
      <c r="A1166" s="730"/>
      <c r="B1166" s="731"/>
      <c r="C1166" s="731"/>
      <c r="D1166" s="1492"/>
      <c r="E1166" s="437"/>
      <c r="F1166" s="734"/>
      <c r="G1166" s="437"/>
    </row>
    <row r="1167">
      <c r="A1167" s="730"/>
      <c r="B1167" s="731"/>
      <c r="C1167" s="731"/>
      <c r="D1167" s="1492"/>
      <c r="E1167" s="437"/>
      <c r="F1167" s="734"/>
      <c r="G1167" s="437"/>
    </row>
    <row r="1168">
      <c r="A1168" s="730"/>
      <c r="B1168" s="731"/>
      <c r="C1168" s="731"/>
      <c r="D1168" s="1492"/>
      <c r="E1168" s="437"/>
      <c r="F1168" s="734"/>
      <c r="G1168" s="437"/>
    </row>
    <row r="1169">
      <c r="A1169" s="730"/>
      <c r="B1169" s="731"/>
      <c r="C1169" s="731"/>
      <c r="D1169" s="1492"/>
      <c r="E1169" s="437"/>
      <c r="F1169" s="734"/>
      <c r="G1169" s="437"/>
    </row>
    <row r="1170">
      <c r="A1170" s="730"/>
      <c r="B1170" s="731"/>
      <c r="C1170" s="731"/>
      <c r="D1170" s="1492"/>
      <c r="E1170" s="437"/>
      <c r="F1170" s="734"/>
      <c r="G1170" s="437"/>
    </row>
    <row r="1171">
      <c r="A1171" s="730"/>
      <c r="B1171" s="731"/>
      <c r="C1171" s="731"/>
      <c r="D1171" s="1492"/>
      <c r="E1171" s="437"/>
      <c r="F1171" s="734"/>
      <c r="G1171" s="437"/>
    </row>
    <row r="1172">
      <c r="A1172" s="730"/>
      <c r="B1172" s="731"/>
      <c r="C1172" s="731"/>
      <c r="D1172" s="1492"/>
      <c r="E1172" s="437"/>
      <c r="F1172" s="734"/>
      <c r="G1172" s="437"/>
    </row>
    <row r="1173">
      <c r="A1173" s="730"/>
      <c r="B1173" s="731"/>
      <c r="C1173" s="731"/>
      <c r="D1173" s="1492"/>
      <c r="E1173" s="437"/>
      <c r="F1173" s="734"/>
      <c r="G1173" s="437"/>
    </row>
    <row r="1174">
      <c r="A1174" s="730"/>
      <c r="B1174" s="731"/>
      <c r="C1174" s="731"/>
      <c r="D1174" s="1492"/>
      <c r="E1174" s="437"/>
      <c r="F1174" s="734"/>
      <c r="G1174" s="437"/>
    </row>
    <row r="1175">
      <c r="A1175" s="730"/>
      <c r="B1175" s="731"/>
      <c r="C1175" s="731"/>
      <c r="D1175" s="1492"/>
      <c r="E1175" s="437"/>
      <c r="F1175" s="734"/>
      <c r="G1175" s="437"/>
    </row>
    <row r="1176">
      <c r="A1176" s="730"/>
      <c r="B1176" s="731"/>
      <c r="C1176" s="731"/>
      <c r="D1176" s="1492"/>
      <c r="E1176" s="437"/>
      <c r="F1176" s="734"/>
      <c r="G1176" s="437"/>
    </row>
    <row r="1177">
      <c r="A1177" s="730"/>
      <c r="B1177" s="731"/>
      <c r="C1177" s="731"/>
      <c r="D1177" s="1492"/>
      <c r="E1177" s="437"/>
      <c r="F1177" s="734"/>
      <c r="G1177" s="437"/>
    </row>
    <row r="1178">
      <c r="A1178" s="730"/>
      <c r="B1178" s="731"/>
      <c r="C1178" s="731"/>
      <c r="D1178" s="1492"/>
      <c r="E1178" s="437"/>
      <c r="F1178" s="734"/>
      <c r="G1178" s="437"/>
    </row>
    <row r="1179">
      <c r="A1179" s="730"/>
      <c r="B1179" s="731"/>
      <c r="C1179" s="731"/>
      <c r="D1179" s="1492"/>
      <c r="E1179" s="437"/>
      <c r="F1179" s="734"/>
      <c r="G1179" s="437"/>
    </row>
    <row r="1180">
      <c r="A1180" s="730"/>
      <c r="B1180" s="731"/>
      <c r="C1180" s="731"/>
      <c r="D1180" s="1492"/>
      <c r="E1180" s="437"/>
      <c r="F1180" s="734"/>
      <c r="G1180" s="437"/>
    </row>
    <row r="1181">
      <c r="A1181" s="730"/>
      <c r="B1181" s="731"/>
      <c r="C1181" s="731"/>
      <c r="D1181" s="1492"/>
      <c r="E1181" s="437"/>
      <c r="F1181" s="734"/>
      <c r="G1181" s="437"/>
    </row>
    <row r="1182">
      <c r="A1182" s="730"/>
      <c r="B1182" s="731"/>
      <c r="C1182" s="731"/>
      <c r="D1182" s="1492"/>
      <c r="E1182" s="437"/>
      <c r="F1182" s="734"/>
      <c r="G1182" s="437"/>
    </row>
    <row r="1183">
      <c r="A1183" s="730"/>
      <c r="B1183" s="731"/>
      <c r="C1183" s="731"/>
      <c r="D1183" s="1492"/>
      <c r="E1183" s="437"/>
      <c r="F1183" s="734"/>
      <c r="G1183" s="437"/>
    </row>
    <row r="1184">
      <c r="A1184" s="730"/>
      <c r="B1184" s="731"/>
      <c r="C1184" s="731"/>
      <c r="D1184" s="1492"/>
      <c r="E1184" s="437"/>
      <c r="F1184" s="734"/>
      <c r="G1184" s="437"/>
    </row>
    <row r="1185">
      <c r="A1185" s="730"/>
      <c r="B1185" s="731"/>
      <c r="C1185" s="731"/>
      <c r="D1185" s="1492"/>
      <c r="E1185" s="437"/>
      <c r="F1185" s="734"/>
      <c r="G1185" s="437"/>
    </row>
    <row r="1186">
      <c r="A1186" s="730"/>
      <c r="B1186" s="731"/>
      <c r="C1186" s="731"/>
      <c r="D1186" s="1492"/>
      <c r="E1186" s="437"/>
      <c r="F1186" s="734"/>
      <c r="G1186" s="437"/>
    </row>
    <row r="1187">
      <c r="A1187" s="730"/>
      <c r="B1187" s="731"/>
      <c r="C1187" s="731"/>
      <c r="D1187" s="1492"/>
      <c r="E1187" s="437"/>
      <c r="F1187" s="734"/>
      <c r="G1187" s="437"/>
    </row>
    <row r="1188">
      <c r="A1188" s="730"/>
      <c r="B1188" s="731"/>
      <c r="C1188" s="731"/>
      <c r="D1188" s="1492"/>
      <c r="E1188" s="437"/>
      <c r="F1188" s="734"/>
      <c r="G1188" s="437"/>
    </row>
    <row r="1189">
      <c r="A1189" s="730"/>
      <c r="B1189" s="731"/>
      <c r="C1189" s="731"/>
      <c r="D1189" s="1492"/>
      <c r="E1189" s="437"/>
      <c r="F1189" s="734"/>
      <c r="G1189" s="437"/>
    </row>
    <row r="1190">
      <c r="A1190" s="730"/>
      <c r="B1190" s="731"/>
      <c r="C1190" s="731"/>
      <c r="D1190" s="1492"/>
      <c r="E1190" s="437"/>
      <c r="F1190" s="734"/>
      <c r="G1190" s="437"/>
    </row>
    <row r="1191">
      <c r="A1191" s="730"/>
      <c r="B1191" s="731"/>
      <c r="C1191" s="731"/>
      <c r="D1191" s="1492"/>
      <c r="E1191" s="437"/>
      <c r="F1191" s="734"/>
      <c r="G1191" s="437"/>
    </row>
    <row r="1192">
      <c r="A1192" s="730"/>
      <c r="B1192" s="731"/>
      <c r="C1192" s="731"/>
      <c r="D1192" s="1492"/>
      <c r="E1192" s="437"/>
      <c r="F1192" s="734"/>
      <c r="G1192" s="437"/>
    </row>
    <row r="1193">
      <c r="A1193" s="730"/>
      <c r="B1193" s="731"/>
      <c r="C1193" s="731"/>
      <c r="D1193" s="1492"/>
      <c r="E1193" s="437"/>
      <c r="F1193" s="734"/>
      <c r="G1193" s="437"/>
    </row>
    <row r="1194">
      <c r="A1194" s="730"/>
      <c r="B1194" s="731"/>
      <c r="C1194" s="731"/>
      <c r="D1194" s="1492"/>
      <c r="E1194" s="437"/>
      <c r="F1194" s="734"/>
      <c r="G1194" s="437"/>
    </row>
    <row r="1195">
      <c r="A1195" s="730"/>
      <c r="B1195" s="731"/>
      <c r="C1195" s="731"/>
      <c r="D1195" s="1492"/>
      <c r="E1195" s="437"/>
      <c r="F1195" s="734"/>
      <c r="G1195" s="437"/>
    </row>
    <row r="1196">
      <c r="A1196" s="730"/>
      <c r="B1196" s="731"/>
      <c r="C1196" s="731"/>
      <c r="D1196" s="1492"/>
      <c r="E1196" s="437"/>
      <c r="F1196" s="734"/>
      <c r="G1196" s="437"/>
    </row>
    <row r="1197">
      <c r="A1197" s="730"/>
      <c r="B1197" s="731"/>
      <c r="C1197" s="731"/>
      <c r="D1197" s="1492"/>
      <c r="E1197" s="437"/>
      <c r="F1197" s="734"/>
      <c r="G1197" s="437"/>
    </row>
    <row r="1198">
      <c r="A1198" s="730"/>
      <c r="B1198" s="731"/>
      <c r="C1198" s="731"/>
      <c r="D1198" s="1492"/>
      <c r="E1198" s="437"/>
      <c r="F1198" s="734"/>
      <c r="G1198" s="437"/>
    </row>
    <row r="1199">
      <c r="A1199" s="730"/>
      <c r="B1199" s="731"/>
      <c r="C1199" s="731"/>
      <c r="D1199" s="1492"/>
      <c r="E1199" s="437"/>
      <c r="F1199" s="734"/>
      <c r="G1199" s="437"/>
    </row>
    <row r="1200">
      <c r="A1200" s="730"/>
      <c r="B1200" s="731"/>
      <c r="C1200" s="731"/>
      <c r="D1200" s="1492"/>
      <c r="E1200" s="437"/>
      <c r="F1200" s="734"/>
      <c r="G1200" s="437"/>
    </row>
    <row r="1201">
      <c r="A1201" s="730"/>
      <c r="B1201" s="731"/>
      <c r="C1201" s="731"/>
      <c r="D1201" s="1492"/>
      <c r="E1201" s="437"/>
      <c r="F1201" s="734"/>
      <c r="G1201" s="437"/>
    </row>
    <row r="1202">
      <c r="A1202" s="730"/>
      <c r="B1202" s="731"/>
      <c r="C1202" s="731"/>
      <c r="D1202" s="1492"/>
      <c r="E1202" s="437"/>
      <c r="F1202" s="734"/>
      <c r="G1202" s="437"/>
    </row>
    <row r="1203">
      <c r="A1203" s="730"/>
      <c r="B1203" s="731"/>
      <c r="C1203" s="731"/>
      <c r="D1203" s="1492"/>
      <c r="E1203" s="437"/>
      <c r="F1203" s="734"/>
      <c r="G1203" s="437"/>
    </row>
    <row r="1204">
      <c r="A1204" s="730"/>
      <c r="B1204" s="731"/>
      <c r="C1204" s="731"/>
      <c r="D1204" s="1492"/>
      <c r="E1204" s="437"/>
      <c r="F1204" s="734"/>
      <c r="G1204" s="437"/>
    </row>
    <row r="1205">
      <c r="A1205" s="730"/>
      <c r="B1205" s="731"/>
      <c r="C1205" s="731"/>
      <c r="D1205" s="1492"/>
      <c r="E1205" s="437"/>
      <c r="F1205" s="734"/>
      <c r="G1205" s="437"/>
    </row>
    <row r="1206">
      <c r="A1206" s="730"/>
      <c r="B1206" s="731"/>
      <c r="C1206" s="731"/>
      <c r="D1206" s="1492"/>
      <c r="E1206" s="437"/>
      <c r="F1206" s="734"/>
      <c r="G1206" s="437"/>
    </row>
    <row r="1207">
      <c r="A1207" s="730"/>
      <c r="B1207" s="731"/>
      <c r="C1207" s="731"/>
      <c r="D1207" s="1492"/>
      <c r="E1207" s="437"/>
      <c r="F1207" s="734"/>
      <c r="G1207" s="437"/>
    </row>
    <row r="1208">
      <c r="A1208" s="730"/>
      <c r="B1208" s="731"/>
      <c r="C1208" s="731"/>
      <c r="D1208" s="1492"/>
      <c r="E1208" s="437"/>
      <c r="F1208" s="734"/>
      <c r="G1208" s="437"/>
    </row>
    <row r="1209">
      <c r="A1209" s="730"/>
      <c r="B1209" s="731"/>
      <c r="C1209" s="731"/>
      <c r="D1209" s="1492"/>
      <c r="E1209" s="437"/>
      <c r="F1209" s="734"/>
      <c r="G1209" s="437"/>
    </row>
    <row r="1210">
      <c r="A1210" s="730"/>
      <c r="B1210" s="731"/>
      <c r="C1210" s="731"/>
      <c r="D1210" s="1492"/>
      <c r="E1210" s="437"/>
      <c r="F1210" s="734"/>
      <c r="G1210" s="437"/>
    </row>
    <row r="1211">
      <c r="A1211" s="730"/>
      <c r="B1211" s="731"/>
      <c r="C1211" s="731"/>
      <c r="D1211" s="1492"/>
      <c r="E1211" s="437"/>
      <c r="F1211" s="734"/>
      <c r="G1211" s="437"/>
    </row>
    <row r="1212">
      <c r="A1212" s="730"/>
      <c r="B1212" s="731"/>
      <c r="C1212" s="731"/>
      <c r="D1212" s="1492"/>
      <c r="E1212" s="437"/>
      <c r="F1212" s="734"/>
      <c r="G1212" s="437"/>
    </row>
    <row r="1213">
      <c r="A1213" s="730"/>
      <c r="B1213" s="731"/>
      <c r="C1213" s="731"/>
      <c r="D1213" s="1492"/>
      <c r="E1213" s="437"/>
      <c r="F1213" s="734"/>
      <c r="G1213" s="437"/>
    </row>
    <row r="1214">
      <c r="A1214" s="730"/>
      <c r="B1214" s="731"/>
      <c r="C1214" s="731"/>
      <c r="D1214" s="1492"/>
      <c r="E1214" s="437"/>
      <c r="F1214" s="734"/>
      <c r="G1214" s="437"/>
    </row>
    <row r="1215">
      <c r="A1215" s="730"/>
      <c r="B1215" s="731"/>
      <c r="C1215" s="731"/>
      <c r="D1215" s="1492"/>
      <c r="E1215" s="437"/>
      <c r="F1215" s="734"/>
      <c r="G1215" s="437"/>
    </row>
    <row r="1216">
      <c r="A1216" s="730"/>
      <c r="B1216" s="731"/>
      <c r="C1216" s="731"/>
      <c r="D1216" s="1492"/>
      <c r="E1216" s="437"/>
      <c r="F1216" s="734"/>
      <c r="G1216" s="437"/>
    </row>
    <row r="1217">
      <c r="A1217" s="730"/>
      <c r="B1217" s="731"/>
      <c r="C1217" s="731"/>
      <c r="D1217" s="1492"/>
      <c r="E1217" s="437"/>
      <c r="F1217" s="734"/>
      <c r="G1217" s="437"/>
    </row>
    <row r="1218">
      <c r="A1218" s="730"/>
      <c r="B1218" s="731"/>
      <c r="C1218" s="731"/>
      <c r="D1218" s="1492"/>
      <c r="E1218" s="437"/>
      <c r="F1218" s="734"/>
      <c r="G1218" s="437"/>
    </row>
    <row r="1219">
      <c r="A1219" s="730"/>
      <c r="B1219" s="731"/>
      <c r="C1219" s="731"/>
      <c r="D1219" s="1492"/>
      <c r="E1219" s="437"/>
      <c r="F1219" s="734"/>
      <c r="G1219" s="437"/>
    </row>
    <row r="1220">
      <c r="A1220" s="730"/>
      <c r="B1220" s="731"/>
      <c r="C1220" s="731"/>
      <c r="D1220" s="1492"/>
      <c r="E1220" s="437"/>
      <c r="F1220" s="734"/>
      <c r="G1220" s="437"/>
    </row>
    <row r="1221">
      <c r="A1221" s="730"/>
      <c r="B1221" s="731"/>
      <c r="C1221" s="731"/>
      <c r="D1221" s="1492"/>
      <c r="E1221" s="437"/>
      <c r="F1221" s="734"/>
      <c r="G1221" s="437"/>
    </row>
    <row r="1222">
      <c r="A1222" s="730"/>
      <c r="B1222" s="731"/>
      <c r="C1222" s="731"/>
      <c r="D1222" s="1492"/>
      <c r="E1222" s="437"/>
      <c r="F1222" s="734"/>
      <c r="G1222" s="437"/>
    </row>
    <row r="1223">
      <c r="A1223" s="730"/>
      <c r="B1223" s="731"/>
      <c r="C1223" s="731"/>
      <c r="D1223" s="1492"/>
      <c r="E1223" s="437"/>
      <c r="F1223" s="734"/>
      <c r="G1223" s="437"/>
    </row>
    <row r="1224">
      <c r="A1224" s="730"/>
      <c r="B1224" s="731"/>
      <c r="C1224" s="731"/>
      <c r="D1224" s="1492"/>
      <c r="E1224" s="437"/>
      <c r="F1224" s="734"/>
      <c r="G1224" s="437"/>
    </row>
    <row r="1225">
      <c r="A1225" s="730"/>
      <c r="B1225" s="731"/>
      <c r="C1225" s="731"/>
      <c r="D1225" s="1492"/>
      <c r="E1225" s="437"/>
      <c r="F1225" s="734"/>
      <c r="G1225" s="437"/>
    </row>
    <row r="1226">
      <c r="A1226" s="730"/>
      <c r="B1226" s="731"/>
      <c r="C1226" s="731"/>
      <c r="D1226" s="1492"/>
      <c r="E1226" s="437"/>
      <c r="F1226" s="734"/>
      <c r="G1226" s="437"/>
    </row>
    <row r="1227">
      <c r="A1227" s="730"/>
      <c r="B1227" s="731"/>
      <c r="C1227" s="731"/>
      <c r="D1227" s="1492"/>
      <c r="E1227" s="437"/>
      <c r="F1227" s="734"/>
      <c r="G1227" s="437"/>
    </row>
    <row r="1228">
      <c r="A1228" s="730"/>
      <c r="B1228" s="731"/>
      <c r="C1228" s="731"/>
      <c r="D1228" s="1492"/>
      <c r="E1228" s="437"/>
      <c r="F1228" s="734"/>
      <c r="G1228" s="437"/>
    </row>
    <row r="1229">
      <c r="A1229" s="730"/>
      <c r="B1229" s="731"/>
      <c r="C1229" s="731"/>
      <c r="D1229" s="1492"/>
      <c r="E1229" s="437"/>
      <c r="F1229" s="734"/>
      <c r="G1229" s="437"/>
    </row>
  </sheetData>
  <autoFilter ref="$A$71:$G$85">
    <sortState ref="A71:G85">
      <sortCondition ref="A71:A85"/>
    </sortState>
  </autoFilter>
  <mergeCells count="19">
    <mergeCell ref="A28:D28"/>
    <mergeCell ref="A91:D91"/>
    <mergeCell ref="A105:D105"/>
    <mergeCell ref="A122:D122"/>
    <mergeCell ref="A129:D129"/>
    <mergeCell ref="A145:D145"/>
    <mergeCell ref="A156:D156"/>
    <mergeCell ref="A281:D281"/>
    <mergeCell ref="A289:D289"/>
    <mergeCell ref="A298:D298"/>
    <mergeCell ref="A305:D305"/>
    <mergeCell ref="A311:D311"/>
    <mergeCell ref="A165:D165"/>
    <mergeCell ref="A167:D167"/>
    <mergeCell ref="A176:D176"/>
    <mergeCell ref="A197:D197"/>
    <mergeCell ref="A212:D212"/>
    <mergeCell ref="A234:D234"/>
    <mergeCell ref="A254:D254"/>
  </mergeCells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1058" t="s">
        <v>3490</v>
      </c>
      <c r="B1" s="737"/>
      <c r="C1" s="737"/>
      <c r="D1" s="737"/>
      <c r="E1" s="737"/>
      <c r="F1" s="737"/>
      <c r="G1" s="738"/>
    </row>
    <row r="2">
      <c r="A2" s="739"/>
      <c r="B2" s="740"/>
      <c r="C2" s="740"/>
      <c r="D2" s="740"/>
      <c r="E2" s="740"/>
      <c r="F2" s="740"/>
      <c r="G2" s="741"/>
    </row>
    <row r="3" ht="15.0" customHeight="1">
      <c r="A3" s="742"/>
      <c r="B3" s="742"/>
      <c r="C3" s="742"/>
      <c r="D3" s="742"/>
      <c r="E3" s="742"/>
      <c r="F3" s="742"/>
      <c r="G3" s="742"/>
    </row>
    <row r="4" ht="15.0" customHeight="1">
      <c r="A4" s="743"/>
      <c r="B4" s="744"/>
      <c r="C4" s="744"/>
      <c r="D4" s="744"/>
      <c r="E4" s="744"/>
      <c r="F4" s="744"/>
      <c r="G4" s="745"/>
    </row>
    <row r="5">
      <c r="A5" s="746"/>
      <c r="B5" s="747">
        <v>45748.0</v>
      </c>
      <c r="C5" s="749" t="s">
        <v>3491</v>
      </c>
      <c r="D5" s="749">
        <v>2026.0</v>
      </c>
      <c r="E5" s="749" t="s">
        <v>3492</v>
      </c>
      <c r="F5" s="751"/>
      <c r="G5" s="752"/>
    </row>
    <row r="6">
      <c r="A6" s="753" t="s">
        <v>1975</v>
      </c>
      <c r="B6" s="755">
        <v>540000.0</v>
      </c>
      <c r="C6" s="755">
        <v>370000.0</v>
      </c>
      <c r="D6" s="755">
        <v>570000.0</v>
      </c>
      <c r="E6" s="755">
        <v>400000.0</v>
      </c>
      <c r="F6" s="754"/>
      <c r="G6" s="756"/>
    </row>
    <row r="7">
      <c r="A7" s="753" t="s">
        <v>1976</v>
      </c>
      <c r="B7" s="755">
        <v>375000.0</v>
      </c>
      <c r="C7" s="755">
        <v>175000.0</v>
      </c>
      <c r="D7" s="755">
        <v>375000.0</v>
      </c>
      <c r="E7" s="754">
        <f>C7</f>
        <v>175000</v>
      </c>
      <c r="F7" s="754"/>
      <c r="G7" s="756"/>
    </row>
    <row r="8">
      <c r="A8" s="757" t="s">
        <v>1977</v>
      </c>
      <c r="B8" s="758">
        <f t="shared" ref="B8:E8" si="1">B6-B7</f>
        <v>165000</v>
      </c>
      <c r="C8" s="758">
        <f t="shared" si="1"/>
        <v>195000</v>
      </c>
      <c r="D8" s="758">
        <f t="shared" si="1"/>
        <v>195000</v>
      </c>
      <c r="E8" s="758">
        <f t="shared" si="1"/>
        <v>225000</v>
      </c>
      <c r="F8" s="758"/>
      <c r="G8" s="759"/>
    </row>
    <row r="9">
      <c r="A9" s="760"/>
      <c r="B9" s="760"/>
      <c r="C9" s="760"/>
      <c r="D9" s="760"/>
      <c r="E9" s="760"/>
      <c r="F9" s="760"/>
      <c r="G9" s="760"/>
    </row>
    <row r="11" ht="24.75" customHeight="1">
      <c r="A11" s="1493" t="s">
        <v>975</v>
      </c>
      <c r="B11" s="744"/>
      <c r="C11" s="744"/>
      <c r="D11" s="744"/>
      <c r="E11" s="744"/>
      <c r="F11" s="744"/>
      <c r="G11" s="745"/>
    </row>
    <row r="12">
      <c r="A12" s="746"/>
      <c r="B12" s="1494">
        <v>45839.0</v>
      </c>
      <c r="C12" s="751"/>
      <c r="D12" s="751"/>
      <c r="E12" s="751"/>
      <c r="F12" s="751"/>
      <c r="G12" s="752"/>
    </row>
    <row r="13">
      <c r="A13" s="753" t="s">
        <v>1975</v>
      </c>
      <c r="B13" s="755">
        <v>350000.0</v>
      </c>
      <c r="C13" s="754"/>
      <c r="D13" s="754"/>
      <c r="E13" s="754"/>
      <c r="F13" s="754"/>
      <c r="G13" s="756"/>
    </row>
    <row r="14">
      <c r="A14" s="753" t="s">
        <v>1976</v>
      </c>
      <c r="B14" s="755">
        <v>240000.0</v>
      </c>
      <c r="C14" s="754"/>
      <c r="D14" s="754"/>
      <c r="E14" s="754"/>
      <c r="F14" s="754"/>
      <c r="G14" s="756"/>
    </row>
    <row r="15">
      <c r="A15" s="757" t="s">
        <v>1977</v>
      </c>
      <c r="B15" s="758">
        <f>B13-B14</f>
        <v>110000</v>
      </c>
      <c r="C15" s="758"/>
      <c r="D15" s="758"/>
      <c r="E15" s="758"/>
      <c r="F15" s="758"/>
      <c r="G15" s="759"/>
    </row>
  </sheetData>
  <mergeCells count="3">
    <mergeCell ref="A1:G2"/>
    <mergeCell ref="A4:G4"/>
    <mergeCell ref="A11:G11"/>
  </mergeCells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736" t="s">
        <v>231</v>
      </c>
      <c r="B1" s="737"/>
      <c r="C1" s="737"/>
      <c r="D1" s="737"/>
      <c r="E1" s="737"/>
      <c r="F1" s="737"/>
      <c r="G1" s="738"/>
    </row>
    <row r="2">
      <c r="A2" s="739"/>
      <c r="B2" s="740"/>
      <c r="C2" s="740"/>
      <c r="D2" s="740"/>
      <c r="E2" s="740"/>
      <c r="F2" s="740"/>
      <c r="G2" s="741"/>
    </row>
    <row r="3" ht="15.0" customHeight="1">
      <c r="A3" s="742"/>
      <c r="B3" s="742"/>
      <c r="C3" s="742"/>
      <c r="D3" s="742"/>
      <c r="E3" s="742"/>
      <c r="F3" s="742"/>
      <c r="G3" s="742"/>
    </row>
    <row r="4">
      <c r="A4" s="743" t="s">
        <v>231</v>
      </c>
      <c r="B4" s="744"/>
      <c r="C4" s="744"/>
      <c r="D4" s="744"/>
      <c r="E4" s="744"/>
      <c r="F4" s="744"/>
      <c r="G4" s="745"/>
    </row>
    <row r="5">
      <c r="A5" s="746"/>
      <c r="B5" s="747">
        <v>45748.0</v>
      </c>
      <c r="C5" s="748">
        <v>45925.0</v>
      </c>
      <c r="D5" s="751"/>
      <c r="E5" s="751"/>
      <c r="F5" s="751"/>
      <c r="G5" s="752"/>
    </row>
    <row r="6">
      <c r="A6" s="753" t="s">
        <v>1975</v>
      </c>
      <c r="B6" s="754">
        <v>500000.0</v>
      </c>
      <c r="C6" s="755">
        <v>520000.0</v>
      </c>
      <c r="D6" s="754"/>
      <c r="E6" s="754"/>
      <c r="F6" s="754"/>
      <c r="G6" s="756"/>
    </row>
    <row r="7">
      <c r="A7" s="753" t="s">
        <v>1976</v>
      </c>
      <c r="B7" s="754">
        <v>350000.0</v>
      </c>
      <c r="C7" s="754">
        <f>B7</f>
        <v>350000</v>
      </c>
      <c r="D7" s="754"/>
      <c r="E7" s="754"/>
      <c r="F7" s="754"/>
      <c r="G7" s="756"/>
    </row>
    <row r="8">
      <c r="A8" s="757" t="s">
        <v>1977</v>
      </c>
      <c r="B8" s="758">
        <f t="shared" ref="B8:C8" si="1">B6-B7</f>
        <v>150000</v>
      </c>
      <c r="C8" s="758">
        <f t="shared" si="1"/>
        <v>170000</v>
      </c>
      <c r="D8" s="758"/>
      <c r="E8" s="758"/>
      <c r="F8" s="758"/>
      <c r="G8" s="759"/>
    </row>
    <row r="9">
      <c r="A9" s="760"/>
      <c r="B9" s="760"/>
      <c r="C9" s="760"/>
      <c r="D9" s="760"/>
      <c r="E9" s="760"/>
      <c r="F9" s="760"/>
      <c r="G9" s="760"/>
    </row>
    <row r="10">
      <c r="A10" s="743" t="s">
        <v>3493</v>
      </c>
      <c r="B10" s="744"/>
      <c r="C10" s="744"/>
      <c r="D10" s="744"/>
      <c r="E10" s="744"/>
      <c r="F10" s="744"/>
      <c r="G10" s="745"/>
    </row>
    <row r="11">
      <c r="A11" s="746"/>
      <c r="B11" s="747">
        <v>45748.0</v>
      </c>
      <c r="C11" s="748">
        <v>45925.0</v>
      </c>
      <c r="D11" s="751"/>
      <c r="E11" s="751"/>
      <c r="F11" s="751"/>
      <c r="G11" s="752"/>
    </row>
    <row r="12">
      <c r="A12" s="753" t="s">
        <v>1975</v>
      </c>
      <c r="B12" s="754">
        <v>420000.0</v>
      </c>
      <c r="C12" s="755">
        <v>450000.0</v>
      </c>
      <c r="D12" s="754"/>
      <c r="E12" s="754"/>
      <c r="F12" s="754"/>
      <c r="G12" s="756"/>
    </row>
    <row r="13">
      <c r="A13" s="753" t="s">
        <v>1976</v>
      </c>
      <c r="B13" s="754">
        <v>340000.0</v>
      </c>
      <c r="C13" s="754">
        <f>B13</f>
        <v>340000</v>
      </c>
      <c r="D13" s="754"/>
      <c r="E13" s="754"/>
      <c r="F13" s="754"/>
      <c r="G13" s="756"/>
    </row>
    <row r="14">
      <c r="A14" s="757" t="s">
        <v>1977</v>
      </c>
      <c r="B14" s="758">
        <f t="shared" ref="B14:C14" si="2">B12-B13</f>
        <v>80000</v>
      </c>
      <c r="C14" s="758">
        <f t="shared" si="2"/>
        <v>110000</v>
      </c>
      <c r="D14" s="758"/>
      <c r="E14" s="758"/>
      <c r="F14" s="758"/>
      <c r="G14" s="759"/>
    </row>
    <row r="16" ht="15.0" customHeight="1">
      <c r="A16" s="743" t="s">
        <v>3494</v>
      </c>
      <c r="B16" s="744"/>
      <c r="C16" s="744"/>
      <c r="D16" s="744"/>
      <c r="E16" s="744"/>
      <c r="F16" s="744"/>
      <c r="G16" s="745"/>
    </row>
    <row r="17">
      <c r="A17" s="746"/>
      <c r="B17" s="747">
        <v>45748.0</v>
      </c>
      <c r="C17" s="751"/>
      <c r="D17" s="751"/>
      <c r="E17" s="751"/>
      <c r="F17" s="751"/>
      <c r="G17" s="752"/>
    </row>
    <row r="18">
      <c r="A18" s="753" t="s">
        <v>1975</v>
      </c>
      <c r="B18" s="754">
        <v>250000.0</v>
      </c>
      <c r="C18" s="754"/>
      <c r="D18" s="754"/>
      <c r="E18" s="754"/>
      <c r="F18" s="754"/>
      <c r="G18" s="756"/>
    </row>
    <row r="19">
      <c r="A19" s="753" t="s">
        <v>1976</v>
      </c>
      <c r="B19" s="754">
        <v>209000.0</v>
      </c>
      <c r="C19" s="754"/>
      <c r="D19" s="754"/>
      <c r="E19" s="754"/>
      <c r="F19" s="754"/>
      <c r="G19" s="756"/>
    </row>
    <row r="20">
      <c r="A20" s="757" t="s">
        <v>1977</v>
      </c>
      <c r="B20" s="758">
        <f>B18-B19</f>
        <v>41000</v>
      </c>
      <c r="C20" s="758"/>
      <c r="D20" s="758"/>
      <c r="E20" s="758"/>
      <c r="F20" s="758"/>
      <c r="G20" s="759"/>
    </row>
  </sheetData>
  <mergeCells count="4">
    <mergeCell ref="A1:G2"/>
    <mergeCell ref="A4:G4"/>
    <mergeCell ref="A10:G10"/>
    <mergeCell ref="A16:G16"/>
  </mergeCells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0.43"/>
  </cols>
  <sheetData>
    <row r="1">
      <c r="A1" s="736" t="s">
        <v>120</v>
      </c>
      <c r="B1" s="737"/>
      <c r="C1" s="737"/>
      <c r="D1" s="737"/>
      <c r="E1" s="737"/>
      <c r="F1" s="737"/>
      <c r="G1" s="738"/>
    </row>
    <row r="2">
      <c r="A2" s="739"/>
      <c r="B2" s="740"/>
      <c r="C2" s="740"/>
      <c r="D2" s="740"/>
      <c r="E2" s="740"/>
      <c r="F2" s="740"/>
      <c r="G2" s="741"/>
    </row>
    <row r="3" ht="15.0" customHeight="1">
      <c r="A3" s="742"/>
      <c r="B3" s="742"/>
      <c r="C3" s="742"/>
      <c r="D3" s="742"/>
      <c r="E3" s="742"/>
      <c r="F3" s="742"/>
      <c r="G3" s="742"/>
    </row>
    <row r="4">
      <c r="A4" s="743" t="s">
        <v>2340</v>
      </c>
      <c r="B4" s="744"/>
      <c r="C4" s="744"/>
      <c r="D4" s="744"/>
      <c r="E4" s="744"/>
      <c r="F4" s="744"/>
      <c r="G4" s="745"/>
    </row>
    <row r="5">
      <c r="A5" s="746"/>
      <c r="B5" s="747">
        <v>45748.0</v>
      </c>
      <c r="C5" s="748">
        <v>45925.0</v>
      </c>
      <c r="D5" s="749">
        <v>2026.0</v>
      </c>
      <c r="E5" s="751"/>
      <c r="F5" s="751"/>
      <c r="G5" s="752"/>
    </row>
    <row r="6">
      <c r="A6" s="753" t="s">
        <v>1975</v>
      </c>
      <c r="B6" s="754">
        <v>420000.0</v>
      </c>
      <c r="C6" s="755">
        <v>430000.0</v>
      </c>
      <c r="D6" s="755">
        <v>450000.0</v>
      </c>
      <c r="E6" s="754"/>
      <c r="F6" s="754"/>
      <c r="G6" s="756"/>
    </row>
    <row r="7">
      <c r="A7" s="753" t="s">
        <v>1976</v>
      </c>
      <c r="B7" s="754">
        <v>290000.0</v>
      </c>
      <c r="C7" s="754">
        <f>B7</f>
        <v>290000</v>
      </c>
      <c r="D7" s="755">
        <v>310000.0</v>
      </c>
      <c r="E7" s="754"/>
      <c r="F7" s="754"/>
      <c r="G7" s="756"/>
    </row>
    <row r="8">
      <c r="A8" s="757" t="s">
        <v>1977</v>
      </c>
      <c r="B8" s="758">
        <f t="shared" ref="B8:D8" si="1">B6-B7</f>
        <v>130000</v>
      </c>
      <c r="C8" s="758">
        <f t="shared" si="1"/>
        <v>140000</v>
      </c>
      <c r="D8" s="758">
        <f t="shared" si="1"/>
        <v>140000</v>
      </c>
      <c r="E8" s="758"/>
      <c r="F8" s="758"/>
      <c r="G8" s="759"/>
    </row>
    <row r="9">
      <c r="A9" s="760"/>
      <c r="B9" s="760"/>
      <c r="C9" s="760"/>
      <c r="D9" s="760"/>
      <c r="E9" s="760"/>
      <c r="F9" s="760"/>
      <c r="G9" s="760"/>
    </row>
    <row r="10">
      <c r="A10" s="743" t="s">
        <v>1448</v>
      </c>
      <c r="B10" s="744"/>
      <c r="C10" s="744"/>
      <c r="D10" s="744"/>
      <c r="E10" s="744"/>
      <c r="F10" s="744"/>
      <c r="G10" s="745"/>
    </row>
    <row r="11">
      <c r="A11" s="746"/>
      <c r="B11" s="747">
        <v>45748.0</v>
      </c>
      <c r="C11" s="749">
        <v>2026.0</v>
      </c>
      <c r="D11" s="751"/>
      <c r="E11" s="751"/>
      <c r="F11" s="751"/>
      <c r="G11" s="752"/>
    </row>
    <row r="12">
      <c r="A12" s="753" t="s">
        <v>1975</v>
      </c>
      <c r="B12" s="754">
        <v>580000.0</v>
      </c>
      <c r="C12" s="755">
        <v>600000.0</v>
      </c>
      <c r="D12" s="754"/>
      <c r="E12" s="754"/>
      <c r="F12" s="754"/>
      <c r="G12" s="756"/>
    </row>
    <row r="13">
      <c r="A13" s="753" t="s">
        <v>1976</v>
      </c>
      <c r="B13" s="754">
        <v>430000.0</v>
      </c>
      <c r="C13" s="755">
        <v>450000.0</v>
      </c>
      <c r="D13" s="754"/>
      <c r="E13" s="754"/>
      <c r="F13" s="754"/>
      <c r="G13" s="756"/>
    </row>
    <row r="14">
      <c r="A14" s="757" t="s">
        <v>1977</v>
      </c>
      <c r="B14" s="758">
        <f t="shared" ref="B14:C14" si="2">B12-B13</f>
        <v>150000</v>
      </c>
      <c r="C14" s="758">
        <f t="shared" si="2"/>
        <v>150000</v>
      </c>
      <c r="D14" s="758"/>
      <c r="E14" s="758"/>
      <c r="F14" s="758"/>
      <c r="G14" s="759"/>
    </row>
  </sheetData>
  <mergeCells count="3">
    <mergeCell ref="A1:G2"/>
    <mergeCell ref="A4:G4"/>
    <mergeCell ref="A10:G10"/>
  </mergeCells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43"/>
    <col customWidth="1" min="3" max="3" width="17.14"/>
  </cols>
  <sheetData>
    <row r="1">
      <c r="A1" s="736"/>
      <c r="B1" s="737"/>
      <c r="C1" s="737"/>
      <c r="D1" s="737"/>
      <c r="E1" s="737"/>
      <c r="F1" s="737"/>
      <c r="G1" s="738"/>
    </row>
    <row r="2">
      <c r="A2" s="739"/>
      <c r="B2" s="740"/>
      <c r="C2" s="740"/>
      <c r="D2" s="740"/>
      <c r="E2" s="740"/>
      <c r="F2" s="740"/>
      <c r="G2" s="741"/>
    </row>
    <row r="3" ht="15.0" customHeight="1">
      <c r="A3" s="742"/>
      <c r="B3" s="742"/>
      <c r="C3" s="742"/>
      <c r="D3" s="742"/>
      <c r="E3" s="742"/>
      <c r="F3" s="742"/>
      <c r="G3" s="742"/>
    </row>
    <row r="4">
      <c r="A4" s="743" t="s">
        <v>3495</v>
      </c>
      <c r="B4" s="744"/>
      <c r="C4" s="744"/>
      <c r="D4" s="744"/>
      <c r="E4" s="744"/>
      <c r="F4" s="744"/>
      <c r="G4" s="745"/>
    </row>
    <row r="5">
      <c r="A5" s="746"/>
      <c r="B5" s="751" t="s">
        <v>3496</v>
      </c>
      <c r="C5" s="751" t="s">
        <v>3497</v>
      </c>
      <c r="D5" s="749" t="s">
        <v>3498</v>
      </c>
      <c r="E5" s="749" t="s">
        <v>3499</v>
      </c>
      <c r="F5" s="750">
        <v>46023.0</v>
      </c>
      <c r="G5" s="1495" t="s">
        <v>3500</v>
      </c>
    </row>
    <row r="6">
      <c r="A6" s="753" t="s">
        <v>3375</v>
      </c>
      <c r="B6" s="754">
        <v>450000.0</v>
      </c>
      <c r="C6" s="755">
        <v>320000.0</v>
      </c>
      <c r="D6" s="755">
        <v>490000.0</v>
      </c>
      <c r="E6" s="755">
        <v>370000.0</v>
      </c>
      <c r="F6" s="755">
        <v>490000.0</v>
      </c>
      <c r="G6" s="1496">
        <v>370000.0</v>
      </c>
    </row>
    <row r="7">
      <c r="A7" s="753" t="s">
        <v>172</v>
      </c>
      <c r="B7" s="754">
        <v>350000.0</v>
      </c>
      <c r="C7" s="754">
        <v>230000.0</v>
      </c>
      <c r="D7" s="755">
        <v>350000.0</v>
      </c>
      <c r="E7" s="754">
        <f>C7</f>
        <v>230000</v>
      </c>
      <c r="F7" s="755">
        <v>370000.0</v>
      </c>
      <c r="G7" s="1496">
        <v>250000.0</v>
      </c>
    </row>
    <row r="8">
      <c r="A8" s="757" t="s">
        <v>3501</v>
      </c>
      <c r="B8" s="758">
        <f t="shared" ref="B8:G8" si="1">B6-B7</f>
        <v>100000</v>
      </c>
      <c r="C8" s="758">
        <f t="shared" si="1"/>
        <v>90000</v>
      </c>
      <c r="D8" s="758">
        <f t="shared" si="1"/>
        <v>140000</v>
      </c>
      <c r="E8" s="758">
        <f t="shared" si="1"/>
        <v>140000</v>
      </c>
      <c r="F8" s="758">
        <f t="shared" si="1"/>
        <v>120000</v>
      </c>
      <c r="G8" s="759">
        <f t="shared" si="1"/>
        <v>120000</v>
      </c>
    </row>
    <row r="9">
      <c r="A9" s="760"/>
      <c r="B9" s="760"/>
      <c r="C9" s="760"/>
      <c r="D9" s="760"/>
      <c r="E9" s="760"/>
      <c r="F9" s="760"/>
      <c r="G9" s="760"/>
    </row>
    <row r="11">
      <c r="A11" s="743" t="s">
        <v>3502</v>
      </c>
      <c r="B11" s="744"/>
      <c r="C11" s="744"/>
      <c r="D11" s="744"/>
      <c r="E11" s="744"/>
      <c r="F11" s="744"/>
      <c r="G11" s="745"/>
    </row>
    <row r="12">
      <c r="A12" s="746"/>
      <c r="B12" s="751" t="s">
        <v>3496</v>
      </c>
      <c r="C12" s="751"/>
      <c r="D12" s="751"/>
      <c r="E12" s="751"/>
      <c r="F12" s="751"/>
      <c r="G12" s="752"/>
    </row>
    <row r="13">
      <c r="A13" s="753" t="s">
        <v>2478</v>
      </c>
      <c r="B13" s="754">
        <v>150000.0</v>
      </c>
      <c r="C13" s="754"/>
      <c r="D13" s="754"/>
      <c r="E13" s="754"/>
      <c r="F13" s="754"/>
      <c r="G13" s="756"/>
    </row>
    <row r="14">
      <c r="A14" s="753" t="s">
        <v>172</v>
      </c>
      <c r="B14" s="754">
        <v>60000.0</v>
      </c>
      <c r="C14" s="754"/>
      <c r="D14" s="754"/>
      <c r="E14" s="754"/>
      <c r="F14" s="754"/>
      <c r="G14" s="756"/>
    </row>
    <row r="15">
      <c r="A15" s="757" t="s">
        <v>1977</v>
      </c>
      <c r="B15" s="758">
        <f>B13-B14</f>
        <v>90000</v>
      </c>
      <c r="C15" s="758"/>
      <c r="D15" s="758"/>
      <c r="E15" s="758"/>
      <c r="F15" s="758"/>
      <c r="G15" s="759"/>
    </row>
  </sheetData>
  <mergeCells count="3">
    <mergeCell ref="A1:G2"/>
    <mergeCell ref="A4:G4"/>
    <mergeCell ref="A11:G11"/>
  </mergeCells>
  <printOptions/>
  <pageMargins bottom="0.787401575" footer="0.0" header="0.0" left="0.511811024" right="0.511811024" top="0.7874015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736" t="s">
        <v>2350</v>
      </c>
      <c r="B1" s="737"/>
      <c r="C1" s="737"/>
      <c r="D1" s="737"/>
      <c r="E1" s="737"/>
      <c r="F1" s="737"/>
      <c r="G1" s="738"/>
    </row>
    <row r="2">
      <c r="A2" s="739"/>
      <c r="B2" s="740"/>
      <c r="C2" s="740"/>
      <c r="D2" s="740"/>
      <c r="E2" s="740"/>
      <c r="F2" s="740"/>
      <c r="G2" s="741"/>
    </row>
    <row r="3">
      <c r="A3" s="742"/>
      <c r="B3" s="742"/>
      <c r="C3" s="742"/>
      <c r="D3" s="742"/>
      <c r="E3" s="742"/>
      <c r="F3" s="742"/>
      <c r="G3" s="742"/>
    </row>
    <row r="4">
      <c r="A4" s="743" t="s">
        <v>2350</v>
      </c>
      <c r="B4" s="744"/>
      <c r="C4" s="744"/>
      <c r="D4" s="744"/>
      <c r="E4" s="744"/>
      <c r="F4" s="744"/>
      <c r="G4" s="745"/>
    </row>
    <row r="5">
      <c r="A5" s="746"/>
      <c r="B5" s="747">
        <v>45748.0</v>
      </c>
      <c r="C5" s="748">
        <v>45925.0</v>
      </c>
      <c r="D5" s="749">
        <v>2026.0</v>
      </c>
      <c r="E5" s="751"/>
      <c r="F5" s="751"/>
      <c r="G5" s="752"/>
    </row>
    <row r="6">
      <c r="A6" s="753" t="s">
        <v>1975</v>
      </c>
      <c r="B6" s="754">
        <v>390000.0</v>
      </c>
      <c r="C6" s="755">
        <v>430000.0</v>
      </c>
      <c r="D6" s="755">
        <v>450000.0</v>
      </c>
      <c r="E6" s="754"/>
      <c r="F6" s="754"/>
      <c r="G6" s="756"/>
    </row>
    <row r="7">
      <c r="A7" s="753" t="s">
        <v>1976</v>
      </c>
      <c r="B7" s="754">
        <v>265000.0</v>
      </c>
      <c r="C7" s="755">
        <v>280000.0</v>
      </c>
      <c r="D7" s="754">
        <f>C7</f>
        <v>280000</v>
      </c>
      <c r="E7" s="754"/>
      <c r="F7" s="754"/>
      <c r="G7" s="756"/>
    </row>
    <row r="8">
      <c r="A8" s="757" t="s">
        <v>1977</v>
      </c>
      <c r="B8" s="758">
        <f t="shared" ref="B8:D8" si="1">B6-B7</f>
        <v>125000</v>
      </c>
      <c r="C8" s="758">
        <f t="shared" si="1"/>
        <v>150000</v>
      </c>
      <c r="D8" s="758">
        <f t="shared" si="1"/>
        <v>170000</v>
      </c>
      <c r="E8" s="758"/>
      <c r="F8" s="758"/>
      <c r="G8" s="759"/>
    </row>
    <row r="9">
      <c r="A9" s="760"/>
      <c r="B9" s="760"/>
      <c r="C9" s="760"/>
      <c r="D9" s="760"/>
      <c r="E9" s="760"/>
      <c r="F9" s="760"/>
      <c r="G9" s="760"/>
    </row>
    <row r="10">
      <c r="A10" s="743" t="s">
        <v>3503</v>
      </c>
      <c r="B10" s="744"/>
      <c r="C10" s="744"/>
      <c r="D10" s="744"/>
      <c r="E10" s="744"/>
      <c r="F10" s="744"/>
      <c r="G10" s="745"/>
    </row>
    <row r="11">
      <c r="A11" s="746"/>
      <c r="B11" s="747">
        <v>45748.0</v>
      </c>
      <c r="C11" s="748">
        <v>45925.0</v>
      </c>
      <c r="D11" s="749">
        <v>2026.0</v>
      </c>
      <c r="E11" s="751"/>
      <c r="F11" s="751"/>
      <c r="G11" s="752"/>
    </row>
    <row r="12">
      <c r="A12" s="753" t="s">
        <v>1975</v>
      </c>
      <c r="B12" s="754">
        <v>300000.0</v>
      </c>
      <c r="C12" s="755">
        <v>330000.0</v>
      </c>
      <c r="D12" s="755">
        <v>340000.0</v>
      </c>
      <c r="E12" s="754"/>
      <c r="F12" s="754"/>
      <c r="G12" s="756"/>
    </row>
    <row r="13">
      <c r="A13" s="753" t="s">
        <v>1976</v>
      </c>
      <c r="B13" s="754">
        <v>240000.0</v>
      </c>
      <c r="C13" s="754">
        <f t="shared" ref="C13:D13" si="2">B13</f>
        <v>240000</v>
      </c>
      <c r="D13" s="754">
        <f t="shared" si="2"/>
        <v>240000</v>
      </c>
      <c r="E13" s="754"/>
      <c r="F13" s="754"/>
      <c r="G13" s="756"/>
    </row>
    <row r="14">
      <c r="A14" s="757" t="s">
        <v>1977</v>
      </c>
      <c r="B14" s="758">
        <f t="shared" ref="B14:D14" si="3">B12-B13</f>
        <v>60000</v>
      </c>
      <c r="C14" s="758">
        <f t="shared" si="3"/>
        <v>90000</v>
      </c>
      <c r="D14" s="758">
        <f t="shared" si="3"/>
        <v>100000</v>
      </c>
      <c r="E14" s="758"/>
      <c r="F14" s="758"/>
      <c r="G14" s="759"/>
    </row>
  </sheetData>
  <mergeCells count="3">
    <mergeCell ref="A1:G2"/>
    <mergeCell ref="A4:G4"/>
    <mergeCell ref="A10:G10"/>
  </mergeCells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736" t="s">
        <v>3504</v>
      </c>
      <c r="B1" s="737"/>
      <c r="C1" s="737"/>
      <c r="D1" s="737"/>
      <c r="E1" s="737"/>
      <c r="F1" s="737"/>
      <c r="G1" s="738"/>
    </row>
    <row r="2">
      <c r="A2" s="739"/>
      <c r="B2" s="740"/>
      <c r="C2" s="740"/>
      <c r="D2" s="740"/>
      <c r="E2" s="740"/>
      <c r="F2" s="740"/>
      <c r="G2" s="741"/>
    </row>
    <row r="3" ht="15.0" customHeight="1">
      <c r="A3" s="742"/>
      <c r="B3" s="742"/>
      <c r="C3" s="742"/>
      <c r="D3" s="742"/>
      <c r="E3" s="742"/>
      <c r="F3" s="742"/>
      <c r="G3" s="742"/>
    </row>
    <row r="4" ht="28.5" customHeight="1">
      <c r="A4" s="743" t="s">
        <v>1495</v>
      </c>
      <c r="B4" s="744"/>
      <c r="C4" s="744"/>
      <c r="D4" s="744"/>
      <c r="E4" s="744"/>
      <c r="F4" s="744"/>
      <c r="G4" s="745"/>
    </row>
    <row r="5">
      <c r="A5" s="746"/>
      <c r="B5" s="1497">
        <v>45772.0</v>
      </c>
      <c r="C5" s="751" t="s">
        <v>3505</v>
      </c>
      <c r="D5" s="748">
        <v>45925.0</v>
      </c>
      <c r="E5" s="749" t="s">
        <v>3506</v>
      </c>
      <c r="F5" s="749">
        <v>2026.0</v>
      </c>
      <c r="G5" s="1495" t="s">
        <v>3499</v>
      </c>
    </row>
    <row r="6">
      <c r="A6" s="753" t="s">
        <v>1975</v>
      </c>
      <c r="B6" s="754">
        <v>420000.0</v>
      </c>
      <c r="C6" s="754">
        <v>320000.0</v>
      </c>
      <c r="D6" s="755">
        <v>430000.0</v>
      </c>
      <c r="E6" s="755">
        <v>370000.0</v>
      </c>
      <c r="F6" s="755">
        <v>450000.0</v>
      </c>
      <c r="G6" s="1496">
        <v>370000.0</v>
      </c>
    </row>
    <row r="7">
      <c r="A7" s="753" t="s">
        <v>1976</v>
      </c>
      <c r="B7" s="754">
        <v>280000.0</v>
      </c>
      <c r="C7" s="754">
        <v>200000.0</v>
      </c>
      <c r="D7" s="754">
        <f t="shared" ref="D7:E7" si="1">B7</f>
        <v>280000</v>
      </c>
      <c r="E7" s="754">
        <f t="shared" si="1"/>
        <v>200000</v>
      </c>
      <c r="F7" s="755">
        <v>300000.0</v>
      </c>
      <c r="G7" s="756">
        <f>E7</f>
        <v>200000</v>
      </c>
    </row>
    <row r="8">
      <c r="A8" s="757" t="s">
        <v>1977</v>
      </c>
      <c r="B8" s="758">
        <f t="shared" ref="B8:G8" si="2">B6-B7</f>
        <v>140000</v>
      </c>
      <c r="C8" s="758">
        <f t="shared" si="2"/>
        <v>120000</v>
      </c>
      <c r="D8" s="758">
        <f t="shared" si="2"/>
        <v>150000</v>
      </c>
      <c r="E8" s="758">
        <f t="shared" si="2"/>
        <v>170000</v>
      </c>
      <c r="F8" s="758">
        <f t="shared" si="2"/>
        <v>150000</v>
      </c>
      <c r="G8" s="759">
        <f t="shared" si="2"/>
        <v>170000</v>
      </c>
    </row>
    <row r="9">
      <c r="A9" s="760"/>
      <c r="B9" s="760"/>
      <c r="C9" s="760"/>
      <c r="D9" s="760"/>
      <c r="E9" s="760"/>
      <c r="F9" s="760"/>
      <c r="G9" s="760"/>
    </row>
    <row r="10" ht="15.0" customHeight="1">
      <c r="A10" s="743"/>
      <c r="B10" s="744"/>
      <c r="C10" s="744"/>
      <c r="D10" s="744"/>
      <c r="E10" s="744"/>
      <c r="F10" s="744"/>
      <c r="G10" s="745"/>
    </row>
    <row r="11">
      <c r="A11" s="746"/>
      <c r="B11" s="747"/>
      <c r="C11" s="751"/>
      <c r="D11" s="751"/>
      <c r="E11" s="751"/>
      <c r="F11" s="751"/>
      <c r="G11" s="752"/>
    </row>
    <row r="12">
      <c r="A12" s="753"/>
      <c r="B12" s="754"/>
      <c r="C12" s="754"/>
      <c r="D12" s="754"/>
      <c r="E12" s="754"/>
      <c r="F12" s="754"/>
      <c r="G12" s="756"/>
    </row>
    <row r="13">
      <c r="A13" s="753"/>
      <c r="B13" s="754"/>
      <c r="C13" s="754"/>
      <c r="D13" s="754"/>
      <c r="E13" s="754"/>
      <c r="F13" s="754"/>
      <c r="G13" s="756"/>
    </row>
    <row r="14">
      <c r="A14" s="757"/>
      <c r="B14" s="758"/>
      <c r="C14" s="758"/>
      <c r="D14" s="758"/>
      <c r="E14" s="758"/>
      <c r="F14" s="758"/>
      <c r="G14" s="759"/>
    </row>
  </sheetData>
  <mergeCells count="3">
    <mergeCell ref="A1:G2"/>
    <mergeCell ref="A4:G4"/>
    <mergeCell ref="A10:G10"/>
  </mergeCells>
  <printOptions/>
  <pageMargins bottom="0.787401575" footer="0.0" header="0.0" left="0.511811024" right="0.511811024" top="0.7874015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736" t="s">
        <v>97</v>
      </c>
      <c r="B1" s="737"/>
      <c r="C1" s="737"/>
      <c r="D1" s="737"/>
      <c r="E1" s="737"/>
      <c r="F1" s="737"/>
      <c r="G1" s="738"/>
    </row>
    <row r="2">
      <c r="A2" s="739"/>
      <c r="B2" s="740"/>
      <c r="C2" s="740"/>
      <c r="D2" s="740"/>
      <c r="E2" s="740"/>
      <c r="F2" s="740"/>
      <c r="G2" s="741"/>
    </row>
    <row r="3" ht="15.0" customHeight="1">
      <c r="A3" s="742"/>
      <c r="B3" s="742"/>
      <c r="C3" s="742"/>
      <c r="D3" s="742"/>
      <c r="E3" s="742"/>
      <c r="F3" s="742"/>
      <c r="G3" s="742"/>
    </row>
    <row r="4" ht="22.5" customHeight="1">
      <c r="A4" s="743" t="s">
        <v>3507</v>
      </c>
      <c r="B4" s="744"/>
      <c r="C4" s="744"/>
      <c r="D4" s="744"/>
      <c r="E4" s="744"/>
      <c r="F4" s="744"/>
      <c r="G4" s="745"/>
    </row>
    <row r="5">
      <c r="A5" s="746"/>
      <c r="B5" s="747">
        <v>45748.0</v>
      </c>
      <c r="C5" s="749">
        <v>2026.0</v>
      </c>
      <c r="D5" s="751"/>
      <c r="E5" s="751"/>
      <c r="F5" s="751"/>
      <c r="G5" s="752"/>
    </row>
    <row r="6">
      <c r="A6" s="753" t="s">
        <v>1975</v>
      </c>
      <c r="B6" s="754">
        <v>230000.0</v>
      </c>
      <c r="C6" s="755">
        <v>250000.0</v>
      </c>
      <c r="D6" s="754"/>
      <c r="E6" s="754"/>
      <c r="F6" s="754"/>
      <c r="G6" s="756"/>
    </row>
    <row r="7">
      <c r="A7" s="753" t="s">
        <v>1976</v>
      </c>
      <c r="B7" s="754">
        <v>110000.0</v>
      </c>
      <c r="C7" s="755">
        <v>130000.0</v>
      </c>
      <c r="D7" s="754"/>
      <c r="E7" s="754"/>
      <c r="F7" s="754"/>
      <c r="G7" s="756"/>
    </row>
    <row r="8">
      <c r="A8" s="757" t="s">
        <v>1977</v>
      </c>
      <c r="B8" s="758">
        <f t="shared" ref="B8:C8" si="1">B6-B7</f>
        <v>120000</v>
      </c>
      <c r="C8" s="758">
        <f t="shared" si="1"/>
        <v>120000</v>
      </c>
      <c r="D8" s="758"/>
      <c r="E8" s="758"/>
      <c r="F8" s="758"/>
      <c r="G8" s="759"/>
    </row>
    <row r="9">
      <c r="A9" s="760"/>
      <c r="B9" s="760"/>
      <c r="C9" s="760"/>
      <c r="D9" s="760"/>
      <c r="E9" s="760"/>
      <c r="F9" s="760"/>
      <c r="G9" s="760"/>
    </row>
    <row r="10" ht="24.75" customHeight="1">
      <c r="A10" s="1493" t="s">
        <v>3508</v>
      </c>
      <c r="B10" s="744"/>
      <c r="C10" s="744"/>
      <c r="D10" s="744"/>
      <c r="E10" s="744"/>
      <c r="F10" s="744"/>
      <c r="G10" s="745"/>
    </row>
    <row r="11" ht="18.75" customHeight="1">
      <c r="A11" s="746"/>
      <c r="B11" s="747">
        <v>45748.0</v>
      </c>
      <c r="C11" s="749">
        <v>2026.0</v>
      </c>
      <c r="D11" s="751"/>
      <c r="E11" s="751"/>
      <c r="F11" s="751"/>
      <c r="G11" s="752"/>
    </row>
    <row r="12">
      <c r="A12" s="753" t="s">
        <v>1975</v>
      </c>
      <c r="B12" s="754">
        <v>150000.0</v>
      </c>
      <c r="C12" s="754"/>
      <c r="D12" s="754"/>
      <c r="E12" s="754"/>
      <c r="F12" s="754"/>
      <c r="G12" s="756"/>
    </row>
    <row r="13">
      <c r="A13" s="753" t="s">
        <v>1976</v>
      </c>
      <c r="B13" s="754">
        <v>55000.0</v>
      </c>
      <c r="C13" s="755">
        <v>65000.0</v>
      </c>
      <c r="D13" s="754"/>
      <c r="E13" s="754"/>
      <c r="F13" s="754"/>
      <c r="G13" s="756"/>
    </row>
    <row r="14">
      <c r="A14" s="757" t="s">
        <v>1977</v>
      </c>
      <c r="B14" s="758">
        <f>B12-B13</f>
        <v>95000</v>
      </c>
      <c r="C14" s="758"/>
      <c r="D14" s="758"/>
      <c r="E14" s="758"/>
      <c r="F14" s="758"/>
      <c r="G14" s="759"/>
    </row>
  </sheetData>
  <mergeCells count="3">
    <mergeCell ref="A1:G2"/>
    <mergeCell ref="A4:G4"/>
    <mergeCell ref="A10:G10"/>
  </mergeCells>
  <printOptions/>
  <pageMargins bottom="0.787401575" footer="0.0" header="0.0" left="0.511811024" right="0.511811024" top="0.7874015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1058" t="s">
        <v>3509</v>
      </c>
      <c r="B1" s="737"/>
      <c r="C1" s="737"/>
      <c r="D1" s="737"/>
      <c r="E1" s="737"/>
      <c r="F1" s="737"/>
      <c r="G1" s="738"/>
    </row>
    <row r="2">
      <c r="A2" s="739"/>
      <c r="B2" s="740"/>
      <c r="C2" s="740"/>
      <c r="D2" s="740"/>
      <c r="E2" s="740"/>
      <c r="F2" s="740"/>
      <c r="G2" s="741"/>
    </row>
    <row r="3" ht="15.0" customHeight="1">
      <c r="A3" s="742"/>
      <c r="B3" s="742"/>
      <c r="C3" s="742"/>
      <c r="D3" s="742"/>
      <c r="E3" s="742"/>
      <c r="F3" s="742"/>
      <c r="G3" s="742"/>
    </row>
    <row r="4" ht="24.75" customHeight="1">
      <c r="A4" s="1493" t="s">
        <v>158</v>
      </c>
      <c r="B4" s="744"/>
      <c r="C4" s="744"/>
      <c r="D4" s="744"/>
      <c r="E4" s="744"/>
      <c r="F4" s="744"/>
      <c r="G4" s="745"/>
    </row>
    <row r="5">
      <c r="A5" s="746"/>
      <c r="B5" s="1494">
        <v>45839.0</v>
      </c>
      <c r="C5" s="748">
        <v>45925.0</v>
      </c>
      <c r="D5" s="749" t="s">
        <v>3510</v>
      </c>
      <c r="E5" s="749">
        <v>2026.0</v>
      </c>
      <c r="F5" s="749" t="s">
        <v>3511</v>
      </c>
      <c r="G5" s="749"/>
    </row>
    <row r="6">
      <c r="A6" s="753" t="s">
        <v>1975</v>
      </c>
      <c r="B6" s="755">
        <v>350000.0</v>
      </c>
      <c r="C6" s="755">
        <v>530000.0</v>
      </c>
      <c r="D6" s="755">
        <v>400000.0</v>
      </c>
      <c r="E6" s="755">
        <v>550000.0</v>
      </c>
      <c r="F6" s="755">
        <v>420000.0</v>
      </c>
      <c r="G6" s="755"/>
    </row>
    <row r="7">
      <c r="A7" s="753" t="s">
        <v>1976</v>
      </c>
      <c r="B7" s="755">
        <v>240000.0</v>
      </c>
      <c r="C7" s="755">
        <v>370000.0</v>
      </c>
      <c r="D7" s="755">
        <v>300000.0</v>
      </c>
      <c r="E7" s="755">
        <v>370000.0</v>
      </c>
      <c r="F7" s="755">
        <v>300000.0</v>
      </c>
      <c r="G7" s="755"/>
    </row>
    <row r="8">
      <c r="A8" s="757" t="s">
        <v>1977</v>
      </c>
      <c r="B8" s="758">
        <f t="shared" ref="B8:F8" si="1">B6-B7</f>
        <v>110000</v>
      </c>
      <c r="C8" s="758">
        <f t="shared" si="1"/>
        <v>160000</v>
      </c>
      <c r="D8" s="758">
        <f t="shared" si="1"/>
        <v>100000</v>
      </c>
      <c r="E8" s="758">
        <f t="shared" si="1"/>
        <v>180000</v>
      </c>
      <c r="F8" s="758">
        <f t="shared" si="1"/>
        <v>120000</v>
      </c>
      <c r="G8" s="758"/>
    </row>
    <row r="9">
      <c r="A9" s="760"/>
      <c r="B9" s="760"/>
      <c r="C9" s="760"/>
      <c r="D9" s="760"/>
      <c r="E9" s="760"/>
      <c r="F9" s="760"/>
      <c r="G9" s="760"/>
    </row>
    <row r="10" ht="24.0" customHeight="1">
      <c r="A10" s="743"/>
      <c r="B10" s="744"/>
      <c r="C10" s="744"/>
      <c r="D10" s="744"/>
      <c r="E10" s="744"/>
      <c r="F10" s="744"/>
      <c r="G10" s="745"/>
    </row>
    <row r="11">
      <c r="A11" s="746"/>
      <c r="B11" s="747"/>
      <c r="C11" s="751"/>
      <c r="D11" s="751"/>
      <c r="E11" s="751"/>
      <c r="F11" s="751"/>
      <c r="G11" s="752"/>
    </row>
    <row r="12">
      <c r="A12" s="753"/>
      <c r="B12" s="754"/>
      <c r="C12" s="754"/>
      <c r="D12" s="754"/>
      <c r="E12" s="754"/>
      <c r="F12" s="754"/>
      <c r="G12" s="756"/>
    </row>
    <row r="13">
      <c r="A13" s="753"/>
      <c r="B13" s="754"/>
      <c r="C13" s="754"/>
      <c r="D13" s="754"/>
      <c r="E13" s="754"/>
      <c r="F13" s="754"/>
      <c r="G13" s="756"/>
    </row>
    <row r="14">
      <c r="A14" s="757"/>
      <c r="B14" s="758"/>
      <c r="C14" s="758"/>
      <c r="D14" s="758"/>
      <c r="E14" s="758"/>
      <c r="F14" s="758"/>
      <c r="G14" s="759"/>
    </row>
  </sheetData>
  <mergeCells count="3">
    <mergeCell ref="A1:G2"/>
    <mergeCell ref="A4:G4"/>
    <mergeCell ref="A10:G10"/>
  </mergeCells>
  <printOptions/>
  <pageMargins bottom="0.787401575" footer="0.0" header="0.0" left="0.511811024" right="0.511811024" top="0.7874015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1058" t="s">
        <v>3512</v>
      </c>
      <c r="B1" s="737"/>
      <c r="C1" s="737"/>
      <c r="D1" s="737"/>
      <c r="E1" s="737"/>
      <c r="F1" s="737"/>
      <c r="G1" s="738"/>
    </row>
    <row r="2">
      <c r="A2" s="739"/>
      <c r="B2" s="740"/>
      <c r="C2" s="740"/>
      <c r="D2" s="740"/>
      <c r="E2" s="740"/>
      <c r="F2" s="740"/>
      <c r="G2" s="741"/>
    </row>
    <row r="3" ht="15.0" customHeight="1">
      <c r="A3" s="742"/>
      <c r="B3" s="742"/>
      <c r="C3" s="742"/>
      <c r="D3" s="742"/>
      <c r="E3" s="742"/>
      <c r="F3" s="742"/>
      <c r="G3" s="742"/>
    </row>
    <row r="4">
      <c r="A4" s="743" t="s">
        <v>922</v>
      </c>
      <c r="B4" s="744"/>
      <c r="C4" s="744"/>
      <c r="D4" s="744"/>
      <c r="E4" s="744"/>
      <c r="F4" s="744"/>
      <c r="G4" s="745"/>
    </row>
    <row r="5">
      <c r="A5" s="746"/>
      <c r="B5" s="747">
        <v>45748.0</v>
      </c>
      <c r="C5" s="749">
        <v>2026.0</v>
      </c>
      <c r="D5" s="751"/>
      <c r="E5" s="751"/>
      <c r="F5" s="751"/>
      <c r="G5" s="752"/>
    </row>
    <row r="6">
      <c r="A6" s="753" t="s">
        <v>1975</v>
      </c>
      <c r="B6" s="754">
        <v>300000.0</v>
      </c>
      <c r="C6" s="755">
        <v>320000.0</v>
      </c>
      <c r="D6" s="754"/>
      <c r="E6" s="754"/>
      <c r="F6" s="754"/>
      <c r="G6" s="756"/>
    </row>
    <row r="7">
      <c r="A7" s="753" t="s">
        <v>1976</v>
      </c>
      <c r="B7" s="754">
        <v>185000.0</v>
      </c>
      <c r="C7" s="754">
        <f>B7</f>
        <v>185000</v>
      </c>
      <c r="D7" s="754"/>
      <c r="E7" s="754"/>
      <c r="F7" s="754"/>
      <c r="G7" s="756"/>
    </row>
    <row r="8">
      <c r="A8" s="757" t="s">
        <v>1977</v>
      </c>
      <c r="B8" s="758">
        <f t="shared" ref="B8:C8" si="1">B6-B7</f>
        <v>115000</v>
      </c>
      <c r="C8" s="758">
        <f t="shared" si="1"/>
        <v>135000</v>
      </c>
      <c r="D8" s="758"/>
      <c r="E8" s="758"/>
      <c r="F8" s="758"/>
      <c r="G8" s="759"/>
    </row>
    <row r="9">
      <c r="A9" s="760"/>
      <c r="B9" s="760"/>
      <c r="C9" s="760"/>
      <c r="D9" s="760"/>
      <c r="E9" s="760"/>
      <c r="F9" s="760"/>
      <c r="G9" s="760"/>
    </row>
    <row r="10">
      <c r="A10" s="743" t="s">
        <v>3513</v>
      </c>
      <c r="B10" s="744"/>
      <c r="C10" s="744"/>
      <c r="D10" s="744"/>
      <c r="E10" s="744"/>
      <c r="F10" s="744"/>
      <c r="G10" s="745"/>
    </row>
    <row r="11">
      <c r="A11" s="746"/>
      <c r="B11" s="747">
        <v>45748.0</v>
      </c>
      <c r="C11" s="751"/>
      <c r="D11" s="751"/>
      <c r="E11" s="751"/>
      <c r="F11" s="751"/>
      <c r="G11" s="752"/>
    </row>
    <row r="12">
      <c r="A12" s="753" t="s">
        <v>1975</v>
      </c>
      <c r="B12" s="754">
        <v>300000.0</v>
      </c>
      <c r="C12" s="754"/>
      <c r="D12" s="754"/>
      <c r="E12" s="754"/>
      <c r="F12" s="754"/>
      <c r="G12" s="756"/>
    </row>
    <row r="13">
      <c r="A13" s="753" t="s">
        <v>1976</v>
      </c>
      <c r="B13" s="754">
        <v>150000.0</v>
      </c>
      <c r="C13" s="754"/>
      <c r="D13" s="754"/>
      <c r="E13" s="754"/>
      <c r="F13" s="754"/>
      <c r="G13" s="756"/>
    </row>
    <row r="14">
      <c r="A14" s="757" t="s">
        <v>1977</v>
      </c>
      <c r="B14" s="758">
        <f>B12-B13</f>
        <v>150000</v>
      </c>
      <c r="C14" s="758"/>
      <c r="D14" s="758"/>
      <c r="E14" s="758"/>
      <c r="F14" s="758"/>
      <c r="G14" s="759"/>
    </row>
    <row r="16">
      <c r="A16" s="743" t="s">
        <v>3514</v>
      </c>
      <c r="B16" s="744"/>
      <c r="C16" s="744"/>
      <c r="D16" s="744"/>
      <c r="E16" s="744"/>
      <c r="F16" s="744"/>
      <c r="G16" s="745"/>
    </row>
    <row r="17">
      <c r="A17" s="746"/>
      <c r="B17" s="747">
        <v>45748.0</v>
      </c>
      <c r="C17" s="751"/>
      <c r="D17" s="751"/>
      <c r="E17" s="751"/>
      <c r="F17" s="751"/>
      <c r="G17" s="752"/>
    </row>
    <row r="18">
      <c r="A18" s="753" t="s">
        <v>1975</v>
      </c>
      <c r="B18" s="754">
        <v>320000.0</v>
      </c>
      <c r="C18" s="754"/>
      <c r="D18" s="754"/>
      <c r="E18" s="754"/>
      <c r="F18" s="754"/>
      <c r="G18" s="756"/>
    </row>
    <row r="19">
      <c r="A19" s="753" t="s">
        <v>1976</v>
      </c>
      <c r="B19" s="754">
        <v>150000.0</v>
      </c>
      <c r="C19" s="754"/>
      <c r="D19" s="754"/>
      <c r="E19" s="754"/>
      <c r="F19" s="754"/>
      <c r="G19" s="756"/>
    </row>
    <row r="20">
      <c r="A20" s="757" t="s">
        <v>1977</v>
      </c>
      <c r="B20" s="758">
        <f>B18-B19</f>
        <v>170000</v>
      </c>
      <c r="C20" s="758"/>
      <c r="D20" s="758"/>
      <c r="E20" s="758"/>
      <c r="F20" s="758"/>
      <c r="G20" s="759"/>
    </row>
    <row r="23">
      <c r="A23" s="1493" t="s">
        <v>3515</v>
      </c>
      <c r="B23" s="744"/>
      <c r="C23" s="744"/>
      <c r="D23" s="744"/>
      <c r="E23" s="744"/>
      <c r="F23" s="744"/>
      <c r="G23" s="745"/>
    </row>
    <row r="24">
      <c r="A24" s="746"/>
      <c r="B24" s="749">
        <v>2026.0</v>
      </c>
      <c r="C24" s="749" t="s">
        <v>3516</v>
      </c>
      <c r="D24" s="751"/>
      <c r="E24" s="751"/>
      <c r="F24" s="751"/>
      <c r="G24" s="752"/>
    </row>
    <row r="25">
      <c r="A25" s="753" t="s">
        <v>1975</v>
      </c>
      <c r="B25" s="755">
        <v>390000.0</v>
      </c>
      <c r="C25" s="755">
        <v>300000.0</v>
      </c>
      <c r="D25" s="754"/>
      <c r="E25" s="754"/>
      <c r="F25" s="754"/>
      <c r="G25" s="756"/>
    </row>
    <row r="26">
      <c r="A26" s="753" t="s">
        <v>1976</v>
      </c>
      <c r="B26" s="755">
        <v>230000.0</v>
      </c>
      <c r="C26" s="754">
        <f>B26</f>
        <v>230000</v>
      </c>
      <c r="D26" s="754"/>
      <c r="E26" s="754"/>
      <c r="F26" s="754"/>
      <c r="G26" s="756"/>
    </row>
    <row r="27">
      <c r="A27" s="757" t="s">
        <v>1977</v>
      </c>
      <c r="B27" s="758">
        <f t="shared" ref="B27:C27" si="2">B25-B26</f>
        <v>160000</v>
      </c>
      <c r="C27" s="758">
        <f t="shared" si="2"/>
        <v>70000</v>
      </c>
      <c r="D27" s="758"/>
      <c r="E27" s="758"/>
      <c r="F27" s="758"/>
      <c r="G27" s="759"/>
    </row>
  </sheetData>
  <mergeCells count="5">
    <mergeCell ref="A1:G2"/>
    <mergeCell ref="A4:G4"/>
    <mergeCell ref="A10:G10"/>
    <mergeCell ref="A16:G16"/>
    <mergeCell ref="A23:G23"/>
  </mergeCells>
  <printOptions/>
  <pageMargins bottom="0.787401575" footer="0.0" header="0.0" left="0.511811024" right="0.511811024" top="0.7874015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43"/>
    <col customWidth="1" min="4" max="4" width="16.86"/>
  </cols>
  <sheetData>
    <row r="1">
      <c r="A1" s="1058" t="s">
        <v>1415</v>
      </c>
      <c r="B1" s="737"/>
      <c r="C1" s="737"/>
      <c r="D1" s="737"/>
      <c r="E1" s="737"/>
      <c r="F1" s="737"/>
      <c r="G1" s="738"/>
    </row>
    <row r="2">
      <c r="A2" s="739"/>
      <c r="B2" s="740"/>
      <c r="C2" s="740"/>
      <c r="D2" s="740"/>
      <c r="E2" s="740"/>
      <c r="F2" s="740"/>
      <c r="G2" s="741"/>
    </row>
    <row r="3">
      <c r="A3" s="742"/>
      <c r="B3" s="742"/>
      <c r="C3" s="742"/>
      <c r="D3" s="742"/>
      <c r="E3" s="742"/>
      <c r="F3" s="742"/>
      <c r="G3" s="742"/>
    </row>
    <row r="4">
      <c r="A4" s="1493" t="s">
        <v>3517</v>
      </c>
      <c r="B4" s="744"/>
      <c r="C4" s="744"/>
      <c r="D4" s="744"/>
      <c r="E4" s="744"/>
      <c r="F4" s="744"/>
      <c r="G4" s="745"/>
    </row>
    <row r="5">
      <c r="A5" s="746"/>
      <c r="B5" s="747"/>
      <c r="C5" s="748">
        <v>45925.0</v>
      </c>
      <c r="D5" s="749" t="s">
        <v>3518</v>
      </c>
      <c r="E5" s="749">
        <v>2026.0</v>
      </c>
      <c r="F5" s="749" t="s">
        <v>3519</v>
      </c>
      <c r="G5" s="752"/>
    </row>
    <row r="6">
      <c r="A6" s="753" t="s">
        <v>1975</v>
      </c>
      <c r="B6" s="754"/>
      <c r="C6" s="755">
        <v>490000.0</v>
      </c>
      <c r="D6" s="755">
        <v>430000.0</v>
      </c>
      <c r="E6" s="755">
        <v>510000.0</v>
      </c>
      <c r="F6" s="755">
        <v>450000.0</v>
      </c>
      <c r="G6" s="756"/>
    </row>
    <row r="7">
      <c r="A7" s="753" t="s">
        <v>1976</v>
      </c>
      <c r="B7" s="754"/>
      <c r="C7" s="755">
        <v>294958.0</v>
      </c>
      <c r="D7" s="755">
        <v>135294.0</v>
      </c>
      <c r="E7" s="754">
        <f t="shared" ref="E7:F7" si="1">C7</f>
        <v>294958</v>
      </c>
      <c r="F7" s="754">
        <f t="shared" si="1"/>
        <v>135294</v>
      </c>
      <c r="G7" s="756"/>
    </row>
    <row r="8">
      <c r="A8" s="757" t="s">
        <v>1977</v>
      </c>
      <c r="B8" s="758"/>
      <c r="C8" s="758">
        <f t="shared" ref="C8:F8" si="2">C6-C7</f>
        <v>195042</v>
      </c>
      <c r="D8" s="758">
        <f t="shared" si="2"/>
        <v>294706</v>
      </c>
      <c r="E8" s="758">
        <f t="shared" si="2"/>
        <v>215042</v>
      </c>
      <c r="F8" s="758">
        <f t="shared" si="2"/>
        <v>314706</v>
      </c>
      <c r="G8" s="759"/>
    </row>
    <row r="9">
      <c r="A9" s="760"/>
      <c r="B9" s="760"/>
      <c r="C9" s="760"/>
      <c r="D9" s="760"/>
      <c r="E9" s="760"/>
      <c r="F9" s="760"/>
      <c r="G9" s="760"/>
    </row>
    <row r="10">
      <c r="A10" s="1493" t="s">
        <v>3520</v>
      </c>
      <c r="B10" s="744"/>
      <c r="C10" s="744"/>
      <c r="D10" s="744"/>
      <c r="E10" s="744"/>
      <c r="F10" s="744"/>
      <c r="G10" s="745"/>
    </row>
    <row r="11">
      <c r="A11" s="746"/>
      <c r="B11" s="747"/>
      <c r="C11" s="748">
        <v>45925.0</v>
      </c>
      <c r="D11" s="749" t="s">
        <v>3519</v>
      </c>
      <c r="E11" s="749">
        <v>2026.0</v>
      </c>
      <c r="F11" s="751"/>
      <c r="G11" s="752"/>
    </row>
    <row r="12">
      <c r="A12" s="753" t="s">
        <v>1975</v>
      </c>
      <c r="B12" s="754"/>
      <c r="C12" s="755"/>
      <c r="D12" s="755"/>
      <c r="E12" s="755"/>
      <c r="F12" s="754"/>
      <c r="G12" s="756"/>
    </row>
    <row r="13">
      <c r="A13" s="753" t="s">
        <v>1976</v>
      </c>
      <c r="B13" s="754"/>
      <c r="C13" s="755">
        <v>85714.0</v>
      </c>
      <c r="D13" s="755">
        <v>36134.0</v>
      </c>
      <c r="E13" s="754">
        <f>D13</f>
        <v>36134</v>
      </c>
      <c r="F13" s="754"/>
      <c r="G13" s="756"/>
    </row>
    <row r="14">
      <c r="A14" s="757" t="s">
        <v>1977</v>
      </c>
      <c r="B14" s="758"/>
      <c r="C14" s="758">
        <f t="shared" ref="C14:E14" si="3">C12-C13</f>
        <v>-85714</v>
      </c>
      <c r="D14" s="758">
        <f t="shared" si="3"/>
        <v>-36134</v>
      </c>
      <c r="E14" s="758">
        <f t="shared" si="3"/>
        <v>-36134</v>
      </c>
      <c r="F14" s="758"/>
      <c r="G14" s="759"/>
    </row>
  </sheetData>
  <mergeCells count="3">
    <mergeCell ref="A1:G2"/>
    <mergeCell ref="A4:G4"/>
    <mergeCell ref="A10:G10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1058" t="s">
        <v>3521</v>
      </c>
      <c r="B1" s="737"/>
      <c r="C1" s="737"/>
      <c r="D1" s="737"/>
      <c r="E1" s="737"/>
      <c r="F1" s="737"/>
      <c r="G1" s="738"/>
    </row>
    <row r="2">
      <c r="A2" s="739"/>
      <c r="B2" s="740"/>
      <c r="C2" s="740"/>
      <c r="D2" s="740"/>
      <c r="E2" s="740"/>
      <c r="F2" s="740"/>
      <c r="G2" s="741"/>
    </row>
    <row r="3" ht="15.0" customHeight="1">
      <c r="A3" s="742"/>
      <c r="B3" s="742"/>
      <c r="C3" s="742"/>
      <c r="D3" s="742"/>
      <c r="E3" s="742"/>
      <c r="F3" s="742"/>
      <c r="G3" s="742"/>
    </row>
    <row r="4" ht="24.0" customHeight="1">
      <c r="A4" s="743" t="s">
        <v>91</v>
      </c>
      <c r="B4" s="744"/>
      <c r="C4" s="744"/>
      <c r="D4" s="744"/>
      <c r="E4" s="744"/>
      <c r="F4" s="744"/>
      <c r="G4" s="745"/>
    </row>
    <row r="5">
      <c r="A5" s="746"/>
      <c r="B5" s="751" t="s">
        <v>3496</v>
      </c>
      <c r="C5" s="751" t="s">
        <v>3522</v>
      </c>
      <c r="D5" s="751"/>
      <c r="E5" s="751"/>
      <c r="F5" s="751"/>
      <c r="G5" s="752"/>
    </row>
    <row r="6">
      <c r="A6" s="753" t="s">
        <v>3375</v>
      </c>
      <c r="B6" s="754">
        <v>490000.0</v>
      </c>
      <c r="C6" s="754">
        <v>380000.0</v>
      </c>
      <c r="D6" s="754"/>
      <c r="E6" s="754"/>
      <c r="F6" s="754"/>
      <c r="G6" s="756"/>
    </row>
    <row r="7">
      <c r="A7" s="753" t="s">
        <v>172</v>
      </c>
      <c r="B7" s="755">
        <v>330000.0</v>
      </c>
      <c r="C7" s="754">
        <v>250000.0</v>
      </c>
      <c r="D7" s="754"/>
      <c r="E7" s="754"/>
      <c r="F7" s="754"/>
      <c r="G7" s="756"/>
    </row>
    <row r="8">
      <c r="A8" s="757" t="s">
        <v>1977</v>
      </c>
      <c r="B8" s="758">
        <f t="shared" ref="B8:C8" si="1">B6-B7</f>
        <v>160000</v>
      </c>
      <c r="C8" s="758">
        <f t="shared" si="1"/>
        <v>130000</v>
      </c>
      <c r="D8" s="758"/>
      <c r="E8" s="758"/>
      <c r="F8" s="758"/>
      <c r="G8" s="759"/>
    </row>
    <row r="12" ht="24.0" customHeight="1">
      <c r="A12" s="1493" t="s">
        <v>3523</v>
      </c>
      <c r="B12" s="744"/>
      <c r="C12" s="744"/>
      <c r="D12" s="744"/>
      <c r="E12" s="744"/>
      <c r="F12" s="744"/>
      <c r="G12" s="745"/>
    </row>
    <row r="13">
      <c r="A13" s="746"/>
      <c r="B13" s="751" t="s">
        <v>3496</v>
      </c>
      <c r="C13" s="751" t="s">
        <v>3522</v>
      </c>
      <c r="D13" s="751"/>
      <c r="E13" s="751"/>
      <c r="F13" s="751"/>
      <c r="G13" s="752"/>
    </row>
    <row r="14">
      <c r="A14" s="753" t="s">
        <v>3375</v>
      </c>
      <c r="B14" s="755">
        <v>510000.0</v>
      </c>
      <c r="C14" s="755">
        <v>380000.0</v>
      </c>
      <c r="D14" s="754"/>
      <c r="E14" s="754"/>
      <c r="F14" s="754"/>
      <c r="G14" s="756"/>
    </row>
    <row r="15">
      <c r="A15" s="753" t="s">
        <v>172</v>
      </c>
      <c r="B15" s="755">
        <v>330000.0</v>
      </c>
      <c r="C15" s="754">
        <v>250000.0</v>
      </c>
      <c r="D15" s="754"/>
      <c r="E15" s="754"/>
      <c r="F15" s="754"/>
      <c r="G15" s="756"/>
    </row>
    <row r="16">
      <c r="A16" s="757" t="s">
        <v>1977</v>
      </c>
      <c r="B16" s="758">
        <f t="shared" ref="B16:C16" si="2">B14-B15</f>
        <v>180000</v>
      </c>
      <c r="C16" s="758">
        <f t="shared" si="2"/>
        <v>130000</v>
      </c>
      <c r="D16" s="758"/>
      <c r="E16" s="758"/>
      <c r="F16" s="758"/>
      <c r="G16" s="759"/>
    </row>
  </sheetData>
  <mergeCells count="3">
    <mergeCell ref="A1:G2"/>
    <mergeCell ref="A4:G4"/>
    <mergeCell ref="A12:G12"/>
  </mergeCells>
  <printOptions/>
  <pageMargins bottom="0.787401575" footer="0.0" header="0.0" left="0.511811024" right="0.511811024" top="0.7874015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71"/>
    <col customWidth="1" min="3" max="3" width="28.14"/>
    <col customWidth="1" min="4" max="4" width="22.29"/>
    <col customWidth="1" min="5" max="5" width="20.71"/>
    <col customWidth="1" min="6" max="6" width="24.29"/>
    <col customWidth="1" min="7" max="7" width="22.71"/>
  </cols>
  <sheetData>
    <row r="1">
      <c r="A1" s="736" t="s">
        <v>3524</v>
      </c>
      <c r="B1" s="737"/>
      <c r="C1" s="737"/>
      <c r="D1" s="737"/>
      <c r="E1" s="737"/>
      <c r="F1" s="737"/>
      <c r="G1" s="738"/>
      <c r="H1" s="736"/>
      <c r="I1" s="737"/>
      <c r="J1" s="737"/>
      <c r="K1" s="737"/>
      <c r="L1" s="737"/>
      <c r="M1" s="737"/>
      <c r="N1" s="738"/>
      <c r="O1" s="736" t="s">
        <v>2477</v>
      </c>
      <c r="P1" s="737"/>
      <c r="Q1" s="737"/>
      <c r="R1" s="737"/>
      <c r="S1" s="737"/>
      <c r="T1" s="737"/>
      <c r="U1" s="738"/>
    </row>
    <row r="2">
      <c r="A2" s="739"/>
      <c r="B2" s="740"/>
      <c r="C2" s="740"/>
      <c r="D2" s="740"/>
      <c r="E2" s="740"/>
      <c r="F2" s="740"/>
      <c r="G2" s="741"/>
      <c r="H2" s="739"/>
      <c r="I2" s="740"/>
      <c r="J2" s="740"/>
      <c r="K2" s="740"/>
      <c r="L2" s="740"/>
      <c r="M2" s="740"/>
      <c r="N2" s="741"/>
      <c r="O2" s="739"/>
      <c r="P2" s="740"/>
      <c r="Q2" s="740"/>
      <c r="R2" s="740"/>
      <c r="S2" s="740"/>
      <c r="T2" s="740"/>
      <c r="U2" s="741"/>
    </row>
    <row r="3">
      <c r="A3" s="1063"/>
      <c r="B3" s="1498" t="s">
        <v>3525</v>
      </c>
      <c r="C3" s="751" t="s">
        <v>3526</v>
      </c>
      <c r="D3" s="1498" t="s">
        <v>3527</v>
      </c>
      <c r="E3" s="751" t="s">
        <v>3528</v>
      </c>
      <c r="F3" s="1498" t="s">
        <v>3529</v>
      </c>
      <c r="G3" s="751" t="s">
        <v>3530</v>
      </c>
      <c r="H3" s="760"/>
    </row>
    <row r="4">
      <c r="A4" s="1068"/>
      <c r="B4" s="1499" t="s">
        <v>3531</v>
      </c>
      <c r="C4" s="1500"/>
      <c r="D4" s="1501" t="s">
        <v>3532</v>
      </c>
      <c r="E4" s="1500"/>
      <c r="F4" s="1501"/>
      <c r="G4" s="1500"/>
      <c r="H4" s="760"/>
    </row>
    <row r="5">
      <c r="A5" s="1068" t="s">
        <v>172</v>
      </c>
      <c r="B5" s="1502">
        <v>275000.0</v>
      </c>
      <c r="C5" s="1503">
        <v>412500.0</v>
      </c>
      <c r="D5" s="1502">
        <v>561000.0</v>
      </c>
      <c r="E5" s="1503">
        <v>93500.0</v>
      </c>
      <c r="F5" s="1502">
        <v>240000.0</v>
      </c>
      <c r="G5" s="1503">
        <v>160000.0</v>
      </c>
      <c r="H5" s="760"/>
    </row>
    <row r="6">
      <c r="A6" s="1068" t="s">
        <v>2478</v>
      </c>
      <c r="B6" s="1504">
        <v>400000.0</v>
      </c>
      <c r="C6" s="1503">
        <v>500000.0</v>
      </c>
      <c r="D6" s="1502">
        <v>700000.0</v>
      </c>
      <c r="E6" s="1503">
        <v>150000.0</v>
      </c>
      <c r="F6" s="1502">
        <v>300000.0</v>
      </c>
      <c r="G6" s="1503">
        <v>250000.0</v>
      </c>
      <c r="H6" s="760"/>
    </row>
    <row r="7">
      <c r="A7" s="1068" t="s">
        <v>79</v>
      </c>
      <c r="B7" s="1502">
        <f t="shared" ref="B7:G7" si="1">B6-B5</f>
        <v>125000</v>
      </c>
      <c r="C7" s="1503">
        <f t="shared" si="1"/>
        <v>87500</v>
      </c>
      <c r="D7" s="1502">
        <f t="shared" si="1"/>
        <v>139000</v>
      </c>
      <c r="E7" s="1503">
        <f t="shared" si="1"/>
        <v>56500</v>
      </c>
      <c r="F7" s="1502">
        <f t="shared" si="1"/>
        <v>60000</v>
      </c>
      <c r="G7" s="1503">
        <f t="shared" si="1"/>
        <v>90000</v>
      </c>
      <c r="H7" s="760"/>
    </row>
    <row r="8">
      <c r="A8" s="1063"/>
      <c r="B8" s="1076"/>
      <c r="C8" s="1076"/>
      <c r="D8" s="1076"/>
      <c r="E8" s="1076"/>
      <c r="F8" s="1076"/>
      <c r="G8" s="1076"/>
      <c r="H8" s="760"/>
    </row>
    <row r="11">
      <c r="A11" s="1058" t="s">
        <v>3533</v>
      </c>
      <c r="B11" s="737"/>
      <c r="C11" s="737"/>
      <c r="D11" s="737"/>
      <c r="E11" s="737"/>
      <c r="F11" s="737"/>
      <c r="G11" s="738"/>
      <c r="H11" s="736" t="s">
        <v>3524</v>
      </c>
      <c r="I11" s="737"/>
      <c r="J11" s="737"/>
      <c r="K11" s="737"/>
      <c r="L11" s="737"/>
      <c r="M11" s="737"/>
      <c r="N11" s="738"/>
      <c r="O11" s="736"/>
      <c r="P11" s="737"/>
      <c r="Q11" s="737"/>
      <c r="R11" s="737"/>
      <c r="S11" s="737"/>
      <c r="T11" s="737"/>
      <c r="U11" s="738"/>
    </row>
    <row r="12">
      <c r="A12" s="739"/>
      <c r="B12" s="740"/>
      <c r="C12" s="740"/>
      <c r="D12" s="740"/>
      <c r="E12" s="740"/>
      <c r="F12" s="740"/>
      <c r="G12" s="741"/>
      <c r="H12" s="739"/>
      <c r="I12" s="740"/>
      <c r="J12" s="740"/>
      <c r="K12" s="740"/>
      <c r="L12" s="740"/>
      <c r="M12" s="740"/>
      <c r="N12" s="741"/>
      <c r="O12" s="739"/>
      <c r="P12" s="740"/>
      <c r="Q12" s="740"/>
      <c r="R12" s="740"/>
      <c r="S12" s="740"/>
      <c r="T12" s="740"/>
      <c r="U12" s="741"/>
    </row>
    <row r="13">
      <c r="A13" s="1063"/>
      <c r="B13" s="1498" t="s">
        <v>3525</v>
      </c>
      <c r="C13" s="751" t="s">
        <v>3526</v>
      </c>
      <c r="D13" s="1498" t="s">
        <v>3527</v>
      </c>
      <c r="E13" s="751" t="s">
        <v>3528</v>
      </c>
      <c r="F13" s="1498" t="s">
        <v>3529</v>
      </c>
      <c r="G13" s="751" t="s">
        <v>3530</v>
      </c>
      <c r="H13" s="1063"/>
      <c r="I13" s="1498" t="s">
        <v>3525</v>
      </c>
      <c r="J13" s="751" t="s">
        <v>3526</v>
      </c>
      <c r="K13" s="1498" t="s">
        <v>3527</v>
      </c>
      <c r="L13" s="751" t="s">
        <v>3528</v>
      </c>
      <c r="M13" s="1498" t="s">
        <v>3529</v>
      </c>
      <c r="N13" s="751" t="s">
        <v>3530</v>
      </c>
      <c r="O13" s="1063"/>
      <c r="P13" s="1498"/>
      <c r="Q13" s="751"/>
      <c r="R13" s="1498"/>
      <c r="S13" s="751"/>
      <c r="T13" s="1498"/>
      <c r="U13" s="751"/>
    </row>
    <row r="14">
      <c r="A14" s="1068"/>
      <c r="B14" s="1499" t="s">
        <v>3531</v>
      </c>
      <c r="C14" s="1500"/>
      <c r="D14" s="1501" t="s">
        <v>3532</v>
      </c>
      <c r="E14" s="1500"/>
      <c r="F14" s="1501"/>
      <c r="G14" s="1500"/>
      <c r="H14" s="1068"/>
      <c r="I14" s="1499" t="s">
        <v>3531</v>
      </c>
      <c r="J14" s="1500"/>
      <c r="K14" s="1501" t="s">
        <v>3532</v>
      </c>
      <c r="L14" s="1500"/>
      <c r="M14" s="1501"/>
      <c r="N14" s="1500"/>
      <c r="O14" s="1068"/>
      <c r="P14" s="1499"/>
      <c r="Q14" s="1500"/>
      <c r="R14" s="1501"/>
      <c r="S14" s="1500"/>
      <c r="T14" s="1501"/>
      <c r="U14" s="1500"/>
    </row>
    <row r="15">
      <c r="A15" s="1068" t="s">
        <v>172</v>
      </c>
      <c r="B15" s="1504">
        <v>310000.0</v>
      </c>
      <c r="C15" s="1505">
        <v>465000.0</v>
      </c>
      <c r="D15" s="1502">
        <v>561000.0</v>
      </c>
      <c r="E15" s="1505">
        <v>105000.0</v>
      </c>
      <c r="F15" s="1504">
        <v>264000.0</v>
      </c>
      <c r="G15" s="1505">
        <v>176000.0</v>
      </c>
      <c r="H15" s="1068" t="s">
        <v>172</v>
      </c>
      <c r="I15" s="1502">
        <v>275000.0</v>
      </c>
      <c r="J15" s="1503">
        <v>412500.0</v>
      </c>
      <c r="K15" s="1502">
        <v>561000.0</v>
      </c>
      <c r="L15" s="1503">
        <v>93500.0</v>
      </c>
      <c r="M15" s="1502">
        <v>240000.0</v>
      </c>
      <c r="N15" s="1503">
        <v>160000.0</v>
      </c>
      <c r="O15" s="1068"/>
      <c r="P15" s="1502"/>
      <c r="Q15" s="1503"/>
      <c r="R15" s="1502"/>
      <c r="S15" s="1503"/>
      <c r="T15" s="1502"/>
      <c r="U15" s="1503"/>
    </row>
    <row r="16">
      <c r="A16" s="1068" t="s">
        <v>2478</v>
      </c>
      <c r="B16" s="1504">
        <v>450000.0</v>
      </c>
      <c r="C16" s="1505">
        <v>600000.0</v>
      </c>
      <c r="D16" s="1502">
        <v>700000.0</v>
      </c>
      <c r="E16" s="1505">
        <v>200000.0</v>
      </c>
      <c r="F16" s="1504">
        <v>400000.0</v>
      </c>
      <c r="G16" s="1505">
        <v>330000.0</v>
      </c>
      <c r="H16" s="1068" t="s">
        <v>2478</v>
      </c>
      <c r="I16" s="1504">
        <v>400000.0</v>
      </c>
      <c r="J16" s="1503">
        <v>500000.0</v>
      </c>
      <c r="K16" s="1502">
        <v>700000.0</v>
      </c>
      <c r="L16" s="1503">
        <v>150000.0</v>
      </c>
      <c r="M16" s="1502">
        <v>300000.0</v>
      </c>
      <c r="N16" s="1503">
        <v>250000.0</v>
      </c>
      <c r="O16" s="1068"/>
      <c r="P16" s="1504"/>
      <c r="Q16" s="1503"/>
      <c r="R16" s="1502"/>
      <c r="S16" s="1503"/>
      <c r="T16" s="1502"/>
      <c r="U16" s="1503"/>
    </row>
    <row r="17">
      <c r="A17" s="1068" t="s">
        <v>79</v>
      </c>
      <c r="B17" s="1502">
        <f t="shared" ref="B17:G17" si="2">B16-B15</f>
        <v>140000</v>
      </c>
      <c r="C17" s="1503">
        <f t="shared" si="2"/>
        <v>135000</v>
      </c>
      <c r="D17" s="1502">
        <f t="shared" si="2"/>
        <v>139000</v>
      </c>
      <c r="E17" s="1503">
        <f t="shared" si="2"/>
        <v>95000</v>
      </c>
      <c r="F17" s="1502">
        <f t="shared" si="2"/>
        <v>136000</v>
      </c>
      <c r="G17" s="1503">
        <f t="shared" si="2"/>
        <v>154000</v>
      </c>
      <c r="H17" s="1068" t="s">
        <v>79</v>
      </c>
      <c r="I17" s="1502">
        <f t="shared" ref="I17:N17" si="3">I16-I15</f>
        <v>125000</v>
      </c>
      <c r="J17" s="1503">
        <f t="shared" si="3"/>
        <v>87500</v>
      </c>
      <c r="K17" s="1502">
        <f t="shared" si="3"/>
        <v>139000</v>
      </c>
      <c r="L17" s="1503">
        <f t="shared" si="3"/>
        <v>56500</v>
      </c>
      <c r="M17" s="1502">
        <f t="shared" si="3"/>
        <v>60000</v>
      </c>
      <c r="N17" s="1503">
        <f t="shared" si="3"/>
        <v>90000</v>
      </c>
      <c r="O17" s="1068"/>
      <c r="P17" s="1502"/>
      <c r="Q17" s="1503"/>
      <c r="R17" s="1502"/>
      <c r="S17" s="1503"/>
      <c r="T17" s="1502"/>
      <c r="U17" s="1503"/>
    </row>
    <row r="18">
      <c r="A18" s="1063"/>
      <c r="B18" s="1076"/>
      <c r="C18" s="1076"/>
      <c r="D18" s="1076"/>
      <c r="E18" s="1076"/>
      <c r="F18" s="1076"/>
      <c r="G18" s="1076"/>
      <c r="H18" s="1063"/>
      <c r="I18" s="1076"/>
      <c r="J18" s="1076"/>
      <c r="K18" s="1076"/>
      <c r="L18" s="1076"/>
      <c r="M18" s="1076"/>
      <c r="N18" s="1076"/>
      <c r="O18" s="1063"/>
      <c r="P18" s="1076"/>
      <c r="Q18" s="1076"/>
      <c r="R18" s="1076"/>
      <c r="S18" s="1076"/>
      <c r="T18" s="1076"/>
      <c r="U18" s="1076"/>
    </row>
  </sheetData>
  <mergeCells count="6">
    <mergeCell ref="A1:G2"/>
    <mergeCell ref="H1:N2"/>
    <mergeCell ref="O1:U2"/>
    <mergeCell ref="A11:G12"/>
    <mergeCell ref="H11:N12"/>
    <mergeCell ref="O11:U12"/>
  </mergeCells>
  <printOptions/>
  <pageMargins bottom="0.787401575" footer="0.0" header="0.0" left="0.511811024" right="0.511811024" top="0.7874015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5" max="5" width="17.14"/>
  </cols>
  <sheetData>
    <row r="2">
      <c r="A2" s="743" t="s">
        <v>282</v>
      </c>
      <c r="B2" s="744"/>
      <c r="C2" s="744"/>
      <c r="D2" s="744"/>
      <c r="E2" s="744"/>
      <c r="F2" s="744"/>
      <c r="G2" s="745"/>
    </row>
    <row r="3">
      <c r="A3" s="746"/>
      <c r="B3" s="751" t="s">
        <v>3496</v>
      </c>
      <c r="C3" s="751" t="s">
        <v>3534</v>
      </c>
      <c r="D3" s="749" t="s">
        <v>3535</v>
      </c>
      <c r="E3" s="749" t="s">
        <v>3536</v>
      </c>
      <c r="F3" s="751"/>
      <c r="G3" s="752"/>
    </row>
    <row r="4">
      <c r="A4" s="753" t="s">
        <v>3375</v>
      </c>
      <c r="B4" s="754">
        <v>420000.0</v>
      </c>
      <c r="C4" s="754">
        <v>380000.0</v>
      </c>
      <c r="D4" s="755">
        <v>450000.0</v>
      </c>
      <c r="E4" s="755">
        <v>390000.0</v>
      </c>
      <c r="F4" s="754"/>
      <c r="G4" s="756"/>
    </row>
    <row r="5">
      <c r="A5" s="753" t="s">
        <v>172</v>
      </c>
      <c r="B5" s="755">
        <v>309000.0</v>
      </c>
      <c r="C5" s="755">
        <v>243000.0</v>
      </c>
      <c r="D5" s="755">
        <v>309000.0</v>
      </c>
      <c r="E5" s="755">
        <v>273000.0</v>
      </c>
      <c r="F5" s="754"/>
      <c r="G5" s="756"/>
    </row>
    <row r="6">
      <c r="A6" s="757" t="s">
        <v>1977</v>
      </c>
      <c r="B6" s="758">
        <f t="shared" ref="B6:E6" si="1">B4-B5</f>
        <v>111000</v>
      </c>
      <c r="C6" s="758">
        <f t="shared" si="1"/>
        <v>137000</v>
      </c>
      <c r="D6" s="758">
        <f t="shared" si="1"/>
        <v>141000</v>
      </c>
      <c r="E6" s="758">
        <f t="shared" si="1"/>
        <v>117000</v>
      </c>
      <c r="F6" s="758"/>
      <c r="G6" s="759"/>
    </row>
    <row r="9" ht="21.0" customHeight="1">
      <c r="A9" s="743" t="s">
        <v>282</v>
      </c>
      <c r="B9" s="744"/>
      <c r="C9" s="744"/>
      <c r="D9" s="744"/>
      <c r="E9" s="744"/>
      <c r="F9" s="744"/>
      <c r="G9" s="745"/>
      <c r="H9" s="743"/>
      <c r="I9" s="744"/>
      <c r="J9" s="744"/>
      <c r="K9" s="744"/>
      <c r="L9" s="744"/>
      <c r="M9" s="744"/>
      <c r="N9" s="745"/>
      <c r="O9" s="743" t="s">
        <v>282</v>
      </c>
      <c r="P9" s="744"/>
      <c r="Q9" s="744"/>
      <c r="R9" s="744"/>
      <c r="S9" s="744"/>
      <c r="T9" s="744"/>
      <c r="U9" s="745"/>
    </row>
    <row r="10">
      <c r="A10" s="519" t="s">
        <v>172</v>
      </c>
      <c r="B10" s="519">
        <v>227000.0</v>
      </c>
    </row>
  </sheetData>
  <mergeCells count="4">
    <mergeCell ref="A2:G2"/>
    <mergeCell ref="A9:G9"/>
    <mergeCell ref="H9:N9"/>
    <mergeCell ref="O9:U9"/>
  </mergeCells>
  <printOptions/>
  <pageMargins bottom="0.787401575" footer="0.0" header="0.0" left="0.511811024" right="0.511811024" top="0.7874015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736" t="s">
        <v>3537</v>
      </c>
      <c r="B1" s="737"/>
      <c r="C1" s="737"/>
      <c r="D1" s="737"/>
      <c r="E1" s="737"/>
      <c r="F1" s="737"/>
      <c r="G1" s="738"/>
      <c r="J1" s="736" t="s">
        <v>3538</v>
      </c>
      <c r="K1" s="737"/>
      <c r="L1" s="737"/>
      <c r="M1" s="737"/>
      <c r="N1" s="737"/>
      <c r="O1" s="737"/>
      <c r="P1" s="738"/>
    </row>
    <row r="2">
      <c r="A2" s="739"/>
      <c r="B2" s="740"/>
      <c r="C2" s="740"/>
      <c r="D2" s="740"/>
      <c r="E2" s="740"/>
      <c r="F2" s="740"/>
      <c r="G2" s="741"/>
      <c r="J2" s="739"/>
      <c r="K2" s="740"/>
      <c r="L2" s="740"/>
      <c r="M2" s="740"/>
      <c r="N2" s="740"/>
      <c r="O2" s="740"/>
      <c r="P2" s="741"/>
    </row>
    <row r="3" ht="15.0" customHeight="1">
      <c r="A3" s="742"/>
      <c r="B3" s="742"/>
      <c r="C3" s="742"/>
      <c r="D3" s="742"/>
      <c r="E3" s="742"/>
      <c r="F3" s="742"/>
      <c r="G3" s="742"/>
      <c r="J3" s="742"/>
      <c r="K3" s="742"/>
      <c r="L3" s="742"/>
      <c r="M3" s="742"/>
      <c r="N3" s="742"/>
      <c r="O3" s="742"/>
      <c r="P3" s="742"/>
    </row>
    <row r="4" ht="15.0" customHeight="1">
      <c r="A4" s="743" t="s">
        <v>1975</v>
      </c>
      <c r="B4" s="744"/>
      <c r="C4" s="744"/>
      <c r="D4" s="744"/>
      <c r="E4" s="744"/>
      <c r="F4" s="744"/>
      <c r="G4" s="745"/>
    </row>
    <row r="5">
      <c r="A5" s="746"/>
      <c r="B5" s="747">
        <v>45748.0</v>
      </c>
      <c r="C5" s="751"/>
      <c r="D5" s="751"/>
      <c r="E5" s="751"/>
      <c r="F5" s="751"/>
      <c r="G5" s="752"/>
    </row>
    <row r="6">
      <c r="A6" s="753" t="s">
        <v>3539</v>
      </c>
      <c r="B6" s="754">
        <v>500000.0</v>
      </c>
      <c r="C6" s="754"/>
      <c r="D6" s="754"/>
      <c r="E6" s="754"/>
      <c r="F6" s="754"/>
      <c r="G6" s="756"/>
    </row>
    <row r="7">
      <c r="A7" s="753" t="s">
        <v>3540</v>
      </c>
      <c r="B7" s="754">
        <v>325000.0</v>
      </c>
      <c r="C7" s="754"/>
      <c r="D7" s="754"/>
      <c r="E7" s="754"/>
      <c r="F7" s="754"/>
      <c r="G7" s="756"/>
    </row>
    <row r="8">
      <c r="A8" s="757" t="s">
        <v>3541</v>
      </c>
      <c r="B8" s="758">
        <v>300000.0</v>
      </c>
      <c r="C8" s="758"/>
      <c r="D8" s="758"/>
      <c r="E8" s="758"/>
      <c r="F8" s="758"/>
      <c r="G8" s="759"/>
    </row>
    <row r="9">
      <c r="A9" s="760"/>
      <c r="B9" s="760"/>
      <c r="C9" s="760"/>
      <c r="D9" s="760"/>
      <c r="E9" s="760"/>
      <c r="F9" s="760"/>
      <c r="G9" s="760"/>
    </row>
    <row r="10" ht="15.0" customHeight="1">
      <c r="A10" s="743" t="s">
        <v>3542</v>
      </c>
      <c r="B10" s="744"/>
      <c r="C10" s="744"/>
      <c r="D10" s="744"/>
      <c r="E10" s="744"/>
      <c r="F10" s="744"/>
      <c r="G10" s="745"/>
      <c r="J10" s="743" t="s">
        <v>3542</v>
      </c>
      <c r="K10" s="744"/>
      <c r="L10" s="744"/>
      <c r="M10" s="744"/>
      <c r="N10" s="744"/>
      <c r="O10" s="744"/>
      <c r="P10" s="745"/>
    </row>
    <row r="11">
      <c r="A11" s="746"/>
      <c r="B11" s="747">
        <v>45748.0</v>
      </c>
      <c r="C11" s="751"/>
      <c r="D11" s="751"/>
      <c r="E11" s="751"/>
      <c r="F11" s="751"/>
      <c r="G11" s="752"/>
      <c r="J11" s="746"/>
      <c r="K11" s="747">
        <v>45748.0</v>
      </c>
      <c r="L11" s="751"/>
      <c r="M11" s="751"/>
      <c r="N11" s="751"/>
      <c r="O11" s="751"/>
      <c r="P11" s="752"/>
    </row>
    <row r="12">
      <c r="A12" s="753" t="s">
        <v>3543</v>
      </c>
      <c r="B12" s="754"/>
      <c r="C12" s="754"/>
      <c r="D12" s="754"/>
      <c r="E12" s="754"/>
      <c r="F12" s="754"/>
      <c r="G12" s="756"/>
      <c r="J12" s="753" t="s">
        <v>3543</v>
      </c>
      <c r="K12" s="754">
        <v>400000.0</v>
      </c>
      <c r="L12" s="754"/>
      <c r="M12" s="754"/>
      <c r="N12" s="754"/>
      <c r="O12" s="754"/>
      <c r="P12" s="756"/>
    </row>
    <row r="13">
      <c r="A13" s="753" t="s">
        <v>3544</v>
      </c>
      <c r="B13" s="754"/>
      <c r="C13" s="754"/>
      <c r="D13" s="754"/>
      <c r="E13" s="754"/>
      <c r="F13" s="754"/>
      <c r="G13" s="756"/>
      <c r="J13" s="753" t="s">
        <v>3544</v>
      </c>
      <c r="K13" s="754"/>
      <c r="L13" s="754"/>
      <c r="M13" s="754"/>
      <c r="N13" s="754"/>
      <c r="O13" s="754"/>
      <c r="P13" s="756"/>
    </row>
    <row r="14">
      <c r="A14" s="757" t="s">
        <v>3544</v>
      </c>
      <c r="B14" s="758"/>
      <c r="C14" s="758"/>
      <c r="D14" s="758"/>
      <c r="E14" s="758"/>
      <c r="F14" s="758"/>
      <c r="G14" s="759"/>
      <c r="J14" s="757" t="s">
        <v>3544</v>
      </c>
      <c r="K14" s="758"/>
      <c r="L14" s="758"/>
      <c r="M14" s="758"/>
      <c r="N14" s="758"/>
      <c r="O14" s="758"/>
      <c r="P14" s="759"/>
    </row>
    <row r="15">
      <c r="J15" s="760"/>
      <c r="K15" s="760"/>
      <c r="L15" s="760"/>
      <c r="M15" s="760"/>
      <c r="N15" s="760"/>
      <c r="O15" s="760"/>
      <c r="P15" s="760"/>
    </row>
    <row r="16" ht="15.0" customHeight="1">
      <c r="A16" s="743" t="s">
        <v>3545</v>
      </c>
      <c r="B16" s="744"/>
      <c r="C16" s="744"/>
      <c r="D16" s="744"/>
      <c r="E16" s="744"/>
      <c r="F16" s="744"/>
      <c r="G16" s="745"/>
      <c r="J16" s="743" t="s">
        <v>3545</v>
      </c>
      <c r="K16" s="744"/>
      <c r="L16" s="744"/>
      <c r="M16" s="744"/>
      <c r="N16" s="744"/>
      <c r="O16" s="744"/>
      <c r="P16" s="745"/>
    </row>
    <row r="17">
      <c r="A17" s="746"/>
      <c r="B17" s="747">
        <v>45748.0</v>
      </c>
      <c r="C17" s="751"/>
      <c r="D17" s="751"/>
      <c r="E17" s="751"/>
      <c r="F17" s="751"/>
      <c r="G17" s="752"/>
      <c r="J17" s="746"/>
      <c r="K17" s="747">
        <v>45748.0</v>
      </c>
      <c r="L17" s="751"/>
      <c r="M17" s="751"/>
      <c r="N17" s="751"/>
      <c r="O17" s="751"/>
      <c r="P17" s="752"/>
    </row>
    <row r="18">
      <c r="A18" s="753" t="s">
        <v>3543</v>
      </c>
      <c r="B18" s="754"/>
      <c r="C18" s="754"/>
      <c r="D18" s="754"/>
      <c r="E18" s="754"/>
      <c r="F18" s="754"/>
      <c r="G18" s="756"/>
      <c r="J18" s="753" t="s">
        <v>3543</v>
      </c>
      <c r="K18" s="754">
        <v>420000.0</v>
      </c>
      <c r="L18" s="754"/>
      <c r="M18" s="754"/>
      <c r="N18" s="754"/>
      <c r="O18" s="754"/>
      <c r="P18" s="756"/>
    </row>
    <row r="19">
      <c r="A19" s="753" t="s">
        <v>3546</v>
      </c>
      <c r="B19" s="754"/>
      <c r="C19" s="754"/>
      <c r="D19" s="754"/>
      <c r="E19" s="754"/>
      <c r="F19" s="754"/>
      <c r="G19" s="756"/>
      <c r="J19" s="753" t="s">
        <v>3546</v>
      </c>
      <c r="K19" s="754"/>
      <c r="L19" s="754"/>
      <c r="M19" s="754"/>
      <c r="N19" s="754"/>
      <c r="O19" s="754"/>
      <c r="P19" s="756"/>
    </row>
    <row r="20">
      <c r="A20" s="757" t="s">
        <v>3544</v>
      </c>
      <c r="B20" s="758"/>
      <c r="C20" s="758"/>
      <c r="D20" s="758"/>
      <c r="E20" s="758"/>
      <c r="F20" s="758"/>
      <c r="G20" s="759"/>
      <c r="J20" s="757" t="s">
        <v>3544</v>
      </c>
      <c r="K20" s="758"/>
      <c r="L20" s="758"/>
      <c r="M20" s="758"/>
      <c r="N20" s="758"/>
      <c r="O20" s="758"/>
      <c r="P20" s="759"/>
    </row>
    <row r="22" ht="15.0" customHeight="1">
      <c r="A22" s="743" t="s">
        <v>3547</v>
      </c>
      <c r="B22" s="744"/>
      <c r="C22" s="744"/>
      <c r="D22" s="744"/>
      <c r="E22" s="744"/>
      <c r="F22" s="744"/>
      <c r="G22" s="745"/>
      <c r="J22" s="743" t="s">
        <v>3547</v>
      </c>
      <c r="K22" s="744"/>
      <c r="L22" s="744"/>
      <c r="M22" s="744"/>
      <c r="N22" s="744"/>
      <c r="O22" s="744"/>
      <c r="P22" s="745"/>
    </row>
    <row r="23">
      <c r="A23" s="746"/>
      <c r="B23" s="747">
        <v>45748.0</v>
      </c>
      <c r="C23" s="751"/>
      <c r="D23" s="751"/>
      <c r="E23" s="751"/>
      <c r="F23" s="751"/>
      <c r="G23" s="752"/>
      <c r="J23" s="746"/>
      <c r="K23" s="747">
        <v>45748.0</v>
      </c>
      <c r="L23" s="751"/>
      <c r="M23" s="751"/>
      <c r="N23" s="751"/>
      <c r="O23" s="751"/>
      <c r="P23" s="752"/>
    </row>
    <row r="24">
      <c r="A24" s="753" t="s">
        <v>799</v>
      </c>
      <c r="B24" s="754">
        <v>37000.0</v>
      </c>
      <c r="C24" s="754"/>
      <c r="D24" s="754"/>
      <c r="E24" s="754"/>
      <c r="F24" s="754"/>
      <c r="G24" s="756"/>
      <c r="J24" s="753" t="s">
        <v>799</v>
      </c>
      <c r="K24" s="754">
        <v>37000.0</v>
      </c>
      <c r="L24" s="754"/>
      <c r="M24" s="754"/>
      <c r="N24" s="754"/>
      <c r="O24" s="754"/>
      <c r="P24" s="756"/>
    </row>
    <row r="25">
      <c r="A25" s="753" t="s">
        <v>3548</v>
      </c>
      <c r="B25" s="754">
        <v>10000.0</v>
      </c>
      <c r="C25" s="754"/>
      <c r="D25" s="754"/>
      <c r="E25" s="754"/>
      <c r="F25" s="754"/>
      <c r="G25" s="756"/>
      <c r="J25" s="753" t="s">
        <v>3548</v>
      </c>
      <c r="K25" s="754">
        <v>10000.0</v>
      </c>
      <c r="L25" s="754"/>
      <c r="M25" s="754"/>
      <c r="N25" s="754"/>
      <c r="O25" s="754"/>
      <c r="P25" s="756"/>
    </row>
  </sheetData>
  <mergeCells count="9">
    <mergeCell ref="A22:G22"/>
    <mergeCell ref="J22:P22"/>
    <mergeCell ref="A1:G2"/>
    <mergeCell ref="J1:P2"/>
    <mergeCell ref="A4:G4"/>
    <mergeCell ref="A10:G10"/>
    <mergeCell ref="J10:P10"/>
    <mergeCell ref="A16:G16"/>
    <mergeCell ref="J16:P16"/>
  </mergeCells>
  <printOptions/>
  <pageMargins bottom="0.787401575" footer="0.0" header="0.0" left="0.511811024" right="0.511811024" top="0.7874015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71"/>
  </cols>
  <sheetData>
    <row r="2" ht="21.0" customHeight="1">
      <c r="A2" s="743" t="s">
        <v>284</v>
      </c>
      <c r="B2" s="744"/>
      <c r="C2" s="744"/>
      <c r="D2" s="744"/>
      <c r="E2" s="744"/>
      <c r="F2" s="744"/>
      <c r="G2" s="745"/>
    </row>
    <row r="3">
      <c r="A3" s="746"/>
      <c r="B3" s="751" t="s">
        <v>3496</v>
      </c>
      <c r="C3" s="749">
        <v>2026.0</v>
      </c>
      <c r="D3" s="751"/>
      <c r="E3" s="751"/>
      <c r="F3" s="751"/>
      <c r="G3" s="752"/>
    </row>
    <row r="4">
      <c r="A4" s="753" t="s">
        <v>3375</v>
      </c>
      <c r="B4" s="754">
        <v>850000.0</v>
      </c>
      <c r="C4" s="755">
        <v>870000.0</v>
      </c>
      <c r="D4" s="754"/>
      <c r="E4" s="754"/>
      <c r="F4" s="754"/>
      <c r="G4" s="756"/>
    </row>
    <row r="5">
      <c r="A5" s="753" t="s">
        <v>172</v>
      </c>
      <c r="B5" s="754">
        <v>740000.0</v>
      </c>
      <c r="C5" s="754">
        <f>B5</f>
        <v>740000</v>
      </c>
      <c r="D5" s="754"/>
      <c r="E5" s="754"/>
      <c r="F5" s="754"/>
      <c r="G5" s="756"/>
    </row>
    <row r="6">
      <c r="A6" s="757" t="s">
        <v>1977</v>
      </c>
      <c r="B6" s="758">
        <f t="shared" ref="B6:C6" si="1">B4-B5</f>
        <v>110000</v>
      </c>
      <c r="C6" s="758">
        <f t="shared" si="1"/>
        <v>130000</v>
      </c>
      <c r="D6" s="758"/>
      <c r="E6" s="758"/>
      <c r="F6" s="758"/>
      <c r="G6" s="759"/>
    </row>
    <row r="9">
      <c r="A9" s="743" t="s">
        <v>3549</v>
      </c>
      <c r="B9" s="744"/>
      <c r="C9" s="744"/>
      <c r="D9" s="744"/>
      <c r="E9" s="744"/>
      <c r="F9" s="744"/>
      <c r="G9" s="745"/>
      <c r="H9" s="743" t="s">
        <v>282</v>
      </c>
      <c r="I9" s="744"/>
      <c r="J9" s="744"/>
      <c r="K9" s="744"/>
      <c r="L9" s="744"/>
      <c r="M9" s="744"/>
      <c r="N9" s="745"/>
      <c r="O9" s="743" t="s">
        <v>282</v>
      </c>
      <c r="P9" s="744"/>
      <c r="Q9" s="744"/>
      <c r="R9" s="744"/>
      <c r="S9" s="744"/>
      <c r="T9" s="744"/>
      <c r="U9" s="745"/>
    </row>
    <row r="10">
      <c r="A10" s="519" t="s">
        <v>172</v>
      </c>
      <c r="B10" s="1420">
        <v>540000.0</v>
      </c>
    </row>
  </sheetData>
  <mergeCells count="4">
    <mergeCell ref="A2:G2"/>
    <mergeCell ref="A9:G9"/>
    <mergeCell ref="H9:N9"/>
    <mergeCell ref="O9:U9"/>
  </mergeCells>
  <printOptions/>
  <pageMargins bottom="0.787401575" footer="0.0" header="0.0" left="0.511811024" right="0.511811024" top="0.7874015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6.14"/>
    <col customWidth="1" min="5" max="5" width="28.14"/>
  </cols>
  <sheetData>
    <row r="1">
      <c r="A1" s="1506" t="s">
        <v>3550</v>
      </c>
      <c r="B1" s="1506" t="s">
        <v>3551</v>
      </c>
      <c r="C1" s="1506" t="s">
        <v>3552</v>
      </c>
      <c r="D1" s="1506" t="s">
        <v>3553</v>
      </c>
      <c r="E1" s="1506" t="s">
        <v>3554</v>
      </c>
      <c r="F1" s="1506"/>
      <c r="G1" s="1506"/>
      <c r="H1" s="1506"/>
      <c r="I1" s="1506"/>
      <c r="J1" s="1506"/>
      <c r="K1" s="1506"/>
      <c r="L1" s="1506"/>
      <c r="M1" s="1506"/>
      <c r="N1" s="1506"/>
      <c r="O1" s="1506"/>
      <c r="P1" s="1506"/>
      <c r="Q1" s="1506"/>
      <c r="R1" s="1506"/>
      <c r="S1" s="1506"/>
      <c r="T1" s="1506"/>
      <c r="U1" s="1506"/>
      <c r="V1" s="1506"/>
      <c r="W1" s="1506"/>
      <c r="X1" s="1506"/>
      <c r="Y1" s="1506"/>
      <c r="Z1" s="1506"/>
    </row>
    <row r="2">
      <c r="A2" s="1296" t="s">
        <v>3555</v>
      </c>
      <c r="B2" s="1507">
        <v>45762.0</v>
      </c>
      <c r="C2" s="1296" t="s">
        <v>1631</v>
      </c>
      <c r="D2" s="1296" t="s">
        <v>3556</v>
      </c>
      <c r="E2" s="1508" t="s">
        <v>3557</v>
      </c>
      <c r="F2" s="1296"/>
      <c r="G2" s="1296"/>
      <c r="H2" s="1296"/>
      <c r="I2" s="1296"/>
      <c r="J2" s="1296"/>
      <c r="K2" s="1296"/>
      <c r="L2" s="1296"/>
      <c r="M2" s="1296"/>
      <c r="N2" s="1296"/>
      <c r="O2" s="1296"/>
      <c r="P2" s="1296"/>
      <c r="Q2" s="1296"/>
      <c r="R2" s="1296"/>
      <c r="S2" s="1296"/>
      <c r="T2" s="1296"/>
      <c r="U2" s="1296"/>
      <c r="V2" s="1296"/>
      <c r="W2" s="1296"/>
      <c r="X2" s="1296"/>
      <c r="Y2" s="1296"/>
      <c r="Z2" s="1296"/>
    </row>
    <row r="3">
      <c r="A3" s="1296" t="s">
        <v>3558</v>
      </c>
      <c r="B3" s="1296"/>
      <c r="C3" s="1296"/>
      <c r="D3" s="1296"/>
      <c r="E3" s="1296"/>
      <c r="F3" s="1296"/>
      <c r="G3" s="1296"/>
      <c r="H3" s="1296"/>
      <c r="I3" s="1296"/>
      <c r="J3" s="1296"/>
      <c r="K3" s="1296"/>
      <c r="L3" s="1296"/>
      <c r="M3" s="1296"/>
      <c r="N3" s="1296"/>
      <c r="O3" s="1296"/>
      <c r="P3" s="1296"/>
      <c r="Q3" s="1296"/>
      <c r="R3" s="1296"/>
      <c r="S3" s="1296"/>
      <c r="T3" s="1296"/>
      <c r="U3" s="1296"/>
      <c r="V3" s="1296"/>
      <c r="W3" s="1296"/>
      <c r="X3" s="1296"/>
      <c r="Y3" s="1296"/>
      <c r="Z3" s="1296"/>
    </row>
    <row r="4">
      <c r="A4" s="205" t="s">
        <v>3559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1.86"/>
    <col customWidth="1" min="3" max="3" width="14.71"/>
  </cols>
  <sheetData>
    <row r="1">
      <c r="A1" s="1509">
        <v>45901.0</v>
      </c>
      <c r="B1" s="1510"/>
      <c r="C1" s="1510"/>
      <c r="D1" s="1511"/>
      <c r="E1" s="1506"/>
      <c r="F1" s="1506"/>
      <c r="G1" s="1506"/>
      <c r="H1" s="1506"/>
      <c r="I1" s="1506"/>
      <c r="J1" s="1506"/>
      <c r="K1" s="1506"/>
      <c r="L1" s="1506"/>
      <c r="M1" s="1506"/>
      <c r="N1" s="1506"/>
      <c r="O1" s="1506"/>
      <c r="P1" s="1506"/>
      <c r="Q1" s="1506"/>
      <c r="R1" s="1506"/>
      <c r="S1" s="1506"/>
      <c r="T1" s="1506"/>
    </row>
    <row r="2">
      <c r="A2" s="1296"/>
      <c r="B2" s="1512" t="s">
        <v>3560</v>
      </c>
      <c r="C2" s="1512" t="s">
        <v>3561</v>
      </c>
      <c r="D2" s="1513" t="s">
        <v>2478</v>
      </c>
      <c r="E2" s="1296"/>
      <c r="F2" s="1296"/>
      <c r="G2" s="1296"/>
      <c r="H2" s="1296"/>
      <c r="I2" s="1296"/>
      <c r="J2" s="1296"/>
      <c r="K2" s="1296"/>
      <c r="L2" s="1296"/>
      <c r="M2" s="1296"/>
      <c r="N2" s="1296"/>
      <c r="O2" s="1296"/>
      <c r="P2" s="1296"/>
      <c r="Q2" s="1296"/>
      <c r="R2" s="1296"/>
      <c r="S2" s="1296"/>
      <c r="T2" s="1296"/>
    </row>
    <row r="3">
      <c r="A3" s="1514" t="s">
        <v>794</v>
      </c>
      <c r="B3" s="1512">
        <v>0.0</v>
      </c>
      <c r="C3" s="1512">
        <v>914.0</v>
      </c>
      <c r="D3" s="1515"/>
      <c r="E3" s="1296"/>
      <c r="F3" s="1296"/>
      <c r="G3" s="1296"/>
      <c r="H3" s="1296"/>
      <c r="I3" s="1296"/>
      <c r="J3" s="1296"/>
      <c r="K3" s="1296"/>
      <c r="L3" s="1296"/>
      <c r="M3" s="1296"/>
      <c r="N3" s="1296"/>
      <c r="O3" s="1296"/>
      <c r="P3" s="1296"/>
      <c r="Q3" s="1296"/>
      <c r="R3" s="1296"/>
      <c r="S3" s="1296"/>
      <c r="T3" s="1296"/>
    </row>
    <row r="4">
      <c r="A4" s="205" t="s">
        <v>169</v>
      </c>
      <c r="B4" s="1516">
        <v>799.0</v>
      </c>
      <c r="C4" s="1516">
        <v>0.0</v>
      </c>
      <c r="D4" s="735"/>
    </row>
    <row r="5">
      <c r="A5" s="205" t="s">
        <v>588</v>
      </c>
      <c r="B5" s="1516">
        <v>0.0</v>
      </c>
      <c r="C5" s="1516">
        <v>503.0</v>
      </c>
      <c r="D5" s="735"/>
    </row>
    <row r="6">
      <c r="A6" s="205" t="s">
        <v>158</v>
      </c>
      <c r="B6" s="1516">
        <v>929.0</v>
      </c>
      <c r="C6" s="1516">
        <v>644.0</v>
      </c>
      <c r="D6" s="735"/>
    </row>
    <row r="7">
      <c r="A7" s="205" t="s">
        <v>267</v>
      </c>
      <c r="B7" s="1516">
        <v>645.0</v>
      </c>
      <c r="C7" s="1516">
        <v>514.0</v>
      </c>
      <c r="D7" s="735"/>
    </row>
    <row r="8">
      <c r="A8" s="205" t="s">
        <v>325</v>
      </c>
      <c r="B8" s="1516">
        <v>795.0</v>
      </c>
      <c r="C8" s="1516">
        <v>569.0</v>
      </c>
      <c r="D8" s="208">
        <v>643.0</v>
      </c>
      <c r="E8" s="735">
        <f>D8*(1+0.079)</f>
        <v>693.797</v>
      </c>
    </row>
    <row r="9">
      <c r="A9" s="205" t="s">
        <v>277</v>
      </c>
      <c r="B9" s="1516">
        <v>595.0</v>
      </c>
      <c r="C9" s="1516">
        <v>0.0</v>
      </c>
      <c r="D9" s="208">
        <v>542.0</v>
      </c>
    </row>
    <row r="10">
      <c r="A10" s="205" t="s">
        <v>535</v>
      </c>
      <c r="B10" s="1516">
        <v>275.0</v>
      </c>
      <c r="C10" s="1516">
        <v>0.0</v>
      </c>
      <c r="D10" s="735"/>
    </row>
    <row r="11">
      <c r="A11" s="205" t="s">
        <v>170</v>
      </c>
      <c r="B11" s="1516">
        <v>715.0</v>
      </c>
      <c r="C11" s="1516">
        <v>482.0</v>
      </c>
      <c r="D11" s="735"/>
    </row>
    <row r="12">
      <c r="A12" s="205" t="s">
        <v>282</v>
      </c>
      <c r="B12" s="1516">
        <v>829.0</v>
      </c>
      <c r="C12" s="1516">
        <v>557.0</v>
      </c>
      <c r="D12" s="735"/>
    </row>
    <row r="13">
      <c r="A13" s="205" t="s">
        <v>222</v>
      </c>
      <c r="B13" s="1516">
        <v>935.0</v>
      </c>
      <c r="C13" s="1516">
        <v>590.0</v>
      </c>
      <c r="D13" s="735"/>
    </row>
    <row r="14">
      <c r="A14" s="205" t="s">
        <v>801</v>
      </c>
      <c r="B14" s="1516">
        <v>159.0</v>
      </c>
      <c r="C14" s="1516">
        <v>125.0</v>
      </c>
      <c r="D14" s="735"/>
    </row>
    <row r="15">
      <c r="B15" s="1517">
        <f>B14*(1-0)</f>
        <v>159</v>
      </c>
      <c r="C15" s="1517"/>
      <c r="D15" s="735"/>
    </row>
    <row r="16">
      <c r="B16" s="1517"/>
      <c r="C16" s="1517"/>
      <c r="D16" s="735"/>
    </row>
    <row r="17">
      <c r="B17" s="1517"/>
      <c r="C17" s="1517"/>
      <c r="D17" s="735"/>
    </row>
    <row r="18">
      <c r="B18" s="1517"/>
      <c r="C18" s="1517"/>
      <c r="D18" s="735"/>
    </row>
    <row r="19">
      <c r="B19" s="1517"/>
      <c r="C19" s="1517"/>
      <c r="D19" s="735"/>
    </row>
    <row r="20">
      <c r="B20" s="1517"/>
      <c r="C20" s="1517"/>
      <c r="D20" s="735"/>
    </row>
    <row r="21">
      <c r="B21" s="1517"/>
      <c r="C21" s="1517"/>
      <c r="D21" s="735"/>
    </row>
    <row r="22">
      <c r="B22" s="1517"/>
      <c r="C22" s="1517"/>
      <c r="D22" s="735"/>
    </row>
    <row r="23">
      <c r="B23" s="1517"/>
      <c r="C23" s="1517"/>
      <c r="D23" s="735"/>
    </row>
    <row r="24">
      <c r="B24" s="1517"/>
      <c r="C24" s="1517"/>
      <c r="D24" s="735"/>
    </row>
    <row r="25">
      <c r="B25" s="1517"/>
      <c r="C25" s="1517"/>
      <c r="D25" s="735"/>
    </row>
    <row r="26">
      <c r="B26" s="1517"/>
      <c r="C26" s="1517"/>
      <c r="D26" s="735"/>
    </row>
    <row r="27">
      <c r="B27" s="1517"/>
      <c r="C27" s="1517"/>
      <c r="D27" s="735"/>
    </row>
    <row r="28">
      <c r="B28" s="1517"/>
      <c r="C28" s="1517"/>
      <c r="D28" s="735"/>
    </row>
    <row r="29">
      <c r="B29" s="1517"/>
      <c r="C29" s="1517"/>
      <c r="D29" s="735"/>
    </row>
    <row r="30">
      <c r="B30" s="1517"/>
      <c r="C30" s="1517"/>
      <c r="D30" s="735"/>
    </row>
    <row r="31">
      <c r="B31" s="1517"/>
      <c r="C31" s="1517"/>
      <c r="D31" s="735"/>
    </row>
    <row r="32">
      <c r="B32" s="1517"/>
      <c r="C32" s="1517"/>
      <c r="D32" s="735"/>
    </row>
    <row r="33">
      <c r="B33" s="1517"/>
      <c r="C33" s="1517"/>
      <c r="D33" s="735"/>
    </row>
    <row r="34">
      <c r="B34" s="1517"/>
      <c r="C34" s="1517"/>
      <c r="D34" s="735"/>
    </row>
    <row r="35">
      <c r="B35" s="1517"/>
      <c r="C35" s="1517"/>
      <c r="D35" s="735"/>
    </row>
    <row r="36">
      <c r="B36" s="1517"/>
      <c r="C36" s="1517"/>
      <c r="D36" s="735"/>
    </row>
    <row r="37">
      <c r="B37" s="1517"/>
      <c r="C37" s="1517"/>
      <c r="D37" s="735"/>
    </row>
    <row r="38">
      <c r="B38" s="1517"/>
      <c r="C38" s="1517"/>
      <c r="D38" s="735"/>
    </row>
    <row r="39">
      <c r="B39" s="1517"/>
      <c r="C39" s="1517"/>
      <c r="D39" s="735"/>
    </row>
    <row r="40">
      <c r="B40" s="1517"/>
      <c r="C40" s="1517"/>
      <c r="D40" s="735"/>
    </row>
    <row r="41">
      <c r="B41" s="1517"/>
      <c r="C41" s="1517"/>
      <c r="D41" s="735"/>
    </row>
    <row r="42">
      <c r="B42" s="1517"/>
      <c r="C42" s="1517"/>
      <c r="D42" s="735"/>
    </row>
    <row r="43">
      <c r="B43" s="1517"/>
      <c r="C43" s="1517"/>
      <c r="D43" s="735"/>
    </row>
    <row r="44">
      <c r="B44" s="1517"/>
      <c r="C44" s="1517"/>
      <c r="D44" s="735"/>
    </row>
    <row r="45">
      <c r="B45" s="1517"/>
      <c r="C45" s="1517"/>
      <c r="D45" s="735"/>
    </row>
    <row r="46">
      <c r="B46" s="1517"/>
      <c r="C46" s="1517"/>
      <c r="D46" s="735"/>
    </row>
    <row r="47">
      <c r="B47" s="1517"/>
      <c r="C47" s="1517"/>
      <c r="D47" s="735"/>
    </row>
    <row r="48">
      <c r="B48" s="1517"/>
      <c r="C48" s="1517"/>
      <c r="D48" s="735"/>
    </row>
    <row r="49">
      <c r="B49" s="1517"/>
      <c r="C49" s="1517"/>
      <c r="D49" s="735"/>
    </row>
    <row r="50">
      <c r="B50" s="1517"/>
      <c r="C50" s="1517"/>
      <c r="D50" s="735"/>
    </row>
    <row r="51">
      <c r="B51" s="1517"/>
      <c r="C51" s="1517"/>
      <c r="D51" s="735"/>
    </row>
    <row r="52">
      <c r="B52" s="1517"/>
      <c r="C52" s="1517"/>
      <c r="D52" s="735"/>
    </row>
    <row r="53">
      <c r="B53" s="1517"/>
      <c r="C53" s="1517"/>
      <c r="D53" s="735"/>
    </row>
    <row r="54">
      <c r="B54" s="1517"/>
      <c r="C54" s="1517"/>
      <c r="D54" s="735"/>
    </row>
    <row r="55">
      <c r="B55" s="1517"/>
      <c r="C55" s="1517"/>
      <c r="D55" s="735"/>
    </row>
    <row r="56">
      <c r="B56" s="1517"/>
      <c r="C56" s="1517"/>
      <c r="D56" s="735"/>
    </row>
    <row r="57">
      <c r="B57" s="1517"/>
      <c r="C57" s="1517"/>
      <c r="D57" s="735"/>
    </row>
    <row r="58">
      <c r="B58" s="1517"/>
      <c r="C58" s="1517"/>
      <c r="D58" s="735"/>
    </row>
    <row r="59">
      <c r="B59" s="1517"/>
      <c r="C59" s="1517"/>
      <c r="D59" s="735"/>
    </row>
    <row r="60">
      <c r="B60" s="1517"/>
      <c r="C60" s="1517"/>
      <c r="D60" s="735"/>
    </row>
    <row r="61">
      <c r="B61" s="1517"/>
      <c r="C61" s="1517"/>
      <c r="D61" s="735"/>
    </row>
    <row r="62">
      <c r="B62" s="1517"/>
      <c r="C62" s="1517"/>
      <c r="D62" s="735"/>
    </row>
    <row r="63">
      <c r="B63" s="1517"/>
      <c r="C63" s="1517"/>
      <c r="D63" s="735"/>
    </row>
    <row r="64">
      <c r="B64" s="1517"/>
      <c r="C64" s="1517"/>
      <c r="D64" s="735"/>
    </row>
    <row r="65">
      <c r="B65" s="1517"/>
      <c r="C65" s="1517"/>
      <c r="D65" s="735"/>
    </row>
    <row r="66">
      <c r="B66" s="1517"/>
      <c r="C66" s="1517"/>
      <c r="D66" s="735"/>
    </row>
    <row r="67">
      <c r="B67" s="1517"/>
      <c r="C67" s="1517"/>
      <c r="D67" s="735"/>
    </row>
    <row r="68">
      <c r="B68" s="1517"/>
      <c r="C68" s="1517"/>
      <c r="D68" s="735"/>
    </row>
    <row r="69">
      <c r="B69" s="1517"/>
      <c r="C69" s="1517"/>
      <c r="D69" s="735"/>
    </row>
    <row r="70">
      <c r="B70" s="1517"/>
      <c r="C70" s="1517"/>
      <c r="D70" s="735"/>
    </row>
    <row r="71">
      <c r="B71" s="1517"/>
      <c r="C71" s="1517"/>
      <c r="D71" s="735"/>
    </row>
    <row r="72">
      <c r="B72" s="1517"/>
      <c r="C72" s="1517"/>
      <c r="D72" s="735"/>
    </row>
    <row r="73">
      <c r="B73" s="1517"/>
      <c r="C73" s="1517"/>
      <c r="D73" s="735"/>
    </row>
    <row r="74">
      <c r="B74" s="1517"/>
      <c r="C74" s="1517"/>
      <c r="D74" s="735"/>
    </row>
    <row r="75">
      <c r="B75" s="1517"/>
      <c r="C75" s="1517"/>
      <c r="D75" s="735"/>
    </row>
    <row r="76">
      <c r="B76" s="1517"/>
      <c r="C76" s="1517"/>
      <c r="D76" s="735"/>
    </row>
    <row r="77">
      <c r="B77" s="1517"/>
      <c r="C77" s="1517"/>
      <c r="D77" s="735"/>
    </row>
    <row r="78">
      <c r="B78" s="1517"/>
      <c r="C78" s="1517"/>
      <c r="D78" s="735"/>
    </row>
    <row r="79">
      <c r="B79" s="1517"/>
      <c r="C79" s="1517"/>
      <c r="D79" s="735"/>
    </row>
    <row r="80">
      <c r="B80" s="1517"/>
      <c r="C80" s="1517"/>
      <c r="D80" s="735"/>
    </row>
    <row r="81">
      <c r="B81" s="1517"/>
      <c r="C81" s="1517"/>
      <c r="D81" s="735"/>
    </row>
    <row r="82">
      <c r="B82" s="1517"/>
      <c r="C82" s="1517"/>
      <c r="D82" s="735"/>
    </row>
    <row r="83">
      <c r="B83" s="1517"/>
      <c r="C83" s="1517"/>
      <c r="D83" s="735"/>
    </row>
    <row r="84">
      <c r="B84" s="1517"/>
      <c r="C84" s="1517"/>
      <c r="D84" s="735"/>
    </row>
    <row r="85">
      <c r="B85" s="1517"/>
      <c r="C85" s="1517"/>
      <c r="D85" s="735"/>
    </row>
    <row r="86">
      <c r="B86" s="1517"/>
      <c r="C86" s="1517"/>
      <c r="D86" s="735"/>
    </row>
    <row r="87">
      <c r="B87" s="1517"/>
      <c r="C87" s="1517"/>
      <c r="D87" s="735"/>
    </row>
    <row r="88">
      <c r="B88" s="1517"/>
      <c r="C88" s="1517"/>
      <c r="D88" s="735"/>
    </row>
    <row r="89">
      <c r="B89" s="1517"/>
      <c r="C89" s="1517"/>
      <c r="D89" s="735"/>
    </row>
    <row r="90">
      <c r="B90" s="1517"/>
      <c r="C90" s="1517"/>
      <c r="D90" s="735"/>
    </row>
    <row r="91">
      <c r="B91" s="1517"/>
      <c r="C91" s="1517"/>
      <c r="D91" s="735"/>
    </row>
    <row r="92">
      <c r="B92" s="1517"/>
      <c r="C92" s="1517"/>
      <c r="D92" s="735"/>
    </row>
    <row r="93">
      <c r="B93" s="1517"/>
      <c r="C93" s="1517"/>
      <c r="D93" s="735"/>
    </row>
    <row r="94">
      <c r="B94" s="1517"/>
      <c r="C94" s="1517"/>
      <c r="D94" s="735"/>
    </row>
    <row r="95">
      <c r="B95" s="1517"/>
      <c r="C95" s="1517"/>
      <c r="D95" s="735"/>
    </row>
    <row r="96">
      <c r="B96" s="1517"/>
      <c r="C96" s="1517"/>
      <c r="D96" s="735"/>
    </row>
    <row r="97">
      <c r="B97" s="1517"/>
      <c r="C97" s="1517"/>
      <c r="D97" s="735"/>
    </row>
    <row r="98">
      <c r="B98" s="1517"/>
      <c r="C98" s="1517"/>
      <c r="D98" s="735"/>
    </row>
    <row r="99">
      <c r="B99" s="1517"/>
      <c r="C99" s="1517"/>
      <c r="D99" s="735"/>
    </row>
    <row r="100">
      <c r="B100" s="1517"/>
      <c r="C100" s="1517"/>
      <c r="D100" s="735"/>
    </row>
    <row r="101">
      <c r="B101" s="1517"/>
      <c r="C101" s="1517"/>
      <c r="D101" s="735"/>
    </row>
    <row r="102">
      <c r="B102" s="1517"/>
      <c r="C102" s="1517"/>
      <c r="D102" s="735"/>
    </row>
    <row r="103">
      <c r="B103" s="1517"/>
      <c r="C103" s="1517"/>
      <c r="D103" s="735"/>
    </row>
    <row r="104">
      <c r="B104" s="1517"/>
      <c r="C104" s="1517"/>
      <c r="D104" s="735"/>
    </row>
    <row r="105">
      <c r="B105" s="1517"/>
      <c r="C105" s="1517"/>
      <c r="D105" s="735"/>
    </row>
    <row r="106">
      <c r="B106" s="1517"/>
      <c r="C106" s="1517"/>
      <c r="D106" s="735"/>
    </row>
    <row r="107">
      <c r="B107" s="1517"/>
      <c r="C107" s="1517"/>
      <c r="D107" s="735"/>
    </row>
    <row r="108">
      <c r="B108" s="1517"/>
      <c r="C108" s="1517"/>
      <c r="D108" s="735"/>
    </row>
    <row r="109">
      <c r="B109" s="1517"/>
      <c r="C109" s="1517"/>
      <c r="D109" s="735"/>
    </row>
    <row r="110">
      <c r="B110" s="1517"/>
      <c r="C110" s="1517"/>
      <c r="D110" s="735"/>
    </row>
    <row r="111">
      <c r="B111" s="1517"/>
      <c r="C111" s="1517"/>
      <c r="D111" s="735"/>
    </row>
    <row r="112">
      <c r="B112" s="1517"/>
      <c r="C112" s="1517"/>
      <c r="D112" s="735"/>
    </row>
    <row r="113">
      <c r="B113" s="1517"/>
      <c r="C113" s="1517"/>
      <c r="D113" s="735"/>
    </row>
    <row r="114">
      <c r="B114" s="1517"/>
      <c r="C114" s="1517"/>
      <c r="D114" s="735"/>
    </row>
    <row r="115">
      <c r="B115" s="1517"/>
      <c r="C115" s="1517"/>
      <c r="D115" s="735"/>
    </row>
    <row r="116">
      <c r="B116" s="1517"/>
      <c r="C116" s="1517"/>
      <c r="D116" s="735"/>
    </row>
    <row r="117">
      <c r="B117" s="1517"/>
      <c r="C117" s="1517"/>
      <c r="D117" s="735"/>
    </row>
    <row r="118">
      <c r="B118" s="1517"/>
      <c r="C118" s="1517"/>
      <c r="D118" s="735"/>
    </row>
    <row r="119">
      <c r="B119" s="1517"/>
      <c r="C119" s="1517"/>
      <c r="D119" s="735"/>
    </row>
    <row r="120">
      <c r="B120" s="1517"/>
      <c r="C120" s="1517"/>
      <c r="D120" s="735"/>
    </row>
    <row r="121">
      <c r="B121" s="1517"/>
      <c r="C121" s="1517"/>
      <c r="D121" s="735"/>
    </row>
    <row r="122">
      <c r="B122" s="1517"/>
      <c r="C122" s="1517"/>
      <c r="D122" s="735"/>
    </row>
    <row r="123">
      <c r="B123" s="1517"/>
      <c r="C123" s="1517"/>
      <c r="D123" s="735"/>
    </row>
    <row r="124">
      <c r="B124" s="1517"/>
      <c r="C124" s="1517"/>
      <c r="D124" s="735"/>
    </row>
    <row r="125">
      <c r="B125" s="1517"/>
      <c r="C125" s="1517"/>
      <c r="D125" s="735"/>
    </row>
    <row r="126">
      <c r="B126" s="1517"/>
      <c r="C126" s="1517"/>
      <c r="D126" s="735"/>
    </row>
    <row r="127">
      <c r="B127" s="1517"/>
      <c r="C127" s="1517"/>
      <c r="D127" s="735"/>
    </row>
    <row r="128">
      <c r="B128" s="1517"/>
      <c r="C128" s="1517"/>
      <c r="D128" s="735"/>
    </row>
    <row r="129">
      <c r="B129" s="1517"/>
      <c r="C129" s="1517"/>
      <c r="D129" s="735"/>
    </row>
    <row r="130">
      <c r="B130" s="1517"/>
      <c r="C130" s="1517"/>
      <c r="D130" s="735"/>
    </row>
    <row r="131">
      <c r="B131" s="1517"/>
      <c r="C131" s="1517"/>
      <c r="D131" s="735"/>
    </row>
    <row r="132">
      <c r="B132" s="1517"/>
      <c r="C132" s="1517"/>
      <c r="D132" s="735"/>
    </row>
    <row r="133">
      <c r="B133" s="1517"/>
      <c r="C133" s="1517"/>
      <c r="D133" s="735"/>
    </row>
    <row r="134">
      <c r="B134" s="1517"/>
      <c r="C134" s="1517"/>
      <c r="D134" s="735"/>
    </row>
    <row r="135">
      <c r="B135" s="1517"/>
      <c r="C135" s="1517"/>
      <c r="D135" s="735"/>
    </row>
    <row r="136">
      <c r="B136" s="1517"/>
      <c r="C136" s="1517"/>
      <c r="D136" s="735"/>
    </row>
    <row r="137">
      <c r="B137" s="1517"/>
      <c r="C137" s="1517"/>
      <c r="D137" s="735"/>
    </row>
    <row r="138">
      <c r="B138" s="1517"/>
      <c r="C138" s="1517"/>
      <c r="D138" s="735"/>
    </row>
    <row r="139">
      <c r="B139" s="1517"/>
      <c r="C139" s="1517"/>
      <c r="D139" s="735"/>
    </row>
    <row r="140">
      <c r="B140" s="1517"/>
      <c r="C140" s="1517"/>
      <c r="D140" s="735"/>
    </row>
    <row r="141">
      <c r="B141" s="1517"/>
      <c r="C141" s="1517"/>
      <c r="D141" s="735"/>
    </row>
    <row r="142">
      <c r="B142" s="1517"/>
      <c r="C142" s="1517"/>
      <c r="D142" s="735"/>
    </row>
    <row r="143">
      <c r="B143" s="1517"/>
      <c r="C143" s="1517"/>
      <c r="D143" s="735"/>
    </row>
    <row r="144">
      <c r="B144" s="1517"/>
      <c r="C144" s="1517"/>
      <c r="D144" s="735"/>
    </row>
    <row r="145">
      <c r="B145" s="1517"/>
      <c r="C145" s="1517"/>
      <c r="D145" s="735"/>
    </row>
    <row r="146">
      <c r="B146" s="1517"/>
      <c r="C146" s="1517"/>
      <c r="D146" s="735"/>
    </row>
    <row r="147">
      <c r="B147" s="1517"/>
      <c r="C147" s="1517"/>
      <c r="D147" s="735"/>
    </row>
    <row r="148">
      <c r="B148" s="1517"/>
      <c r="C148" s="1517"/>
      <c r="D148" s="735"/>
    </row>
    <row r="149">
      <c r="B149" s="1517"/>
      <c r="C149" s="1517"/>
      <c r="D149" s="735"/>
    </row>
    <row r="150">
      <c r="B150" s="1517"/>
      <c r="C150" s="1517"/>
      <c r="D150" s="735"/>
    </row>
    <row r="151">
      <c r="B151" s="1517"/>
      <c r="C151" s="1517"/>
      <c r="D151" s="735"/>
    </row>
    <row r="152">
      <c r="B152" s="1517"/>
      <c r="C152" s="1517"/>
      <c r="D152" s="735"/>
    </row>
    <row r="153">
      <c r="B153" s="1517"/>
      <c r="C153" s="1517"/>
      <c r="D153" s="735"/>
    </row>
    <row r="154">
      <c r="B154" s="1517"/>
      <c r="C154" s="1517"/>
      <c r="D154" s="735"/>
    </row>
    <row r="155">
      <c r="B155" s="1517"/>
      <c r="C155" s="1517"/>
      <c r="D155" s="735"/>
    </row>
    <row r="156">
      <c r="B156" s="1517"/>
      <c r="C156" s="1517"/>
      <c r="D156" s="735"/>
    </row>
    <row r="157">
      <c r="B157" s="1517"/>
      <c r="C157" s="1517"/>
      <c r="D157" s="735"/>
    </row>
    <row r="158">
      <c r="B158" s="1517"/>
      <c r="C158" s="1517"/>
      <c r="D158" s="735"/>
    </row>
    <row r="159">
      <c r="B159" s="1517"/>
      <c r="C159" s="1517"/>
      <c r="D159" s="735"/>
    </row>
    <row r="160">
      <c r="B160" s="1517"/>
      <c r="C160" s="1517"/>
      <c r="D160" s="735"/>
    </row>
    <row r="161">
      <c r="B161" s="1517"/>
      <c r="C161" s="1517"/>
      <c r="D161" s="735"/>
    </row>
    <row r="162">
      <c r="B162" s="1517"/>
      <c r="C162" s="1517"/>
      <c r="D162" s="735"/>
    </row>
    <row r="163">
      <c r="B163" s="1517"/>
      <c r="C163" s="1517"/>
      <c r="D163" s="735"/>
    </row>
    <row r="164">
      <c r="B164" s="1517"/>
      <c r="C164" s="1517"/>
      <c r="D164" s="735"/>
    </row>
    <row r="165">
      <c r="B165" s="1517"/>
      <c r="C165" s="1517"/>
      <c r="D165" s="735"/>
    </row>
    <row r="166">
      <c r="B166" s="1517"/>
      <c r="C166" s="1517"/>
      <c r="D166" s="735"/>
    </row>
    <row r="167">
      <c r="B167" s="1517"/>
      <c r="C167" s="1517"/>
      <c r="D167" s="735"/>
    </row>
    <row r="168">
      <c r="B168" s="1517"/>
      <c r="C168" s="1517"/>
      <c r="D168" s="735"/>
    </row>
    <row r="169">
      <c r="B169" s="1517"/>
      <c r="C169" s="1517"/>
      <c r="D169" s="735"/>
    </row>
    <row r="170">
      <c r="B170" s="1517"/>
      <c r="C170" s="1517"/>
      <c r="D170" s="735"/>
    </row>
    <row r="171">
      <c r="B171" s="1517"/>
      <c r="C171" s="1517"/>
      <c r="D171" s="735"/>
    </row>
    <row r="172">
      <c r="B172" s="1517"/>
      <c r="C172" s="1517"/>
      <c r="D172" s="735"/>
    </row>
    <row r="173">
      <c r="B173" s="1517"/>
      <c r="C173" s="1517"/>
      <c r="D173" s="735"/>
    </row>
    <row r="174">
      <c r="B174" s="1517"/>
      <c r="C174" s="1517"/>
      <c r="D174" s="735"/>
    </row>
    <row r="175">
      <c r="B175" s="1517"/>
      <c r="C175" s="1517"/>
      <c r="D175" s="735"/>
    </row>
    <row r="176">
      <c r="B176" s="1517"/>
      <c r="C176" s="1517"/>
      <c r="D176" s="735"/>
    </row>
    <row r="177">
      <c r="B177" s="1517"/>
      <c r="C177" s="1517"/>
      <c r="D177" s="735"/>
    </row>
    <row r="178">
      <c r="B178" s="1517"/>
      <c r="C178" s="1517"/>
      <c r="D178" s="735"/>
    </row>
    <row r="179">
      <c r="B179" s="1517"/>
      <c r="C179" s="1517"/>
      <c r="D179" s="735"/>
    </row>
    <row r="180">
      <c r="B180" s="1517"/>
      <c r="C180" s="1517"/>
      <c r="D180" s="735"/>
    </row>
    <row r="181">
      <c r="B181" s="1517"/>
      <c r="C181" s="1517"/>
      <c r="D181" s="735"/>
    </row>
    <row r="182">
      <c r="B182" s="1517"/>
      <c r="C182" s="1517"/>
      <c r="D182" s="735"/>
    </row>
    <row r="183">
      <c r="B183" s="1517"/>
      <c r="C183" s="1517"/>
      <c r="D183" s="735"/>
    </row>
    <row r="184">
      <c r="B184" s="1517"/>
      <c r="C184" s="1517"/>
      <c r="D184" s="735"/>
    </row>
    <row r="185">
      <c r="B185" s="1517"/>
      <c r="C185" s="1517"/>
      <c r="D185" s="735"/>
    </row>
    <row r="186">
      <c r="B186" s="1517"/>
      <c r="C186" s="1517"/>
      <c r="D186" s="735"/>
    </row>
    <row r="187">
      <c r="B187" s="1517"/>
      <c r="C187" s="1517"/>
      <c r="D187" s="735"/>
    </row>
    <row r="188">
      <c r="B188" s="1517"/>
      <c r="C188" s="1517"/>
      <c r="D188" s="735"/>
    </row>
    <row r="189">
      <c r="B189" s="1517"/>
      <c r="C189" s="1517"/>
      <c r="D189" s="735"/>
    </row>
    <row r="190">
      <c r="B190" s="1517"/>
      <c r="C190" s="1517"/>
      <c r="D190" s="735"/>
    </row>
    <row r="191">
      <c r="B191" s="1517"/>
      <c r="C191" s="1517"/>
      <c r="D191" s="735"/>
    </row>
    <row r="192">
      <c r="B192" s="1517"/>
      <c r="C192" s="1517"/>
      <c r="D192" s="735"/>
    </row>
    <row r="193">
      <c r="B193" s="1517"/>
      <c r="C193" s="1517"/>
      <c r="D193" s="735"/>
    </row>
    <row r="194">
      <c r="B194" s="1517"/>
      <c r="C194" s="1517"/>
      <c r="D194" s="735"/>
    </row>
    <row r="195">
      <c r="B195" s="1517"/>
      <c r="C195" s="1517"/>
      <c r="D195" s="735"/>
    </row>
    <row r="196">
      <c r="B196" s="1517"/>
      <c r="C196" s="1517"/>
      <c r="D196" s="735"/>
    </row>
    <row r="197">
      <c r="B197" s="1517"/>
      <c r="C197" s="1517"/>
      <c r="D197" s="735"/>
    </row>
    <row r="198">
      <c r="B198" s="1517"/>
      <c r="C198" s="1517"/>
      <c r="D198" s="735"/>
    </row>
    <row r="199">
      <c r="B199" s="1517"/>
      <c r="C199" s="1517"/>
      <c r="D199" s="735"/>
    </row>
    <row r="200">
      <c r="B200" s="1517"/>
      <c r="C200" s="1517"/>
      <c r="D200" s="735"/>
    </row>
    <row r="201">
      <c r="B201" s="1517"/>
      <c r="C201" s="1517"/>
      <c r="D201" s="735"/>
    </row>
    <row r="202">
      <c r="B202" s="1517"/>
      <c r="C202" s="1517"/>
      <c r="D202" s="735"/>
    </row>
    <row r="203">
      <c r="B203" s="1517"/>
      <c r="C203" s="1517"/>
      <c r="D203" s="735"/>
    </row>
    <row r="204">
      <c r="B204" s="1517"/>
      <c r="C204" s="1517"/>
      <c r="D204" s="735"/>
    </row>
    <row r="205">
      <c r="B205" s="1517"/>
      <c r="C205" s="1517"/>
      <c r="D205" s="735"/>
    </row>
    <row r="206">
      <c r="B206" s="1517"/>
      <c r="C206" s="1517"/>
      <c r="D206" s="735"/>
    </row>
    <row r="207">
      <c r="B207" s="1517"/>
      <c r="C207" s="1517"/>
      <c r="D207" s="735"/>
    </row>
    <row r="208">
      <c r="B208" s="1517"/>
      <c r="C208" s="1517"/>
      <c r="D208" s="735"/>
    </row>
    <row r="209">
      <c r="B209" s="1517"/>
      <c r="C209" s="1517"/>
      <c r="D209" s="735"/>
    </row>
    <row r="210">
      <c r="B210" s="1517"/>
      <c r="C210" s="1517"/>
      <c r="D210" s="735"/>
    </row>
    <row r="211">
      <c r="B211" s="1517"/>
      <c r="C211" s="1517"/>
      <c r="D211" s="735"/>
    </row>
    <row r="212">
      <c r="B212" s="1517"/>
      <c r="C212" s="1517"/>
      <c r="D212" s="735"/>
    </row>
    <row r="213">
      <c r="B213" s="1517"/>
      <c r="C213" s="1517"/>
      <c r="D213" s="735"/>
    </row>
    <row r="214">
      <c r="B214" s="1517"/>
      <c r="C214" s="1517"/>
      <c r="D214" s="735"/>
    </row>
    <row r="215">
      <c r="B215" s="1517"/>
      <c r="C215" s="1517"/>
      <c r="D215" s="735"/>
    </row>
    <row r="216">
      <c r="B216" s="1517"/>
      <c r="C216" s="1517"/>
      <c r="D216" s="735"/>
    </row>
    <row r="217">
      <c r="B217" s="1517"/>
      <c r="C217" s="1517"/>
      <c r="D217" s="735"/>
    </row>
    <row r="218">
      <c r="B218" s="1517"/>
      <c r="C218" s="1517"/>
      <c r="D218" s="735"/>
    </row>
    <row r="219">
      <c r="B219" s="1517"/>
      <c r="C219" s="1517"/>
      <c r="D219" s="735"/>
    </row>
    <row r="220">
      <c r="B220" s="1517"/>
      <c r="C220" s="1517"/>
      <c r="D220" s="735"/>
    </row>
    <row r="221">
      <c r="B221" s="1517"/>
      <c r="C221" s="1517"/>
      <c r="D221" s="735"/>
    </row>
    <row r="222">
      <c r="B222" s="1517"/>
      <c r="C222" s="1517"/>
      <c r="D222" s="735"/>
    </row>
    <row r="223">
      <c r="B223" s="1517"/>
      <c r="C223" s="1517"/>
      <c r="D223" s="735"/>
    </row>
    <row r="224">
      <c r="B224" s="1517"/>
      <c r="C224" s="1517"/>
      <c r="D224" s="735"/>
    </row>
    <row r="225">
      <c r="B225" s="1517"/>
      <c r="C225" s="1517"/>
      <c r="D225" s="735"/>
    </row>
    <row r="226">
      <c r="B226" s="1517"/>
      <c r="C226" s="1517"/>
      <c r="D226" s="735"/>
    </row>
    <row r="227">
      <c r="B227" s="1517"/>
      <c r="C227" s="1517"/>
      <c r="D227" s="735"/>
    </row>
    <row r="228">
      <c r="B228" s="1517"/>
      <c r="C228" s="1517"/>
      <c r="D228" s="735"/>
    </row>
    <row r="229">
      <c r="B229" s="1517"/>
      <c r="C229" s="1517"/>
      <c r="D229" s="735"/>
    </row>
    <row r="230">
      <c r="B230" s="1517"/>
      <c r="C230" s="1517"/>
      <c r="D230" s="735"/>
    </row>
    <row r="231">
      <c r="B231" s="1517"/>
      <c r="C231" s="1517"/>
      <c r="D231" s="735"/>
    </row>
    <row r="232">
      <c r="B232" s="1517"/>
      <c r="C232" s="1517"/>
      <c r="D232" s="735"/>
    </row>
    <row r="233">
      <c r="B233" s="1517"/>
      <c r="C233" s="1517"/>
      <c r="D233" s="735"/>
    </row>
    <row r="234">
      <c r="B234" s="1517"/>
      <c r="C234" s="1517"/>
      <c r="D234" s="735"/>
    </row>
    <row r="235">
      <c r="B235" s="1517"/>
      <c r="C235" s="1517"/>
      <c r="D235" s="735"/>
    </row>
    <row r="236">
      <c r="B236" s="1517"/>
      <c r="C236" s="1517"/>
      <c r="D236" s="735"/>
    </row>
    <row r="237">
      <c r="B237" s="1517"/>
      <c r="C237" s="1517"/>
      <c r="D237" s="735"/>
    </row>
    <row r="238">
      <c r="B238" s="1517"/>
      <c r="C238" s="1517"/>
      <c r="D238" s="735"/>
    </row>
    <row r="239">
      <c r="B239" s="1517"/>
      <c r="C239" s="1517"/>
      <c r="D239" s="735"/>
    </row>
    <row r="240">
      <c r="B240" s="1517"/>
      <c r="C240" s="1517"/>
      <c r="D240" s="735"/>
    </row>
    <row r="241">
      <c r="B241" s="1517"/>
      <c r="C241" s="1517"/>
      <c r="D241" s="735"/>
    </row>
    <row r="242">
      <c r="B242" s="1517"/>
      <c r="C242" s="1517"/>
      <c r="D242" s="735"/>
    </row>
    <row r="243">
      <c r="B243" s="1517"/>
      <c r="C243" s="1517"/>
      <c r="D243" s="735"/>
    </row>
    <row r="244">
      <c r="B244" s="1517"/>
      <c r="C244" s="1517"/>
      <c r="D244" s="735"/>
    </row>
    <row r="245">
      <c r="B245" s="1517"/>
      <c r="C245" s="1517"/>
      <c r="D245" s="735"/>
    </row>
    <row r="246">
      <c r="B246" s="1517"/>
      <c r="C246" s="1517"/>
      <c r="D246" s="735"/>
    </row>
    <row r="247">
      <c r="B247" s="1517"/>
      <c r="C247" s="1517"/>
      <c r="D247" s="735"/>
    </row>
    <row r="248">
      <c r="B248" s="1517"/>
      <c r="C248" s="1517"/>
      <c r="D248" s="735"/>
    </row>
    <row r="249">
      <c r="B249" s="1517"/>
      <c r="C249" s="1517"/>
      <c r="D249" s="735"/>
    </row>
    <row r="250">
      <c r="B250" s="1517"/>
      <c r="C250" s="1517"/>
      <c r="D250" s="735"/>
    </row>
    <row r="251">
      <c r="B251" s="1517"/>
      <c r="C251" s="1517"/>
      <c r="D251" s="735"/>
    </row>
    <row r="252">
      <c r="B252" s="1517"/>
      <c r="C252" s="1517"/>
      <c r="D252" s="735"/>
    </row>
    <row r="253">
      <c r="B253" s="1517"/>
      <c r="C253" s="1517"/>
      <c r="D253" s="735"/>
    </row>
    <row r="254">
      <c r="B254" s="1517"/>
      <c r="C254" s="1517"/>
      <c r="D254" s="735"/>
    </row>
    <row r="255">
      <c r="B255" s="1517"/>
      <c r="C255" s="1517"/>
      <c r="D255" s="735"/>
    </row>
    <row r="256">
      <c r="B256" s="1517"/>
      <c r="C256" s="1517"/>
      <c r="D256" s="735"/>
    </row>
    <row r="257">
      <c r="B257" s="1517"/>
      <c r="C257" s="1517"/>
      <c r="D257" s="735"/>
    </row>
    <row r="258">
      <c r="B258" s="1517"/>
      <c r="C258" s="1517"/>
      <c r="D258" s="735"/>
    </row>
    <row r="259">
      <c r="B259" s="1517"/>
      <c r="C259" s="1517"/>
      <c r="D259" s="735"/>
    </row>
    <row r="260">
      <c r="B260" s="1517"/>
      <c r="C260" s="1517"/>
      <c r="D260" s="735"/>
    </row>
    <row r="261">
      <c r="B261" s="1517"/>
      <c r="C261" s="1517"/>
      <c r="D261" s="735"/>
    </row>
    <row r="262">
      <c r="B262" s="1517"/>
      <c r="C262" s="1517"/>
      <c r="D262" s="735"/>
    </row>
    <row r="263">
      <c r="B263" s="1517"/>
      <c r="C263" s="1517"/>
      <c r="D263" s="735"/>
    </row>
    <row r="264">
      <c r="B264" s="1517"/>
      <c r="C264" s="1517"/>
      <c r="D264" s="735"/>
    </row>
    <row r="265">
      <c r="B265" s="1517"/>
      <c r="C265" s="1517"/>
      <c r="D265" s="735"/>
    </row>
    <row r="266">
      <c r="B266" s="1517"/>
      <c r="C266" s="1517"/>
      <c r="D266" s="735"/>
    </row>
    <row r="267">
      <c r="B267" s="1517"/>
      <c r="C267" s="1517"/>
      <c r="D267" s="735"/>
    </row>
    <row r="268">
      <c r="B268" s="1517"/>
      <c r="C268" s="1517"/>
      <c r="D268" s="735"/>
    </row>
    <row r="269">
      <c r="B269" s="1517"/>
      <c r="C269" s="1517"/>
      <c r="D269" s="735"/>
    </row>
    <row r="270">
      <c r="B270" s="1517"/>
      <c r="C270" s="1517"/>
      <c r="D270" s="735"/>
    </row>
    <row r="271">
      <c r="B271" s="1517"/>
      <c r="C271" s="1517"/>
      <c r="D271" s="735"/>
    </row>
    <row r="272">
      <c r="B272" s="1517"/>
      <c r="C272" s="1517"/>
      <c r="D272" s="735"/>
    </row>
    <row r="273">
      <c r="B273" s="1517"/>
      <c r="C273" s="1517"/>
      <c r="D273" s="735"/>
    </row>
    <row r="274">
      <c r="B274" s="1517"/>
      <c r="C274" s="1517"/>
      <c r="D274" s="735"/>
    </row>
    <row r="275">
      <c r="B275" s="1517"/>
      <c r="C275" s="1517"/>
      <c r="D275" s="735"/>
    </row>
    <row r="276">
      <c r="B276" s="1517"/>
      <c r="C276" s="1517"/>
      <c r="D276" s="735"/>
    </row>
    <row r="277">
      <c r="B277" s="1517"/>
      <c r="C277" s="1517"/>
      <c r="D277" s="735"/>
    </row>
    <row r="278">
      <c r="B278" s="1517"/>
      <c r="C278" s="1517"/>
      <c r="D278" s="735"/>
    </row>
    <row r="279">
      <c r="B279" s="1517"/>
      <c r="C279" s="1517"/>
      <c r="D279" s="735"/>
    </row>
    <row r="280">
      <c r="B280" s="1517"/>
      <c r="C280" s="1517"/>
      <c r="D280" s="735"/>
    </row>
    <row r="281">
      <c r="B281" s="1517"/>
      <c r="C281" s="1517"/>
      <c r="D281" s="735"/>
    </row>
    <row r="282">
      <c r="B282" s="1517"/>
      <c r="C282" s="1517"/>
      <c r="D282" s="735"/>
    </row>
    <row r="283">
      <c r="B283" s="1517"/>
      <c r="C283" s="1517"/>
      <c r="D283" s="735"/>
    </row>
    <row r="284">
      <c r="B284" s="1517"/>
      <c r="C284" s="1517"/>
      <c r="D284" s="735"/>
    </row>
    <row r="285">
      <c r="B285" s="1517"/>
      <c r="C285" s="1517"/>
      <c r="D285" s="735"/>
    </row>
    <row r="286">
      <c r="B286" s="1517"/>
      <c r="C286" s="1517"/>
      <c r="D286" s="735"/>
    </row>
    <row r="287">
      <c r="B287" s="1517"/>
      <c r="C287" s="1517"/>
      <c r="D287" s="735"/>
    </row>
    <row r="288">
      <c r="B288" s="1517"/>
      <c r="C288" s="1517"/>
      <c r="D288" s="735"/>
    </row>
    <row r="289">
      <c r="B289" s="1517"/>
      <c r="C289" s="1517"/>
      <c r="D289" s="735"/>
    </row>
    <row r="290">
      <c r="B290" s="1517"/>
      <c r="C290" s="1517"/>
      <c r="D290" s="735"/>
    </row>
    <row r="291">
      <c r="B291" s="1517"/>
      <c r="C291" s="1517"/>
      <c r="D291" s="735"/>
    </row>
    <row r="292">
      <c r="B292" s="1517"/>
      <c r="C292" s="1517"/>
      <c r="D292" s="735"/>
    </row>
    <row r="293">
      <c r="B293" s="1517"/>
      <c r="C293" s="1517"/>
      <c r="D293" s="735"/>
    </row>
    <row r="294">
      <c r="B294" s="1517"/>
      <c r="C294" s="1517"/>
      <c r="D294" s="735"/>
    </row>
    <row r="295">
      <c r="B295" s="1517"/>
      <c r="C295" s="1517"/>
      <c r="D295" s="735"/>
    </row>
    <row r="296">
      <c r="B296" s="1517"/>
      <c r="C296" s="1517"/>
      <c r="D296" s="735"/>
    </row>
    <row r="297">
      <c r="B297" s="1517"/>
      <c r="C297" s="1517"/>
      <c r="D297" s="735"/>
    </row>
    <row r="298">
      <c r="B298" s="1517"/>
      <c r="C298" s="1517"/>
      <c r="D298" s="735"/>
    </row>
    <row r="299">
      <c r="B299" s="1517"/>
      <c r="C299" s="1517"/>
      <c r="D299" s="735"/>
    </row>
    <row r="300">
      <c r="B300" s="1517"/>
      <c r="C300" s="1517"/>
      <c r="D300" s="735"/>
    </row>
    <row r="301">
      <c r="B301" s="1517"/>
      <c r="C301" s="1517"/>
      <c r="D301" s="735"/>
    </row>
    <row r="302">
      <c r="B302" s="1517"/>
      <c r="C302" s="1517"/>
      <c r="D302" s="735"/>
    </row>
    <row r="303">
      <c r="B303" s="1517"/>
      <c r="C303" s="1517"/>
      <c r="D303" s="735"/>
    </row>
    <row r="304">
      <c r="B304" s="1517"/>
      <c r="C304" s="1517"/>
      <c r="D304" s="735"/>
    </row>
    <row r="305">
      <c r="B305" s="1517"/>
      <c r="C305" s="1517"/>
      <c r="D305" s="735"/>
    </row>
    <row r="306">
      <c r="B306" s="1517"/>
      <c r="C306" s="1517"/>
      <c r="D306" s="735"/>
    </row>
    <row r="307">
      <c r="B307" s="1517"/>
      <c r="C307" s="1517"/>
      <c r="D307" s="735"/>
    </row>
    <row r="308">
      <c r="B308" s="1517"/>
      <c r="C308" s="1517"/>
      <c r="D308" s="735"/>
    </row>
    <row r="309">
      <c r="B309" s="1517"/>
      <c r="C309" s="1517"/>
      <c r="D309" s="735"/>
    </row>
    <row r="310">
      <c r="B310" s="1517"/>
      <c r="C310" s="1517"/>
      <c r="D310" s="735"/>
    </row>
    <row r="311">
      <c r="B311" s="1517"/>
      <c r="C311" s="1517"/>
      <c r="D311" s="735"/>
    </row>
    <row r="312">
      <c r="B312" s="1517"/>
      <c r="C312" s="1517"/>
      <c r="D312" s="735"/>
    </row>
    <row r="313">
      <c r="B313" s="1517"/>
      <c r="C313" s="1517"/>
      <c r="D313" s="735"/>
    </row>
    <row r="314">
      <c r="B314" s="1517"/>
      <c r="C314" s="1517"/>
      <c r="D314" s="735"/>
    </row>
    <row r="315">
      <c r="B315" s="1517"/>
      <c r="C315" s="1517"/>
      <c r="D315" s="735"/>
    </row>
    <row r="316">
      <c r="B316" s="1517"/>
      <c r="C316" s="1517"/>
      <c r="D316" s="735"/>
    </row>
    <row r="317">
      <c r="B317" s="1517"/>
      <c r="C317" s="1517"/>
      <c r="D317" s="735"/>
    </row>
    <row r="318">
      <c r="B318" s="1517"/>
      <c r="C318" s="1517"/>
      <c r="D318" s="735"/>
    </row>
    <row r="319">
      <c r="B319" s="1517"/>
      <c r="C319" s="1517"/>
      <c r="D319" s="735"/>
    </row>
    <row r="320">
      <c r="B320" s="1517"/>
      <c r="C320" s="1517"/>
      <c r="D320" s="735"/>
    </row>
    <row r="321">
      <c r="B321" s="1517"/>
      <c r="C321" s="1517"/>
      <c r="D321" s="735"/>
    </row>
    <row r="322">
      <c r="B322" s="1517"/>
      <c r="C322" s="1517"/>
      <c r="D322" s="735"/>
    </row>
    <row r="323">
      <c r="B323" s="1517"/>
      <c r="C323" s="1517"/>
      <c r="D323" s="735"/>
    </row>
    <row r="324">
      <c r="B324" s="1517"/>
      <c r="C324" s="1517"/>
      <c r="D324" s="735"/>
    </row>
    <row r="325">
      <c r="B325" s="1517"/>
      <c r="C325" s="1517"/>
      <c r="D325" s="735"/>
    </row>
    <row r="326">
      <c r="B326" s="1517"/>
      <c r="C326" s="1517"/>
      <c r="D326" s="735"/>
    </row>
    <row r="327">
      <c r="B327" s="1517"/>
      <c r="C327" s="1517"/>
      <c r="D327" s="735"/>
    </row>
    <row r="328">
      <c r="B328" s="1517"/>
      <c r="C328" s="1517"/>
      <c r="D328" s="735"/>
    </row>
    <row r="329">
      <c r="B329" s="1517"/>
      <c r="C329" s="1517"/>
      <c r="D329" s="735"/>
    </row>
    <row r="330">
      <c r="B330" s="1517"/>
      <c r="C330" s="1517"/>
      <c r="D330" s="735"/>
    </row>
    <row r="331">
      <c r="B331" s="1517"/>
      <c r="C331" s="1517"/>
      <c r="D331" s="735"/>
    </row>
    <row r="332">
      <c r="B332" s="1517"/>
      <c r="C332" s="1517"/>
      <c r="D332" s="735"/>
    </row>
    <row r="333">
      <c r="B333" s="1517"/>
      <c r="C333" s="1517"/>
      <c r="D333" s="735"/>
    </row>
    <row r="334">
      <c r="B334" s="1517"/>
      <c r="C334" s="1517"/>
      <c r="D334" s="735"/>
    </row>
    <row r="335">
      <c r="B335" s="1517"/>
      <c r="C335" s="1517"/>
      <c r="D335" s="735"/>
    </row>
    <row r="336">
      <c r="B336" s="1517"/>
      <c r="C336" s="1517"/>
      <c r="D336" s="735"/>
    </row>
    <row r="337">
      <c r="B337" s="1517"/>
      <c r="C337" s="1517"/>
      <c r="D337" s="735"/>
    </row>
    <row r="338">
      <c r="B338" s="1517"/>
      <c r="C338" s="1517"/>
      <c r="D338" s="735"/>
    </row>
    <row r="339">
      <c r="B339" s="1517"/>
      <c r="C339" s="1517"/>
      <c r="D339" s="735"/>
    </row>
    <row r="340">
      <c r="B340" s="1517"/>
      <c r="C340" s="1517"/>
      <c r="D340" s="735"/>
    </row>
    <row r="341">
      <c r="B341" s="1517"/>
      <c r="C341" s="1517"/>
      <c r="D341" s="735"/>
    </row>
    <row r="342">
      <c r="B342" s="1517"/>
      <c r="C342" s="1517"/>
      <c r="D342" s="735"/>
    </row>
    <row r="343">
      <c r="B343" s="1517"/>
      <c r="C343" s="1517"/>
      <c r="D343" s="735"/>
    </row>
    <row r="344">
      <c r="B344" s="1517"/>
      <c r="C344" s="1517"/>
      <c r="D344" s="735"/>
    </row>
    <row r="345">
      <c r="B345" s="1517"/>
      <c r="C345" s="1517"/>
      <c r="D345" s="735"/>
    </row>
    <row r="346">
      <c r="B346" s="1517"/>
      <c r="C346" s="1517"/>
      <c r="D346" s="735"/>
    </row>
    <row r="347">
      <c r="B347" s="1517"/>
      <c r="C347" s="1517"/>
      <c r="D347" s="735"/>
    </row>
    <row r="348">
      <c r="B348" s="1517"/>
      <c r="C348" s="1517"/>
      <c r="D348" s="735"/>
    </row>
    <row r="349">
      <c r="B349" s="1517"/>
      <c r="C349" s="1517"/>
      <c r="D349" s="735"/>
    </row>
    <row r="350">
      <c r="B350" s="1517"/>
      <c r="C350" s="1517"/>
      <c r="D350" s="735"/>
    </row>
    <row r="351">
      <c r="B351" s="1517"/>
      <c r="C351" s="1517"/>
      <c r="D351" s="735"/>
    </row>
    <row r="352">
      <c r="B352" s="1517"/>
      <c r="C352" s="1517"/>
      <c r="D352" s="735"/>
    </row>
    <row r="353">
      <c r="B353" s="1517"/>
      <c r="C353" s="1517"/>
      <c r="D353" s="735"/>
    </row>
    <row r="354">
      <c r="B354" s="1517"/>
      <c r="C354" s="1517"/>
      <c r="D354" s="735"/>
    </row>
    <row r="355">
      <c r="B355" s="1517"/>
      <c r="C355" s="1517"/>
      <c r="D355" s="735"/>
    </row>
    <row r="356">
      <c r="B356" s="1517"/>
      <c r="C356" s="1517"/>
      <c r="D356" s="735"/>
    </row>
    <row r="357">
      <c r="B357" s="1517"/>
      <c r="C357" s="1517"/>
      <c r="D357" s="735"/>
    </row>
    <row r="358">
      <c r="B358" s="1517"/>
      <c r="C358" s="1517"/>
      <c r="D358" s="735"/>
    </row>
    <row r="359">
      <c r="B359" s="1517"/>
      <c r="C359" s="1517"/>
      <c r="D359" s="735"/>
    </row>
    <row r="360">
      <c r="B360" s="1517"/>
      <c r="C360" s="1517"/>
      <c r="D360" s="735"/>
    </row>
    <row r="361">
      <c r="B361" s="1517"/>
      <c r="C361" s="1517"/>
      <c r="D361" s="735"/>
    </row>
    <row r="362">
      <c r="B362" s="1517"/>
      <c r="C362" s="1517"/>
      <c r="D362" s="735"/>
    </row>
    <row r="363">
      <c r="B363" s="1517"/>
      <c r="C363" s="1517"/>
      <c r="D363" s="735"/>
    </row>
    <row r="364">
      <c r="B364" s="1517"/>
      <c r="C364" s="1517"/>
      <c r="D364" s="735"/>
    </row>
    <row r="365">
      <c r="B365" s="1517"/>
      <c r="C365" s="1517"/>
      <c r="D365" s="735"/>
    </row>
    <row r="366">
      <c r="B366" s="1517"/>
      <c r="C366" s="1517"/>
      <c r="D366" s="735"/>
    </row>
    <row r="367">
      <c r="B367" s="1517"/>
      <c r="C367" s="1517"/>
      <c r="D367" s="735"/>
    </row>
    <row r="368">
      <c r="B368" s="1517"/>
      <c r="C368" s="1517"/>
      <c r="D368" s="735"/>
    </row>
    <row r="369">
      <c r="B369" s="1517"/>
      <c r="C369" s="1517"/>
      <c r="D369" s="735"/>
    </row>
    <row r="370">
      <c r="B370" s="1517"/>
      <c r="C370" s="1517"/>
      <c r="D370" s="735"/>
    </row>
    <row r="371">
      <c r="B371" s="1517"/>
      <c r="C371" s="1517"/>
      <c r="D371" s="735"/>
    </row>
    <row r="372">
      <c r="B372" s="1517"/>
      <c r="C372" s="1517"/>
      <c r="D372" s="735"/>
    </row>
    <row r="373">
      <c r="B373" s="1517"/>
      <c r="C373" s="1517"/>
      <c r="D373" s="735"/>
    </row>
    <row r="374">
      <c r="B374" s="1517"/>
      <c r="C374" s="1517"/>
      <c r="D374" s="735"/>
    </row>
    <row r="375">
      <c r="B375" s="1517"/>
      <c r="C375" s="1517"/>
      <c r="D375" s="735"/>
    </row>
    <row r="376">
      <c r="B376" s="1517"/>
      <c r="C376" s="1517"/>
      <c r="D376" s="735"/>
    </row>
    <row r="377">
      <c r="B377" s="1517"/>
      <c r="C377" s="1517"/>
      <c r="D377" s="735"/>
    </row>
    <row r="378">
      <c r="B378" s="1517"/>
      <c r="C378" s="1517"/>
      <c r="D378" s="735"/>
    </row>
    <row r="379">
      <c r="B379" s="1517"/>
      <c r="C379" s="1517"/>
      <c r="D379" s="735"/>
    </row>
    <row r="380">
      <c r="B380" s="1517"/>
      <c r="C380" s="1517"/>
      <c r="D380" s="735"/>
    </row>
    <row r="381">
      <c r="B381" s="1517"/>
      <c r="C381" s="1517"/>
      <c r="D381" s="735"/>
    </row>
    <row r="382">
      <c r="B382" s="1517"/>
      <c r="C382" s="1517"/>
      <c r="D382" s="735"/>
    </row>
    <row r="383">
      <c r="B383" s="1517"/>
      <c r="C383" s="1517"/>
      <c r="D383" s="735"/>
    </row>
    <row r="384">
      <c r="B384" s="1517"/>
      <c r="C384" s="1517"/>
      <c r="D384" s="735"/>
    </row>
    <row r="385">
      <c r="B385" s="1517"/>
      <c r="C385" s="1517"/>
      <c r="D385" s="735"/>
    </row>
    <row r="386">
      <c r="B386" s="1517"/>
      <c r="C386" s="1517"/>
      <c r="D386" s="735"/>
    </row>
    <row r="387">
      <c r="B387" s="1517"/>
      <c r="C387" s="1517"/>
      <c r="D387" s="735"/>
    </row>
    <row r="388">
      <c r="B388" s="1517"/>
      <c r="C388" s="1517"/>
      <c r="D388" s="735"/>
    </row>
    <row r="389">
      <c r="B389" s="1517"/>
      <c r="C389" s="1517"/>
      <c r="D389" s="735"/>
    </row>
    <row r="390">
      <c r="B390" s="1517"/>
      <c r="C390" s="1517"/>
      <c r="D390" s="735"/>
    </row>
    <row r="391">
      <c r="B391" s="1517"/>
      <c r="C391" s="1517"/>
      <c r="D391" s="735"/>
    </row>
    <row r="392">
      <c r="B392" s="1517"/>
      <c r="C392" s="1517"/>
      <c r="D392" s="735"/>
    </row>
    <row r="393">
      <c r="B393" s="1517"/>
      <c r="C393" s="1517"/>
      <c r="D393" s="735"/>
    </row>
    <row r="394">
      <c r="B394" s="1517"/>
      <c r="C394" s="1517"/>
      <c r="D394" s="735"/>
    </row>
    <row r="395">
      <c r="B395" s="1517"/>
      <c r="C395" s="1517"/>
      <c r="D395" s="735"/>
    </row>
    <row r="396">
      <c r="B396" s="1517"/>
      <c r="C396" s="1517"/>
      <c r="D396" s="735"/>
    </row>
    <row r="397">
      <c r="B397" s="1517"/>
      <c r="C397" s="1517"/>
      <c r="D397" s="735"/>
    </row>
    <row r="398">
      <c r="B398" s="1517"/>
      <c r="C398" s="1517"/>
      <c r="D398" s="735"/>
    </row>
    <row r="399">
      <c r="B399" s="1517"/>
      <c r="C399" s="1517"/>
      <c r="D399" s="735"/>
    </row>
    <row r="400">
      <c r="B400" s="1517"/>
      <c r="C400" s="1517"/>
      <c r="D400" s="735"/>
    </row>
    <row r="401">
      <c r="B401" s="1517"/>
      <c r="C401" s="1517"/>
      <c r="D401" s="735"/>
    </row>
    <row r="402">
      <c r="B402" s="1517"/>
      <c r="C402" s="1517"/>
      <c r="D402" s="735"/>
    </row>
    <row r="403">
      <c r="B403" s="1517"/>
      <c r="C403" s="1517"/>
      <c r="D403" s="735"/>
    </row>
    <row r="404">
      <c r="B404" s="1517"/>
      <c r="C404" s="1517"/>
      <c r="D404" s="735"/>
    </row>
    <row r="405">
      <c r="B405" s="1517"/>
      <c r="C405" s="1517"/>
      <c r="D405" s="735"/>
    </row>
    <row r="406">
      <c r="B406" s="1517"/>
      <c r="C406" s="1517"/>
      <c r="D406" s="735"/>
    </row>
    <row r="407">
      <c r="B407" s="1517"/>
      <c r="C407" s="1517"/>
      <c r="D407" s="735"/>
    </row>
    <row r="408">
      <c r="B408" s="1517"/>
      <c r="C408" s="1517"/>
      <c r="D408" s="735"/>
    </row>
    <row r="409">
      <c r="B409" s="1517"/>
      <c r="C409" s="1517"/>
      <c r="D409" s="735"/>
    </row>
    <row r="410">
      <c r="B410" s="1517"/>
      <c r="C410" s="1517"/>
      <c r="D410" s="735"/>
    </row>
    <row r="411">
      <c r="B411" s="1517"/>
      <c r="C411" s="1517"/>
      <c r="D411" s="735"/>
    </row>
    <row r="412">
      <c r="B412" s="1517"/>
      <c r="C412" s="1517"/>
      <c r="D412" s="735"/>
    </row>
    <row r="413">
      <c r="B413" s="1517"/>
      <c r="C413" s="1517"/>
      <c r="D413" s="735"/>
    </row>
    <row r="414">
      <c r="B414" s="1517"/>
      <c r="C414" s="1517"/>
      <c r="D414" s="735"/>
    </row>
    <row r="415">
      <c r="B415" s="1517"/>
      <c r="C415" s="1517"/>
      <c r="D415" s="735"/>
    </row>
    <row r="416">
      <c r="B416" s="1517"/>
      <c r="C416" s="1517"/>
      <c r="D416" s="735"/>
    </row>
    <row r="417">
      <c r="B417" s="1517"/>
      <c r="C417" s="1517"/>
      <c r="D417" s="735"/>
    </row>
    <row r="418">
      <c r="B418" s="1517"/>
      <c r="C418" s="1517"/>
      <c r="D418" s="735"/>
    </row>
    <row r="419">
      <c r="B419" s="1517"/>
      <c r="C419" s="1517"/>
      <c r="D419" s="735"/>
    </row>
    <row r="420">
      <c r="B420" s="1517"/>
      <c r="C420" s="1517"/>
      <c r="D420" s="735"/>
    </row>
    <row r="421">
      <c r="B421" s="1517"/>
      <c r="C421" s="1517"/>
      <c r="D421" s="735"/>
    </row>
    <row r="422">
      <c r="B422" s="1517"/>
      <c r="C422" s="1517"/>
      <c r="D422" s="735"/>
    </row>
    <row r="423">
      <c r="B423" s="1517"/>
      <c r="C423" s="1517"/>
      <c r="D423" s="735"/>
    </row>
    <row r="424">
      <c r="B424" s="1517"/>
      <c r="C424" s="1517"/>
      <c r="D424" s="735"/>
    </row>
    <row r="425">
      <c r="B425" s="1517"/>
      <c r="C425" s="1517"/>
      <c r="D425" s="735"/>
    </row>
    <row r="426">
      <c r="B426" s="1517"/>
      <c r="C426" s="1517"/>
      <c r="D426" s="735"/>
    </row>
    <row r="427">
      <c r="B427" s="1517"/>
      <c r="C427" s="1517"/>
      <c r="D427" s="735"/>
    </row>
    <row r="428">
      <c r="B428" s="1517"/>
      <c r="C428" s="1517"/>
      <c r="D428" s="735"/>
    </row>
    <row r="429">
      <c r="B429" s="1517"/>
      <c r="C429" s="1517"/>
      <c r="D429" s="735"/>
    </row>
    <row r="430">
      <c r="B430" s="1517"/>
      <c r="C430" s="1517"/>
      <c r="D430" s="735"/>
    </row>
    <row r="431">
      <c r="B431" s="1517"/>
      <c r="C431" s="1517"/>
      <c r="D431" s="735"/>
    </row>
    <row r="432">
      <c r="B432" s="1517"/>
      <c r="C432" s="1517"/>
      <c r="D432" s="735"/>
    </row>
    <row r="433">
      <c r="B433" s="1517"/>
      <c r="C433" s="1517"/>
      <c r="D433" s="735"/>
    </row>
    <row r="434">
      <c r="B434" s="1517"/>
      <c r="C434" s="1517"/>
      <c r="D434" s="735"/>
    </row>
    <row r="435">
      <c r="B435" s="1517"/>
      <c r="C435" s="1517"/>
      <c r="D435" s="735"/>
    </row>
    <row r="436">
      <c r="B436" s="1517"/>
      <c r="C436" s="1517"/>
      <c r="D436" s="735"/>
    </row>
    <row r="437">
      <c r="B437" s="1517"/>
      <c r="C437" s="1517"/>
      <c r="D437" s="735"/>
    </row>
    <row r="438">
      <c r="B438" s="1517"/>
      <c r="C438" s="1517"/>
      <c r="D438" s="735"/>
    </row>
    <row r="439">
      <c r="B439" s="1517"/>
      <c r="C439" s="1517"/>
      <c r="D439" s="735"/>
    </row>
    <row r="440">
      <c r="B440" s="1517"/>
      <c r="C440" s="1517"/>
      <c r="D440" s="735"/>
    </row>
    <row r="441">
      <c r="B441" s="1517"/>
      <c r="C441" s="1517"/>
      <c r="D441" s="735"/>
    </row>
    <row r="442">
      <c r="B442" s="1517"/>
      <c r="C442" s="1517"/>
      <c r="D442" s="735"/>
    </row>
    <row r="443">
      <c r="B443" s="1517"/>
      <c r="C443" s="1517"/>
      <c r="D443" s="735"/>
    </row>
    <row r="444">
      <c r="B444" s="1517"/>
      <c r="C444" s="1517"/>
      <c r="D444" s="735"/>
    </row>
    <row r="445">
      <c r="B445" s="1517"/>
      <c r="C445" s="1517"/>
      <c r="D445" s="735"/>
    </row>
    <row r="446">
      <c r="B446" s="1517"/>
      <c r="C446" s="1517"/>
      <c r="D446" s="735"/>
    </row>
    <row r="447">
      <c r="B447" s="1517"/>
      <c r="C447" s="1517"/>
      <c r="D447" s="735"/>
    </row>
    <row r="448">
      <c r="B448" s="1517"/>
      <c r="C448" s="1517"/>
      <c r="D448" s="735"/>
    </row>
    <row r="449">
      <c r="B449" s="1517"/>
      <c r="C449" s="1517"/>
      <c r="D449" s="735"/>
    </row>
    <row r="450">
      <c r="B450" s="1517"/>
      <c r="C450" s="1517"/>
      <c r="D450" s="735"/>
    </row>
    <row r="451">
      <c r="B451" s="1517"/>
      <c r="C451" s="1517"/>
      <c r="D451" s="735"/>
    </row>
    <row r="452">
      <c r="B452" s="1517"/>
      <c r="C452" s="1517"/>
      <c r="D452" s="735"/>
    </row>
    <row r="453">
      <c r="B453" s="1517"/>
      <c r="C453" s="1517"/>
      <c r="D453" s="735"/>
    </row>
    <row r="454">
      <c r="B454" s="1517"/>
      <c r="C454" s="1517"/>
      <c r="D454" s="735"/>
    </row>
    <row r="455">
      <c r="B455" s="1517"/>
      <c r="C455" s="1517"/>
      <c r="D455" s="735"/>
    </row>
    <row r="456">
      <c r="B456" s="1517"/>
      <c r="C456" s="1517"/>
      <c r="D456" s="735"/>
    </row>
    <row r="457">
      <c r="B457" s="1517"/>
      <c r="C457" s="1517"/>
      <c r="D457" s="735"/>
    </row>
    <row r="458">
      <c r="B458" s="1517"/>
      <c r="C458" s="1517"/>
      <c r="D458" s="735"/>
    </row>
    <row r="459">
      <c r="B459" s="1517"/>
      <c r="C459" s="1517"/>
      <c r="D459" s="735"/>
    </row>
    <row r="460">
      <c r="B460" s="1517"/>
      <c r="C460" s="1517"/>
      <c r="D460" s="735"/>
    </row>
    <row r="461">
      <c r="B461" s="1517"/>
      <c r="C461" s="1517"/>
      <c r="D461" s="735"/>
    </row>
    <row r="462">
      <c r="B462" s="1517"/>
      <c r="C462" s="1517"/>
      <c r="D462" s="735"/>
    </row>
    <row r="463">
      <c r="B463" s="1517"/>
      <c r="C463" s="1517"/>
      <c r="D463" s="735"/>
    </row>
    <row r="464">
      <c r="B464" s="1517"/>
      <c r="C464" s="1517"/>
      <c r="D464" s="735"/>
    </row>
    <row r="465">
      <c r="B465" s="1517"/>
      <c r="C465" s="1517"/>
      <c r="D465" s="735"/>
    </row>
    <row r="466">
      <c r="B466" s="1517"/>
      <c r="C466" s="1517"/>
      <c r="D466" s="735"/>
    </row>
    <row r="467">
      <c r="B467" s="1517"/>
      <c r="C467" s="1517"/>
      <c r="D467" s="735"/>
    </row>
    <row r="468">
      <c r="B468" s="1517"/>
      <c r="C468" s="1517"/>
      <c r="D468" s="735"/>
    </row>
    <row r="469">
      <c r="B469" s="1517"/>
      <c r="C469" s="1517"/>
      <c r="D469" s="735"/>
    </row>
    <row r="470">
      <c r="B470" s="1517"/>
      <c r="C470" s="1517"/>
      <c r="D470" s="735"/>
    </row>
    <row r="471">
      <c r="B471" s="1517"/>
      <c r="C471" s="1517"/>
      <c r="D471" s="735"/>
    </row>
    <row r="472">
      <c r="B472" s="1517"/>
      <c r="C472" s="1517"/>
      <c r="D472" s="735"/>
    </row>
    <row r="473">
      <c r="B473" s="1517"/>
      <c r="C473" s="1517"/>
      <c r="D473" s="735"/>
    </row>
    <row r="474">
      <c r="B474" s="1517"/>
      <c r="C474" s="1517"/>
      <c r="D474" s="735"/>
    </row>
    <row r="475">
      <c r="B475" s="1517"/>
      <c r="C475" s="1517"/>
      <c r="D475" s="735"/>
    </row>
    <row r="476">
      <c r="B476" s="1517"/>
      <c r="C476" s="1517"/>
      <c r="D476" s="735"/>
    </row>
    <row r="477">
      <c r="B477" s="1517"/>
      <c r="C477" s="1517"/>
      <c r="D477" s="735"/>
    </row>
    <row r="478">
      <c r="B478" s="1517"/>
      <c r="C478" s="1517"/>
      <c r="D478" s="735"/>
    </row>
    <row r="479">
      <c r="B479" s="1517"/>
      <c r="C479" s="1517"/>
      <c r="D479" s="735"/>
    </row>
    <row r="480">
      <c r="B480" s="1517"/>
      <c r="C480" s="1517"/>
      <c r="D480" s="735"/>
    </row>
    <row r="481">
      <c r="B481" s="1517"/>
      <c r="C481" s="1517"/>
      <c r="D481" s="735"/>
    </row>
    <row r="482">
      <c r="B482" s="1517"/>
      <c r="C482" s="1517"/>
      <c r="D482" s="735"/>
    </row>
    <row r="483">
      <c r="B483" s="1517"/>
      <c r="C483" s="1517"/>
      <c r="D483" s="735"/>
    </row>
    <row r="484">
      <c r="B484" s="1517"/>
      <c r="C484" s="1517"/>
      <c r="D484" s="735"/>
    </row>
    <row r="485">
      <c r="B485" s="1517"/>
      <c r="C485" s="1517"/>
      <c r="D485" s="735"/>
    </row>
    <row r="486">
      <c r="B486" s="1517"/>
      <c r="C486" s="1517"/>
      <c r="D486" s="735"/>
    </row>
    <row r="487">
      <c r="B487" s="1517"/>
      <c r="C487" s="1517"/>
      <c r="D487" s="735"/>
    </row>
    <row r="488">
      <c r="B488" s="1517"/>
      <c r="C488" s="1517"/>
      <c r="D488" s="735"/>
    </row>
    <row r="489">
      <c r="B489" s="1517"/>
      <c r="C489" s="1517"/>
      <c r="D489" s="735"/>
    </row>
    <row r="490">
      <c r="B490" s="1517"/>
      <c r="C490" s="1517"/>
      <c r="D490" s="735"/>
    </row>
    <row r="491">
      <c r="B491" s="1517"/>
      <c r="C491" s="1517"/>
      <c r="D491" s="735"/>
    </row>
    <row r="492">
      <c r="B492" s="1517"/>
      <c r="C492" s="1517"/>
      <c r="D492" s="735"/>
    </row>
    <row r="493">
      <c r="B493" s="1517"/>
      <c r="C493" s="1517"/>
      <c r="D493" s="735"/>
    </row>
    <row r="494">
      <c r="B494" s="1517"/>
      <c r="C494" s="1517"/>
      <c r="D494" s="735"/>
    </row>
    <row r="495">
      <c r="B495" s="1517"/>
      <c r="C495" s="1517"/>
      <c r="D495" s="735"/>
    </row>
    <row r="496">
      <c r="B496" s="1517"/>
      <c r="C496" s="1517"/>
      <c r="D496" s="735"/>
    </row>
    <row r="497">
      <c r="B497" s="1517"/>
      <c r="C497" s="1517"/>
      <c r="D497" s="735"/>
    </row>
    <row r="498">
      <c r="B498" s="1517"/>
      <c r="C498" s="1517"/>
      <c r="D498" s="735"/>
    </row>
    <row r="499">
      <c r="B499" s="1517"/>
      <c r="C499" s="1517"/>
      <c r="D499" s="735"/>
    </row>
    <row r="500">
      <c r="B500" s="1517"/>
      <c r="C500" s="1517"/>
      <c r="D500" s="735"/>
    </row>
    <row r="501">
      <c r="B501" s="1517"/>
      <c r="C501" s="1517"/>
      <c r="D501" s="735"/>
    </row>
    <row r="502">
      <c r="B502" s="1517"/>
      <c r="C502" s="1517"/>
      <c r="D502" s="735"/>
    </row>
    <row r="503">
      <c r="B503" s="1517"/>
      <c r="C503" s="1517"/>
      <c r="D503" s="735"/>
    </row>
    <row r="504">
      <c r="B504" s="1517"/>
      <c r="C504" s="1517"/>
      <c r="D504" s="735"/>
    </row>
    <row r="505">
      <c r="B505" s="1517"/>
      <c r="C505" s="1517"/>
      <c r="D505" s="735"/>
    </row>
    <row r="506">
      <c r="B506" s="1517"/>
      <c r="C506" s="1517"/>
      <c r="D506" s="735"/>
    </row>
    <row r="507">
      <c r="B507" s="1517"/>
      <c r="C507" s="1517"/>
      <c r="D507" s="735"/>
    </row>
    <row r="508">
      <c r="B508" s="1517"/>
      <c r="C508" s="1517"/>
      <c r="D508" s="735"/>
    </row>
    <row r="509">
      <c r="B509" s="1517"/>
      <c r="C509" s="1517"/>
      <c r="D509" s="735"/>
    </row>
    <row r="510">
      <c r="B510" s="1517"/>
      <c r="C510" s="1517"/>
      <c r="D510" s="735"/>
    </row>
    <row r="511">
      <c r="B511" s="1517"/>
      <c r="C511" s="1517"/>
      <c r="D511" s="735"/>
    </row>
    <row r="512">
      <c r="B512" s="1517"/>
      <c r="C512" s="1517"/>
      <c r="D512" s="735"/>
    </row>
    <row r="513">
      <c r="B513" s="1517"/>
      <c r="C513" s="1517"/>
      <c r="D513" s="735"/>
    </row>
    <row r="514">
      <c r="B514" s="1517"/>
      <c r="C514" s="1517"/>
      <c r="D514" s="735"/>
    </row>
    <row r="515">
      <c r="B515" s="1517"/>
      <c r="C515" s="1517"/>
      <c r="D515" s="735"/>
    </row>
    <row r="516">
      <c r="B516" s="1517"/>
      <c r="C516" s="1517"/>
      <c r="D516" s="735"/>
    </row>
    <row r="517">
      <c r="B517" s="1517"/>
      <c r="C517" s="1517"/>
      <c r="D517" s="735"/>
    </row>
    <row r="518">
      <c r="B518" s="1517"/>
      <c r="C518" s="1517"/>
      <c r="D518" s="735"/>
    </row>
    <row r="519">
      <c r="B519" s="1517"/>
      <c r="C519" s="1517"/>
      <c r="D519" s="735"/>
    </row>
    <row r="520">
      <c r="B520" s="1517"/>
      <c r="C520" s="1517"/>
      <c r="D520" s="735"/>
    </row>
    <row r="521">
      <c r="B521" s="1517"/>
      <c r="C521" s="1517"/>
      <c r="D521" s="735"/>
    </row>
    <row r="522">
      <c r="B522" s="1517"/>
      <c r="C522" s="1517"/>
      <c r="D522" s="735"/>
    </row>
    <row r="523">
      <c r="B523" s="1517"/>
      <c r="C523" s="1517"/>
      <c r="D523" s="735"/>
    </row>
    <row r="524">
      <c r="B524" s="1517"/>
      <c r="C524" s="1517"/>
      <c r="D524" s="735"/>
    </row>
    <row r="525">
      <c r="B525" s="1517"/>
      <c r="C525" s="1517"/>
      <c r="D525" s="735"/>
    </row>
    <row r="526">
      <c r="B526" s="1517"/>
      <c r="C526" s="1517"/>
      <c r="D526" s="735"/>
    </row>
    <row r="527">
      <c r="B527" s="1517"/>
      <c r="C527" s="1517"/>
      <c r="D527" s="735"/>
    </row>
    <row r="528">
      <c r="B528" s="1517"/>
      <c r="C528" s="1517"/>
      <c r="D528" s="735"/>
    </row>
    <row r="529">
      <c r="B529" s="1517"/>
      <c r="C529" s="1517"/>
      <c r="D529" s="735"/>
    </row>
    <row r="530">
      <c r="B530" s="1517"/>
      <c r="C530" s="1517"/>
      <c r="D530" s="735"/>
    </row>
    <row r="531">
      <c r="B531" s="1517"/>
      <c r="C531" s="1517"/>
      <c r="D531" s="735"/>
    </row>
    <row r="532">
      <c r="B532" s="1517"/>
      <c r="C532" s="1517"/>
      <c r="D532" s="735"/>
    </row>
    <row r="533">
      <c r="B533" s="1517"/>
      <c r="C533" s="1517"/>
      <c r="D533" s="735"/>
    </row>
    <row r="534">
      <c r="B534" s="1517"/>
      <c r="C534" s="1517"/>
      <c r="D534" s="735"/>
    </row>
    <row r="535">
      <c r="B535" s="1517"/>
      <c r="C535" s="1517"/>
      <c r="D535" s="735"/>
    </row>
    <row r="536">
      <c r="B536" s="1517"/>
      <c r="C536" s="1517"/>
      <c r="D536" s="735"/>
    </row>
    <row r="537">
      <c r="B537" s="1517"/>
      <c r="C537" s="1517"/>
      <c r="D537" s="735"/>
    </row>
    <row r="538">
      <c r="B538" s="1517"/>
      <c r="C538" s="1517"/>
      <c r="D538" s="735"/>
    </row>
    <row r="539">
      <c r="B539" s="1517"/>
      <c r="C539" s="1517"/>
      <c r="D539" s="735"/>
    </row>
    <row r="540">
      <c r="B540" s="1517"/>
      <c r="C540" s="1517"/>
      <c r="D540" s="735"/>
    </row>
    <row r="541">
      <c r="B541" s="1517"/>
      <c r="C541" s="1517"/>
      <c r="D541" s="735"/>
    </row>
    <row r="542">
      <c r="B542" s="1517"/>
      <c r="C542" s="1517"/>
      <c r="D542" s="735"/>
    </row>
    <row r="543">
      <c r="B543" s="1517"/>
      <c r="C543" s="1517"/>
      <c r="D543" s="735"/>
    </row>
    <row r="544">
      <c r="B544" s="1517"/>
      <c r="C544" s="1517"/>
      <c r="D544" s="735"/>
    </row>
    <row r="545">
      <c r="B545" s="1517"/>
      <c r="C545" s="1517"/>
      <c r="D545" s="735"/>
    </row>
    <row r="546">
      <c r="B546" s="1517"/>
      <c r="C546" s="1517"/>
      <c r="D546" s="735"/>
    </row>
    <row r="547">
      <c r="B547" s="1517"/>
      <c r="C547" s="1517"/>
      <c r="D547" s="735"/>
    </row>
    <row r="548">
      <c r="B548" s="1517"/>
      <c r="C548" s="1517"/>
      <c r="D548" s="735"/>
    </row>
    <row r="549">
      <c r="B549" s="1517"/>
      <c r="C549" s="1517"/>
      <c r="D549" s="735"/>
    </row>
    <row r="550">
      <c r="B550" s="1517"/>
      <c r="C550" s="1517"/>
      <c r="D550" s="735"/>
    </row>
    <row r="551">
      <c r="B551" s="1517"/>
      <c r="C551" s="1517"/>
      <c r="D551" s="735"/>
    </row>
    <row r="552">
      <c r="B552" s="1517"/>
      <c r="C552" s="1517"/>
      <c r="D552" s="735"/>
    </row>
    <row r="553">
      <c r="B553" s="1517"/>
      <c r="C553" s="1517"/>
      <c r="D553" s="735"/>
    </row>
    <row r="554">
      <c r="B554" s="1517"/>
      <c r="C554" s="1517"/>
      <c r="D554" s="735"/>
    </row>
    <row r="555">
      <c r="B555" s="1517"/>
      <c r="C555" s="1517"/>
      <c r="D555" s="735"/>
    </row>
    <row r="556">
      <c r="B556" s="1517"/>
      <c r="C556" s="1517"/>
      <c r="D556" s="735"/>
    </row>
    <row r="557">
      <c r="B557" s="1517"/>
      <c r="C557" s="1517"/>
      <c r="D557" s="735"/>
    </row>
    <row r="558">
      <c r="B558" s="1517"/>
      <c r="C558" s="1517"/>
      <c r="D558" s="735"/>
    </row>
    <row r="559">
      <c r="B559" s="1517"/>
      <c r="C559" s="1517"/>
      <c r="D559" s="735"/>
    </row>
    <row r="560">
      <c r="B560" s="1517"/>
      <c r="C560" s="1517"/>
      <c r="D560" s="735"/>
    </row>
    <row r="561">
      <c r="B561" s="1517"/>
      <c r="C561" s="1517"/>
      <c r="D561" s="735"/>
    </row>
    <row r="562">
      <c r="B562" s="1517"/>
      <c r="C562" s="1517"/>
      <c r="D562" s="735"/>
    </row>
    <row r="563">
      <c r="B563" s="1517"/>
      <c r="C563" s="1517"/>
      <c r="D563" s="735"/>
    </row>
    <row r="564">
      <c r="B564" s="1517"/>
      <c r="C564" s="1517"/>
      <c r="D564" s="735"/>
    </row>
    <row r="565">
      <c r="B565" s="1517"/>
      <c r="C565" s="1517"/>
      <c r="D565" s="735"/>
    </row>
    <row r="566">
      <c r="B566" s="1517"/>
      <c r="C566" s="1517"/>
      <c r="D566" s="735"/>
    </row>
    <row r="567">
      <c r="B567" s="1517"/>
      <c r="C567" s="1517"/>
      <c r="D567" s="735"/>
    </row>
    <row r="568">
      <c r="B568" s="1517"/>
      <c r="C568" s="1517"/>
      <c r="D568" s="735"/>
    </row>
    <row r="569">
      <c r="B569" s="1517"/>
      <c r="C569" s="1517"/>
      <c r="D569" s="735"/>
    </row>
    <row r="570">
      <c r="B570" s="1517"/>
      <c r="C570" s="1517"/>
      <c r="D570" s="735"/>
    </row>
    <row r="571">
      <c r="B571" s="1517"/>
      <c r="C571" s="1517"/>
      <c r="D571" s="735"/>
    </row>
    <row r="572">
      <c r="B572" s="1517"/>
      <c r="C572" s="1517"/>
      <c r="D572" s="735"/>
    </row>
    <row r="573">
      <c r="B573" s="1517"/>
      <c r="C573" s="1517"/>
      <c r="D573" s="735"/>
    </row>
    <row r="574">
      <c r="B574" s="1517"/>
      <c r="C574" s="1517"/>
      <c r="D574" s="735"/>
    </row>
    <row r="575">
      <c r="B575" s="1517"/>
      <c r="C575" s="1517"/>
      <c r="D575" s="735"/>
    </row>
    <row r="576">
      <c r="B576" s="1517"/>
      <c r="C576" s="1517"/>
      <c r="D576" s="735"/>
    </row>
    <row r="577">
      <c r="B577" s="1517"/>
      <c r="C577" s="1517"/>
      <c r="D577" s="735"/>
    </row>
    <row r="578">
      <c r="B578" s="1517"/>
      <c r="C578" s="1517"/>
      <c r="D578" s="735"/>
    </row>
    <row r="579">
      <c r="B579" s="1517"/>
      <c r="C579" s="1517"/>
      <c r="D579" s="735"/>
    </row>
    <row r="580">
      <c r="B580" s="1517"/>
      <c r="C580" s="1517"/>
      <c r="D580" s="735"/>
    </row>
    <row r="581">
      <c r="B581" s="1517"/>
      <c r="C581" s="1517"/>
      <c r="D581" s="735"/>
    </row>
    <row r="582">
      <c r="B582" s="1517"/>
      <c r="C582" s="1517"/>
      <c r="D582" s="735"/>
    </row>
    <row r="583">
      <c r="B583" s="1517"/>
      <c r="C583" s="1517"/>
      <c r="D583" s="735"/>
    </row>
    <row r="584">
      <c r="B584" s="1517"/>
      <c r="C584" s="1517"/>
      <c r="D584" s="735"/>
    </row>
    <row r="585">
      <c r="B585" s="1517"/>
      <c r="C585" s="1517"/>
      <c r="D585" s="735"/>
    </row>
    <row r="586">
      <c r="B586" s="1517"/>
      <c r="C586" s="1517"/>
      <c r="D586" s="735"/>
    </row>
    <row r="587">
      <c r="B587" s="1517"/>
      <c r="C587" s="1517"/>
      <c r="D587" s="735"/>
    </row>
    <row r="588">
      <c r="B588" s="1517"/>
      <c r="C588" s="1517"/>
      <c r="D588" s="735"/>
    </row>
    <row r="589">
      <c r="B589" s="1517"/>
      <c r="C589" s="1517"/>
      <c r="D589" s="735"/>
    </row>
    <row r="590">
      <c r="B590" s="1517"/>
      <c r="C590" s="1517"/>
      <c r="D590" s="735"/>
    </row>
    <row r="591">
      <c r="B591" s="1517"/>
      <c r="C591" s="1517"/>
      <c r="D591" s="735"/>
    </row>
    <row r="592">
      <c r="B592" s="1517"/>
      <c r="C592" s="1517"/>
      <c r="D592" s="735"/>
    </row>
    <row r="593">
      <c r="B593" s="1517"/>
      <c r="C593" s="1517"/>
      <c r="D593" s="735"/>
    </row>
    <row r="594">
      <c r="B594" s="1517"/>
      <c r="C594" s="1517"/>
      <c r="D594" s="735"/>
    </row>
    <row r="595">
      <c r="B595" s="1517"/>
      <c r="C595" s="1517"/>
      <c r="D595" s="735"/>
    </row>
    <row r="596">
      <c r="B596" s="1517"/>
      <c r="C596" s="1517"/>
      <c r="D596" s="735"/>
    </row>
    <row r="597">
      <c r="B597" s="1517"/>
      <c r="C597" s="1517"/>
      <c r="D597" s="735"/>
    </row>
    <row r="598">
      <c r="B598" s="1517"/>
      <c r="C598" s="1517"/>
      <c r="D598" s="735"/>
    </row>
    <row r="599">
      <c r="B599" s="1517"/>
      <c r="C599" s="1517"/>
      <c r="D599" s="735"/>
    </row>
    <row r="600">
      <c r="B600" s="1517"/>
      <c r="C600" s="1517"/>
      <c r="D600" s="735"/>
    </row>
    <row r="601">
      <c r="B601" s="1517"/>
      <c r="C601" s="1517"/>
      <c r="D601" s="735"/>
    </row>
    <row r="602">
      <c r="B602" s="1517"/>
      <c r="C602" s="1517"/>
      <c r="D602" s="735"/>
    </row>
    <row r="603">
      <c r="B603" s="1517"/>
      <c r="C603" s="1517"/>
      <c r="D603" s="735"/>
    </row>
    <row r="604">
      <c r="B604" s="1517"/>
      <c r="C604" s="1517"/>
      <c r="D604" s="735"/>
    </row>
    <row r="605">
      <c r="B605" s="1517"/>
      <c r="C605" s="1517"/>
      <c r="D605" s="735"/>
    </row>
    <row r="606">
      <c r="B606" s="1517"/>
      <c r="C606" s="1517"/>
      <c r="D606" s="735"/>
    </row>
    <row r="607">
      <c r="B607" s="1517"/>
      <c r="C607" s="1517"/>
      <c r="D607" s="735"/>
    </row>
    <row r="608">
      <c r="B608" s="1517"/>
      <c r="C608" s="1517"/>
      <c r="D608" s="735"/>
    </row>
    <row r="609">
      <c r="B609" s="1517"/>
      <c r="C609" s="1517"/>
      <c r="D609" s="735"/>
    </row>
    <row r="610">
      <c r="B610" s="1517"/>
      <c r="C610" s="1517"/>
      <c r="D610" s="735"/>
    </row>
    <row r="611">
      <c r="B611" s="1517"/>
      <c r="C611" s="1517"/>
      <c r="D611" s="735"/>
    </row>
    <row r="612">
      <c r="B612" s="1517"/>
      <c r="C612" s="1517"/>
      <c r="D612" s="735"/>
    </row>
    <row r="613">
      <c r="B613" s="1517"/>
      <c r="C613" s="1517"/>
      <c r="D613" s="735"/>
    </row>
    <row r="614">
      <c r="B614" s="1517"/>
      <c r="C614" s="1517"/>
      <c r="D614" s="735"/>
    </row>
    <row r="615">
      <c r="B615" s="1517"/>
      <c r="C615" s="1517"/>
      <c r="D615" s="735"/>
    </row>
    <row r="616">
      <c r="B616" s="1517"/>
      <c r="C616" s="1517"/>
      <c r="D616" s="735"/>
    </row>
    <row r="617">
      <c r="B617" s="1517"/>
      <c r="C617" s="1517"/>
      <c r="D617" s="735"/>
    </row>
    <row r="618">
      <c r="B618" s="1517"/>
      <c r="C618" s="1517"/>
      <c r="D618" s="735"/>
    </row>
    <row r="619">
      <c r="B619" s="1517"/>
      <c r="C619" s="1517"/>
      <c r="D619" s="735"/>
    </row>
    <row r="620">
      <c r="B620" s="1517"/>
      <c r="C620" s="1517"/>
      <c r="D620" s="735"/>
    </row>
    <row r="621">
      <c r="B621" s="1517"/>
      <c r="C621" s="1517"/>
      <c r="D621" s="735"/>
    </row>
    <row r="622">
      <c r="B622" s="1517"/>
      <c r="C622" s="1517"/>
      <c r="D622" s="735"/>
    </row>
    <row r="623">
      <c r="B623" s="1517"/>
      <c r="C623" s="1517"/>
      <c r="D623" s="735"/>
    </row>
    <row r="624">
      <c r="B624" s="1517"/>
      <c r="C624" s="1517"/>
      <c r="D624" s="735"/>
    </row>
    <row r="625">
      <c r="B625" s="1517"/>
      <c r="C625" s="1517"/>
      <c r="D625" s="735"/>
    </row>
    <row r="626">
      <c r="B626" s="1517"/>
      <c r="C626" s="1517"/>
      <c r="D626" s="735"/>
    </row>
    <row r="627">
      <c r="B627" s="1517"/>
      <c r="C627" s="1517"/>
      <c r="D627" s="735"/>
    </row>
    <row r="628">
      <c r="B628" s="1517"/>
      <c r="C628" s="1517"/>
      <c r="D628" s="735"/>
    </row>
    <row r="629">
      <c r="B629" s="1517"/>
      <c r="C629" s="1517"/>
      <c r="D629" s="735"/>
    </row>
    <row r="630">
      <c r="B630" s="1517"/>
      <c r="C630" s="1517"/>
      <c r="D630" s="735"/>
    </row>
    <row r="631">
      <c r="B631" s="1517"/>
      <c r="C631" s="1517"/>
      <c r="D631" s="735"/>
    </row>
    <row r="632">
      <c r="B632" s="1517"/>
      <c r="C632" s="1517"/>
      <c r="D632" s="735"/>
    </row>
    <row r="633">
      <c r="B633" s="1517"/>
      <c r="C633" s="1517"/>
      <c r="D633" s="735"/>
    </row>
    <row r="634">
      <c r="B634" s="1517"/>
      <c r="C634" s="1517"/>
      <c r="D634" s="735"/>
    </row>
    <row r="635">
      <c r="B635" s="1517"/>
      <c r="C635" s="1517"/>
      <c r="D635" s="735"/>
    </row>
    <row r="636">
      <c r="B636" s="1517"/>
      <c r="C636" s="1517"/>
      <c r="D636" s="735"/>
    </row>
    <row r="637">
      <c r="B637" s="1517"/>
      <c r="C637" s="1517"/>
      <c r="D637" s="735"/>
    </row>
    <row r="638">
      <c r="B638" s="1517"/>
      <c r="C638" s="1517"/>
      <c r="D638" s="735"/>
    </row>
    <row r="639">
      <c r="B639" s="1517"/>
      <c r="C639" s="1517"/>
      <c r="D639" s="735"/>
    </row>
    <row r="640">
      <c r="B640" s="1517"/>
      <c r="C640" s="1517"/>
      <c r="D640" s="735"/>
    </row>
    <row r="641">
      <c r="B641" s="1517"/>
      <c r="C641" s="1517"/>
      <c r="D641" s="735"/>
    </row>
    <row r="642">
      <c r="B642" s="1517"/>
      <c r="C642" s="1517"/>
      <c r="D642" s="735"/>
    </row>
    <row r="643">
      <c r="B643" s="1517"/>
      <c r="C643" s="1517"/>
      <c r="D643" s="735"/>
    </row>
    <row r="644">
      <c r="B644" s="1517"/>
      <c r="C644" s="1517"/>
      <c r="D644" s="735"/>
    </row>
    <row r="645">
      <c r="B645" s="1517"/>
      <c r="C645" s="1517"/>
      <c r="D645" s="735"/>
    </row>
    <row r="646">
      <c r="B646" s="1517"/>
      <c r="C646" s="1517"/>
      <c r="D646" s="735"/>
    </row>
    <row r="647">
      <c r="B647" s="1517"/>
      <c r="C647" s="1517"/>
      <c r="D647" s="735"/>
    </row>
    <row r="648">
      <c r="B648" s="1517"/>
      <c r="C648" s="1517"/>
      <c r="D648" s="735"/>
    </row>
    <row r="649">
      <c r="B649" s="1517"/>
      <c r="C649" s="1517"/>
      <c r="D649" s="735"/>
    </row>
    <row r="650">
      <c r="B650" s="1517"/>
      <c r="C650" s="1517"/>
      <c r="D650" s="735"/>
    </row>
    <row r="651">
      <c r="B651" s="1517"/>
      <c r="C651" s="1517"/>
      <c r="D651" s="735"/>
    </row>
    <row r="652">
      <c r="B652" s="1517"/>
      <c r="C652" s="1517"/>
      <c r="D652" s="735"/>
    </row>
    <row r="653">
      <c r="B653" s="1517"/>
      <c r="C653" s="1517"/>
      <c r="D653" s="735"/>
    </row>
    <row r="654">
      <c r="B654" s="1517"/>
      <c r="C654" s="1517"/>
      <c r="D654" s="735"/>
    </row>
    <row r="655">
      <c r="B655" s="1517"/>
      <c r="C655" s="1517"/>
      <c r="D655" s="735"/>
    </row>
    <row r="656">
      <c r="B656" s="1517"/>
      <c r="C656" s="1517"/>
      <c r="D656" s="735"/>
    </row>
    <row r="657">
      <c r="B657" s="1517"/>
      <c r="C657" s="1517"/>
      <c r="D657" s="735"/>
    </row>
    <row r="658">
      <c r="B658" s="1517"/>
      <c r="C658" s="1517"/>
      <c r="D658" s="735"/>
    </row>
    <row r="659">
      <c r="B659" s="1517"/>
      <c r="C659" s="1517"/>
      <c r="D659" s="735"/>
    </row>
    <row r="660">
      <c r="B660" s="1517"/>
      <c r="C660" s="1517"/>
      <c r="D660" s="735"/>
    </row>
    <row r="661">
      <c r="B661" s="1517"/>
      <c r="C661" s="1517"/>
      <c r="D661" s="735"/>
    </row>
    <row r="662">
      <c r="B662" s="1517"/>
      <c r="C662" s="1517"/>
      <c r="D662" s="735"/>
    </row>
    <row r="663">
      <c r="B663" s="1517"/>
      <c r="C663" s="1517"/>
      <c r="D663" s="735"/>
    </row>
    <row r="664">
      <c r="B664" s="1517"/>
      <c r="C664" s="1517"/>
      <c r="D664" s="735"/>
    </row>
    <row r="665">
      <c r="B665" s="1517"/>
      <c r="C665" s="1517"/>
      <c r="D665" s="735"/>
    </row>
    <row r="666">
      <c r="B666" s="1517"/>
      <c r="C666" s="1517"/>
      <c r="D666" s="735"/>
    </row>
    <row r="667">
      <c r="B667" s="1517"/>
      <c r="C667" s="1517"/>
      <c r="D667" s="735"/>
    </row>
    <row r="668">
      <c r="B668" s="1517"/>
      <c r="C668" s="1517"/>
      <c r="D668" s="735"/>
    </row>
    <row r="669">
      <c r="B669" s="1517"/>
      <c r="C669" s="1517"/>
      <c r="D669" s="735"/>
    </row>
    <row r="670">
      <c r="B670" s="1517"/>
      <c r="C670" s="1517"/>
      <c r="D670" s="735"/>
    </row>
    <row r="671">
      <c r="B671" s="1517"/>
      <c r="C671" s="1517"/>
      <c r="D671" s="735"/>
    </row>
    <row r="672">
      <c r="B672" s="1517"/>
      <c r="C672" s="1517"/>
      <c r="D672" s="735"/>
    </row>
    <row r="673">
      <c r="B673" s="1517"/>
      <c r="C673" s="1517"/>
      <c r="D673" s="735"/>
    </row>
    <row r="674">
      <c r="B674" s="1517"/>
      <c r="C674" s="1517"/>
      <c r="D674" s="735"/>
    </row>
    <row r="675">
      <c r="B675" s="1517"/>
      <c r="C675" s="1517"/>
      <c r="D675" s="735"/>
    </row>
    <row r="676">
      <c r="B676" s="1517"/>
      <c r="C676" s="1517"/>
      <c r="D676" s="735"/>
    </row>
    <row r="677">
      <c r="B677" s="1517"/>
      <c r="C677" s="1517"/>
      <c r="D677" s="735"/>
    </row>
    <row r="678">
      <c r="B678" s="1517"/>
      <c r="C678" s="1517"/>
      <c r="D678" s="735"/>
    </row>
    <row r="679">
      <c r="B679" s="1517"/>
      <c r="C679" s="1517"/>
      <c r="D679" s="735"/>
    </row>
    <row r="680">
      <c r="B680" s="1517"/>
      <c r="C680" s="1517"/>
      <c r="D680" s="735"/>
    </row>
    <row r="681">
      <c r="B681" s="1517"/>
      <c r="C681" s="1517"/>
      <c r="D681" s="735"/>
    </row>
    <row r="682">
      <c r="B682" s="1517"/>
      <c r="C682" s="1517"/>
      <c r="D682" s="735"/>
    </row>
    <row r="683">
      <c r="B683" s="1517"/>
      <c r="C683" s="1517"/>
      <c r="D683" s="735"/>
    </row>
    <row r="684">
      <c r="B684" s="1517"/>
      <c r="C684" s="1517"/>
      <c r="D684" s="735"/>
    </row>
    <row r="685">
      <c r="B685" s="1517"/>
      <c r="C685" s="1517"/>
      <c r="D685" s="735"/>
    </row>
    <row r="686">
      <c r="B686" s="1517"/>
      <c r="C686" s="1517"/>
      <c r="D686" s="735"/>
    </row>
    <row r="687">
      <c r="B687" s="1517"/>
      <c r="C687" s="1517"/>
      <c r="D687" s="735"/>
    </row>
    <row r="688">
      <c r="B688" s="1517"/>
      <c r="C688" s="1517"/>
      <c r="D688" s="735"/>
    </row>
    <row r="689">
      <c r="B689" s="1517"/>
      <c r="C689" s="1517"/>
      <c r="D689" s="735"/>
    </row>
    <row r="690">
      <c r="B690" s="1517"/>
      <c r="C690" s="1517"/>
      <c r="D690" s="735"/>
    </row>
    <row r="691">
      <c r="B691" s="1517"/>
      <c r="C691" s="1517"/>
      <c r="D691" s="735"/>
    </row>
    <row r="692">
      <c r="B692" s="1517"/>
      <c r="C692" s="1517"/>
      <c r="D692" s="735"/>
    </row>
    <row r="693">
      <c r="B693" s="1517"/>
      <c r="C693" s="1517"/>
      <c r="D693" s="735"/>
    </row>
    <row r="694">
      <c r="B694" s="1517"/>
      <c r="C694" s="1517"/>
      <c r="D694" s="735"/>
    </row>
    <row r="695">
      <c r="B695" s="1517"/>
      <c r="C695" s="1517"/>
      <c r="D695" s="735"/>
    </row>
    <row r="696">
      <c r="B696" s="1517"/>
      <c r="C696" s="1517"/>
      <c r="D696" s="735"/>
    </row>
    <row r="697">
      <c r="B697" s="1517"/>
      <c r="C697" s="1517"/>
      <c r="D697" s="735"/>
    </row>
    <row r="698">
      <c r="B698" s="1517"/>
      <c r="C698" s="1517"/>
      <c r="D698" s="735"/>
    </row>
    <row r="699">
      <c r="B699" s="1517"/>
      <c r="C699" s="1517"/>
      <c r="D699" s="735"/>
    </row>
    <row r="700">
      <c r="B700" s="1517"/>
      <c r="C700" s="1517"/>
      <c r="D700" s="735"/>
    </row>
    <row r="701">
      <c r="B701" s="1517"/>
      <c r="C701" s="1517"/>
      <c r="D701" s="735"/>
    </row>
    <row r="702">
      <c r="B702" s="1517"/>
      <c r="C702" s="1517"/>
      <c r="D702" s="735"/>
    </row>
    <row r="703">
      <c r="B703" s="1517"/>
      <c r="C703" s="1517"/>
      <c r="D703" s="735"/>
    </row>
    <row r="704">
      <c r="B704" s="1517"/>
      <c r="C704" s="1517"/>
      <c r="D704" s="735"/>
    </row>
    <row r="705">
      <c r="B705" s="1517"/>
      <c r="C705" s="1517"/>
      <c r="D705" s="735"/>
    </row>
    <row r="706">
      <c r="B706" s="1517"/>
      <c r="C706" s="1517"/>
      <c r="D706" s="735"/>
    </row>
    <row r="707">
      <c r="B707" s="1517"/>
      <c r="C707" s="1517"/>
      <c r="D707" s="735"/>
    </row>
    <row r="708">
      <c r="B708" s="1517"/>
      <c r="C708" s="1517"/>
      <c r="D708" s="735"/>
    </row>
    <row r="709">
      <c r="B709" s="1517"/>
      <c r="C709" s="1517"/>
      <c r="D709" s="735"/>
    </row>
    <row r="710">
      <c r="B710" s="1517"/>
      <c r="C710" s="1517"/>
      <c r="D710" s="735"/>
    </row>
    <row r="711">
      <c r="B711" s="1517"/>
      <c r="C711" s="1517"/>
      <c r="D711" s="735"/>
    </row>
    <row r="712">
      <c r="B712" s="1517"/>
      <c r="C712" s="1517"/>
      <c r="D712" s="735"/>
    </row>
    <row r="713">
      <c r="B713" s="1517"/>
      <c r="C713" s="1517"/>
      <c r="D713" s="735"/>
    </row>
    <row r="714">
      <c r="B714" s="1517"/>
      <c r="C714" s="1517"/>
      <c r="D714" s="735"/>
    </row>
    <row r="715">
      <c r="B715" s="1517"/>
      <c r="C715" s="1517"/>
      <c r="D715" s="735"/>
    </row>
    <row r="716">
      <c r="B716" s="1517"/>
      <c r="C716" s="1517"/>
      <c r="D716" s="735"/>
    </row>
    <row r="717">
      <c r="B717" s="1517"/>
      <c r="C717" s="1517"/>
      <c r="D717" s="735"/>
    </row>
    <row r="718">
      <c r="B718" s="1517"/>
      <c r="C718" s="1517"/>
      <c r="D718" s="735"/>
    </row>
    <row r="719">
      <c r="B719" s="1517"/>
      <c r="C719" s="1517"/>
      <c r="D719" s="735"/>
    </row>
    <row r="720">
      <c r="B720" s="1517"/>
      <c r="C720" s="1517"/>
      <c r="D720" s="735"/>
    </row>
    <row r="721">
      <c r="B721" s="1517"/>
      <c r="C721" s="1517"/>
      <c r="D721" s="735"/>
    </row>
    <row r="722">
      <c r="B722" s="1517"/>
      <c r="C722" s="1517"/>
      <c r="D722" s="735"/>
    </row>
    <row r="723">
      <c r="B723" s="1517"/>
      <c r="C723" s="1517"/>
      <c r="D723" s="735"/>
    </row>
    <row r="724">
      <c r="B724" s="1517"/>
      <c r="C724" s="1517"/>
      <c r="D724" s="735"/>
    </row>
    <row r="725">
      <c r="B725" s="1517"/>
      <c r="C725" s="1517"/>
      <c r="D725" s="735"/>
    </row>
    <row r="726">
      <c r="B726" s="1517"/>
      <c r="C726" s="1517"/>
      <c r="D726" s="735"/>
    </row>
    <row r="727">
      <c r="B727" s="1517"/>
      <c r="C727" s="1517"/>
      <c r="D727" s="735"/>
    </row>
    <row r="728">
      <c r="B728" s="1517"/>
      <c r="C728" s="1517"/>
      <c r="D728" s="735"/>
    </row>
    <row r="729">
      <c r="B729" s="1517"/>
      <c r="C729" s="1517"/>
      <c r="D729" s="735"/>
    </row>
    <row r="730">
      <c r="B730" s="1517"/>
      <c r="C730" s="1517"/>
      <c r="D730" s="735"/>
    </row>
    <row r="731">
      <c r="B731" s="1517"/>
      <c r="C731" s="1517"/>
      <c r="D731" s="735"/>
    </row>
    <row r="732">
      <c r="B732" s="1517"/>
      <c r="C732" s="1517"/>
      <c r="D732" s="735"/>
    </row>
    <row r="733">
      <c r="B733" s="1517"/>
      <c r="C733" s="1517"/>
      <c r="D733" s="735"/>
    </row>
    <row r="734">
      <c r="B734" s="1517"/>
      <c r="C734" s="1517"/>
      <c r="D734" s="735"/>
    </row>
    <row r="735">
      <c r="B735" s="1517"/>
      <c r="C735" s="1517"/>
      <c r="D735" s="735"/>
    </row>
    <row r="736">
      <c r="B736" s="1517"/>
      <c r="C736" s="1517"/>
      <c r="D736" s="735"/>
    </row>
    <row r="737">
      <c r="B737" s="1517"/>
      <c r="C737" s="1517"/>
      <c r="D737" s="735"/>
    </row>
    <row r="738">
      <c r="B738" s="1517"/>
      <c r="C738" s="1517"/>
      <c r="D738" s="735"/>
    </row>
    <row r="739">
      <c r="B739" s="1517"/>
      <c r="C739" s="1517"/>
      <c r="D739" s="735"/>
    </row>
    <row r="740">
      <c r="B740" s="1517"/>
      <c r="C740" s="1517"/>
      <c r="D740" s="735"/>
    </row>
    <row r="741">
      <c r="B741" s="1517"/>
      <c r="C741" s="1517"/>
      <c r="D741" s="735"/>
    </row>
    <row r="742">
      <c r="B742" s="1517"/>
      <c r="C742" s="1517"/>
      <c r="D742" s="735"/>
    </row>
    <row r="743">
      <c r="B743" s="1517"/>
      <c r="C743" s="1517"/>
      <c r="D743" s="735"/>
    </row>
    <row r="744">
      <c r="B744" s="1517"/>
      <c r="C744" s="1517"/>
      <c r="D744" s="735"/>
    </row>
    <row r="745">
      <c r="B745" s="1517"/>
      <c r="C745" s="1517"/>
      <c r="D745" s="735"/>
    </row>
    <row r="746">
      <c r="B746" s="1517"/>
      <c r="C746" s="1517"/>
      <c r="D746" s="735"/>
    </row>
    <row r="747">
      <c r="B747" s="1517"/>
      <c r="C747" s="1517"/>
      <c r="D747" s="735"/>
    </row>
    <row r="748">
      <c r="B748" s="1517"/>
      <c r="C748" s="1517"/>
      <c r="D748" s="735"/>
    </row>
    <row r="749">
      <c r="B749" s="1517"/>
      <c r="C749" s="1517"/>
      <c r="D749" s="735"/>
    </row>
    <row r="750">
      <c r="B750" s="1517"/>
      <c r="C750" s="1517"/>
      <c r="D750" s="735"/>
    </row>
    <row r="751">
      <c r="B751" s="1517"/>
      <c r="C751" s="1517"/>
      <c r="D751" s="735"/>
    </row>
    <row r="752">
      <c r="B752" s="1517"/>
      <c r="C752" s="1517"/>
      <c r="D752" s="735"/>
    </row>
    <row r="753">
      <c r="B753" s="1517"/>
      <c r="C753" s="1517"/>
      <c r="D753" s="735"/>
    </row>
    <row r="754">
      <c r="B754" s="1517"/>
      <c r="C754" s="1517"/>
      <c r="D754" s="735"/>
    </row>
    <row r="755">
      <c r="B755" s="1517"/>
      <c r="C755" s="1517"/>
      <c r="D755" s="735"/>
    </row>
    <row r="756">
      <c r="B756" s="1517"/>
      <c r="C756" s="1517"/>
      <c r="D756" s="735"/>
    </row>
    <row r="757">
      <c r="B757" s="1517"/>
      <c r="C757" s="1517"/>
      <c r="D757" s="735"/>
    </row>
    <row r="758">
      <c r="B758" s="1517"/>
      <c r="C758" s="1517"/>
      <c r="D758" s="735"/>
    </row>
    <row r="759">
      <c r="B759" s="1517"/>
      <c r="C759" s="1517"/>
      <c r="D759" s="735"/>
    </row>
    <row r="760">
      <c r="B760" s="1517"/>
      <c r="C760" s="1517"/>
      <c r="D760" s="735"/>
    </row>
    <row r="761">
      <c r="B761" s="1517"/>
      <c r="C761" s="1517"/>
      <c r="D761" s="735"/>
    </row>
    <row r="762">
      <c r="B762" s="1517"/>
      <c r="C762" s="1517"/>
      <c r="D762" s="735"/>
    </row>
    <row r="763">
      <c r="B763" s="1517"/>
      <c r="C763" s="1517"/>
      <c r="D763" s="735"/>
    </row>
    <row r="764">
      <c r="B764" s="1517"/>
      <c r="C764" s="1517"/>
      <c r="D764" s="735"/>
    </row>
    <row r="765">
      <c r="B765" s="1517"/>
      <c r="C765" s="1517"/>
      <c r="D765" s="735"/>
    </row>
    <row r="766">
      <c r="B766" s="1517"/>
      <c r="C766" s="1517"/>
      <c r="D766" s="735"/>
    </row>
    <row r="767">
      <c r="B767" s="1517"/>
      <c r="C767" s="1517"/>
      <c r="D767" s="735"/>
    </row>
    <row r="768">
      <c r="B768" s="1517"/>
      <c r="C768" s="1517"/>
      <c r="D768" s="735"/>
    </row>
    <row r="769">
      <c r="B769" s="1517"/>
      <c r="C769" s="1517"/>
      <c r="D769" s="735"/>
    </row>
    <row r="770">
      <c r="B770" s="1517"/>
      <c r="C770" s="1517"/>
      <c r="D770" s="735"/>
    </row>
    <row r="771">
      <c r="B771" s="1517"/>
      <c r="C771" s="1517"/>
      <c r="D771" s="735"/>
    </row>
    <row r="772">
      <c r="B772" s="1517"/>
      <c r="C772" s="1517"/>
      <c r="D772" s="735"/>
    </row>
    <row r="773">
      <c r="B773" s="1517"/>
      <c r="C773" s="1517"/>
      <c r="D773" s="735"/>
    </row>
    <row r="774">
      <c r="B774" s="1517"/>
      <c r="C774" s="1517"/>
      <c r="D774" s="735"/>
    </row>
    <row r="775">
      <c r="B775" s="1517"/>
      <c r="C775" s="1517"/>
      <c r="D775" s="735"/>
    </row>
    <row r="776">
      <c r="B776" s="1517"/>
      <c r="C776" s="1517"/>
      <c r="D776" s="735"/>
    </row>
    <row r="777">
      <c r="B777" s="1517"/>
      <c r="C777" s="1517"/>
      <c r="D777" s="735"/>
    </row>
    <row r="778">
      <c r="B778" s="1517"/>
      <c r="C778" s="1517"/>
      <c r="D778" s="735"/>
    </row>
    <row r="779">
      <c r="B779" s="1517"/>
      <c r="C779" s="1517"/>
      <c r="D779" s="735"/>
    </row>
    <row r="780">
      <c r="B780" s="1517"/>
      <c r="C780" s="1517"/>
      <c r="D780" s="735"/>
    </row>
    <row r="781">
      <c r="B781" s="1517"/>
      <c r="C781" s="1517"/>
      <c r="D781" s="735"/>
    </row>
    <row r="782">
      <c r="B782" s="1517"/>
      <c r="C782" s="1517"/>
      <c r="D782" s="735"/>
    </row>
    <row r="783">
      <c r="B783" s="1517"/>
      <c r="C783" s="1517"/>
      <c r="D783" s="735"/>
    </row>
    <row r="784">
      <c r="B784" s="1517"/>
      <c r="C784" s="1517"/>
      <c r="D784" s="735"/>
    </row>
    <row r="785">
      <c r="B785" s="1517"/>
      <c r="C785" s="1517"/>
      <c r="D785" s="735"/>
    </row>
    <row r="786">
      <c r="B786" s="1517"/>
      <c r="C786" s="1517"/>
      <c r="D786" s="735"/>
    </row>
    <row r="787">
      <c r="B787" s="1517"/>
      <c r="C787" s="1517"/>
      <c r="D787" s="735"/>
    </row>
    <row r="788">
      <c r="B788" s="1517"/>
      <c r="C788" s="1517"/>
      <c r="D788" s="735"/>
    </row>
    <row r="789">
      <c r="B789" s="1517"/>
      <c r="C789" s="1517"/>
      <c r="D789" s="735"/>
    </row>
    <row r="790">
      <c r="B790" s="1517"/>
      <c r="C790" s="1517"/>
      <c r="D790" s="735"/>
    </row>
    <row r="791">
      <c r="B791" s="1517"/>
      <c r="C791" s="1517"/>
      <c r="D791" s="735"/>
    </row>
    <row r="792">
      <c r="B792" s="1517"/>
      <c r="C792" s="1517"/>
      <c r="D792" s="735"/>
    </row>
    <row r="793">
      <c r="B793" s="1517"/>
      <c r="C793" s="1517"/>
      <c r="D793" s="735"/>
    </row>
    <row r="794">
      <c r="B794" s="1517"/>
      <c r="C794" s="1517"/>
      <c r="D794" s="735"/>
    </row>
    <row r="795">
      <c r="B795" s="1517"/>
      <c r="C795" s="1517"/>
      <c r="D795" s="735"/>
    </row>
    <row r="796">
      <c r="B796" s="1517"/>
      <c r="C796" s="1517"/>
      <c r="D796" s="735"/>
    </row>
    <row r="797">
      <c r="B797" s="1517"/>
      <c r="C797" s="1517"/>
      <c r="D797" s="735"/>
    </row>
    <row r="798">
      <c r="B798" s="1517"/>
      <c r="C798" s="1517"/>
      <c r="D798" s="735"/>
    </row>
    <row r="799">
      <c r="B799" s="1517"/>
      <c r="C799" s="1517"/>
      <c r="D799" s="735"/>
    </row>
    <row r="800">
      <c r="B800" s="1517"/>
      <c r="C800" s="1517"/>
      <c r="D800" s="735"/>
    </row>
    <row r="801">
      <c r="B801" s="1517"/>
      <c r="C801" s="1517"/>
      <c r="D801" s="735"/>
    </row>
    <row r="802">
      <c r="B802" s="1517"/>
      <c r="C802" s="1517"/>
      <c r="D802" s="735"/>
    </row>
    <row r="803">
      <c r="B803" s="1517"/>
      <c r="C803" s="1517"/>
      <c r="D803" s="735"/>
    </row>
    <row r="804">
      <c r="B804" s="1517"/>
      <c r="C804" s="1517"/>
      <c r="D804" s="735"/>
    </row>
    <row r="805">
      <c r="B805" s="1517"/>
      <c r="C805" s="1517"/>
      <c r="D805" s="735"/>
    </row>
    <row r="806">
      <c r="B806" s="1517"/>
      <c r="C806" s="1517"/>
      <c r="D806" s="735"/>
    </row>
    <row r="807">
      <c r="B807" s="1517"/>
      <c r="C807" s="1517"/>
      <c r="D807" s="735"/>
    </row>
    <row r="808">
      <c r="B808" s="1517"/>
      <c r="C808" s="1517"/>
      <c r="D808" s="735"/>
    </row>
    <row r="809">
      <c r="B809" s="1517"/>
      <c r="C809" s="1517"/>
      <c r="D809" s="735"/>
    </row>
    <row r="810">
      <c r="B810" s="1517"/>
      <c r="C810" s="1517"/>
      <c r="D810" s="735"/>
    </row>
    <row r="811">
      <c r="B811" s="1517"/>
      <c r="C811" s="1517"/>
      <c r="D811" s="735"/>
    </row>
    <row r="812">
      <c r="B812" s="1517"/>
      <c r="C812" s="1517"/>
      <c r="D812" s="735"/>
    </row>
    <row r="813">
      <c r="B813" s="1517"/>
      <c r="C813" s="1517"/>
      <c r="D813" s="735"/>
    </row>
    <row r="814">
      <c r="B814" s="1517"/>
      <c r="C814" s="1517"/>
      <c r="D814" s="735"/>
    </row>
    <row r="815">
      <c r="B815" s="1517"/>
      <c r="C815" s="1517"/>
      <c r="D815" s="735"/>
    </row>
    <row r="816">
      <c r="B816" s="1517"/>
      <c r="C816" s="1517"/>
      <c r="D816" s="735"/>
    </row>
    <row r="817">
      <c r="B817" s="1517"/>
      <c r="C817" s="1517"/>
      <c r="D817" s="735"/>
    </row>
    <row r="818">
      <c r="B818" s="1517"/>
      <c r="C818" s="1517"/>
      <c r="D818" s="735"/>
    </row>
    <row r="819">
      <c r="B819" s="1517"/>
      <c r="C819" s="1517"/>
      <c r="D819" s="735"/>
    </row>
    <row r="820">
      <c r="B820" s="1517"/>
      <c r="C820" s="1517"/>
      <c r="D820" s="735"/>
    </row>
    <row r="821">
      <c r="B821" s="1517"/>
      <c r="C821" s="1517"/>
      <c r="D821" s="735"/>
    </row>
    <row r="822">
      <c r="B822" s="1517"/>
      <c r="C822" s="1517"/>
      <c r="D822" s="735"/>
    </row>
    <row r="823">
      <c r="B823" s="1517"/>
      <c r="C823" s="1517"/>
      <c r="D823" s="735"/>
    </row>
    <row r="824">
      <c r="B824" s="1517"/>
      <c r="C824" s="1517"/>
      <c r="D824" s="735"/>
    </row>
    <row r="825">
      <c r="B825" s="1517"/>
      <c r="C825" s="1517"/>
      <c r="D825" s="735"/>
    </row>
    <row r="826">
      <c r="B826" s="1517"/>
      <c r="C826" s="1517"/>
      <c r="D826" s="735"/>
    </row>
    <row r="827">
      <c r="B827" s="1517"/>
      <c r="C827" s="1517"/>
      <c r="D827" s="735"/>
    </row>
    <row r="828">
      <c r="B828" s="1517"/>
      <c r="C828" s="1517"/>
      <c r="D828" s="735"/>
    </row>
    <row r="829">
      <c r="B829" s="1517"/>
      <c r="C829" s="1517"/>
      <c r="D829" s="735"/>
    </row>
    <row r="830">
      <c r="B830" s="1517"/>
      <c r="C830" s="1517"/>
      <c r="D830" s="735"/>
    </row>
    <row r="831">
      <c r="B831" s="1517"/>
      <c r="C831" s="1517"/>
      <c r="D831" s="735"/>
    </row>
    <row r="832">
      <c r="B832" s="1517"/>
      <c r="C832" s="1517"/>
      <c r="D832" s="735"/>
    </row>
    <row r="833">
      <c r="B833" s="1517"/>
      <c r="C833" s="1517"/>
      <c r="D833" s="735"/>
    </row>
    <row r="834">
      <c r="B834" s="1517"/>
      <c r="C834" s="1517"/>
      <c r="D834" s="735"/>
    </row>
    <row r="835">
      <c r="B835" s="1517"/>
      <c r="C835" s="1517"/>
      <c r="D835" s="735"/>
    </row>
    <row r="836">
      <c r="B836" s="1517"/>
      <c r="C836" s="1517"/>
      <c r="D836" s="735"/>
    </row>
    <row r="837">
      <c r="B837" s="1517"/>
      <c r="C837" s="1517"/>
      <c r="D837" s="735"/>
    </row>
    <row r="838">
      <c r="B838" s="1517"/>
      <c r="C838" s="1517"/>
      <c r="D838" s="735"/>
    </row>
    <row r="839">
      <c r="B839" s="1517"/>
      <c r="C839" s="1517"/>
      <c r="D839" s="735"/>
    </row>
    <row r="840">
      <c r="B840" s="1517"/>
      <c r="C840" s="1517"/>
      <c r="D840" s="735"/>
    </row>
    <row r="841">
      <c r="B841" s="1517"/>
      <c r="C841" s="1517"/>
      <c r="D841" s="735"/>
    </row>
    <row r="842">
      <c r="B842" s="1517"/>
      <c r="C842" s="1517"/>
      <c r="D842" s="735"/>
    </row>
    <row r="843">
      <c r="B843" s="1517"/>
      <c r="C843" s="1517"/>
      <c r="D843" s="735"/>
    </row>
    <row r="844">
      <c r="B844" s="1517"/>
      <c r="C844" s="1517"/>
      <c r="D844" s="735"/>
    </row>
    <row r="845">
      <c r="B845" s="1517"/>
      <c r="C845" s="1517"/>
      <c r="D845" s="735"/>
    </row>
    <row r="846">
      <c r="B846" s="1517"/>
      <c r="C846" s="1517"/>
      <c r="D846" s="735"/>
    </row>
    <row r="847">
      <c r="B847" s="1517"/>
      <c r="C847" s="1517"/>
      <c r="D847" s="735"/>
    </row>
    <row r="848">
      <c r="B848" s="1517"/>
      <c r="C848" s="1517"/>
      <c r="D848" s="735"/>
    </row>
    <row r="849">
      <c r="B849" s="1517"/>
      <c r="C849" s="1517"/>
      <c r="D849" s="735"/>
    </row>
    <row r="850">
      <c r="B850" s="1517"/>
      <c r="C850" s="1517"/>
      <c r="D850" s="735"/>
    </row>
    <row r="851">
      <c r="B851" s="1517"/>
      <c r="C851" s="1517"/>
      <c r="D851" s="735"/>
    </row>
    <row r="852">
      <c r="B852" s="1517"/>
      <c r="C852" s="1517"/>
      <c r="D852" s="735"/>
    </row>
    <row r="853">
      <c r="B853" s="1517"/>
      <c r="C853" s="1517"/>
      <c r="D853" s="735"/>
    </row>
    <row r="854">
      <c r="B854" s="1517"/>
      <c r="C854" s="1517"/>
      <c r="D854" s="735"/>
    </row>
    <row r="855">
      <c r="B855" s="1517"/>
      <c r="C855" s="1517"/>
      <c r="D855" s="735"/>
    </row>
    <row r="856">
      <c r="B856" s="1517"/>
      <c r="C856" s="1517"/>
      <c r="D856" s="735"/>
    </row>
    <row r="857">
      <c r="B857" s="1517"/>
      <c r="C857" s="1517"/>
      <c r="D857" s="735"/>
    </row>
    <row r="858">
      <c r="B858" s="1517"/>
      <c r="C858" s="1517"/>
      <c r="D858" s="735"/>
    </row>
    <row r="859">
      <c r="B859" s="1517"/>
      <c r="C859" s="1517"/>
      <c r="D859" s="735"/>
    </row>
    <row r="860">
      <c r="B860" s="1517"/>
      <c r="C860" s="1517"/>
      <c r="D860" s="735"/>
    </row>
    <row r="861">
      <c r="B861" s="1517"/>
      <c r="C861" s="1517"/>
      <c r="D861" s="735"/>
    </row>
    <row r="862">
      <c r="B862" s="1517"/>
      <c r="C862" s="1517"/>
      <c r="D862" s="735"/>
    </row>
    <row r="863">
      <c r="B863" s="1517"/>
      <c r="C863" s="1517"/>
      <c r="D863" s="735"/>
    </row>
    <row r="864">
      <c r="B864" s="1517"/>
      <c r="C864" s="1517"/>
      <c r="D864" s="735"/>
    </row>
    <row r="865">
      <c r="B865" s="1517"/>
      <c r="C865" s="1517"/>
      <c r="D865" s="735"/>
    </row>
    <row r="866">
      <c r="B866" s="1517"/>
      <c r="C866" s="1517"/>
      <c r="D866" s="735"/>
    </row>
    <row r="867">
      <c r="B867" s="1517"/>
      <c r="C867" s="1517"/>
      <c r="D867" s="735"/>
    </row>
    <row r="868">
      <c r="B868" s="1517"/>
      <c r="C868" s="1517"/>
      <c r="D868" s="735"/>
    </row>
    <row r="869">
      <c r="B869" s="1517"/>
      <c r="C869" s="1517"/>
      <c r="D869" s="735"/>
    </row>
    <row r="870">
      <c r="B870" s="1517"/>
      <c r="C870" s="1517"/>
      <c r="D870" s="735"/>
    </row>
    <row r="871">
      <c r="B871" s="1517"/>
      <c r="C871" s="1517"/>
      <c r="D871" s="735"/>
    </row>
    <row r="872">
      <c r="B872" s="1517"/>
      <c r="C872" s="1517"/>
      <c r="D872" s="735"/>
    </row>
    <row r="873">
      <c r="B873" s="1517"/>
      <c r="C873" s="1517"/>
      <c r="D873" s="735"/>
    </row>
    <row r="874">
      <c r="B874" s="1517"/>
      <c r="C874" s="1517"/>
      <c r="D874" s="735"/>
    </row>
    <row r="875">
      <c r="B875" s="1517"/>
      <c r="C875" s="1517"/>
      <c r="D875" s="735"/>
    </row>
    <row r="876">
      <c r="B876" s="1517"/>
      <c r="C876" s="1517"/>
      <c r="D876" s="735"/>
    </row>
    <row r="877">
      <c r="B877" s="1517"/>
      <c r="C877" s="1517"/>
      <c r="D877" s="735"/>
    </row>
    <row r="878">
      <c r="B878" s="1517"/>
      <c r="C878" s="1517"/>
      <c r="D878" s="735"/>
    </row>
    <row r="879">
      <c r="B879" s="1517"/>
      <c r="C879" s="1517"/>
      <c r="D879" s="735"/>
    </row>
    <row r="880">
      <c r="B880" s="1517"/>
      <c r="C880" s="1517"/>
      <c r="D880" s="735"/>
    </row>
    <row r="881">
      <c r="B881" s="1517"/>
      <c r="C881" s="1517"/>
      <c r="D881" s="735"/>
    </row>
    <row r="882">
      <c r="B882" s="1517"/>
      <c r="C882" s="1517"/>
      <c r="D882" s="735"/>
    </row>
    <row r="883">
      <c r="B883" s="1517"/>
      <c r="C883" s="1517"/>
      <c r="D883" s="735"/>
    </row>
    <row r="884">
      <c r="B884" s="1517"/>
      <c r="C884" s="1517"/>
      <c r="D884" s="735"/>
    </row>
    <row r="885">
      <c r="B885" s="1517"/>
      <c r="C885" s="1517"/>
      <c r="D885" s="735"/>
    </row>
    <row r="886">
      <c r="B886" s="1517"/>
      <c r="C886" s="1517"/>
      <c r="D886" s="735"/>
    </row>
    <row r="887">
      <c r="B887" s="1517"/>
      <c r="C887" s="1517"/>
      <c r="D887" s="735"/>
    </row>
    <row r="888">
      <c r="B888" s="1517"/>
      <c r="C888" s="1517"/>
      <c r="D888" s="735"/>
    </row>
    <row r="889">
      <c r="B889" s="1517"/>
      <c r="C889" s="1517"/>
      <c r="D889" s="735"/>
    </row>
    <row r="890">
      <c r="B890" s="1517"/>
      <c r="C890" s="1517"/>
      <c r="D890" s="735"/>
    </row>
    <row r="891">
      <c r="B891" s="1517"/>
      <c r="C891" s="1517"/>
      <c r="D891" s="735"/>
    </row>
    <row r="892">
      <c r="B892" s="1517"/>
      <c r="C892" s="1517"/>
      <c r="D892" s="735"/>
    </row>
    <row r="893">
      <c r="B893" s="1517"/>
      <c r="C893" s="1517"/>
      <c r="D893" s="735"/>
    </row>
    <row r="894">
      <c r="B894" s="1517"/>
      <c r="C894" s="1517"/>
      <c r="D894" s="735"/>
    </row>
    <row r="895">
      <c r="B895" s="1517"/>
      <c r="C895" s="1517"/>
      <c r="D895" s="735"/>
    </row>
    <row r="896">
      <c r="B896" s="1517"/>
      <c r="C896" s="1517"/>
      <c r="D896" s="735"/>
    </row>
    <row r="897">
      <c r="B897" s="1517"/>
      <c r="C897" s="1517"/>
      <c r="D897" s="735"/>
    </row>
    <row r="898">
      <c r="B898" s="1517"/>
      <c r="C898" s="1517"/>
      <c r="D898" s="735"/>
    </row>
    <row r="899">
      <c r="B899" s="1517"/>
      <c r="C899" s="1517"/>
      <c r="D899" s="735"/>
    </row>
    <row r="900">
      <c r="B900" s="1517"/>
      <c r="C900" s="1517"/>
      <c r="D900" s="735"/>
    </row>
    <row r="901">
      <c r="B901" s="1517"/>
      <c r="C901" s="1517"/>
      <c r="D901" s="735"/>
    </row>
    <row r="902">
      <c r="B902" s="1517"/>
      <c r="C902" s="1517"/>
      <c r="D902" s="735"/>
    </row>
    <row r="903">
      <c r="B903" s="1517"/>
      <c r="C903" s="1517"/>
      <c r="D903" s="735"/>
    </row>
    <row r="904">
      <c r="B904" s="1517"/>
      <c r="C904" s="1517"/>
      <c r="D904" s="735"/>
    </row>
    <row r="905">
      <c r="B905" s="1517"/>
      <c r="C905" s="1517"/>
      <c r="D905" s="735"/>
    </row>
    <row r="906">
      <c r="B906" s="1517"/>
      <c r="C906" s="1517"/>
      <c r="D906" s="735"/>
    </row>
    <row r="907">
      <c r="B907" s="1517"/>
      <c r="C907" s="1517"/>
      <c r="D907" s="735"/>
    </row>
    <row r="908">
      <c r="B908" s="1517"/>
      <c r="C908" s="1517"/>
      <c r="D908" s="735"/>
    </row>
    <row r="909">
      <c r="B909" s="1517"/>
      <c r="C909" s="1517"/>
      <c r="D909" s="735"/>
    </row>
    <row r="910">
      <c r="B910" s="1517"/>
      <c r="C910" s="1517"/>
      <c r="D910" s="735"/>
    </row>
    <row r="911">
      <c r="B911" s="1517"/>
      <c r="C911" s="1517"/>
      <c r="D911" s="735"/>
    </row>
    <row r="912">
      <c r="B912" s="1517"/>
      <c r="C912" s="1517"/>
      <c r="D912" s="735"/>
    </row>
    <row r="913">
      <c r="B913" s="1517"/>
      <c r="C913" s="1517"/>
      <c r="D913" s="735"/>
    </row>
    <row r="914">
      <c r="B914" s="1517"/>
      <c r="C914" s="1517"/>
      <c r="D914" s="735"/>
    </row>
    <row r="915">
      <c r="B915" s="1517"/>
      <c r="C915" s="1517"/>
      <c r="D915" s="735"/>
    </row>
    <row r="916">
      <c r="B916" s="1517"/>
      <c r="C916" s="1517"/>
      <c r="D916" s="735"/>
    </row>
    <row r="917">
      <c r="B917" s="1517"/>
      <c r="C917" s="1517"/>
      <c r="D917" s="735"/>
    </row>
    <row r="918">
      <c r="B918" s="1517"/>
      <c r="C918" s="1517"/>
      <c r="D918" s="735"/>
    </row>
    <row r="919">
      <c r="B919" s="1517"/>
      <c r="C919" s="1517"/>
      <c r="D919" s="735"/>
    </row>
    <row r="920">
      <c r="B920" s="1517"/>
      <c r="C920" s="1517"/>
      <c r="D920" s="735"/>
    </row>
    <row r="921">
      <c r="B921" s="1517"/>
      <c r="C921" s="1517"/>
      <c r="D921" s="735"/>
    </row>
    <row r="922">
      <c r="B922" s="1517"/>
      <c r="C922" s="1517"/>
      <c r="D922" s="735"/>
    </row>
    <row r="923">
      <c r="B923" s="1517"/>
      <c r="C923" s="1517"/>
      <c r="D923" s="735"/>
    </row>
    <row r="924">
      <c r="B924" s="1517"/>
      <c r="C924" s="1517"/>
      <c r="D924" s="735"/>
    </row>
    <row r="925">
      <c r="B925" s="1517"/>
      <c r="C925" s="1517"/>
      <c r="D925" s="735"/>
    </row>
    <row r="926">
      <c r="B926" s="1517"/>
      <c r="C926" s="1517"/>
      <c r="D926" s="735"/>
    </row>
    <row r="927">
      <c r="B927" s="1517"/>
      <c r="C927" s="1517"/>
      <c r="D927" s="735"/>
    </row>
    <row r="928">
      <c r="B928" s="1517"/>
      <c r="C928" s="1517"/>
      <c r="D928" s="735"/>
    </row>
    <row r="929">
      <c r="B929" s="1517"/>
      <c r="C929" s="1517"/>
      <c r="D929" s="735"/>
    </row>
    <row r="930">
      <c r="B930" s="1517"/>
      <c r="C930" s="1517"/>
      <c r="D930" s="735"/>
    </row>
    <row r="931">
      <c r="B931" s="1517"/>
      <c r="C931" s="1517"/>
      <c r="D931" s="735"/>
    </row>
    <row r="932">
      <c r="B932" s="1517"/>
      <c r="C932" s="1517"/>
      <c r="D932" s="735"/>
    </row>
    <row r="933">
      <c r="B933" s="1517"/>
      <c r="C933" s="1517"/>
      <c r="D933" s="735"/>
    </row>
    <row r="934">
      <c r="B934" s="1517"/>
      <c r="C934" s="1517"/>
      <c r="D934" s="735"/>
    </row>
    <row r="935">
      <c r="B935" s="1517"/>
      <c r="C935" s="1517"/>
      <c r="D935" s="735"/>
    </row>
    <row r="936">
      <c r="B936" s="1517"/>
      <c r="C936" s="1517"/>
      <c r="D936" s="735"/>
    </row>
    <row r="937">
      <c r="B937" s="1517"/>
      <c r="C937" s="1517"/>
      <c r="D937" s="735"/>
    </row>
    <row r="938">
      <c r="B938" s="1517"/>
      <c r="C938" s="1517"/>
      <c r="D938" s="735"/>
    </row>
    <row r="939">
      <c r="B939" s="1517"/>
      <c r="C939" s="1517"/>
      <c r="D939" s="735"/>
    </row>
    <row r="940">
      <c r="B940" s="1517"/>
      <c r="C940" s="1517"/>
      <c r="D940" s="735"/>
    </row>
    <row r="941">
      <c r="B941" s="1517"/>
      <c r="C941" s="1517"/>
      <c r="D941" s="735"/>
    </row>
    <row r="942">
      <c r="B942" s="1517"/>
      <c r="C942" s="1517"/>
      <c r="D942" s="735"/>
    </row>
    <row r="943">
      <c r="B943" s="1517"/>
      <c r="C943" s="1517"/>
      <c r="D943" s="735"/>
    </row>
    <row r="944">
      <c r="B944" s="1517"/>
      <c r="C944" s="1517"/>
      <c r="D944" s="735"/>
    </row>
    <row r="945">
      <c r="B945" s="1517"/>
      <c r="C945" s="1517"/>
      <c r="D945" s="735"/>
    </row>
    <row r="946">
      <c r="B946" s="1517"/>
      <c r="C946" s="1517"/>
      <c r="D946" s="735"/>
    </row>
    <row r="947">
      <c r="B947" s="1517"/>
      <c r="C947" s="1517"/>
      <c r="D947" s="735"/>
    </row>
    <row r="948">
      <c r="B948" s="1517"/>
      <c r="C948" s="1517"/>
      <c r="D948" s="735"/>
    </row>
    <row r="949">
      <c r="B949" s="1517"/>
      <c r="C949" s="1517"/>
      <c r="D949" s="735"/>
    </row>
    <row r="950">
      <c r="B950" s="1517"/>
      <c r="C950" s="1517"/>
      <c r="D950" s="735"/>
    </row>
    <row r="951">
      <c r="B951" s="1517"/>
      <c r="C951" s="1517"/>
      <c r="D951" s="735"/>
    </row>
    <row r="952">
      <c r="B952" s="1517"/>
      <c r="C952" s="1517"/>
      <c r="D952" s="735"/>
    </row>
    <row r="953">
      <c r="B953" s="1517"/>
      <c r="C953" s="1517"/>
      <c r="D953" s="735"/>
    </row>
    <row r="954">
      <c r="B954" s="1517"/>
      <c r="C954" s="1517"/>
      <c r="D954" s="735"/>
    </row>
    <row r="955">
      <c r="B955" s="1517"/>
      <c r="C955" s="1517"/>
      <c r="D955" s="735"/>
    </row>
    <row r="956">
      <c r="B956" s="1517"/>
      <c r="C956" s="1517"/>
      <c r="D956" s="735"/>
    </row>
    <row r="957">
      <c r="B957" s="1517"/>
      <c r="C957" s="1517"/>
      <c r="D957" s="735"/>
    </row>
    <row r="958">
      <c r="B958" s="1517"/>
      <c r="C958" s="1517"/>
      <c r="D958" s="735"/>
    </row>
    <row r="959">
      <c r="B959" s="1517"/>
      <c r="C959" s="1517"/>
      <c r="D959" s="735"/>
    </row>
    <row r="960">
      <c r="B960" s="1517"/>
      <c r="C960" s="1517"/>
      <c r="D960" s="735"/>
    </row>
    <row r="961">
      <c r="B961" s="1517"/>
      <c r="C961" s="1517"/>
      <c r="D961" s="735"/>
    </row>
    <row r="962">
      <c r="B962" s="1517"/>
      <c r="C962" s="1517"/>
      <c r="D962" s="735"/>
    </row>
    <row r="963">
      <c r="B963" s="1517"/>
      <c r="C963" s="1517"/>
      <c r="D963" s="735"/>
    </row>
    <row r="964">
      <c r="B964" s="1517"/>
      <c r="C964" s="1517"/>
      <c r="D964" s="735"/>
    </row>
    <row r="965">
      <c r="B965" s="1517"/>
      <c r="C965" s="1517"/>
      <c r="D965" s="735"/>
    </row>
    <row r="966">
      <c r="B966" s="1517"/>
      <c r="C966" s="1517"/>
      <c r="D966" s="735"/>
    </row>
    <row r="967">
      <c r="B967" s="1517"/>
      <c r="C967" s="1517"/>
      <c r="D967" s="735"/>
    </row>
    <row r="968">
      <c r="B968" s="1517"/>
      <c r="C968" s="1517"/>
      <c r="D968" s="735"/>
    </row>
    <row r="969">
      <c r="B969" s="1517"/>
      <c r="C969" s="1517"/>
      <c r="D969" s="735"/>
    </row>
    <row r="970">
      <c r="B970" s="1517"/>
      <c r="C970" s="1517"/>
      <c r="D970" s="735"/>
    </row>
    <row r="971">
      <c r="B971" s="1517"/>
      <c r="C971" s="1517"/>
      <c r="D971" s="735"/>
    </row>
    <row r="972">
      <c r="B972" s="1517"/>
      <c r="C972" s="1517"/>
      <c r="D972" s="735"/>
    </row>
    <row r="973">
      <c r="B973" s="1517"/>
      <c r="C973" s="1517"/>
      <c r="D973" s="735"/>
    </row>
    <row r="974">
      <c r="B974" s="1517"/>
      <c r="C974" s="1517"/>
      <c r="D974" s="735"/>
    </row>
    <row r="975">
      <c r="B975" s="1517"/>
      <c r="C975" s="1517"/>
      <c r="D975" s="735"/>
    </row>
    <row r="976">
      <c r="B976" s="1517"/>
      <c r="C976" s="1517"/>
      <c r="D976" s="735"/>
    </row>
    <row r="977">
      <c r="B977" s="1517"/>
      <c r="C977" s="1517"/>
      <c r="D977" s="735"/>
    </row>
    <row r="978">
      <c r="B978" s="1517"/>
      <c r="C978" s="1517"/>
      <c r="D978" s="735"/>
    </row>
    <row r="979">
      <c r="B979" s="1517"/>
      <c r="C979" s="1517"/>
      <c r="D979" s="735"/>
    </row>
    <row r="980">
      <c r="B980" s="1517"/>
      <c r="C980" s="1517"/>
      <c r="D980" s="735"/>
    </row>
    <row r="981">
      <c r="B981" s="1517"/>
      <c r="C981" s="1517"/>
      <c r="D981" s="735"/>
    </row>
    <row r="982">
      <c r="B982" s="1517"/>
      <c r="C982" s="1517"/>
      <c r="D982" s="735"/>
    </row>
    <row r="983">
      <c r="B983" s="1517"/>
      <c r="C983" s="1517"/>
      <c r="D983" s="735"/>
    </row>
    <row r="984">
      <c r="B984" s="1517"/>
      <c r="C984" s="1517"/>
      <c r="D984" s="735"/>
    </row>
    <row r="985">
      <c r="B985" s="1517"/>
      <c r="C985" s="1517"/>
      <c r="D985" s="735"/>
    </row>
    <row r="986">
      <c r="B986" s="1517"/>
      <c r="C986" s="1517"/>
      <c r="D986" s="735"/>
    </row>
    <row r="987">
      <c r="B987" s="1517"/>
      <c r="C987" s="1517"/>
      <c r="D987" s="735"/>
    </row>
    <row r="988">
      <c r="B988" s="1517"/>
      <c r="C988" s="1517"/>
      <c r="D988" s="735"/>
    </row>
    <row r="989">
      <c r="B989" s="1517"/>
      <c r="C989" s="1517"/>
      <c r="D989" s="735"/>
    </row>
    <row r="990">
      <c r="B990" s="1517"/>
      <c r="C990" s="1517"/>
      <c r="D990" s="735"/>
    </row>
    <row r="991">
      <c r="B991" s="1517"/>
      <c r="C991" s="1517"/>
      <c r="D991" s="735"/>
    </row>
    <row r="992">
      <c r="B992" s="1517"/>
      <c r="C992" s="1517"/>
      <c r="D992" s="735"/>
    </row>
    <row r="993">
      <c r="B993" s="1517"/>
      <c r="C993" s="1517"/>
      <c r="D993" s="735"/>
    </row>
    <row r="994">
      <c r="B994" s="1517"/>
      <c r="C994" s="1517"/>
      <c r="D994" s="735"/>
    </row>
    <row r="995">
      <c r="B995" s="1517"/>
      <c r="C995" s="1517"/>
      <c r="D995" s="735"/>
    </row>
    <row r="996">
      <c r="B996" s="1517"/>
      <c r="C996" s="1517"/>
      <c r="D996" s="735"/>
    </row>
    <row r="997">
      <c r="B997" s="1517"/>
      <c r="C997" s="1517"/>
      <c r="D997" s="735"/>
    </row>
    <row r="998">
      <c r="B998" s="1517"/>
      <c r="C998" s="1517"/>
      <c r="D998" s="735"/>
    </row>
    <row r="999">
      <c r="B999" s="1517"/>
      <c r="C999" s="1517"/>
      <c r="D999" s="735"/>
    </row>
    <row r="1000">
      <c r="B1000" s="1517"/>
      <c r="C1000" s="1517"/>
      <c r="D1000" s="73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29"/>
  </cols>
  <sheetData>
    <row r="1">
      <c r="A1" s="205" t="s">
        <v>3562</v>
      </c>
      <c r="B1" s="205" t="s">
        <v>3563</v>
      </c>
    </row>
    <row r="2">
      <c r="A2" s="1518">
        <v>45833.0</v>
      </c>
      <c r="B2" s="205">
        <v>2.0</v>
      </c>
    </row>
    <row r="3">
      <c r="A3" s="1518">
        <v>45863.0</v>
      </c>
      <c r="B3" s="205">
        <v>0.0</v>
      </c>
    </row>
    <row r="4">
      <c r="A4" s="1518">
        <v>45894.0</v>
      </c>
      <c r="B4" s="205">
        <v>11.0</v>
      </c>
    </row>
    <row r="5">
      <c r="A5" s="1518">
        <v>45925.0</v>
      </c>
      <c r="B5" s="205">
        <v>28.0</v>
      </c>
    </row>
    <row r="6">
      <c r="A6" s="1518">
        <v>45955.0</v>
      </c>
      <c r="B6" s="205">
        <v>23.0</v>
      </c>
    </row>
    <row r="7">
      <c r="A7" s="1518">
        <v>45986.0</v>
      </c>
      <c r="B7" s="205">
        <v>57.0</v>
      </c>
    </row>
    <row r="8">
      <c r="A8" s="1518">
        <v>46381.0</v>
      </c>
      <c r="B8" s="205">
        <v>46.0</v>
      </c>
    </row>
    <row r="9">
      <c r="A9" s="1518">
        <v>46048.0</v>
      </c>
      <c r="B9" s="205">
        <v>44.0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29"/>
    <col customWidth="1" min="8" max="8" width="21.43"/>
    <col customWidth="1" min="9" max="9" width="17.29"/>
  </cols>
  <sheetData>
    <row r="1">
      <c r="A1" s="205" t="s">
        <v>3552</v>
      </c>
      <c r="B1" s="205" t="s">
        <v>1138</v>
      </c>
      <c r="C1" s="205" t="s">
        <v>3564</v>
      </c>
      <c r="D1" s="205" t="s">
        <v>3565</v>
      </c>
      <c r="E1" s="205" t="s">
        <v>1983</v>
      </c>
    </row>
    <row r="2">
      <c r="A2" s="205" t="s">
        <v>3566</v>
      </c>
      <c r="B2" s="1447">
        <v>45967.0</v>
      </c>
      <c r="C2" s="205">
        <v>30.0</v>
      </c>
      <c r="E2" s="205" t="s">
        <v>2052</v>
      </c>
      <c r="H2" s="1389" t="s">
        <v>3567</v>
      </c>
      <c r="I2" s="1389" t="s">
        <v>3568</v>
      </c>
      <c r="J2" s="1389" t="s">
        <v>3569</v>
      </c>
      <c r="K2" s="1389" t="s">
        <v>3570</v>
      </c>
      <c r="L2" s="1389" t="s">
        <v>3571</v>
      </c>
      <c r="M2" s="1389" t="s">
        <v>3572</v>
      </c>
    </row>
    <row r="3">
      <c r="A3" s="1519" t="s">
        <v>3573</v>
      </c>
      <c r="B3" s="1520">
        <v>45953.0</v>
      </c>
      <c r="C3" s="1519">
        <v>82.24</v>
      </c>
      <c r="D3" s="1519"/>
      <c r="E3" s="1519" t="s">
        <v>3574</v>
      </c>
      <c r="H3" s="1388" t="s">
        <v>3575</v>
      </c>
      <c r="I3" s="1388" t="s">
        <v>3576</v>
      </c>
      <c r="J3" s="1521">
        <v>46025.0</v>
      </c>
      <c r="K3" s="1522">
        <v>46058.0</v>
      </c>
      <c r="L3" s="1388">
        <v>989.57</v>
      </c>
      <c r="M3" s="630">
        <f>248.16*0.1</f>
        <v>24.816</v>
      </c>
    </row>
    <row r="4">
      <c r="A4" s="1519" t="s">
        <v>3573</v>
      </c>
      <c r="B4" s="1523">
        <v>45892.0</v>
      </c>
      <c r="C4" s="1519">
        <v>82.24</v>
      </c>
      <c r="D4" s="1519"/>
      <c r="E4" s="1519" t="s">
        <v>3577</v>
      </c>
      <c r="H4" s="1388" t="s">
        <v>3575</v>
      </c>
      <c r="I4" s="1388" t="s">
        <v>3578</v>
      </c>
      <c r="J4" s="1521">
        <v>46024.0</v>
      </c>
      <c r="K4" s="1522">
        <v>46024.0</v>
      </c>
      <c r="L4" s="1393">
        <v>1387.14</v>
      </c>
      <c r="M4" s="1524">
        <f>350*0.1</f>
        <v>35</v>
      </c>
    </row>
    <row r="5">
      <c r="A5" s="205" t="s">
        <v>3579</v>
      </c>
      <c r="D5" s="205"/>
      <c r="E5" s="205" t="s">
        <v>3580</v>
      </c>
      <c r="H5" s="1388" t="s">
        <v>3575</v>
      </c>
      <c r="I5" s="1388" t="s">
        <v>681</v>
      </c>
      <c r="J5" s="630"/>
      <c r="K5" s="1522">
        <v>46069.0</v>
      </c>
      <c r="L5" s="1393">
        <v>2774.3</v>
      </c>
      <c r="M5" s="1388">
        <v>90.41</v>
      </c>
    </row>
    <row r="6">
      <c r="A6" s="205" t="s">
        <v>3579</v>
      </c>
      <c r="D6" s="205"/>
      <c r="E6" s="205" t="s">
        <v>3581</v>
      </c>
      <c r="H6" s="1388" t="s">
        <v>3575</v>
      </c>
      <c r="I6" s="1388" t="s">
        <v>1970</v>
      </c>
      <c r="J6" s="630"/>
      <c r="K6" s="1522">
        <v>46080.0</v>
      </c>
      <c r="L6" s="1393">
        <v>1297.0</v>
      </c>
      <c r="M6" s="1525">
        <v>33.4</v>
      </c>
    </row>
    <row r="7">
      <c r="A7" s="1519" t="s">
        <v>3573</v>
      </c>
      <c r="B7" s="1520">
        <v>45983.0</v>
      </c>
      <c r="C7" s="1519">
        <v>82.24</v>
      </c>
      <c r="D7" s="1519"/>
      <c r="E7" s="1519" t="s">
        <v>3582</v>
      </c>
      <c r="H7" s="1388" t="s">
        <v>3575</v>
      </c>
      <c r="I7" s="1388" t="s">
        <v>773</v>
      </c>
      <c r="J7" s="630"/>
      <c r="K7" s="1522">
        <v>46068.0</v>
      </c>
      <c r="L7" s="630"/>
      <c r="M7" s="630"/>
    </row>
    <row r="8">
      <c r="A8" s="1519" t="s">
        <v>3583</v>
      </c>
      <c r="B8" s="1520">
        <v>45986.0</v>
      </c>
      <c r="C8" s="1519">
        <v>82.24</v>
      </c>
      <c r="D8" s="1519"/>
      <c r="E8" s="1519" t="s">
        <v>3584</v>
      </c>
      <c r="H8" s="630"/>
      <c r="I8" s="630"/>
      <c r="J8" s="630"/>
      <c r="K8" s="630"/>
      <c r="L8" s="630"/>
      <c r="M8" s="630"/>
    </row>
    <row r="9">
      <c r="A9" s="1519" t="s">
        <v>3583</v>
      </c>
      <c r="B9" s="1523">
        <v>45994.0</v>
      </c>
      <c r="C9" s="1519">
        <v>82.24</v>
      </c>
      <c r="D9" s="1519"/>
      <c r="E9" s="1519" t="s">
        <v>3585</v>
      </c>
      <c r="H9" s="630"/>
      <c r="I9" s="630"/>
      <c r="J9" s="630"/>
      <c r="K9" s="630"/>
      <c r="L9" s="630"/>
      <c r="M9" s="630"/>
    </row>
    <row r="10">
      <c r="A10" s="1519" t="s">
        <v>3586</v>
      </c>
      <c r="B10" s="1523">
        <v>45993.0</v>
      </c>
      <c r="C10" s="1519">
        <v>30.0</v>
      </c>
      <c r="D10" s="1519"/>
      <c r="E10" s="1519" t="s">
        <v>3587</v>
      </c>
      <c r="H10" s="630"/>
      <c r="I10" s="630"/>
      <c r="J10" s="630"/>
      <c r="K10" s="630"/>
      <c r="L10" s="630"/>
      <c r="M10" s="630"/>
    </row>
    <row r="11">
      <c r="A11" s="205" t="s">
        <v>3588</v>
      </c>
      <c r="B11" s="1447">
        <v>45996.0</v>
      </c>
      <c r="C11" s="205">
        <v>80.0</v>
      </c>
      <c r="D11" s="205"/>
      <c r="E11" s="205" t="s">
        <v>3589</v>
      </c>
      <c r="H11" s="630"/>
      <c r="I11" s="630"/>
      <c r="J11" s="630"/>
      <c r="K11" s="630"/>
      <c r="L11" s="630"/>
      <c r="M11" s="630"/>
    </row>
    <row r="12">
      <c r="A12" s="1519" t="s">
        <v>3566</v>
      </c>
      <c r="B12" s="1523">
        <v>45999.0</v>
      </c>
      <c r="C12" s="1519">
        <v>30.0</v>
      </c>
      <c r="D12" s="1526"/>
      <c r="E12" s="1526"/>
      <c r="H12" s="630"/>
      <c r="I12" s="630"/>
      <c r="J12" s="630"/>
      <c r="K12" s="630"/>
      <c r="L12" s="630"/>
      <c r="M12" s="630"/>
    </row>
    <row r="13">
      <c r="A13" s="1519" t="s">
        <v>3590</v>
      </c>
      <c r="B13" s="1523">
        <v>46000.0</v>
      </c>
      <c r="C13" s="1519">
        <v>30.0</v>
      </c>
      <c r="D13" s="1526"/>
      <c r="E13" s="1526"/>
      <c r="H13" s="630"/>
      <c r="I13" s="630"/>
      <c r="J13" s="630"/>
      <c r="K13" s="630"/>
      <c r="L13" s="630"/>
      <c r="M13" s="630"/>
    </row>
    <row r="14">
      <c r="A14" s="1519" t="s">
        <v>3566</v>
      </c>
      <c r="B14" s="1520">
        <v>46001.0</v>
      </c>
      <c r="C14" s="1519">
        <v>30.0</v>
      </c>
      <c r="D14" s="1526"/>
      <c r="E14" s="1526"/>
      <c r="H14" s="630"/>
      <c r="I14" s="630"/>
      <c r="J14" s="630"/>
      <c r="K14" s="630"/>
      <c r="L14" s="630"/>
      <c r="M14" s="1524">
        <f>SUM(M2:M13)</f>
        <v>183.626</v>
      </c>
    </row>
    <row r="15">
      <c r="A15" s="1519" t="s">
        <v>3583</v>
      </c>
      <c r="B15" s="1520">
        <v>46006.0</v>
      </c>
      <c r="C15" s="1519">
        <v>82.24</v>
      </c>
      <c r="D15" s="1519"/>
      <c r="E15" s="1519" t="s">
        <v>3591</v>
      </c>
    </row>
    <row r="16">
      <c r="A16" s="1519" t="s">
        <v>3583</v>
      </c>
      <c r="B16" s="1520">
        <v>46021.0</v>
      </c>
      <c r="C16" s="1519">
        <v>82.24</v>
      </c>
      <c r="D16" s="1519"/>
      <c r="E16" s="1519" t="s">
        <v>3592</v>
      </c>
    </row>
    <row r="17">
      <c r="A17" s="205" t="s">
        <v>3593</v>
      </c>
      <c r="B17" s="1527">
        <v>46365.0</v>
      </c>
      <c r="C17" s="205">
        <v>365.84</v>
      </c>
      <c r="D17" s="205"/>
      <c r="E17" s="205" t="s">
        <v>3594</v>
      </c>
    </row>
    <row r="18">
      <c r="A18" s="1519" t="s">
        <v>3595</v>
      </c>
      <c r="B18" s="1528">
        <v>46027.0</v>
      </c>
      <c r="C18" s="1519">
        <v>30.0</v>
      </c>
      <c r="D18" s="1519"/>
      <c r="E18" s="1519"/>
    </row>
    <row r="19">
      <c r="A19" s="1519" t="s">
        <v>3566</v>
      </c>
      <c r="B19" s="1529">
        <v>46030.0</v>
      </c>
      <c r="C19" s="1519">
        <v>80.0</v>
      </c>
      <c r="D19" s="1526"/>
      <c r="E19" s="1526"/>
    </row>
    <row r="20">
      <c r="A20" s="1519" t="s">
        <v>3566</v>
      </c>
      <c r="B20" s="1529">
        <v>46036.0</v>
      </c>
      <c r="C20" s="1519">
        <v>40.0</v>
      </c>
      <c r="D20" s="1526"/>
      <c r="E20" s="1526"/>
    </row>
    <row r="21">
      <c r="A21" s="1519" t="s">
        <v>3586</v>
      </c>
      <c r="B21" s="1529">
        <v>46051.0</v>
      </c>
      <c r="C21" s="1519">
        <v>40.0</v>
      </c>
      <c r="D21" s="1526"/>
      <c r="E21" s="1526"/>
    </row>
    <row r="22">
      <c r="A22" s="205" t="s">
        <v>3593</v>
      </c>
      <c r="B22" s="1530">
        <v>46044.0</v>
      </c>
      <c r="C22" s="205">
        <v>233.0</v>
      </c>
      <c r="E22" s="205" t="s">
        <v>3596</v>
      </c>
    </row>
    <row r="26">
      <c r="C26" s="1531">
        <f>SUM(C2:C25)</f>
        <v>1594.52</v>
      </c>
    </row>
    <row r="27">
      <c r="E27" s="1532">
        <v>46052.0</v>
      </c>
      <c r="F27" s="1533" t="s">
        <v>799</v>
      </c>
      <c r="G27" s="1534" t="s">
        <v>3597</v>
      </c>
      <c r="H27" s="1534" t="s">
        <v>3598</v>
      </c>
      <c r="I27" s="1535">
        <v>191.01</v>
      </c>
    </row>
    <row r="28">
      <c r="E28" s="1532">
        <v>45955.0</v>
      </c>
      <c r="F28" s="1533" t="s">
        <v>799</v>
      </c>
      <c r="G28" s="1534" t="s">
        <v>3599</v>
      </c>
      <c r="H28" s="1534" t="s">
        <v>3600</v>
      </c>
      <c r="I28" s="1535">
        <v>164.48</v>
      </c>
    </row>
    <row r="29">
      <c r="E29" s="1532">
        <v>46023.0</v>
      </c>
      <c r="F29" s="1533" t="s">
        <v>799</v>
      </c>
      <c r="G29" s="1534" t="s">
        <v>3601</v>
      </c>
      <c r="H29" s="1534" t="s">
        <v>3600</v>
      </c>
      <c r="I29" s="1535">
        <v>421.85</v>
      </c>
      <c r="J29" s="1532"/>
      <c r="K29" s="1532"/>
      <c r="L29" s="1533"/>
      <c r="M29" s="1536"/>
      <c r="N29" s="1537">
        <f t="shared" ref="N29:N31" si="1">IF(E29&gt;0,MONTH(E29),"-")</f>
        <v>1</v>
      </c>
      <c r="O29" s="1537">
        <f t="shared" ref="O29:O31" si="2">IF(E29&gt;0,YEAR(E29),"-")</f>
        <v>2026</v>
      </c>
      <c r="P29" s="1538">
        <f t="shared" ref="P29:P31" si="3">IF(F29="Saída",I29*(-1),I29)</f>
        <v>421.85</v>
      </c>
      <c r="Q29" s="1537" t="str">
        <f t="shared" ref="Q29:Q31" si="4">IF(K29&gt;0,MONTH(K29),"-")</f>
        <v>-</v>
      </c>
      <c r="R29" s="1537" t="str">
        <f t="shared" ref="R29:R31" si="5">IF(K29&gt;0,YEAR(K29),"-")</f>
        <v>-</v>
      </c>
      <c r="S29" s="1536"/>
      <c r="T29" s="1536"/>
      <c r="U29" s="1536"/>
      <c r="V29" s="1536"/>
      <c r="W29" s="1536"/>
      <c r="X29" s="1536"/>
      <c r="Y29" s="1536"/>
    </row>
    <row r="30">
      <c r="E30" s="1532">
        <v>46027.0</v>
      </c>
      <c r="F30" s="1533" t="s">
        <v>799</v>
      </c>
      <c r="G30" s="1534" t="s">
        <v>3602</v>
      </c>
      <c r="H30" s="1534" t="s">
        <v>3600</v>
      </c>
      <c r="I30" s="1535">
        <v>120.0</v>
      </c>
      <c r="J30" s="1532"/>
      <c r="K30" s="1532"/>
      <c r="L30" s="1533"/>
      <c r="M30" s="1536"/>
      <c r="N30" s="1537">
        <f t="shared" si="1"/>
        <v>1</v>
      </c>
      <c r="O30" s="1537">
        <f t="shared" si="2"/>
        <v>2026</v>
      </c>
      <c r="P30" s="1538">
        <f t="shared" si="3"/>
        <v>120</v>
      </c>
      <c r="Q30" s="1537" t="str">
        <f t="shared" si="4"/>
        <v>-</v>
      </c>
      <c r="R30" s="1537" t="str">
        <f t="shared" si="5"/>
        <v>-</v>
      </c>
      <c r="S30" s="1536"/>
      <c r="T30" s="1536"/>
      <c r="U30" s="1536"/>
      <c r="V30" s="1536"/>
      <c r="W30" s="1536"/>
      <c r="X30" s="1536"/>
      <c r="Y30" s="1536"/>
    </row>
    <row r="31">
      <c r="E31" s="1532">
        <v>46003.0</v>
      </c>
      <c r="F31" s="1533" t="s">
        <v>799</v>
      </c>
      <c r="G31" s="1534" t="s">
        <v>3602</v>
      </c>
      <c r="H31" s="1534" t="s">
        <v>3600</v>
      </c>
      <c r="I31" s="1535">
        <v>30.0</v>
      </c>
      <c r="J31" s="1532"/>
      <c r="K31" s="1532"/>
      <c r="L31" s="1533"/>
      <c r="M31" s="1536"/>
      <c r="N31" s="1537">
        <f t="shared" si="1"/>
        <v>12</v>
      </c>
      <c r="O31" s="1537">
        <f t="shared" si="2"/>
        <v>2025</v>
      </c>
      <c r="P31" s="1538">
        <f t="shared" si="3"/>
        <v>30</v>
      </c>
      <c r="Q31" s="1537" t="str">
        <f t="shared" si="4"/>
        <v>-</v>
      </c>
      <c r="R31" s="1537" t="str">
        <f t="shared" si="5"/>
        <v>-</v>
      </c>
      <c r="S31" s="1536"/>
      <c r="T31" s="1536"/>
      <c r="U31" s="1536"/>
      <c r="V31" s="1536"/>
      <c r="W31" s="1536"/>
      <c r="X31" s="1536"/>
      <c r="Y31" s="1536"/>
    </row>
    <row r="32">
      <c r="E32" s="1539">
        <v>46365.0</v>
      </c>
      <c r="F32" s="1533" t="s">
        <v>799</v>
      </c>
      <c r="G32" s="1540" t="s">
        <v>3603</v>
      </c>
      <c r="H32" s="1541" t="s">
        <v>3604</v>
      </c>
      <c r="I32" s="1542">
        <v>365.84</v>
      </c>
    </row>
    <row r="33">
      <c r="E33" s="1532">
        <v>46023.0</v>
      </c>
      <c r="F33" s="1533" t="s">
        <v>799</v>
      </c>
      <c r="G33" s="1534" t="s">
        <v>3602</v>
      </c>
      <c r="H33" s="1534" t="s">
        <v>3600</v>
      </c>
      <c r="I33" s="1543">
        <v>190.0</v>
      </c>
    </row>
    <row r="34">
      <c r="I34" s="454">
        <f>SUM(I27:I33)</f>
        <v>1483.18</v>
      </c>
      <c r="J34" s="205" t="s">
        <v>3605</v>
      </c>
    </row>
  </sheetData>
  <dataValidations>
    <dataValidation type="list" allowBlank="1" showErrorMessage="1" sqref="F27:F33">
      <formula1>#REF!</formula1>
    </dataValidation>
    <dataValidation type="list" allowBlank="1" sqref="H27:H33">
      <formula1>#REF!</formula1>
    </dataValidation>
    <dataValidation type="list" allowBlank="1" showErrorMessage="1" sqref="L29:L31">
      <formula1>#REF!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2023-08-15T20:28:24Z</dcterms:created>
  <dc:creator>Luis Aleta</dc:creator>
</cp:coreProperties>
</file>